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ZY\Desktop\"/>
    </mc:Choice>
  </mc:AlternateContent>
  <bookViews>
    <workbookView xWindow="75" yWindow="-165" windowWidth="24075" windowHeight="12045" activeTab="2"/>
  </bookViews>
  <sheets>
    <sheet name="카페24 주문" sheetId="1" r:id="rId1"/>
    <sheet name="3rd_재고할당된 주문" sheetId="2" r:id="rId2"/>
    <sheet name="ICB" sheetId="3" r:id="rId3"/>
    <sheet name="재고리스트" sheetId="5" r:id="rId4"/>
  </sheets>
  <definedNames>
    <definedName name="_xlnm._FilterDatabase" localSheetId="3" hidden="1">재고리스트!$A$1:$AT$3580</definedName>
  </definedNames>
  <calcPr calcId="152511"/>
</workbook>
</file>

<file path=xl/calcChain.xml><?xml version="1.0" encoding="utf-8"?>
<calcChain xmlns="http://schemas.openxmlformats.org/spreadsheetml/2006/main">
  <c r="A6" i="2" l="1"/>
  <c r="B6" i="2"/>
  <c r="F6" i="2"/>
  <c r="E6" i="2" s="1"/>
  <c r="A7" i="2"/>
  <c r="B7" i="2"/>
  <c r="F7" i="2"/>
  <c r="E7" i="2" s="1"/>
  <c r="A8" i="2"/>
  <c r="B8" i="2"/>
  <c r="F8" i="2"/>
  <c r="E8" i="2" s="1"/>
  <c r="A9" i="2"/>
  <c r="B9" i="2"/>
  <c r="F9" i="2"/>
  <c r="E9" i="2" s="1"/>
  <c r="A10" i="2"/>
  <c r="B10" i="2"/>
  <c r="F10" i="2"/>
  <c r="E10" i="2" s="1"/>
  <c r="A11" i="2"/>
  <c r="B11" i="2"/>
  <c r="F11" i="2"/>
  <c r="E11" i="2" s="1"/>
  <c r="A12" i="2"/>
  <c r="B12" i="2"/>
  <c r="F12" i="2"/>
  <c r="E12" i="2" s="1"/>
  <c r="A13" i="2"/>
  <c r="B13" i="2"/>
  <c r="F13" i="2"/>
  <c r="E13" i="2" s="1"/>
  <c r="A14" i="2"/>
  <c r="B14" i="2"/>
  <c r="F14" i="2"/>
  <c r="E14" i="2" s="1"/>
  <c r="A15" i="2"/>
  <c r="B15" i="2"/>
  <c r="F15" i="2"/>
  <c r="E15" i="2" s="1"/>
  <c r="A16" i="2"/>
  <c r="B16" i="2"/>
  <c r="F16" i="2"/>
  <c r="E16" i="2" s="1"/>
  <c r="A17" i="2"/>
  <c r="B17" i="2"/>
  <c r="F17" i="2"/>
  <c r="E17" i="2" s="1"/>
  <c r="A18" i="2"/>
  <c r="B18" i="2"/>
  <c r="F18" i="2"/>
  <c r="E18" i="2" s="1"/>
  <c r="A19" i="2"/>
  <c r="B19" i="2"/>
  <c r="F19" i="2"/>
  <c r="E19" i="2" s="1"/>
  <c r="A20" i="2"/>
  <c r="B20" i="2"/>
  <c r="F20" i="2"/>
  <c r="E20" i="2" s="1"/>
  <c r="A21" i="2"/>
  <c r="B21" i="2"/>
  <c r="F21" i="2"/>
  <c r="E21" i="2" s="1"/>
  <c r="A22" i="2"/>
  <c r="B22" i="2"/>
  <c r="F22" i="2"/>
  <c r="E22" i="2" s="1"/>
  <c r="A23" i="2"/>
  <c r="B23" i="2"/>
  <c r="F23" i="2"/>
  <c r="E23" i="2" s="1"/>
  <c r="A24" i="2"/>
  <c r="B24" i="2"/>
  <c r="F24" i="2"/>
  <c r="E24" i="2" s="1"/>
  <c r="A25" i="2"/>
  <c r="B25" i="2"/>
  <c r="F25" i="2"/>
  <c r="E25" i="2" s="1"/>
  <c r="A26" i="2"/>
  <c r="B26" i="2"/>
  <c r="F26" i="2"/>
  <c r="E26" i="2" s="1"/>
  <c r="A27" i="2"/>
  <c r="B27" i="2"/>
  <c r="F27" i="2"/>
  <c r="E27" i="2" s="1"/>
  <c r="A28" i="2"/>
  <c r="B28" i="2"/>
  <c r="F28" i="2"/>
  <c r="E28" i="2" s="1"/>
  <c r="A29" i="2"/>
  <c r="B29" i="2"/>
  <c r="F29" i="2"/>
  <c r="E29" i="2" s="1"/>
  <c r="A30" i="2"/>
  <c r="B30" i="2"/>
  <c r="F30" i="2"/>
  <c r="E30" i="2" s="1"/>
  <c r="E3" i="2"/>
  <c r="E4" i="2"/>
  <c r="E5" i="2"/>
  <c r="D3" i="2"/>
  <c r="D4" i="2"/>
  <c r="D5" i="2"/>
  <c r="F3" i="2"/>
  <c r="F4" i="2"/>
  <c r="F5" i="2"/>
  <c r="B3" i="2"/>
  <c r="B4" i="2"/>
  <c r="B5" i="2"/>
  <c r="B2" i="2"/>
  <c r="A3" i="2"/>
  <c r="A4" i="2"/>
  <c r="A5" i="2"/>
  <c r="A2" i="2"/>
  <c r="A6" i="1"/>
  <c r="C6" i="1"/>
  <c r="D6" i="1"/>
  <c r="E6" i="1"/>
  <c r="F6" i="1"/>
  <c r="I6" i="1"/>
  <c r="J6" i="1"/>
  <c r="L6" i="1"/>
  <c r="M6" i="1"/>
  <c r="N6" i="1"/>
  <c r="O6" i="1"/>
  <c r="P6" i="1"/>
  <c r="Q6" i="1"/>
  <c r="R6" i="1"/>
  <c r="U6" i="1"/>
  <c r="A7" i="1"/>
  <c r="C7" i="1"/>
  <c r="D7" i="1"/>
  <c r="E7" i="1"/>
  <c r="F7" i="1"/>
  <c r="I7" i="1"/>
  <c r="J7" i="1"/>
  <c r="L7" i="1"/>
  <c r="M7" i="1"/>
  <c r="N7" i="1"/>
  <c r="O7" i="1"/>
  <c r="P7" i="1"/>
  <c r="Q7" i="1"/>
  <c r="R7" i="1"/>
  <c r="U7" i="1"/>
  <c r="A8" i="1"/>
  <c r="C8" i="1"/>
  <c r="D8" i="1"/>
  <c r="E8" i="1"/>
  <c r="F8" i="1"/>
  <c r="I8" i="1"/>
  <c r="J8" i="1"/>
  <c r="L8" i="1"/>
  <c r="M8" i="1"/>
  <c r="N8" i="1"/>
  <c r="O8" i="1"/>
  <c r="P8" i="1"/>
  <c r="Q8" i="1"/>
  <c r="R8" i="1"/>
  <c r="U8" i="1"/>
  <c r="A9" i="1"/>
  <c r="C9" i="1"/>
  <c r="D9" i="1"/>
  <c r="E9" i="1"/>
  <c r="F9" i="1"/>
  <c r="I9" i="1"/>
  <c r="J9" i="1"/>
  <c r="L9" i="1"/>
  <c r="M9" i="1"/>
  <c r="N9" i="1"/>
  <c r="O9" i="1"/>
  <c r="P9" i="1"/>
  <c r="Q9" i="1"/>
  <c r="R9" i="1"/>
  <c r="U9" i="1"/>
  <c r="A10" i="1"/>
  <c r="C10" i="1"/>
  <c r="D10" i="1"/>
  <c r="E10" i="1"/>
  <c r="F10" i="1"/>
  <c r="I10" i="1"/>
  <c r="J10" i="1"/>
  <c r="L10" i="1"/>
  <c r="M10" i="1"/>
  <c r="N10" i="1"/>
  <c r="O10" i="1"/>
  <c r="P10" i="1"/>
  <c r="Q10" i="1"/>
  <c r="R10" i="1"/>
  <c r="U10" i="1"/>
  <c r="A11" i="1"/>
  <c r="C11" i="1"/>
  <c r="D11" i="1"/>
  <c r="E11" i="1"/>
  <c r="F11" i="1"/>
  <c r="I11" i="1"/>
  <c r="J11" i="1"/>
  <c r="L11" i="1"/>
  <c r="M11" i="1"/>
  <c r="N11" i="1"/>
  <c r="O11" i="1"/>
  <c r="P11" i="1"/>
  <c r="Q11" i="1"/>
  <c r="R11" i="1"/>
  <c r="U11" i="1"/>
  <c r="A12" i="1"/>
  <c r="C12" i="1"/>
  <c r="D12" i="1"/>
  <c r="E12" i="1"/>
  <c r="F12" i="1"/>
  <c r="I12" i="1"/>
  <c r="J12" i="1"/>
  <c r="L12" i="1"/>
  <c r="M12" i="1"/>
  <c r="N12" i="1"/>
  <c r="O12" i="1"/>
  <c r="P12" i="1"/>
  <c r="Q12" i="1"/>
  <c r="R12" i="1"/>
  <c r="U12" i="1"/>
  <c r="A13" i="1"/>
  <c r="C13" i="1"/>
  <c r="D13" i="1"/>
  <c r="E13" i="1"/>
  <c r="F13" i="1"/>
  <c r="I13" i="1"/>
  <c r="J13" i="1"/>
  <c r="L13" i="1"/>
  <c r="M13" i="1"/>
  <c r="N13" i="1"/>
  <c r="O13" i="1"/>
  <c r="P13" i="1"/>
  <c r="Q13" i="1"/>
  <c r="R13" i="1"/>
  <c r="U13" i="1"/>
  <c r="A14" i="1"/>
  <c r="C14" i="1"/>
  <c r="D14" i="1"/>
  <c r="E14" i="1"/>
  <c r="F14" i="1"/>
  <c r="I14" i="1"/>
  <c r="J14" i="1"/>
  <c r="L14" i="1"/>
  <c r="M14" i="1"/>
  <c r="N14" i="1"/>
  <c r="O14" i="1"/>
  <c r="P14" i="1"/>
  <c r="Q14" i="1"/>
  <c r="R14" i="1"/>
  <c r="U14" i="1"/>
  <c r="A15" i="1"/>
  <c r="C15" i="1"/>
  <c r="D15" i="1"/>
  <c r="E15" i="1"/>
  <c r="F15" i="1"/>
  <c r="I15" i="1"/>
  <c r="J15" i="1"/>
  <c r="L15" i="1"/>
  <c r="M15" i="1"/>
  <c r="N15" i="1"/>
  <c r="O15" i="1"/>
  <c r="P15" i="1"/>
  <c r="Q15" i="1"/>
  <c r="R15" i="1"/>
  <c r="U15" i="1"/>
  <c r="A16" i="1"/>
  <c r="C16" i="1"/>
  <c r="D16" i="1"/>
  <c r="E16" i="1"/>
  <c r="F16" i="1"/>
  <c r="I16" i="1"/>
  <c r="J16" i="1"/>
  <c r="L16" i="1"/>
  <c r="M16" i="1"/>
  <c r="N16" i="1"/>
  <c r="O16" i="1"/>
  <c r="P16" i="1"/>
  <c r="Q16" i="1"/>
  <c r="R16" i="1"/>
  <c r="U16" i="1"/>
  <c r="A17" i="1"/>
  <c r="C17" i="1"/>
  <c r="D17" i="1"/>
  <c r="E17" i="1"/>
  <c r="F17" i="1"/>
  <c r="I17" i="1"/>
  <c r="J17" i="1"/>
  <c r="L17" i="1"/>
  <c r="M17" i="1"/>
  <c r="N17" i="1"/>
  <c r="O17" i="1"/>
  <c r="P17" i="1"/>
  <c r="Q17" i="1"/>
  <c r="R17" i="1"/>
  <c r="U17" i="1"/>
  <c r="A18" i="1"/>
  <c r="C18" i="1"/>
  <c r="D18" i="1"/>
  <c r="E18" i="1"/>
  <c r="F18" i="1"/>
  <c r="I18" i="1"/>
  <c r="J18" i="1"/>
  <c r="L18" i="1"/>
  <c r="M18" i="1"/>
  <c r="N18" i="1"/>
  <c r="O18" i="1"/>
  <c r="P18" i="1"/>
  <c r="Q18" i="1"/>
  <c r="R18" i="1"/>
  <c r="U18" i="1"/>
  <c r="A19" i="1"/>
  <c r="C19" i="1"/>
  <c r="D19" i="1"/>
  <c r="E19" i="1"/>
  <c r="F19" i="1"/>
  <c r="I19" i="1"/>
  <c r="J19" i="1"/>
  <c r="L19" i="1"/>
  <c r="M19" i="1"/>
  <c r="N19" i="1"/>
  <c r="O19" i="1"/>
  <c r="P19" i="1"/>
  <c r="Q19" i="1"/>
  <c r="R19" i="1"/>
  <c r="U19" i="1"/>
  <c r="A20" i="1"/>
  <c r="C20" i="1"/>
  <c r="D20" i="1"/>
  <c r="E20" i="1"/>
  <c r="F20" i="1"/>
  <c r="I20" i="1"/>
  <c r="J20" i="1"/>
  <c r="L20" i="1"/>
  <c r="M20" i="1"/>
  <c r="N20" i="1" s="1"/>
  <c r="O20" i="1"/>
  <c r="Q20" i="1"/>
  <c r="R20" i="1"/>
  <c r="U20" i="1"/>
  <c r="A21" i="1"/>
  <c r="C21" i="1"/>
  <c r="D21" i="1"/>
  <c r="E21" i="1"/>
  <c r="F21" i="1"/>
  <c r="I21" i="1"/>
  <c r="J21" i="1"/>
  <c r="L21" i="1"/>
  <c r="M21" i="1"/>
  <c r="N21" i="1" s="1"/>
  <c r="O21" i="1"/>
  <c r="Q21" i="1"/>
  <c r="R21" i="1"/>
  <c r="U21" i="1"/>
  <c r="A22" i="1"/>
  <c r="C22" i="1"/>
  <c r="D22" i="1"/>
  <c r="E22" i="1"/>
  <c r="F22" i="1"/>
  <c r="I22" i="1"/>
  <c r="J22" i="1"/>
  <c r="L22" i="1"/>
  <c r="M22" i="1"/>
  <c r="Q22" i="1"/>
  <c r="R22" i="1"/>
  <c r="U22" i="1"/>
  <c r="A23" i="1"/>
  <c r="C23" i="1"/>
  <c r="D23" i="1"/>
  <c r="E23" i="1"/>
  <c r="F23" i="1"/>
  <c r="I23" i="1"/>
  <c r="J23" i="1"/>
  <c r="L23" i="1"/>
  <c r="M23" i="1"/>
  <c r="O23" i="1"/>
  <c r="Q23" i="1"/>
  <c r="R23" i="1"/>
  <c r="U23" i="1"/>
  <c r="A24" i="1"/>
  <c r="C24" i="1"/>
  <c r="D24" i="1"/>
  <c r="E24" i="1"/>
  <c r="F24" i="1"/>
  <c r="I24" i="1"/>
  <c r="J24" i="1"/>
  <c r="L24" i="1"/>
  <c r="M24" i="1"/>
  <c r="Q24" i="1"/>
  <c r="R24" i="1"/>
  <c r="U24" i="1"/>
  <c r="A25" i="1"/>
  <c r="C25" i="1"/>
  <c r="D25" i="1"/>
  <c r="E25" i="1"/>
  <c r="F25" i="1"/>
  <c r="I25" i="1"/>
  <c r="J25" i="1"/>
  <c r="L25" i="1"/>
  <c r="M25" i="1"/>
  <c r="O25" i="1"/>
  <c r="Q25" i="1"/>
  <c r="R25" i="1"/>
  <c r="U25" i="1"/>
  <c r="A26" i="1"/>
  <c r="C26" i="1"/>
  <c r="D26" i="1"/>
  <c r="E26" i="1"/>
  <c r="F26" i="1"/>
  <c r="I26" i="1"/>
  <c r="J26" i="1"/>
  <c r="L26" i="1"/>
  <c r="M26" i="1"/>
  <c r="Q26" i="1"/>
  <c r="R26" i="1"/>
  <c r="U26" i="1"/>
  <c r="A27" i="1"/>
  <c r="C27" i="1"/>
  <c r="D27" i="1"/>
  <c r="E27" i="1"/>
  <c r="F27" i="1"/>
  <c r="I27" i="1"/>
  <c r="J27" i="1"/>
  <c r="L27" i="1"/>
  <c r="M27" i="1"/>
  <c r="O27" i="1"/>
  <c r="Q27" i="1"/>
  <c r="R27" i="1"/>
  <c r="U27" i="1"/>
  <c r="A28" i="1"/>
  <c r="C28" i="1"/>
  <c r="D28" i="1"/>
  <c r="E28" i="1"/>
  <c r="F28" i="1"/>
  <c r="I28" i="1"/>
  <c r="J28" i="1"/>
  <c r="L28" i="1"/>
  <c r="M28" i="1"/>
  <c r="Q28" i="1"/>
  <c r="R28" i="1"/>
  <c r="U28" i="1"/>
  <c r="A29" i="1"/>
  <c r="C29" i="1"/>
  <c r="D29" i="1"/>
  <c r="E29" i="1"/>
  <c r="F29" i="1"/>
  <c r="I29" i="1"/>
  <c r="J29" i="1"/>
  <c r="L29" i="1"/>
  <c r="M29" i="1"/>
  <c r="O29" i="1"/>
  <c r="Q29" i="1"/>
  <c r="R29" i="1"/>
  <c r="U29" i="1"/>
  <c r="A30" i="1"/>
  <c r="C30" i="1"/>
  <c r="D30" i="1"/>
  <c r="E30" i="1"/>
  <c r="F30" i="1"/>
  <c r="I30" i="1"/>
  <c r="J30" i="1"/>
  <c r="K30" i="1"/>
  <c r="L30" i="1"/>
  <c r="M30" i="1"/>
  <c r="Q30" i="1"/>
  <c r="R30" i="1"/>
  <c r="U30" i="1"/>
  <c r="AA30" i="1"/>
  <c r="U3" i="1"/>
  <c r="U4" i="1"/>
  <c r="U5" i="1"/>
  <c r="U2" i="1"/>
  <c r="R3" i="1"/>
  <c r="R4" i="1"/>
  <c r="R5" i="1"/>
  <c r="R2" i="1"/>
  <c r="Q3" i="1"/>
  <c r="Q4" i="1"/>
  <c r="Q5" i="1"/>
  <c r="Q2" i="1"/>
  <c r="P3" i="1"/>
  <c r="P4" i="1"/>
  <c r="P5" i="1"/>
  <c r="O3" i="1"/>
  <c r="O4" i="1"/>
  <c r="O5" i="1"/>
  <c r="N3" i="1"/>
  <c r="N4" i="1"/>
  <c r="N5" i="1"/>
  <c r="M3" i="1"/>
  <c r="M4" i="1"/>
  <c r="M5" i="1"/>
  <c r="M2" i="1"/>
  <c r="L3" i="1"/>
  <c r="L4" i="1"/>
  <c r="L5" i="1"/>
  <c r="L2" i="1"/>
  <c r="J3" i="1"/>
  <c r="J4" i="1"/>
  <c r="J5" i="1"/>
  <c r="J2" i="1"/>
  <c r="I3" i="1"/>
  <c r="I4" i="1"/>
  <c r="I5" i="1"/>
  <c r="I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  <c r="A3" i="1"/>
  <c r="A4" i="1"/>
  <c r="A5" i="1"/>
  <c r="A2" i="1"/>
  <c r="S30" i="1" s="1"/>
  <c r="C30" i="2" l="1"/>
  <c r="C28" i="2"/>
  <c r="C26" i="2"/>
  <c r="C24" i="2"/>
  <c r="C22" i="2"/>
  <c r="C20" i="2"/>
  <c r="C18" i="2"/>
  <c r="C16" i="2"/>
  <c r="C14" i="2"/>
  <c r="C12" i="2"/>
  <c r="C10" i="2"/>
  <c r="C8" i="2"/>
  <c r="C6" i="2"/>
  <c r="W30" i="1"/>
  <c r="B30" i="1"/>
  <c r="C29" i="2"/>
  <c r="C27" i="2"/>
  <c r="C25" i="2"/>
  <c r="C23" i="2"/>
  <c r="C21" i="2"/>
  <c r="C19" i="2"/>
  <c r="C17" i="2"/>
  <c r="C15" i="2"/>
  <c r="C13" i="2"/>
  <c r="C11" i="2"/>
  <c r="C9" i="2"/>
  <c r="C7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N30" i="1"/>
  <c r="P30" i="1"/>
  <c r="Y29" i="1"/>
  <c r="G29" i="1"/>
  <c r="AA28" i="1"/>
  <c r="W28" i="1"/>
  <c r="S28" i="1"/>
  <c r="N28" i="1"/>
  <c r="P28" i="1"/>
  <c r="K28" i="1"/>
  <c r="B28" i="1"/>
  <c r="Y27" i="1"/>
  <c r="G27" i="1"/>
  <c r="AA26" i="1"/>
  <c r="W26" i="1"/>
  <c r="S26" i="1"/>
  <c r="N26" i="1"/>
  <c r="P26" i="1"/>
  <c r="K26" i="1"/>
  <c r="B26" i="1"/>
  <c r="Y25" i="1"/>
  <c r="G25" i="1"/>
  <c r="AA24" i="1"/>
  <c r="W24" i="1"/>
  <c r="S24" i="1"/>
  <c r="N24" i="1"/>
  <c r="P24" i="1"/>
  <c r="K24" i="1"/>
  <c r="B24" i="1"/>
  <c r="Y23" i="1"/>
  <c r="G23" i="1"/>
  <c r="AA22" i="1"/>
  <c r="W22" i="1"/>
  <c r="S22" i="1"/>
  <c r="N22" i="1"/>
  <c r="P22" i="1"/>
  <c r="K22" i="1"/>
  <c r="B22" i="1"/>
  <c r="G21" i="1"/>
  <c r="K21" i="1"/>
  <c r="S21" i="1"/>
  <c r="Y21" i="1"/>
  <c r="Y30" i="1"/>
  <c r="O30" i="1"/>
  <c r="G30" i="1"/>
  <c r="AA29" i="1"/>
  <c r="W29" i="1"/>
  <c r="S29" i="1"/>
  <c r="N29" i="1"/>
  <c r="P29" i="1"/>
  <c r="K29" i="1"/>
  <c r="B29" i="1"/>
  <c r="Y28" i="1"/>
  <c r="O28" i="1"/>
  <c r="G28" i="1"/>
  <c r="AA27" i="1"/>
  <c r="W27" i="1"/>
  <c r="S27" i="1"/>
  <c r="N27" i="1"/>
  <c r="P27" i="1"/>
  <c r="K27" i="1"/>
  <c r="B27" i="1"/>
  <c r="Y26" i="1"/>
  <c r="O26" i="1"/>
  <c r="G26" i="1"/>
  <c r="AA25" i="1"/>
  <c r="W25" i="1"/>
  <c r="S25" i="1"/>
  <c r="N25" i="1"/>
  <c r="P25" i="1"/>
  <c r="K25" i="1"/>
  <c r="B25" i="1"/>
  <c r="Y24" i="1"/>
  <c r="O24" i="1"/>
  <c r="G24" i="1"/>
  <c r="AA23" i="1"/>
  <c r="W23" i="1"/>
  <c r="S23" i="1"/>
  <c r="N23" i="1"/>
  <c r="P23" i="1"/>
  <c r="K23" i="1"/>
  <c r="B23" i="1"/>
  <c r="Y22" i="1"/>
  <c r="O22" i="1"/>
  <c r="G22" i="1"/>
  <c r="AA21" i="1"/>
  <c r="W21" i="1"/>
  <c r="G20" i="1"/>
  <c r="AA20" i="1"/>
  <c r="Y20" i="1"/>
  <c r="W20" i="1"/>
  <c r="S20" i="1"/>
  <c r="K20" i="1"/>
  <c r="B20" i="1"/>
  <c r="AB19" i="1"/>
  <c r="X19" i="1"/>
  <c r="B19" i="1"/>
  <c r="AB18" i="1"/>
  <c r="X18" i="1"/>
  <c r="B18" i="1"/>
  <c r="AB17" i="1"/>
  <c r="X17" i="1"/>
  <c r="B17" i="1"/>
  <c r="AB16" i="1"/>
  <c r="X16" i="1"/>
  <c r="B16" i="1"/>
  <c r="AB15" i="1"/>
  <c r="X15" i="1"/>
  <c r="B15" i="1"/>
  <c r="AB14" i="1"/>
  <c r="X14" i="1"/>
  <c r="B14" i="1"/>
  <c r="AB13" i="1"/>
  <c r="X13" i="1"/>
  <c r="B13" i="1"/>
  <c r="AB12" i="1"/>
  <c r="X12" i="1"/>
  <c r="B12" i="1"/>
  <c r="AB11" i="1"/>
  <c r="X11" i="1"/>
  <c r="B11" i="1"/>
  <c r="AB10" i="1"/>
  <c r="X10" i="1"/>
  <c r="B10" i="1"/>
  <c r="AB9" i="1"/>
  <c r="X9" i="1"/>
  <c r="B9" i="1"/>
  <c r="AB8" i="1"/>
  <c r="X8" i="1"/>
  <c r="B8" i="1"/>
  <c r="AB7" i="1"/>
  <c r="X7" i="1"/>
  <c r="B7" i="1"/>
  <c r="AB6" i="1"/>
  <c r="X6" i="1"/>
  <c r="B6" i="1"/>
  <c r="AB30" i="1"/>
  <c r="Z30" i="1"/>
  <c r="X30" i="1"/>
  <c r="H30" i="1"/>
  <c r="AB29" i="1"/>
  <c r="Z29" i="1"/>
  <c r="X29" i="1"/>
  <c r="H29" i="1"/>
  <c r="AB28" i="1"/>
  <c r="Z28" i="1"/>
  <c r="X28" i="1"/>
  <c r="H28" i="1"/>
  <c r="AB27" i="1"/>
  <c r="Z27" i="1"/>
  <c r="X27" i="1"/>
  <c r="H27" i="1"/>
  <c r="AB26" i="1"/>
  <c r="Z26" i="1"/>
  <c r="X26" i="1"/>
  <c r="H26" i="1"/>
  <c r="AB25" i="1"/>
  <c r="Z25" i="1"/>
  <c r="X25" i="1"/>
  <c r="H25" i="1"/>
  <c r="AB24" i="1"/>
  <c r="Z24" i="1"/>
  <c r="X24" i="1"/>
  <c r="H24" i="1"/>
  <c r="AB23" i="1"/>
  <c r="Z23" i="1"/>
  <c r="X23" i="1"/>
  <c r="H23" i="1"/>
  <c r="AB22" i="1"/>
  <c r="Z22" i="1"/>
  <c r="X22" i="1"/>
  <c r="H22" i="1"/>
  <c r="AB21" i="1"/>
  <c r="Z21" i="1"/>
  <c r="X21" i="1"/>
  <c r="P21" i="1"/>
  <c r="H21" i="1"/>
  <c r="B21" i="1"/>
  <c r="AB20" i="1"/>
  <c r="Z20" i="1"/>
  <c r="X20" i="1"/>
  <c r="P20" i="1"/>
  <c r="H20" i="1"/>
  <c r="G19" i="1"/>
  <c r="Z19" i="1"/>
  <c r="H19" i="1"/>
  <c r="G18" i="1"/>
  <c r="Z18" i="1"/>
  <c r="H18" i="1"/>
  <c r="G17" i="1"/>
  <c r="Z17" i="1"/>
  <c r="H17" i="1"/>
  <c r="G16" i="1"/>
  <c r="Z16" i="1"/>
  <c r="H16" i="1"/>
  <c r="G15" i="1"/>
  <c r="Z15" i="1"/>
  <c r="H15" i="1"/>
  <c r="G14" i="1"/>
  <c r="Z14" i="1"/>
  <c r="H14" i="1"/>
  <c r="G13" i="1"/>
  <c r="Z13" i="1"/>
  <c r="H13" i="1"/>
  <c r="G12" i="1"/>
  <c r="Z12" i="1"/>
  <c r="H12" i="1"/>
  <c r="G11" i="1"/>
  <c r="Z11" i="1"/>
  <c r="H11" i="1"/>
  <c r="G10" i="1"/>
  <c r="Z10" i="1"/>
  <c r="H10" i="1"/>
  <c r="G9" i="1"/>
  <c r="Z9" i="1"/>
  <c r="H9" i="1"/>
  <c r="G8" i="1"/>
  <c r="Z8" i="1"/>
  <c r="H8" i="1"/>
  <c r="G7" i="1"/>
  <c r="Z7" i="1"/>
  <c r="H7" i="1"/>
  <c r="G6" i="1"/>
  <c r="Z6" i="1"/>
  <c r="H6" i="1"/>
  <c r="AA19" i="1"/>
  <c r="Y19" i="1"/>
  <c r="W19" i="1"/>
  <c r="S19" i="1"/>
  <c r="K19" i="1"/>
  <c r="AA18" i="1"/>
  <c r="Y18" i="1"/>
  <c r="W18" i="1"/>
  <c r="S18" i="1"/>
  <c r="K18" i="1"/>
  <c r="AA17" i="1"/>
  <c r="Y17" i="1"/>
  <c r="W17" i="1"/>
  <c r="S17" i="1"/>
  <c r="K17" i="1"/>
  <c r="AA16" i="1"/>
  <c r="Y16" i="1"/>
  <c r="W16" i="1"/>
  <c r="S16" i="1"/>
  <c r="K16" i="1"/>
  <c r="AA15" i="1"/>
  <c r="Y15" i="1"/>
  <c r="W15" i="1"/>
  <c r="S15" i="1"/>
  <c r="K15" i="1"/>
  <c r="AA14" i="1"/>
  <c r="Y14" i="1"/>
  <c r="W14" i="1"/>
  <c r="S14" i="1"/>
  <c r="K14" i="1"/>
  <c r="AA13" i="1"/>
  <c r="Y13" i="1"/>
  <c r="W13" i="1"/>
  <c r="S13" i="1"/>
  <c r="K13" i="1"/>
  <c r="AA12" i="1"/>
  <c r="Y12" i="1"/>
  <c r="W12" i="1"/>
  <c r="S12" i="1"/>
  <c r="K12" i="1"/>
  <c r="AA11" i="1"/>
  <c r="Y11" i="1"/>
  <c r="W11" i="1"/>
  <c r="S11" i="1"/>
  <c r="K11" i="1"/>
  <c r="AA10" i="1"/>
  <c r="Y10" i="1"/>
  <c r="W10" i="1"/>
  <c r="S10" i="1"/>
  <c r="K10" i="1"/>
  <c r="AA9" i="1"/>
  <c r="Y9" i="1"/>
  <c r="W9" i="1"/>
  <c r="S9" i="1"/>
  <c r="K9" i="1"/>
  <c r="AA8" i="1"/>
  <c r="Y8" i="1"/>
  <c r="W8" i="1"/>
  <c r="S8" i="1"/>
  <c r="K8" i="1"/>
  <c r="AA7" i="1"/>
  <c r="Y7" i="1"/>
  <c r="W7" i="1"/>
  <c r="S7" i="1"/>
  <c r="K7" i="1"/>
  <c r="AA6" i="1"/>
  <c r="Y6" i="1"/>
  <c r="W6" i="1"/>
  <c r="S6" i="1"/>
  <c r="K6" i="1"/>
  <c r="P2" i="1" l="1"/>
  <c r="O2" i="1"/>
  <c r="N2" i="1"/>
  <c r="F2" i="2" s="1"/>
  <c r="C5" i="2"/>
  <c r="C4" i="2"/>
  <c r="C2" i="2"/>
  <c r="C3" i="2"/>
  <c r="AC3580" i="5"/>
  <c r="N3580" i="5"/>
  <c r="J3580" i="5"/>
  <c r="G3580" i="5"/>
  <c r="AC3579" i="5"/>
  <c r="N3579" i="5"/>
  <c r="J3579" i="5"/>
  <c r="G3579" i="5"/>
  <c r="AC3578" i="5"/>
  <c r="N3578" i="5"/>
  <c r="J3578" i="5"/>
  <c r="G3578" i="5"/>
  <c r="AC3577" i="5"/>
  <c r="N3577" i="5"/>
  <c r="J3577" i="5"/>
  <c r="G3577" i="5"/>
  <c r="AC3576" i="5"/>
  <c r="N3576" i="5"/>
  <c r="J3576" i="5"/>
  <c r="G3576" i="5"/>
  <c r="AC3575" i="5"/>
  <c r="N3575" i="5"/>
  <c r="J3575" i="5"/>
  <c r="G3575" i="5"/>
  <c r="AC3574" i="5"/>
  <c r="N3574" i="5"/>
  <c r="J3574" i="5"/>
  <c r="G3574" i="5"/>
  <c r="AC3573" i="5"/>
  <c r="N3573" i="5"/>
  <c r="J3573" i="5"/>
  <c r="G3573" i="5"/>
  <c r="AC3572" i="5"/>
  <c r="N3572" i="5"/>
  <c r="J3572" i="5"/>
  <c r="G3572" i="5"/>
  <c r="AC3571" i="5"/>
  <c r="N3571" i="5"/>
  <c r="J3571" i="5"/>
  <c r="G3571" i="5"/>
  <c r="AC3570" i="5"/>
  <c r="N3570" i="5"/>
  <c r="J3570" i="5"/>
  <c r="G3570" i="5"/>
  <c r="AC3569" i="5"/>
  <c r="N3569" i="5"/>
  <c r="J3569" i="5"/>
  <c r="G3569" i="5"/>
  <c r="AC3568" i="5"/>
  <c r="N3568" i="5"/>
  <c r="J3568" i="5"/>
  <c r="G3568" i="5"/>
  <c r="AC3567" i="5"/>
  <c r="N3567" i="5"/>
  <c r="J3567" i="5"/>
  <c r="G3567" i="5"/>
  <c r="AC3566" i="5"/>
  <c r="N3566" i="5"/>
  <c r="J3566" i="5"/>
  <c r="G3566" i="5"/>
  <c r="AC3565" i="5"/>
  <c r="N3565" i="5"/>
  <c r="J3565" i="5"/>
  <c r="G3565" i="5"/>
  <c r="AC3564" i="5"/>
  <c r="N3564" i="5"/>
  <c r="J3564" i="5"/>
  <c r="G3564" i="5"/>
  <c r="AC3563" i="5"/>
  <c r="N3563" i="5"/>
  <c r="J3563" i="5"/>
  <c r="G3563" i="5"/>
  <c r="AC3562" i="5"/>
  <c r="N3562" i="5"/>
  <c r="J3562" i="5"/>
  <c r="G3562" i="5"/>
  <c r="AC3561" i="5"/>
  <c r="N3561" i="5"/>
  <c r="J3561" i="5"/>
  <c r="G3561" i="5"/>
  <c r="AC3560" i="5"/>
  <c r="N3560" i="5"/>
  <c r="J3560" i="5"/>
  <c r="G3560" i="5"/>
  <c r="AC3559" i="5"/>
  <c r="N3559" i="5"/>
  <c r="J3559" i="5"/>
  <c r="G3559" i="5"/>
  <c r="AC3558" i="5"/>
  <c r="N3558" i="5"/>
  <c r="J3558" i="5"/>
  <c r="G3558" i="5"/>
  <c r="AC3557" i="5"/>
  <c r="N3557" i="5"/>
  <c r="J3557" i="5"/>
  <c r="G3557" i="5"/>
  <c r="AC3556" i="5"/>
  <c r="N3556" i="5"/>
  <c r="J3556" i="5"/>
  <c r="G3556" i="5"/>
  <c r="AC3555" i="5"/>
  <c r="N3555" i="5"/>
  <c r="J3555" i="5"/>
  <c r="G3555" i="5"/>
  <c r="AC3554" i="5"/>
  <c r="N3554" i="5"/>
  <c r="J3554" i="5"/>
  <c r="G3554" i="5"/>
  <c r="AC3553" i="5"/>
  <c r="N3553" i="5"/>
  <c r="J3553" i="5"/>
  <c r="G3553" i="5"/>
  <c r="AC3552" i="5"/>
  <c r="N3552" i="5"/>
  <c r="J3552" i="5"/>
  <c r="G3552" i="5"/>
  <c r="AC3551" i="5"/>
  <c r="N3551" i="5"/>
  <c r="J3551" i="5"/>
  <c r="G3551" i="5"/>
  <c r="AC3550" i="5"/>
  <c r="N3550" i="5"/>
  <c r="J3550" i="5"/>
  <c r="G3550" i="5"/>
  <c r="AC3549" i="5"/>
  <c r="N3549" i="5"/>
  <c r="J3549" i="5"/>
  <c r="G3549" i="5"/>
  <c r="AC3548" i="5"/>
  <c r="N3548" i="5"/>
  <c r="J3548" i="5"/>
  <c r="G3548" i="5"/>
  <c r="AC3547" i="5"/>
  <c r="N3547" i="5"/>
  <c r="J3547" i="5"/>
  <c r="G3547" i="5"/>
  <c r="AC3546" i="5"/>
  <c r="N3546" i="5"/>
  <c r="J3546" i="5"/>
  <c r="G3546" i="5"/>
  <c r="AC3545" i="5"/>
  <c r="N3545" i="5"/>
  <c r="J3545" i="5"/>
  <c r="G3545" i="5"/>
  <c r="AC3544" i="5"/>
  <c r="N3544" i="5"/>
  <c r="J3544" i="5"/>
  <c r="G3544" i="5"/>
  <c r="AC3543" i="5"/>
  <c r="N3543" i="5"/>
  <c r="J3543" i="5"/>
  <c r="G3543" i="5"/>
  <c r="AC3542" i="5"/>
  <c r="N3542" i="5"/>
  <c r="J3542" i="5"/>
  <c r="G3542" i="5"/>
  <c r="AC3541" i="5"/>
  <c r="N3541" i="5"/>
  <c r="J3541" i="5"/>
  <c r="G3541" i="5"/>
  <c r="AC3540" i="5"/>
  <c r="N3540" i="5"/>
  <c r="J3540" i="5"/>
  <c r="G3540" i="5"/>
  <c r="AC3539" i="5"/>
  <c r="N3539" i="5"/>
  <c r="J3539" i="5"/>
  <c r="G3539" i="5"/>
  <c r="AC3538" i="5"/>
  <c r="N3538" i="5"/>
  <c r="J3538" i="5"/>
  <c r="G3538" i="5"/>
  <c r="AC3537" i="5"/>
  <c r="N3537" i="5"/>
  <c r="J3537" i="5"/>
  <c r="G3537" i="5"/>
  <c r="AC3536" i="5"/>
  <c r="N3536" i="5"/>
  <c r="J3536" i="5"/>
  <c r="G3536" i="5"/>
  <c r="AC3535" i="5"/>
  <c r="N3535" i="5"/>
  <c r="J3535" i="5"/>
  <c r="G3535" i="5"/>
  <c r="AC3534" i="5"/>
  <c r="N3534" i="5"/>
  <c r="J3534" i="5"/>
  <c r="G3534" i="5"/>
  <c r="AC3533" i="5"/>
  <c r="N3533" i="5"/>
  <c r="J3533" i="5"/>
  <c r="G3533" i="5"/>
  <c r="AC3532" i="5"/>
  <c r="N3532" i="5"/>
  <c r="J3532" i="5"/>
  <c r="G3532" i="5"/>
  <c r="AC3531" i="5"/>
  <c r="N3531" i="5"/>
  <c r="J3531" i="5"/>
  <c r="G3531" i="5"/>
  <c r="AC3530" i="5"/>
  <c r="N3530" i="5"/>
  <c r="J3530" i="5"/>
  <c r="G3530" i="5"/>
  <c r="AC3529" i="5"/>
  <c r="N3529" i="5"/>
  <c r="J3529" i="5"/>
  <c r="G3529" i="5"/>
  <c r="AC3528" i="5"/>
  <c r="N3528" i="5"/>
  <c r="J3528" i="5"/>
  <c r="G3528" i="5"/>
  <c r="AC3527" i="5"/>
  <c r="N3527" i="5"/>
  <c r="J3527" i="5"/>
  <c r="G3527" i="5"/>
  <c r="AC3526" i="5"/>
  <c r="N3526" i="5"/>
  <c r="J3526" i="5"/>
  <c r="G3526" i="5"/>
  <c r="AC3525" i="5"/>
  <c r="N3525" i="5"/>
  <c r="J3525" i="5"/>
  <c r="G3525" i="5"/>
  <c r="AC3524" i="5"/>
  <c r="N3524" i="5"/>
  <c r="J3524" i="5"/>
  <c r="G3524" i="5"/>
  <c r="AC3523" i="5"/>
  <c r="N3523" i="5"/>
  <c r="J3523" i="5"/>
  <c r="G3523" i="5"/>
  <c r="AC3522" i="5"/>
  <c r="N3522" i="5"/>
  <c r="J3522" i="5"/>
  <c r="G3522" i="5"/>
  <c r="AC3521" i="5"/>
  <c r="N3521" i="5"/>
  <c r="J3521" i="5"/>
  <c r="G3521" i="5"/>
  <c r="AC3520" i="5"/>
  <c r="N3520" i="5"/>
  <c r="J3520" i="5"/>
  <c r="G3520" i="5"/>
  <c r="AC3519" i="5"/>
  <c r="N3519" i="5"/>
  <c r="J3519" i="5"/>
  <c r="G3519" i="5"/>
  <c r="AC3518" i="5"/>
  <c r="N3518" i="5"/>
  <c r="J3518" i="5"/>
  <c r="G3518" i="5"/>
  <c r="AC3517" i="5"/>
  <c r="N3517" i="5"/>
  <c r="J3517" i="5"/>
  <c r="G3517" i="5"/>
  <c r="AC3516" i="5"/>
  <c r="N3516" i="5"/>
  <c r="J3516" i="5"/>
  <c r="G3516" i="5"/>
  <c r="AC3515" i="5"/>
  <c r="N3515" i="5"/>
  <c r="J3515" i="5"/>
  <c r="G3515" i="5"/>
  <c r="AC3514" i="5"/>
  <c r="N3514" i="5"/>
  <c r="J3514" i="5"/>
  <c r="G3514" i="5"/>
  <c r="AC3513" i="5"/>
  <c r="N3513" i="5"/>
  <c r="J3513" i="5"/>
  <c r="G3513" i="5"/>
  <c r="AC3512" i="5"/>
  <c r="N3512" i="5"/>
  <c r="J3512" i="5"/>
  <c r="G3512" i="5"/>
  <c r="AC3511" i="5"/>
  <c r="N3511" i="5"/>
  <c r="J3511" i="5"/>
  <c r="G3511" i="5"/>
  <c r="AC3510" i="5"/>
  <c r="N3510" i="5"/>
  <c r="J3510" i="5"/>
  <c r="G3510" i="5"/>
  <c r="AC3509" i="5"/>
  <c r="N3509" i="5"/>
  <c r="J3509" i="5"/>
  <c r="G3509" i="5"/>
  <c r="AC3508" i="5"/>
  <c r="N3508" i="5"/>
  <c r="J3508" i="5"/>
  <c r="G3508" i="5"/>
  <c r="AC3507" i="5"/>
  <c r="N3507" i="5"/>
  <c r="J3507" i="5"/>
  <c r="G3507" i="5"/>
  <c r="AC3506" i="5"/>
  <c r="N3506" i="5"/>
  <c r="J3506" i="5"/>
  <c r="G3506" i="5"/>
  <c r="AC3505" i="5"/>
  <c r="N3505" i="5"/>
  <c r="J3505" i="5"/>
  <c r="G3505" i="5"/>
  <c r="AC3504" i="5"/>
  <c r="N3504" i="5"/>
  <c r="J3504" i="5"/>
  <c r="G3504" i="5"/>
  <c r="AC3503" i="5"/>
  <c r="N3503" i="5"/>
  <c r="J3503" i="5"/>
  <c r="G3503" i="5"/>
  <c r="AC3502" i="5"/>
  <c r="N3502" i="5"/>
  <c r="J3502" i="5"/>
  <c r="G3502" i="5"/>
  <c r="AC3501" i="5"/>
  <c r="N3501" i="5"/>
  <c r="J3501" i="5"/>
  <c r="G3501" i="5"/>
  <c r="AC3500" i="5"/>
  <c r="N3500" i="5"/>
  <c r="J3500" i="5"/>
  <c r="G3500" i="5"/>
  <c r="AC3499" i="5"/>
  <c r="N3499" i="5"/>
  <c r="J3499" i="5"/>
  <c r="G3499" i="5"/>
  <c r="AC3498" i="5"/>
  <c r="N3498" i="5"/>
  <c r="J3498" i="5"/>
  <c r="G3498" i="5"/>
  <c r="AC3497" i="5"/>
  <c r="N3497" i="5"/>
  <c r="J3497" i="5"/>
  <c r="G3497" i="5"/>
  <c r="AC3496" i="5"/>
  <c r="N3496" i="5"/>
  <c r="J3496" i="5"/>
  <c r="G3496" i="5"/>
  <c r="AC3495" i="5"/>
  <c r="N3495" i="5"/>
  <c r="J3495" i="5"/>
  <c r="G3495" i="5"/>
  <c r="AC3494" i="5"/>
  <c r="N3494" i="5"/>
  <c r="J3494" i="5"/>
  <c r="G3494" i="5"/>
  <c r="AC3493" i="5"/>
  <c r="N3493" i="5"/>
  <c r="J3493" i="5"/>
  <c r="G3493" i="5"/>
  <c r="AC3492" i="5"/>
  <c r="N3492" i="5"/>
  <c r="J3492" i="5"/>
  <c r="G3492" i="5"/>
  <c r="AC3491" i="5"/>
  <c r="N3491" i="5"/>
  <c r="J3491" i="5"/>
  <c r="G3491" i="5"/>
  <c r="AC3490" i="5"/>
  <c r="N3490" i="5"/>
  <c r="J3490" i="5"/>
  <c r="G3490" i="5"/>
  <c r="AC3489" i="5"/>
  <c r="N3489" i="5"/>
  <c r="J3489" i="5"/>
  <c r="G3489" i="5"/>
  <c r="AC3488" i="5"/>
  <c r="N3488" i="5"/>
  <c r="J3488" i="5"/>
  <c r="G3488" i="5"/>
  <c r="AC3487" i="5"/>
  <c r="N3487" i="5"/>
  <c r="J3487" i="5"/>
  <c r="G3487" i="5"/>
  <c r="AC3486" i="5"/>
  <c r="N3486" i="5"/>
  <c r="J3486" i="5"/>
  <c r="G3486" i="5"/>
  <c r="AC3485" i="5"/>
  <c r="N3485" i="5"/>
  <c r="J3485" i="5"/>
  <c r="G3485" i="5"/>
  <c r="AC3484" i="5"/>
  <c r="N3484" i="5"/>
  <c r="J3484" i="5"/>
  <c r="G3484" i="5"/>
  <c r="AC3483" i="5"/>
  <c r="N3483" i="5"/>
  <c r="J3483" i="5"/>
  <c r="G3483" i="5"/>
  <c r="AC3482" i="5"/>
  <c r="N3482" i="5"/>
  <c r="J3482" i="5"/>
  <c r="G3482" i="5"/>
  <c r="AC3481" i="5"/>
  <c r="N3481" i="5"/>
  <c r="J3481" i="5"/>
  <c r="G3481" i="5"/>
  <c r="AC3480" i="5"/>
  <c r="N3480" i="5"/>
  <c r="J3480" i="5"/>
  <c r="G3480" i="5"/>
  <c r="AC3479" i="5"/>
  <c r="N3479" i="5"/>
  <c r="J3479" i="5"/>
  <c r="G3479" i="5"/>
  <c r="AC3478" i="5"/>
  <c r="N3478" i="5"/>
  <c r="J3478" i="5"/>
  <c r="G3478" i="5"/>
  <c r="AC3477" i="5"/>
  <c r="N3477" i="5"/>
  <c r="J3477" i="5"/>
  <c r="G3477" i="5"/>
  <c r="AC3476" i="5"/>
  <c r="N3476" i="5"/>
  <c r="J3476" i="5"/>
  <c r="G3476" i="5"/>
  <c r="AC3475" i="5"/>
  <c r="N3475" i="5"/>
  <c r="J3475" i="5"/>
  <c r="G3475" i="5"/>
  <c r="AC3474" i="5"/>
  <c r="N3474" i="5"/>
  <c r="J3474" i="5"/>
  <c r="G3474" i="5"/>
  <c r="AC3473" i="5"/>
  <c r="N3473" i="5"/>
  <c r="J3473" i="5"/>
  <c r="G3473" i="5"/>
  <c r="AC3472" i="5"/>
  <c r="N3472" i="5"/>
  <c r="J3472" i="5"/>
  <c r="G3472" i="5"/>
  <c r="AC3471" i="5"/>
  <c r="N3471" i="5"/>
  <c r="J3471" i="5"/>
  <c r="G3471" i="5"/>
  <c r="AC3470" i="5"/>
  <c r="N3470" i="5"/>
  <c r="J3470" i="5"/>
  <c r="G3470" i="5"/>
  <c r="AC3469" i="5"/>
  <c r="N3469" i="5"/>
  <c r="J3469" i="5"/>
  <c r="G3469" i="5"/>
  <c r="AC3468" i="5"/>
  <c r="N3468" i="5"/>
  <c r="J3468" i="5"/>
  <c r="G3468" i="5"/>
  <c r="AC3467" i="5"/>
  <c r="N3467" i="5"/>
  <c r="J3467" i="5"/>
  <c r="G3467" i="5"/>
  <c r="AC3466" i="5"/>
  <c r="N3466" i="5"/>
  <c r="J3466" i="5"/>
  <c r="G3466" i="5"/>
  <c r="AC3465" i="5"/>
  <c r="N3465" i="5"/>
  <c r="J3465" i="5"/>
  <c r="G3465" i="5"/>
  <c r="AC3464" i="5"/>
  <c r="N3464" i="5"/>
  <c r="J3464" i="5"/>
  <c r="G3464" i="5"/>
  <c r="AC3463" i="5"/>
  <c r="N3463" i="5"/>
  <c r="J3463" i="5"/>
  <c r="G3463" i="5"/>
  <c r="AC3462" i="5"/>
  <c r="N3462" i="5"/>
  <c r="J3462" i="5"/>
  <c r="G3462" i="5"/>
  <c r="AC3461" i="5"/>
  <c r="N3461" i="5"/>
  <c r="J3461" i="5"/>
  <c r="G3461" i="5"/>
  <c r="AC3460" i="5"/>
  <c r="N3460" i="5"/>
  <c r="J3460" i="5"/>
  <c r="G3460" i="5"/>
  <c r="AC3459" i="5"/>
  <c r="N3459" i="5"/>
  <c r="J3459" i="5"/>
  <c r="G3459" i="5"/>
  <c r="AC3458" i="5"/>
  <c r="N3458" i="5"/>
  <c r="J3458" i="5"/>
  <c r="G3458" i="5"/>
  <c r="AC3457" i="5"/>
  <c r="N3457" i="5"/>
  <c r="J3457" i="5"/>
  <c r="G3457" i="5"/>
  <c r="AC3456" i="5"/>
  <c r="N3456" i="5"/>
  <c r="J3456" i="5"/>
  <c r="G3456" i="5"/>
  <c r="AC3455" i="5"/>
  <c r="N3455" i="5"/>
  <c r="J3455" i="5"/>
  <c r="G3455" i="5"/>
  <c r="AC3454" i="5"/>
  <c r="N3454" i="5"/>
  <c r="J3454" i="5"/>
  <c r="G3454" i="5"/>
  <c r="AC3453" i="5"/>
  <c r="N3453" i="5"/>
  <c r="J3453" i="5"/>
  <c r="G3453" i="5"/>
  <c r="AC3452" i="5"/>
  <c r="N3452" i="5"/>
  <c r="J3452" i="5"/>
  <c r="G3452" i="5"/>
  <c r="AC3451" i="5"/>
  <c r="N3451" i="5"/>
  <c r="J3451" i="5"/>
  <c r="G3451" i="5"/>
  <c r="AC3450" i="5"/>
  <c r="N3450" i="5"/>
  <c r="J3450" i="5"/>
  <c r="G3450" i="5"/>
  <c r="AC3449" i="5"/>
  <c r="N3449" i="5"/>
  <c r="J3449" i="5"/>
  <c r="G3449" i="5"/>
  <c r="AC3448" i="5"/>
  <c r="N3448" i="5"/>
  <c r="J3448" i="5"/>
  <c r="G3448" i="5"/>
  <c r="AC3447" i="5"/>
  <c r="N3447" i="5"/>
  <c r="J3447" i="5"/>
  <c r="G3447" i="5"/>
  <c r="AC3446" i="5"/>
  <c r="N3446" i="5"/>
  <c r="J3446" i="5"/>
  <c r="G3446" i="5"/>
  <c r="AC3445" i="5"/>
  <c r="N3445" i="5"/>
  <c r="J3445" i="5"/>
  <c r="G3445" i="5"/>
  <c r="AC3444" i="5"/>
  <c r="N3444" i="5"/>
  <c r="J3444" i="5"/>
  <c r="G3444" i="5"/>
  <c r="AC3443" i="5"/>
  <c r="N3443" i="5"/>
  <c r="J3443" i="5"/>
  <c r="G3443" i="5"/>
  <c r="AC3442" i="5"/>
  <c r="N3442" i="5"/>
  <c r="J3442" i="5"/>
  <c r="G3442" i="5"/>
  <c r="AC3441" i="5"/>
  <c r="N3441" i="5"/>
  <c r="J3441" i="5"/>
  <c r="G3441" i="5"/>
  <c r="AC3440" i="5"/>
  <c r="N3440" i="5"/>
  <c r="J3440" i="5"/>
  <c r="G3440" i="5"/>
  <c r="AC3439" i="5"/>
  <c r="N3439" i="5"/>
  <c r="J3439" i="5"/>
  <c r="G3439" i="5"/>
  <c r="AC3438" i="5"/>
  <c r="N3438" i="5"/>
  <c r="J3438" i="5"/>
  <c r="G3438" i="5"/>
  <c r="AC3437" i="5"/>
  <c r="N3437" i="5"/>
  <c r="J3437" i="5"/>
  <c r="G3437" i="5"/>
  <c r="AC3436" i="5"/>
  <c r="N3436" i="5"/>
  <c r="J3436" i="5"/>
  <c r="G3436" i="5"/>
  <c r="AC3435" i="5"/>
  <c r="N3435" i="5"/>
  <c r="J3435" i="5"/>
  <c r="G3435" i="5"/>
  <c r="AC3434" i="5"/>
  <c r="N3434" i="5"/>
  <c r="J3434" i="5"/>
  <c r="G3434" i="5"/>
  <c r="AC3433" i="5"/>
  <c r="N3433" i="5"/>
  <c r="J3433" i="5"/>
  <c r="G3433" i="5"/>
  <c r="AC3432" i="5"/>
  <c r="N3432" i="5"/>
  <c r="J3432" i="5"/>
  <c r="G3432" i="5"/>
  <c r="AC3431" i="5"/>
  <c r="N3431" i="5"/>
  <c r="J3431" i="5"/>
  <c r="G3431" i="5"/>
  <c r="AC3430" i="5"/>
  <c r="N3430" i="5"/>
  <c r="J3430" i="5"/>
  <c r="G3430" i="5"/>
  <c r="AC3429" i="5"/>
  <c r="N3429" i="5"/>
  <c r="J3429" i="5"/>
  <c r="G3429" i="5"/>
  <c r="AC3428" i="5"/>
  <c r="N3428" i="5"/>
  <c r="J3428" i="5"/>
  <c r="G3428" i="5"/>
  <c r="AC3427" i="5"/>
  <c r="N3427" i="5"/>
  <c r="J3427" i="5"/>
  <c r="G3427" i="5"/>
  <c r="AC3426" i="5"/>
  <c r="N3426" i="5"/>
  <c r="J3426" i="5"/>
  <c r="G3426" i="5"/>
  <c r="AC3425" i="5"/>
  <c r="N3425" i="5"/>
  <c r="J3425" i="5"/>
  <c r="G3425" i="5"/>
  <c r="AC3424" i="5"/>
  <c r="N3424" i="5"/>
  <c r="J3424" i="5"/>
  <c r="G3424" i="5"/>
  <c r="AC3423" i="5"/>
  <c r="N3423" i="5"/>
  <c r="J3423" i="5"/>
  <c r="G3423" i="5"/>
  <c r="AC3422" i="5"/>
  <c r="N3422" i="5"/>
  <c r="J3422" i="5"/>
  <c r="G3422" i="5"/>
  <c r="AC3421" i="5"/>
  <c r="N3421" i="5"/>
  <c r="J3421" i="5"/>
  <c r="G3421" i="5"/>
  <c r="AC3420" i="5"/>
  <c r="N3420" i="5"/>
  <c r="J3420" i="5"/>
  <c r="G3420" i="5"/>
  <c r="AC3419" i="5"/>
  <c r="N3419" i="5"/>
  <c r="J3419" i="5"/>
  <c r="G3419" i="5"/>
  <c r="AC3418" i="5"/>
  <c r="N3418" i="5"/>
  <c r="J3418" i="5"/>
  <c r="G3418" i="5"/>
  <c r="AC3417" i="5"/>
  <c r="N3417" i="5"/>
  <c r="J3417" i="5"/>
  <c r="G3417" i="5"/>
  <c r="AC3416" i="5"/>
  <c r="N3416" i="5"/>
  <c r="J3416" i="5"/>
  <c r="G3416" i="5"/>
  <c r="AC3415" i="5"/>
  <c r="N3415" i="5"/>
  <c r="J3415" i="5"/>
  <c r="G3415" i="5"/>
  <c r="AC3414" i="5"/>
  <c r="N3414" i="5"/>
  <c r="J3414" i="5"/>
  <c r="G3414" i="5"/>
  <c r="AC3413" i="5"/>
  <c r="N3413" i="5"/>
  <c r="J3413" i="5"/>
  <c r="G3413" i="5"/>
  <c r="AC3412" i="5"/>
  <c r="N3412" i="5"/>
  <c r="J3412" i="5"/>
  <c r="G3412" i="5"/>
  <c r="AC3411" i="5"/>
  <c r="N3411" i="5"/>
  <c r="J3411" i="5"/>
  <c r="G3411" i="5"/>
  <c r="AC3410" i="5"/>
  <c r="N3410" i="5"/>
  <c r="J3410" i="5"/>
  <c r="G3410" i="5"/>
  <c r="AC3409" i="5"/>
  <c r="N3409" i="5"/>
  <c r="J3409" i="5"/>
  <c r="G3409" i="5"/>
  <c r="AC3408" i="5"/>
  <c r="N3408" i="5"/>
  <c r="J3408" i="5"/>
  <c r="G3408" i="5"/>
  <c r="AC3407" i="5"/>
  <c r="N3407" i="5"/>
  <c r="J3407" i="5"/>
  <c r="G3407" i="5"/>
  <c r="AC3406" i="5"/>
  <c r="N3406" i="5"/>
  <c r="J3406" i="5"/>
  <c r="G3406" i="5"/>
  <c r="AC3405" i="5"/>
  <c r="N3405" i="5"/>
  <c r="J3405" i="5"/>
  <c r="G3405" i="5"/>
  <c r="AC3404" i="5"/>
  <c r="N3404" i="5"/>
  <c r="J3404" i="5"/>
  <c r="G3404" i="5"/>
  <c r="AC3403" i="5"/>
  <c r="N3403" i="5"/>
  <c r="J3403" i="5"/>
  <c r="G3403" i="5"/>
  <c r="AC3402" i="5"/>
  <c r="N3402" i="5"/>
  <c r="J3402" i="5"/>
  <c r="G3402" i="5"/>
  <c r="AC3401" i="5"/>
  <c r="N3401" i="5"/>
  <c r="J3401" i="5"/>
  <c r="G3401" i="5"/>
  <c r="AC3400" i="5"/>
  <c r="N3400" i="5"/>
  <c r="J3400" i="5"/>
  <c r="G3400" i="5"/>
  <c r="AC3399" i="5"/>
  <c r="N3399" i="5"/>
  <c r="J3399" i="5"/>
  <c r="G3399" i="5"/>
  <c r="AC3398" i="5"/>
  <c r="N3398" i="5"/>
  <c r="J3398" i="5"/>
  <c r="G3398" i="5"/>
  <c r="AC3397" i="5"/>
  <c r="N3397" i="5"/>
  <c r="J3397" i="5"/>
  <c r="G3397" i="5"/>
  <c r="AC3396" i="5"/>
  <c r="N3396" i="5"/>
  <c r="J3396" i="5"/>
  <c r="G3396" i="5"/>
  <c r="AC3395" i="5"/>
  <c r="N3395" i="5"/>
  <c r="J3395" i="5"/>
  <c r="G3395" i="5"/>
  <c r="AC3394" i="5"/>
  <c r="N3394" i="5"/>
  <c r="J3394" i="5"/>
  <c r="G3394" i="5"/>
  <c r="AC3393" i="5"/>
  <c r="N3393" i="5"/>
  <c r="J3393" i="5"/>
  <c r="G3393" i="5"/>
  <c r="AC3392" i="5"/>
  <c r="N3392" i="5"/>
  <c r="J3392" i="5"/>
  <c r="G3392" i="5"/>
  <c r="AC3391" i="5"/>
  <c r="N3391" i="5"/>
  <c r="J3391" i="5"/>
  <c r="G3391" i="5"/>
  <c r="AC3390" i="5"/>
  <c r="N3390" i="5"/>
  <c r="J3390" i="5"/>
  <c r="G3390" i="5"/>
  <c r="AC3389" i="5"/>
  <c r="N3389" i="5"/>
  <c r="J3389" i="5"/>
  <c r="G3389" i="5"/>
  <c r="AC3388" i="5"/>
  <c r="N3388" i="5"/>
  <c r="J3388" i="5"/>
  <c r="G3388" i="5"/>
  <c r="AC3387" i="5"/>
  <c r="N3387" i="5"/>
  <c r="J3387" i="5"/>
  <c r="G3387" i="5"/>
  <c r="AC3386" i="5"/>
  <c r="N3386" i="5"/>
  <c r="J3386" i="5"/>
  <c r="G3386" i="5"/>
  <c r="AC3385" i="5"/>
  <c r="N3385" i="5"/>
  <c r="J3385" i="5"/>
  <c r="G3385" i="5"/>
  <c r="AC3384" i="5"/>
  <c r="N3384" i="5"/>
  <c r="J3384" i="5"/>
  <c r="G3384" i="5"/>
  <c r="AC3383" i="5"/>
  <c r="N3383" i="5"/>
  <c r="J3383" i="5"/>
  <c r="G3383" i="5"/>
  <c r="AC3382" i="5"/>
  <c r="N3382" i="5"/>
  <c r="J3382" i="5"/>
  <c r="G3382" i="5"/>
  <c r="AC3381" i="5"/>
  <c r="N3381" i="5"/>
  <c r="J3381" i="5"/>
  <c r="G3381" i="5"/>
  <c r="AC3380" i="5"/>
  <c r="N3380" i="5"/>
  <c r="J3380" i="5"/>
  <c r="G3380" i="5"/>
  <c r="AC3379" i="5"/>
  <c r="N3379" i="5"/>
  <c r="J3379" i="5"/>
  <c r="G3379" i="5"/>
  <c r="AC3378" i="5"/>
  <c r="N3378" i="5"/>
  <c r="J3378" i="5"/>
  <c r="G3378" i="5"/>
  <c r="AC3377" i="5"/>
  <c r="N3377" i="5"/>
  <c r="J3377" i="5"/>
  <c r="G3377" i="5"/>
  <c r="AC3376" i="5"/>
  <c r="N3376" i="5"/>
  <c r="J3376" i="5"/>
  <c r="G3376" i="5"/>
  <c r="AC3375" i="5"/>
  <c r="N3375" i="5"/>
  <c r="J3375" i="5"/>
  <c r="G3375" i="5"/>
  <c r="AC3374" i="5"/>
  <c r="N3374" i="5"/>
  <c r="J3374" i="5"/>
  <c r="G3374" i="5"/>
  <c r="AC3373" i="5"/>
  <c r="N3373" i="5"/>
  <c r="J3373" i="5"/>
  <c r="G3373" i="5"/>
  <c r="AC3372" i="5"/>
  <c r="N3372" i="5"/>
  <c r="J3372" i="5"/>
  <c r="G3372" i="5"/>
  <c r="AC3371" i="5"/>
  <c r="N3371" i="5"/>
  <c r="J3371" i="5"/>
  <c r="G3371" i="5"/>
  <c r="AC3370" i="5"/>
  <c r="N3370" i="5"/>
  <c r="J3370" i="5"/>
  <c r="G3370" i="5"/>
  <c r="AC3369" i="5"/>
  <c r="N3369" i="5"/>
  <c r="J3369" i="5"/>
  <c r="G3369" i="5"/>
  <c r="AC3368" i="5"/>
  <c r="N3368" i="5"/>
  <c r="J3368" i="5"/>
  <c r="G3368" i="5"/>
  <c r="AC3367" i="5"/>
  <c r="N3367" i="5"/>
  <c r="J3367" i="5"/>
  <c r="G3367" i="5"/>
  <c r="AC3366" i="5"/>
  <c r="N3366" i="5"/>
  <c r="J3366" i="5"/>
  <c r="G3366" i="5"/>
  <c r="AC3365" i="5"/>
  <c r="N3365" i="5"/>
  <c r="J3365" i="5"/>
  <c r="G3365" i="5"/>
  <c r="AC3364" i="5"/>
  <c r="N3364" i="5"/>
  <c r="J3364" i="5"/>
  <c r="G3364" i="5"/>
  <c r="AC3363" i="5"/>
  <c r="N3363" i="5"/>
  <c r="J3363" i="5"/>
  <c r="G3363" i="5"/>
  <c r="AC3362" i="5"/>
  <c r="N3362" i="5"/>
  <c r="J3362" i="5"/>
  <c r="G3362" i="5"/>
  <c r="AC3361" i="5"/>
  <c r="N3361" i="5"/>
  <c r="J3361" i="5"/>
  <c r="G3361" i="5"/>
  <c r="AC3360" i="5"/>
  <c r="N3360" i="5"/>
  <c r="J3360" i="5"/>
  <c r="G3360" i="5"/>
  <c r="AC3359" i="5"/>
  <c r="N3359" i="5"/>
  <c r="J3359" i="5"/>
  <c r="G3359" i="5"/>
  <c r="AC3358" i="5"/>
  <c r="N3358" i="5"/>
  <c r="J3358" i="5"/>
  <c r="G3358" i="5"/>
  <c r="AC3357" i="5"/>
  <c r="N3357" i="5"/>
  <c r="J3357" i="5"/>
  <c r="G3357" i="5"/>
  <c r="AC3356" i="5"/>
  <c r="N3356" i="5"/>
  <c r="J3356" i="5"/>
  <c r="G3356" i="5"/>
  <c r="AC3355" i="5"/>
  <c r="N3355" i="5"/>
  <c r="J3355" i="5"/>
  <c r="G3355" i="5"/>
  <c r="AC3354" i="5"/>
  <c r="N3354" i="5"/>
  <c r="J3354" i="5"/>
  <c r="G3354" i="5"/>
  <c r="AC3353" i="5"/>
  <c r="N3353" i="5"/>
  <c r="J3353" i="5"/>
  <c r="G3353" i="5"/>
  <c r="AC3352" i="5"/>
  <c r="N3352" i="5"/>
  <c r="J3352" i="5"/>
  <c r="G3352" i="5"/>
  <c r="AC3351" i="5"/>
  <c r="N3351" i="5"/>
  <c r="J3351" i="5"/>
  <c r="G3351" i="5"/>
  <c r="AC3350" i="5"/>
  <c r="N3350" i="5"/>
  <c r="J3350" i="5"/>
  <c r="G3350" i="5"/>
  <c r="AC3349" i="5"/>
  <c r="N3349" i="5"/>
  <c r="J3349" i="5"/>
  <c r="G3349" i="5"/>
  <c r="AQ3348" i="5"/>
  <c r="AC3348" i="5"/>
  <c r="N3348" i="5"/>
  <c r="J3348" i="5"/>
  <c r="G3348" i="5"/>
  <c r="AC3347" i="5"/>
  <c r="N3347" i="5"/>
  <c r="J3347" i="5"/>
  <c r="G3347" i="5"/>
  <c r="AC3346" i="5"/>
  <c r="N3346" i="5"/>
  <c r="J3346" i="5"/>
  <c r="G3346" i="5"/>
  <c r="AQ3345" i="5"/>
  <c r="AC3345" i="5"/>
  <c r="N3345" i="5"/>
  <c r="J3345" i="5"/>
  <c r="G3345" i="5"/>
  <c r="AQ3344" i="5"/>
  <c r="AC3344" i="5"/>
  <c r="N3344" i="5"/>
  <c r="J3344" i="5"/>
  <c r="G3344" i="5"/>
  <c r="AQ3343" i="5"/>
  <c r="AC3343" i="5"/>
  <c r="N3343" i="5"/>
  <c r="J3343" i="5"/>
  <c r="G3343" i="5"/>
  <c r="AQ3342" i="5"/>
  <c r="AC3342" i="5"/>
  <c r="N3342" i="5"/>
  <c r="J3342" i="5"/>
  <c r="G3342" i="5"/>
  <c r="AC3341" i="5"/>
  <c r="N3341" i="5"/>
  <c r="J3341" i="5"/>
  <c r="G3341" i="5"/>
  <c r="AC3340" i="5"/>
  <c r="N3340" i="5"/>
  <c r="J3340" i="5"/>
  <c r="G3340" i="5"/>
  <c r="AC3339" i="5"/>
  <c r="N3339" i="5"/>
  <c r="J3339" i="5"/>
  <c r="G3339" i="5"/>
  <c r="AQ3338" i="5"/>
  <c r="AC3338" i="5"/>
  <c r="N3338" i="5"/>
  <c r="J3338" i="5"/>
  <c r="G3338" i="5"/>
  <c r="AC3337" i="5"/>
  <c r="N3337" i="5"/>
  <c r="J3337" i="5"/>
  <c r="G3337" i="5"/>
  <c r="AC3336" i="5"/>
  <c r="N3336" i="5"/>
  <c r="J3336" i="5"/>
  <c r="G3336" i="5"/>
  <c r="AC3335" i="5"/>
  <c r="N3335" i="5"/>
  <c r="J3335" i="5"/>
  <c r="G3335" i="5"/>
  <c r="AC3334" i="5"/>
  <c r="N3334" i="5"/>
  <c r="J3334" i="5"/>
  <c r="G3334" i="5"/>
  <c r="AC3333" i="5"/>
  <c r="N3333" i="5"/>
  <c r="J3333" i="5"/>
  <c r="G3333" i="5"/>
  <c r="AC3332" i="5"/>
  <c r="N3332" i="5"/>
  <c r="J3332" i="5"/>
  <c r="G3332" i="5"/>
  <c r="AC3331" i="5"/>
  <c r="N3331" i="5"/>
  <c r="J3331" i="5"/>
  <c r="G3331" i="5"/>
  <c r="AQ3330" i="5"/>
  <c r="AC3330" i="5"/>
  <c r="N3330" i="5"/>
  <c r="J3330" i="5"/>
  <c r="G3330" i="5"/>
  <c r="AC3329" i="5"/>
  <c r="N3329" i="5"/>
  <c r="J3329" i="5"/>
  <c r="G3329" i="5"/>
  <c r="AC3328" i="5"/>
  <c r="N3328" i="5"/>
  <c r="J3328" i="5"/>
  <c r="G3328" i="5"/>
  <c r="AQ3327" i="5"/>
  <c r="AC3327" i="5"/>
  <c r="N3327" i="5"/>
  <c r="J3327" i="5"/>
  <c r="G3327" i="5"/>
  <c r="AQ3326" i="5"/>
  <c r="AC3326" i="5"/>
  <c r="N3326" i="5"/>
  <c r="J3326" i="5"/>
  <c r="G3326" i="5"/>
  <c r="AQ3325" i="5"/>
  <c r="AC3325" i="5"/>
  <c r="N3325" i="5"/>
  <c r="J3325" i="5"/>
  <c r="G3325" i="5"/>
  <c r="AQ3324" i="5"/>
  <c r="AC3324" i="5"/>
  <c r="N3324" i="5"/>
  <c r="J3324" i="5"/>
  <c r="G3324" i="5"/>
  <c r="AC3323" i="5"/>
  <c r="N3323" i="5"/>
  <c r="J3323" i="5"/>
  <c r="G3323" i="5"/>
  <c r="AC3322" i="5"/>
  <c r="N3322" i="5"/>
  <c r="J3322" i="5"/>
  <c r="G3322" i="5"/>
  <c r="AC3321" i="5"/>
  <c r="N3321" i="5"/>
  <c r="J3321" i="5"/>
  <c r="G3321" i="5"/>
  <c r="AC3320" i="5"/>
  <c r="N3320" i="5"/>
  <c r="J3320" i="5"/>
  <c r="G3320" i="5"/>
  <c r="AQ3319" i="5"/>
  <c r="AC3319" i="5"/>
  <c r="N3319" i="5"/>
  <c r="J3319" i="5"/>
  <c r="G3319" i="5"/>
  <c r="AQ3318" i="5"/>
  <c r="AC3318" i="5"/>
  <c r="N3318" i="5"/>
  <c r="J3318" i="5"/>
  <c r="G3318" i="5"/>
  <c r="AQ3317" i="5"/>
  <c r="AC3317" i="5"/>
  <c r="N3317" i="5"/>
  <c r="J3317" i="5"/>
  <c r="G3317" i="5"/>
  <c r="AQ3316" i="5"/>
  <c r="AC3316" i="5"/>
  <c r="N3316" i="5"/>
  <c r="J3316" i="5"/>
  <c r="G3316" i="5"/>
  <c r="AQ3315" i="5"/>
  <c r="AC3315" i="5"/>
  <c r="N3315" i="5"/>
  <c r="J3315" i="5"/>
  <c r="G3315" i="5"/>
  <c r="AC3314" i="5"/>
  <c r="N3314" i="5"/>
  <c r="J3314" i="5"/>
  <c r="G3314" i="5"/>
  <c r="AC3313" i="5"/>
  <c r="N3313" i="5"/>
  <c r="J3313" i="5"/>
  <c r="G3313" i="5"/>
  <c r="AQ3312" i="5"/>
  <c r="AC3312" i="5"/>
  <c r="N3312" i="5"/>
  <c r="J3312" i="5"/>
  <c r="G3312" i="5"/>
  <c r="AQ3311" i="5"/>
  <c r="AC3311" i="5"/>
  <c r="N3311" i="5"/>
  <c r="J3311" i="5"/>
  <c r="G3311" i="5"/>
  <c r="AQ3310" i="5"/>
  <c r="AC3310" i="5"/>
  <c r="N3310" i="5"/>
  <c r="J3310" i="5"/>
  <c r="G3310" i="5"/>
  <c r="AC3309" i="5"/>
  <c r="N3309" i="5"/>
  <c r="J3309" i="5"/>
  <c r="G3309" i="5"/>
  <c r="AC3308" i="5"/>
  <c r="N3308" i="5"/>
  <c r="J3308" i="5"/>
  <c r="G3308" i="5"/>
  <c r="AQ3307" i="5"/>
  <c r="AC3307" i="5"/>
  <c r="N3307" i="5"/>
  <c r="J3307" i="5"/>
  <c r="G3307" i="5"/>
  <c r="AC3306" i="5"/>
  <c r="N3306" i="5"/>
  <c r="J3306" i="5"/>
  <c r="G3306" i="5"/>
  <c r="AQ3305" i="5"/>
  <c r="AC3305" i="5"/>
  <c r="N3305" i="5"/>
  <c r="J3305" i="5"/>
  <c r="G3305" i="5"/>
  <c r="AQ3304" i="5"/>
  <c r="AC3304" i="5"/>
  <c r="N3304" i="5"/>
  <c r="J3304" i="5"/>
  <c r="G3304" i="5"/>
  <c r="AQ3303" i="5"/>
  <c r="AC3303" i="5"/>
  <c r="N3303" i="5"/>
  <c r="J3303" i="5"/>
  <c r="G3303" i="5"/>
  <c r="AQ3302" i="5"/>
  <c r="AC3302" i="5"/>
  <c r="N3302" i="5"/>
  <c r="J3302" i="5"/>
  <c r="G3302" i="5"/>
  <c r="AQ3301" i="5"/>
  <c r="AC3301" i="5"/>
  <c r="N3301" i="5"/>
  <c r="J3301" i="5"/>
  <c r="G3301" i="5"/>
  <c r="AC3300" i="5"/>
  <c r="N3300" i="5"/>
  <c r="J3300" i="5"/>
  <c r="G3300" i="5"/>
  <c r="AC3299" i="5"/>
  <c r="N3299" i="5"/>
  <c r="J3299" i="5"/>
  <c r="G3299" i="5"/>
  <c r="AQ3298" i="5"/>
  <c r="AC3298" i="5"/>
  <c r="N3298" i="5"/>
  <c r="J3298" i="5"/>
  <c r="G3298" i="5"/>
  <c r="AC3297" i="5"/>
  <c r="N3297" i="5"/>
  <c r="J3297" i="5"/>
  <c r="G3297" i="5"/>
  <c r="AC3296" i="5"/>
  <c r="N3296" i="5"/>
  <c r="J3296" i="5"/>
  <c r="G3296" i="5"/>
  <c r="AQ3295" i="5"/>
  <c r="AC3295" i="5"/>
  <c r="N3295" i="5"/>
  <c r="J3295" i="5"/>
  <c r="G3295" i="5"/>
  <c r="AQ3294" i="5"/>
  <c r="AC3294" i="5"/>
  <c r="N3294" i="5"/>
  <c r="J3294" i="5"/>
  <c r="G3294" i="5"/>
  <c r="AQ3293" i="5"/>
  <c r="AC3293" i="5"/>
  <c r="N3293" i="5"/>
  <c r="J3293" i="5"/>
  <c r="G3293" i="5"/>
  <c r="AQ3292" i="5"/>
  <c r="AC3292" i="5"/>
  <c r="N3292" i="5"/>
  <c r="J3292" i="5"/>
  <c r="G3292" i="5"/>
  <c r="AQ3291" i="5"/>
  <c r="AC3291" i="5"/>
  <c r="N3291" i="5"/>
  <c r="J3291" i="5"/>
  <c r="G3291" i="5"/>
  <c r="AC3290" i="5"/>
  <c r="N3290" i="5"/>
  <c r="J3290" i="5"/>
  <c r="G3290" i="5"/>
  <c r="AC3289" i="5"/>
  <c r="N3289" i="5"/>
  <c r="J3289" i="5"/>
  <c r="G3289" i="5"/>
  <c r="AQ3288" i="5"/>
  <c r="AC3288" i="5"/>
  <c r="N3288" i="5"/>
  <c r="J3288" i="5"/>
  <c r="G3288" i="5"/>
  <c r="AQ3287" i="5"/>
  <c r="AC3287" i="5"/>
  <c r="N3287" i="5"/>
  <c r="J3287" i="5"/>
  <c r="G3287" i="5"/>
  <c r="AC3286" i="5"/>
  <c r="N3286" i="5"/>
  <c r="J3286" i="5"/>
  <c r="G3286" i="5"/>
  <c r="AC3285" i="5"/>
  <c r="N3285" i="5"/>
  <c r="J3285" i="5"/>
  <c r="G3285" i="5"/>
  <c r="AC3284" i="5"/>
  <c r="N3284" i="5"/>
  <c r="J3284" i="5"/>
  <c r="G3284" i="5"/>
  <c r="AC3283" i="5"/>
  <c r="N3283" i="5"/>
  <c r="J3283" i="5"/>
  <c r="G3283" i="5"/>
  <c r="AC3282" i="5"/>
  <c r="N3282" i="5"/>
  <c r="J3282" i="5"/>
  <c r="G3282" i="5"/>
  <c r="AC3281" i="5"/>
  <c r="N3281" i="5"/>
  <c r="J3281" i="5"/>
  <c r="G3281" i="5"/>
  <c r="AC3280" i="5"/>
  <c r="N3280" i="5"/>
  <c r="J3280" i="5"/>
  <c r="G3280" i="5"/>
  <c r="AC3279" i="5"/>
  <c r="N3279" i="5"/>
  <c r="J3279" i="5"/>
  <c r="G3279" i="5"/>
  <c r="AC3278" i="5"/>
  <c r="N3278" i="5"/>
  <c r="J3278" i="5"/>
  <c r="G3278" i="5"/>
  <c r="AC3277" i="5"/>
  <c r="N3277" i="5"/>
  <c r="J3277" i="5"/>
  <c r="G3277" i="5"/>
  <c r="AQ3276" i="5"/>
  <c r="AC3276" i="5"/>
  <c r="N3276" i="5"/>
  <c r="J3276" i="5"/>
  <c r="G3276" i="5"/>
  <c r="AC3275" i="5"/>
  <c r="N3275" i="5"/>
  <c r="J3275" i="5"/>
  <c r="G3275" i="5"/>
  <c r="AC3274" i="5"/>
  <c r="N3274" i="5"/>
  <c r="J3274" i="5"/>
  <c r="G3274" i="5"/>
  <c r="AC3273" i="5"/>
  <c r="N3273" i="5"/>
  <c r="J3273" i="5"/>
  <c r="G3273" i="5"/>
  <c r="AC3272" i="5"/>
  <c r="N3272" i="5"/>
  <c r="J3272" i="5"/>
  <c r="G3272" i="5"/>
  <c r="AC3271" i="5"/>
  <c r="N3271" i="5"/>
  <c r="J3271" i="5"/>
  <c r="G3271" i="5"/>
  <c r="AC3270" i="5"/>
  <c r="N3270" i="5"/>
  <c r="J3270" i="5"/>
  <c r="G3270" i="5"/>
  <c r="AC3269" i="5"/>
  <c r="N3269" i="5"/>
  <c r="J3269" i="5"/>
  <c r="G3269" i="5"/>
  <c r="AQ3268" i="5"/>
  <c r="AC3268" i="5"/>
  <c r="N3268" i="5"/>
  <c r="J3268" i="5"/>
  <c r="G3268" i="5"/>
  <c r="AC3267" i="5"/>
  <c r="N3267" i="5"/>
  <c r="J3267" i="5"/>
  <c r="G3267" i="5"/>
  <c r="AQ3266" i="5"/>
  <c r="AC3266" i="5"/>
  <c r="N3266" i="5"/>
  <c r="J3266" i="5"/>
  <c r="G3266" i="5"/>
  <c r="AC3265" i="5"/>
  <c r="N3265" i="5"/>
  <c r="J3265" i="5"/>
  <c r="G3265" i="5"/>
  <c r="AQ3264" i="5"/>
  <c r="AC3264" i="5"/>
  <c r="N3264" i="5"/>
  <c r="J3264" i="5"/>
  <c r="G3264" i="5"/>
  <c r="AQ3263" i="5"/>
  <c r="AC3263" i="5"/>
  <c r="N3263" i="5"/>
  <c r="J3263" i="5"/>
  <c r="G3263" i="5"/>
  <c r="AQ3262" i="5"/>
  <c r="AC3262" i="5"/>
  <c r="N3262" i="5"/>
  <c r="J3262" i="5"/>
  <c r="G3262" i="5"/>
  <c r="AQ3261" i="5"/>
  <c r="AC3261" i="5"/>
  <c r="N3261" i="5"/>
  <c r="J3261" i="5"/>
  <c r="G3261" i="5"/>
  <c r="AQ3260" i="5"/>
  <c r="AC3260" i="5"/>
  <c r="N3260" i="5"/>
  <c r="J3260" i="5"/>
  <c r="G3260" i="5"/>
  <c r="AQ3259" i="5"/>
  <c r="AC3259" i="5"/>
  <c r="N3259" i="5"/>
  <c r="J3259" i="5"/>
  <c r="G3259" i="5"/>
  <c r="AQ3258" i="5"/>
  <c r="AC3258" i="5"/>
  <c r="N3258" i="5"/>
  <c r="J3258" i="5"/>
  <c r="G3258" i="5"/>
  <c r="AQ3257" i="5"/>
  <c r="AC3257" i="5"/>
  <c r="N3257" i="5"/>
  <c r="J3257" i="5"/>
  <c r="G3257" i="5"/>
  <c r="AQ3256" i="5"/>
  <c r="AC3256" i="5"/>
  <c r="N3256" i="5"/>
  <c r="J3256" i="5"/>
  <c r="G3256" i="5"/>
  <c r="AC3255" i="5"/>
  <c r="N3255" i="5"/>
  <c r="J3255" i="5"/>
  <c r="G3255" i="5"/>
  <c r="AC3254" i="5"/>
  <c r="N3254" i="5"/>
  <c r="J3254" i="5"/>
  <c r="G3254" i="5"/>
  <c r="AC3253" i="5"/>
  <c r="N3253" i="5"/>
  <c r="J3253" i="5"/>
  <c r="G3253" i="5"/>
  <c r="AC3252" i="5"/>
  <c r="N3252" i="5"/>
  <c r="J3252" i="5"/>
  <c r="G3252" i="5"/>
  <c r="AQ3251" i="5"/>
  <c r="AC3251" i="5"/>
  <c r="N3251" i="5"/>
  <c r="J3251" i="5"/>
  <c r="G3251" i="5"/>
  <c r="AC3250" i="5"/>
  <c r="N3250" i="5"/>
  <c r="J3250" i="5"/>
  <c r="G3250" i="5"/>
  <c r="AQ3249" i="5"/>
  <c r="AC3249" i="5"/>
  <c r="N3249" i="5"/>
  <c r="J3249" i="5"/>
  <c r="G3249" i="5"/>
  <c r="AC3248" i="5"/>
  <c r="N3248" i="5"/>
  <c r="J3248" i="5"/>
  <c r="G3248" i="5"/>
  <c r="AC3247" i="5"/>
  <c r="N3247" i="5"/>
  <c r="J3247" i="5"/>
  <c r="G3247" i="5"/>
  <c r="AC3246" i="5"/>
  <c r="N3246" i="5"/>
  <c r="J3246" i="5"/>
  <c r="G3246" i="5"/>
  <c r="AC3245" i="5"/>
  <c r="N3245" i="5"/>
  <c r="J3245" i="5"/>
  <c r="G3245" i="5"/>
  <c r="AC3244" i="5"/>
  <c r="N3244" i="5"/>
  <c r="J3244" i="5"/>
  <c r="G3244" i="5"/>
  <c r="AC3243" i="5"/>
  <c r="N3243" i="5"/>
  <c r="J3243" i="5"/>
  <c r="G3243" i="5"/>
  <c r="AC3242" i="5"/>
  <c r="N3242" i="5"/>
  <c r="J3242" i="5"/>
  <c r="G3242" i="5"/>
  <c r="AC3241" i="5"/>
  <c r="N3241" i="5"/>
  <c r="J3241" i="5"/>
  <c r="G3241" i="5"/>
  <c r="AC3240" i="5"/>
  <c r="N3240" i="5"/>
  <c r="J3240" i="5"/>
  <c r="G3240" i="5"/>
  <c r="AC3239" i="5"/>
  <c r="N3239" i="5"/>
  <c r="J3239" i="5"/>
  <c r="G3239" i="5"/>
  <c r="AC3238" i="5"/>
  <c r="N3238" i="5"/>
  <c r="J3238" i="5"/>
  <c r="G3238" i="5"/>
  <c r="AC3237" i="5"/>
  <c r="N3237" i="5"/>
  <c r="J3237" i="5"/>
  <c r="G3237" i="5"/>
  <c r="AC3236" i="5"/>
  <c r="N3236" i="5"/>
  <c r="J3236" i="5"/>
  <c r="G3236" i="5"/>
  <c r="AC3235" i="5"/>
  <c r="N3235" i="5"/>
  <c r="J3235" i="5"/>
  <c r="G3235" i="5"/>
  <c r="AC3234" i="5"/>
  <c r="N3234" i="5"/>
  <c r="J3234" i="5"/>
  <c r="G3234" i="5"/>
  <c r="AC3233" i="5"/>
  <c r="N3233" i="5"/>
  <c r="J3233" i="5"/>
  <c r="G3233" i="5"/>
  <c r="AC3232" i="5"/>
  <c r="N3232" i="5"/>
  <c r="J3232" i="5"/>
  <c r="G3232" i="5"/>
  <c r="AC3231" i="5"/>
  <c r="N3231" i="5"/>
  <c r="J3231" i="5"/>
  <c r="G3231" i="5"/>
  <c r="AC3230" i="5"/>
  <c r="N3230" i="5"/>
  <c r="J3230" i="5"/>
  <c r="G3230" i="5"/>
  <c r="AC3229" i="5"/>
  <c r="N3229" i="5"/>
  <c r="J3229" i="5"/>
  <c r="G3229" i="5"/>
  <c r="AC3228" i="5"/>
  <c r="N3228" i="5"/>
  <c r="J3228" i="5"/>
  <c r="G3228" i="5"/>
  <c r="AC3227" i="5"/>
  <c r="N3227" i="5"/>
  <c r="J3227" i="5"/>
  <c r="G3227" i="5"/>
  <c r="AC3226" i="5"/>
  <c r="N3226" i="5"/>
  <c r="J3226" i="5"/>
  <c r="G3226" i="5"/>
  <c r="AC3225" i="5"/>
  <c r="N3225" i="5"/>
  <c r="J3225" i="5"/>
  <c r="G3225" i="5"/>
  <c r="AC3224" i="5"/>
  <c r="N3224" i="5"/>
  <c r="J3224" i="5"/>
  <c r="G3224" i="5"/>
  <c r="AC3223" i="5"/>
  <c r="N3223" i="5"/>
  <c r="J3223" i="5"/>
  <c r="G3223" i="5"/>
  <c r="AC3222" i="5"/>
  <c r="N3222" i="5"/>
  <c r="J3222" i="5"/>
  <c r="G3222" i="5"/>
  <c r="AC3221" i="5"/>
  <c r="N3221" i="5"/>
  <c r="J3221" i="5"/>
  <c r="G3221" i="5"/>
  <c r="AC3220" i="5"/>
  <c r="N3220" i="5"/>
  <c r="J3220" i="5"/>
  <c r="G3220" i="5"/>
  <c r="AC3219" i="5"/>
  <c r="N3219" i="5"/>
  <c r="J3219" i="5"/>
  <c r="G3219" i="5"/>
  <c r="AC3218" i="5"/>
  <c r="N3218" i="5"/>
  <c r="J3218" i="5"/>
  <c r="G3218" i="5"/>
  <c r="AC3217" i="5"/>
  <c r="N3217" i="5"/>
  <c r="J3217" i="5"/>
  <c r="G3217" i="5"/>
  <c r="AC3216" i="5"/>
  <c r="N3216" i="5"/>
  <c r="J3216" i="5"/>
  <c r="G3216" i="5"/>
  <c r="AC3215" i="5"/>
  <c r="N3215" i="5"/>
  <c r="J3215" i="5"/>
  <c r="G3215" i="5"/>
  <c r="AC3214" i="5"/>
  <c r="N3214" i="5"/>
  <c r="J3214" i="5"/>
  <c r="G3214" i="5"/>
  <c r="AC3213" i="5"/>
  <c r="N3213" i="5"/>
  <c r="J3213" i="5"/>
  <c r="G3213" i="5"/>
  <c r="AC3212" i="5"/>
  <c r="N3212" i="5"/>
  <c r="J3212" i="5"/>
  <c r="G3212" i="5"/>
  <c r="AC3211" i="5"/>
  <c r="N3211" i="5"/>
  <c r="J3211" i="5"/>
  <c r="G3211" i="5"/>
  <c r="AC3210" i="5"/>
  <c r="N3210" i="5"/>
  <c r="J3210" i="5"/>
  <c r="G3210" i="5"/>
  <c r="AC3209" i="5"/>
  <c r="N3209" i="5"/>
  <c r="J3209" i="5"/>
  <c r="G3209" i="5"/>
  <c r="AC3208" i="5"/>
  <c r="N3208" i="5"/>
  <c r="J3208" i="5"/>
  <c r="G3208" i="5"/>
  <c r="AC3207" i="5"/>
  <c r="N3207" i="5"/>
  <c r="J3207" i="5"/>
  <c r="G3207" i="5"/>
  <c r="AC3206" i="5"/>
  <c r="N3206" i="5"/>
  <c r="J3206" i="5"/>
  <c r="G3206" i="5"/>
  <c r="AC3205" i="5"/>
  <c r="N3205" i="5"/>
  <c r="J3205" i="5"/>
  <c r="G3205" i="5"/>
  <c r="AC3204" i="5"/>
  <c r="N3204" i="5"/>
  <c r="J3204" i="5"/>
  <c r="G3204" i="5"/>
  <c r="AC3203" i="5"/>
  <c r="N3203" i="5"/>
  <c r="J3203" i="5"/>
  <c r="G3203" i="5"/>
  <c r="AC3202" i="5"/>
  <c r="N3202" i="5"/>
  <c r="J3202" i="5"/>
  <c r="G3202" i="5"/>
  <c r="AC3201" i="5"/>
  <c r="N3201" i="5"/>
  <c r="J3201" i="5"/>
  <c r="G3201" i="5"/>
  <c r="AC3200" i="5"/>
  <c r="N3200" i="5"/>
  <c r="J3200" i="5"/>
  <c r="G3200" i="5"/>
  <c r="AC3199" i="5"/>
  <c r="N3199" i="5"/>
  <c r="J3199" i="5"/>
  <c r="G3199" i="5"/>
  <c r="AC3198" i="5"/>
  <c r="N3198" i="5"/>
  <c r="J3198" i="5"/>
  <c r="G3198" i="5"/>
  <c r="AC3197" i="5"/>
  <c r="N3197" i="5"/>
  <c r="J3197" i="5"/>
  <c r="G3197" i="5"/>
  <c r="AC3196" i="5"/>
  <c r="N3196" i="5"/>
  <c r="J3196" i="5"/>
  <c r="G3196" i="5"/>
  <c r="AC3195" i="5"/>
  <c r="N3195" i="5"/>
  <c r="J3195" i="5"/>
  <c r="G3195" i="5"/>
  <c r="AC3194" i="5"/>
  <c r="N3194" i="5"/>
  <c r="J3194" i="5"/>
  <c r="G3194" i="5"/>
  <c r="AC3193" i="5"/>
  <c r="N3193" i="5"/>
  <c r="J3193" i="5"/>
  <c r="G3193" i="5"/>
  <c r="AC3192" i="5"/>
  <c r="N3192" i="5"/>
  <c r="J3192" i="5"/>
  <c r="G3192" i="5"/>
  <c r="AC3191" i="5"/>
  <c r="N3191" i="5"/>
  <c r="J3191" i="5"/>
  <c r="G3191" i="5"/>
  <c r="AC3190" i="5"/>
  <c r="N3190" i="5"/>
  <c r="J3190" i="5"/>
  <c r="G3190" i="5"/>
  <c r="AC3189" i="5"/>
  <c r="N3189" i="5"/>
  <c r="J3189" i="5"/>
  <c r="G3189" i="5"/>
  <c r="AC3188" i="5"/>
  <c r="N3188" i="5"/>
  <c r="J3188" i="5"/>
  <c r="G3188" i="5"/>
  <c r="AC3187" i="5"/>
  <c r="N3187" i="5"/>
  <c r="J3187" i="5"/>
  <c r="G3187" i="5"/>
  <c r="AC3186" i="5"/>
  <c r="N3186" i="5"/>
  <c r="J3186" i="5"/>
  <c r="G3186" i="5"/>
  <c r="AC3185" i="5"/>
  <c r="N3185" i="5"/>
  <c r="J3185" i="5"/>
  <c r="G3185" i="5"/>
  <c r="AC3184" i="5"/>
  <c r="N3184" i="5"/>
  <c r="J3184" i="5"/>
  <c r="G3184" i="5"/>
  <c r="AQ3183" i="5"/>
  <c r="AC3183" i="5"/>
  <c r="N3183" i="5"/>
  <c r="J3183" i="5"/>
  <c r="G3183" i="5"/>
  <c r="AC3182" i="5"/>
  <c r="N3182" i="5"/>
  <c r="J3182" i="5"/>
  <c r="G3182" i="5"/>
  <c r="AQ3181" i="5"/>
  <c r="AC3181" i="5"/>
  <c r="N3181" i="5"/>
  <c r="J3181" i="5"/>
  <c r="G3181" i="5"/>
  <c r="AC3180" i="5"/>
  <c r="N3180" i="5"/>
  <c r="J3180" i="5"/>
  <c r="G3180" i="5"/>
  <c r="AC3179" i="5"/>
  <c r="N3179" i="5"/>
  <c r="J3179" i="5"/>
  <c r="G3179" i="5"/>
  <c r="AC3178" i="5"/>
  <c r="N3178" i="5"/>
  <c r="J3178" i="5"/>
  <c r="G3178" i="5"/>
  <c r="AC3177" i="5"/>
  <c r="N3177" i="5"/>
  <c r="J3177" i="5"/>
  <c r="G3177" i="5"/>
  <c r="AC3176" i="5"/>
  <c r="N3176" i="5"/>
  <c r="J3176" i="5"/>
  <c r="G3176" i="5"/>
  <c r="AC3175" i="5"/>
  <c r="N3175" i="5"/>
  <c r="J3175" i="5"/>
  <c r="G3175" i="5"/>
  <c r="AC3174" i="5"/>
  <c r="N3174" i="5"/>
  <c r="J3174" i="5"/>
  <c r="G3174" i="5"/>
  <c r="AC3173" i="5"/>
  <c r="N3173" i="5"/>
  <c r="J3173" i="5"/>
  <c r="G3173" i="5"/>
  <c r="AC3172" i="5"/>
  <c r="N3172" i="5"/>
  <c r="J3172" i="5"/>
  <c r="G3172" i="5"/>
  <c r="AQ3171" i="5"/>
  <c r="AC3171" i="5"/>
  <c r="N3171" i="5"/>
  <c r="J3171" i="5"/>
  <c r="G3171" i="5"/>
  <c r="AQ3170" i="5"/>
  <c r="AC3170" i="5"/>
  <c r="N3170" i="5"/>
  <c r="J3170" i="5"/>
  <c r="G3170" i="5"/>
  <c r="AC3169" i="5"/>
  <c r="N3169" i="5"/>
  <c r="J3169" i="5"/>
  <c r="G3169" i="5"/>
  <c r="AQ3168" i="5"/>
  <c r="AC3168" i="5"/>
  <c r="N3168" i="5"/>
  <c r="J3168" i="5"/>
  <c r="G3168" i="5"/>
  <c r="AQ3167" i="5"/>
  <c r="AC3167" i="5"/>
  <c r="N3167" i="5"/>
  <c r="J3167" i="5"/>
  <c r="G3167" i="5"/>
  <c r="AC3166" i="5"/>
  <c r="N3166" i="5"/>
  <c r="J3166" i="5"/>
  <c r="G3166" i="5"/>
  <c r="AC3165" i="5"/>
  <c r="N3165" i="5"/>
  <c r="J3165" i="5"/>
  <c r="G3165" i="5"/>
  <c r="AC3164" i="5"/>
  <c r="N3164" i="5"/>
  <c r="J3164" i="5"/>
  <c r="G3164" i="5"/>
  <c r="AC3163" i="5"/>
  <c r="N3163" i="5"/>
  <c r="J3163" i="5"/>
  <c r="G3163" i="5"/>
  <c r="AC3162" i="5"/>
  <c r="N3162" i="5"/>
  <c r="J3162" i="5"/>
  <c r="G3162" i="5"/>
  <c r="AQ3161" i="5"/>
  <c r="AC3161" i="5"/>
  <c r="N3161" i="5"/>
  <c r="J3161" i="5"/>
  <c r="G3161" i="5"/>
  <c r="AC3160" i="5"/>
  <c r="N3160" i="5"/>
  <c r="J3160" i="5"/>
  <c r="G3160" i="5"/>
  <c r="AC3159" i="5"/>
  <c r="N3159" i="5"/>
  <c r="J3159" i="5"/>
  <c r="G3159" i="5"/>
  <c r="AQ3158" i="5"/>
  <c r="AC3158" i="5"/>
  <c r="N3158" i="5"/>
  <c r="J3158" i="5"/>
  <c r="G3158" i="5"/>
  <c r="AQ3157" i="5"/>
  <c r="AC3157" i="5"/>
  <c r="N3157" i="5"/>
  <c r="J3157" i="5"/>
  <c r="G3157" i="5"/>
  <c r="AC3156" i="5"/>
  <c r="N3156" i="5"/>
  <c r="J3156" i="5"/>
  <c r="G3156" i="5"/>
  <c r="AC3155" i="5"/>
  <c r="N3155" i="5"/>
  <c r="J3155" i="5"/>
  <c r="G3155" i="5"/>
  <c r="AC3154" i="5"/>
  <c r="N3154" i="5"/>
  <c r="J3154" i="5"/>
  <c r="G3154" i="5"/>
  <c r="AC3153" i="5"/>
  <c r="N3153" i="5"/>
  <c r="J3153" i="5"/>
  <c r="G3153" i="5"/>
  <c r="AQ3152" i="5"/>
  <c r="AC3152" i="5"/>
  <c r="N3152" i="5"/>
  <c r="J3152" i="5"/>
  <c r="G3152" i="5"/>
  <c r="AC3151" i="5"/>
  <c r="N3151" i="5"/>
  <c r="J3151" i="5"/>
  <c r="G3151" i="5"/>
  <c r="AC3150" i="5"/>
  <c r="N3150" i="5"/>
  <c r="J3150" i="5"/>
  <c r="G3150" i="5"/>
  <c r="AC3149" i="5"/>
  <c r="N3149" i="5"/>
  <c r="J3149" i="5"/>
  <c r="G3149" i="5"/>
  <c r="AC3148" i="5"/>
  <c r="N3148" i="5"/>
  <c r="J3148" i="5"/>
  <c r="G3148" i="5"/>
  <c r="AQ3147" i="5"/>
  <c r="AC3147" i="5"/>
  <c r="N3147" i="5"/>
  <c r="J3147" i="5"/>
  <c r="G3147" i="5"/>
  <c r="AC3146" i="5"/>
  <c r="N3146" i="5"/>
  <c r="J3146" i="5"/>
  <c r="G3146" i="5"/>
  <c r="AC3145" i="5"/>
  <c r="N3145" i="5"/>
  <c r="J3145" i="5"/>
  <c r="G3145" i="5"/>
  <c r="AC3144" i="5"/>
  <c r="N3144" i="5"/>
  <c r="J3144" i="5"/>
  <c r="G3144" i="5"/>
  <c r="AC3143" i="5"/>
  <c r="N3143" i="5"/>
  <c r="J3143" i="5"/>
  <c r="G3143" i="5"/>
  <c r="AC3142" i="5"/>
  <c r="N3142" i="5"/>
  <c r="J3142" i="5"/>
  <c r="G3142" i="5"/>
  <c r="AC3141" i="5"/>
  <c r="N3141" i="5"/>
  <c r="J3141" i="5"/>
  <c r="G3141" i="5"/>
  <c r="AC3140" i="5"/>
  <c r="N3140" i="5"/>
  <c r="J3140" i="5"/>
  <c r="G3140" i="5"/>
  <c r="AC3139" i="5"/>
  <c r="N3139" i="5"/>
  <c r="J3139" i="5"/>
  <c r="G3139" i="5"/>
  <c r="AC3138" i="5"/>
  <c r="N3138" i="5"/>
  <c r="J3138" i="5"/>
  <c r="G3138" i="5"/>
  <c r="AQ3137" i="5"/>
  <c r="AC3137" i="5"/>
  <c r="N3137" i="5"/>
  <c r="J3137" i="5"/>
  <c r="G3137" i="5"/>
  <c r="AC3136" i="5"/>
  <c r="N3136" i="5"/>
  <c r="J3136" i="5"/>
  <c r="G3136" i="5"/>
  <c r="AC3135" i="5"/>
  <c r="N3135" i="5"/>
  <c r="J3135" i="5"/>
  <c r="G3135" i="5"/>
  <c r="AC3134" i="5"/>
  <c r="N3134" i="5"/>
  <c r="J3134" i="5"/>
  <c r="G3134" i="5"/>
  <c r="AC3133" i="5"/>
  <c r="N3133" i="5"/>
  <c r="J3133" i="5"/>
  <c r="G3133" i="5"/>
  <c r="AC3132" i="5"/>
  <c r="N3132" i="5"/>
  <c r="J3132" i="5"/>
  <c r="G3132" i="5"/>
  <c r="AQ3131" i="5"/>
  <c r="AC3131" i="5"/>
  <c r="N3131" i="5"/>
  <c r="J3131" i="5"/>
  <c r="G3131" i="5"/>
  <c r="AC3130" i="5"/>
  <c r="N3130" i="5"/>
  <c r="J3130" i="5"/>
  <c r="G3130" i="5"/>
  <c r="AC3129" i="5"/>
  <c r="N3129" i="5"/>
  <c r="J3129" i="5"/>
  <c r="G3129" i="5"/>
  <c r="AC3128" i="5"/>
  <c r="N3128" i="5"/>
  <c r="J3128" i="5"/>
  <c r="G3128" i="5"/>
  <c r="AC3127" i="5"/>
  <c r="N3127" i="5"/>
  <c r="J3127" i="5"/>
  <c r="G3127" i="5"/>
  <c r="AC3126" i="5"/>
  <c r="N3126" i="5"/>
  <c r="J3126" i="5"/>
  <c r="G3126" i="5"/>
  <c r="AC3125" i="5"/>
  <c r="N3125" i="5"/>
  <c r="J3125" i="5"/>
  <c r="G3125" i="5"/>
  <c r="AC3124" i="5"/>
  <c r="N3124" i="5"/>
  <c r="J3124" i="5"/>
  <c r="G3124" i="5"/>
  <c r="AC3123" i="5"/>
  <c r="N3123" i="5"/>
  <c r="J3123" i="5"/>
  <c r="G3123" i="5"/>
  <c r="AC3122" i="5"/>
  <c r="N3122" i="5"/>
  <c r="J3122" i="5"/>
  <c r="G3122" i="5"/>
  <c r="AC3121" i="5"/>
  <c r="N3121" i="5"/>
  <c r="J3121" i="5"/>
  <c r="G3121" i="5"/>
  <c r="AC3120" i="5"/>
  <c r="N3120" i="5"/>
  <c r="J3120" i="5"/>
  <c r="G3120" i="5"/>
  <c r="AC3119" i="5"/>
  <c r="N3119" i="5"/>
  <c r="J3119" i="5"/>
  <c r="G3119" i="5"/>
  <c r="AC3118" i="5"/>
  <c r="N3118" i="5"/>
  <c r="J3118" i="5"/>
  <c r="G3118" i="5"/>
  <c r="AC3117" i="5"/>
  <c r="N3117" i="5"/>
  <c r="J3117" i="5"/>
  <c r="G3117" i="5"/>
  <c r="AC3116" i="5"/>
  <c r="N3116" i="5"/>
  <c r="J3116" i="5"/>
  <c r="G3116" i="5"/>
  <c r="AC3115" i="5"/>
  <c r="N3115" i="5"/>
  <c r="J3115" i="5"/>
  <c r="G3115" i="5"/>
  <c r="AC3114" i="5"/>
  <c r="N3114" i="5"/>
  <c r="J3114" i="5"/>
  <c r="G3114" i="5"/>
  <c r="AC3113" i="5"/>
  <c r="N3113" i="5"/>
  <c r="J3113" i="5"/>
  <c r="G3113" i="5"/>
  <c r="AC3112" i="5"/>
  <c r="N3112" i="5"/>
  <c r="J3112" i="5"/>
  <c r="G3112" i="5"/>
  <c r="AC3111" i="5"/>
  <c r="N3111" i="5"/>
  <c r="J3111" i="5"/>
  <c r="G3111" i="5"/>
  <c r="AC3110" i="5"/>
  <c r="N3110" i="5"/>
  <c r="J3110" i="5"/>
  <c r="G3110" i="5"/>
  <c r="AC3109" i="5"/>
  <c r="N3109" i="5"/>
  <c r="J3109" i="5"/>
  <c r="G3109" i="5"/>
  <c r="AC3108" i="5"/>
  <c r="N3108" i="5"/>
  <c r="J3108" i="5"/>
  <c r="G3108" i="5"/>
  <c r="AC3107" i="5"/>
  <c r="N3107" i="5"/>
  <c r="J3107" i="5"/>
  <c r="G3107" i="5"/>
  <c r="AC3106" i="5"/>
  <c r="N3106" i="5"/>
  <c r="J3106" i="5"/>
  <c r="G3106" i="5"/>
  <c r="AC3105" i="5"/>
  <c r="N3105" i="5"/>
  <c r="J3105" i="5"/>
  <c r="G3105" i="5"/>
  <c r="AC3104" i="5"/>
  <c r="N3104" i="5"/>
  <c r="J3104" i="5"/>
  <c r="G3104" i="5"/>
  <c r="AC3103" i="5"/>
  <c r="N3103" i="5"/>
  <c r="J3103" i="5"/>
  <c r="G3103" i="5"/>
  <c r="AC3102" i="5"/>
  <c r="N3102" i="5"/>
  <c r="J3102" i="5"/>
  <c r="G3102" i="5"/>
  <c r="AC3101" i="5"/>
  <c r="N3101" i="5"/>
  <c r="J3101" i="5"/>
  <c r="G3101" i="5"/>
  <c r="AC3100" i="5"/>
  <c r="N3100" i="5"/>
  <c r="J3100" i="5"/>
  <c r="G3100" i="5"/>
  <c r="AC3099" i="5"/>
  <c r="N3099" i="5"/>
  <c r="J3099" i="5"/>
  <c r="G3099" i="5"/>
  <c r="AC3098" i="5"/>
  <c r="N3098" i="5"/>
  <c r="J3098" i="5"/>
  <c r="G3098" i="5"/>
  <c r="AC3097" i="5"/>
  <c r="N3097" i="5"/>
  <c r="J3097" i="5"/>
  <c r="G3097" i="5"/>
  <c r="AC3096" i="5"/>
  <c r="N3096" i="5"/>
  <c r="J3096" i="5"/>
  <c r="G3096" i="5"/>
  <c r="AC3095" i="5"/>
  <c r="N3095" i="5"/>
  <c r="J3095" i="5"/>
  <c r="G3095" i="5"/>
  <c r="AC3094" i="5"/>
  <c r="N3094" i="5"/>
  <c r="J3094" i="5"/>
  <c r="G3094" i="5"/>
  <c r="AC3093" i="5"/>
  <c r="N3093" i="5"/>
  <c r="J3093" i="5"/>
  <c r="G3093" i="5"/>
  <c r="AC3092" i="5"/>
  <c r="N3092" i="5"/>
  <c r="J3092" i="5"/>
  <c r="G3092" i="5"/>
  <c r="AC3091" i="5"/>
  <c r="N3091" i="5"/>
  <c r="J3091" i="5"/>
  <c r="G3091" i="5"/>
  <c r="AC3090" i="5"/>
  <c r="N3090" i="5"/>
  <c r="J3090" i="5"/>
  <c r="G3090" i="5"/>
  <c r="AC3089" i="5"/>
  <c r="N3089" i="5"/>
  <c r="J3089" i="5"/>
  <c r="G3089" i="5"/>
  <c r="AC3088" i="5"/>
  <c r="N3088" i="5"/>
  <c r="J3088" i="5"/>
  <c r="G3088" i="5"/>
  <c r="AC3087" i="5"/>
  <c r="N3087" i="5"/>
  <c r="J3087" i="5"/>
  <c r="G3087" i="5"/>
  <c r="AC3086" i="5"/>
  <c r="N3086" i="5"/>
  <c r="J3086" i="5"/>
  <c r="G3086" i="5"/>
  <c r="AC3085" i="5"/>
  <c r="N3085" i="5"/>
  <c r="J3085" i="5"/>
  <c r="G3085" i="5"/>
  <c r="AQ3084" i="5"/>
  <c r="AC3084" i="5"/>
  <c r="N3084" i="5"/>
  <c r="J3084" i="5"/>
  <c r="G3084" i="5"/>
  <c r="AC3083" i="5"/>
  <c r="N3083" i="5"/>
  <c r="J3083" i="5"/>
  <c r="G3083" i="5"/>
  <c r="AC3082" i="5"/>
  <c r="N3082" i="5"/>
  <c r="J3082" i="5"/>
  <c r="G3082" i="5"/>
  <c r="AC3081" i="5"/>
  <c r="N3081" i="5"/>
  <c r="J3081" i="5"/>
  <c r="G3081" i="5"/>
  <c r="AC3080" i="5"/>
  <c r="N3080" i="5"/>
  <c r="J3080" i="5"/>
  <c r="G3080" i="5"/>
  <c r="AC3079" i="5"/>
  <c r="N3079" i="5"/>
  <c r="J3079" i="5"/>
  <c r="G3079" i="5"/>
  <c r="AC3078" i="5"/>
  <c r="N3078" i="5"/>
  <c r="J3078" i="5"/>
  <c r="G3078" i="5"/>
  <c r="AC3077" i="5"/>
  <c r="N3077" i="5"/>
  <c r="J3077" i="5"/>
  <c r="G3077" i="5"/>
  <c r="AC3076" i="5"/>
  <c r="N3076" i="5"/>
  <c r="J3076" i="5"/>
  <c r="G3076" i="5"/>
  <c r="AC3075" i="5"/>
  <c r="N3075" i="5"/>
  <c r="J3075" i="5"/>
  <c r="G3075" i="5"/>
  <c r="AC3074" i="5"/>
  <c r="N3074" i="5"/>
  <c r="J3074" i="5"/>
  <c r="G3074" i="5"/>
  <c r="AC3073" i="5"/>
  <c r="N3073" i="5"/>
  <c r="J3073" i="5"/>
  <c r="G3073" i="5"/>
  <c r="AC3072" i="5"/>
  <c r="N3072" i="5"/>
  <c r="J3072" i="5"/>
  <c r="G3072" i="5"/>
  <c r="AC3071" i="5"/>
  <c r="N3071" i="5"/>
  <c r="J3071" i="5"/>
  <c r="G3071" i="5"/>
  <c r="AC3070" i="5"/>
  <c r="N3070" i="5"/>
  <c r="J3070" i="5"/>
  <c r="G3070" i="5"/>
  <c r="AC3069" i="5"/>
  <c r="N3069" i="5"/>
  <c r="J3069" i="5"/>
  <c r="G3069" i="5"/>
  <c r="AC3068" i="5"/>
  <c r="N3068" i="5"/>
  <c r="J3068" i="5"/>
  <c r="G3068" i="5"/>
  <c r="AC3067" i="5"/>
  <c r="N3067" i="5"/>
  <c r="J3067" i="5"/>
  <c r="G3067" i="5"/>
  <c r="AC3066" i="5"/>
  <c r="N3066" i="5"/>
  <c r="J3066" i="5"/>
  <c r="G3066" i="5"/>
  <c r="AC3065" i="5"/>
  <c r="N3065" i="5"/>
  <c r="J3065" i="5"/>
  <c r="G3065" i="5"/>
  <c r="AC3064" i="5"/>
  <c r="N3064" i="5"/>
  <c r="J3064" i="5"/>
  <c r="G3064" i="5"/>
  <c r="AC3063" i="5"/>
  <c r="N3063" i="5"/>
  <c r="J3063" i="5"/>
  <c r="G3063" i="5"/>
  <c r="AC3062" i="5"/>
  <c r="N3062" i="5"/>
  <c r="J3062" i="5"/>
  <c r="G3062" i="5"/>
  <c r="AC3061" i="5"/>
  <c r="N3061" i="5"/>
  <c r="J3061" i="5"/>
  <c r="G3061" i="5"/>
  <c r="AC3060" i="5"/>
  <c r="N3060" i="5"/>
  <c r="J3060" i="5"/>
  <c r="G3060" i="5"/>
  <c r="AC3059" i="5"/>
  <c r="N3059" i="5"/>
  <c r="J3059" i="5"/>
  <c r="G3059" i="5"/>
  <c r="AC3058" i="5"/>
  <c r="N3058" i="5"/>
  <c r="J3058" i="5"/>
  <c r="G3058" i="5"/>
  <c r="AC3057" i="5"/>
  <c r="N3057" i="5"/>
  <c r="J3057" i="5"/>
  <c r="G3057" i="5"/>
  <c r="AC3056" i="5"/>
  <c r="N3056" i="5"/>
  <c r="J3056" i="5"/>
  <c r="G3056" i="5"/>
  <c r="AC3055" i="5"/>
  <c r="N3055" i="5"/>
  <c r="J3055" i="5"/>
  <c r="G3055" i="5"/>
  <c r="AC3054" i="5"/>
  <c r="N3054" i="5"/>
  <c r="J3054" i="5"/>
  <c r="G3054" i="5"/>
  <c r="AQ3053" i="5"/>
  <c r="AC3053" i="5"/>
  <c r="N3053" i="5"/>
  <c r="J3053" i="5"/>
  <c r="G3053" i="5"/>
  <c r="AC3052" i="5"/>
  <c r="N3052" i="5"/>
  <c r="J3052" i="5"/>
  <c r="G3052" i="5"/>
  <c r="AC3051" i="5"/>
  <c r="N3051" i="5"/>
  <c r="J3051" i="5"/>
  <c r="G3051" i="5"/>
  <c r="AC3050" i="5"/>
  <c r="N3050" i="5"/>
  <c r="J3050" i="5"/>
  <c r="G3050" i="5"/>
  <c r="AC3049" i="5"/>
  <c r="N3049" i="5"/>
  <c r="J3049" i="5"/>
  <c r="G3049" i="5"/>
  <c r="AC3048" i="5"/>
  <c r="N3048" i="5"/>
  <c r="J3048" i="5"/>
  <c r="G3048" i="5"/>
  <c r="AC3047" i="5"/>
  <c r="N3047" i="5"/>
  <c r="J3047" i="5"/>
  <c r="G3047" i="5"/>
  <c r="AC3046" i="5"/>
  <c r="N3046" i="5"/>
  <c r="J3046" i="5"/>
  <c r="G3046" i="5"/>
  <c r="AC3045" i="5"/>
  <c r="N3045" i="5"/>
  <c r="J3045" i="5"/>
  <c r="G3045" i="5"/>
  <c r="AC3044" i="5"/>
  <c r="N3044" i="5"/>
  <c r="J3044" i="5"/>
  <c r="G3044" i="5"/>
  <c r="AC3043" i="5"/>
  <c r="N3043" i="5"/>
  <c r="J3043" i="5"/>
  <c r="G3043" i="5"/>
  <c r="AC3042" i="5"/>
  <c r="N3042" i="5"/>
  <c r="J3042" i="5"/>
  <c r="G3042" i="5"/>
  <c r="AC3041" i="5"/>
  <c r="N3041" i="5"/>
  <c r="J3041" i="5"/>
  <c r="G3041" i="5"/>
  <c r="AC3040" i="5"/>
  <c r="N3040" i="5"/>
  <c r="J3040" i="5"/>
  <c r="G3040" i="5"/>
  <c r="AC3039" i="5"/>
  <c r="N3039" i="5"/>
  <c r="J3039" i="5"/>
  <c r="G3039" i="5"/>
  <c r="AC3038" i="5"/>
  <c r="N3038" i="5"/>
  <c r="J3038" i="5"/>
  <c r="G3038" i="5"/>
  <c r="AC3037" i="5"/>
  <c r="N3037" i="5"/>
  <c r="J3037" i="5"/>
  <c r="G3037" i="5"/>
  <c r="AC3036" i="5"/>
  <c r="N3036" i="5"/>
  <c r="J3036" i="5"/>
  <c r="G3036" i="5"/>
  <c r="AC3035" i="5"/>
  <c r="N3035" i="5"/>
  <c r="J3035" i="5"/>
  <c r="G3035" i="5"/>
  <c r="AC3034" i="5"/>
  <c r="N3034" i="5"/>
  <c r="J3034" i="5"/>
  <c r="G3034" i="5"/>
  <c r="AC3033" i="5"/>
  <c r="N3033" i="5"/>
  <c r="J3033" i="5"/>
  <c r="G3033" i="5"/>
  <c r="AQ3032" i="5"/>
  <c r="AC3032" i="5"/>
  <c r="N3032" i="5"/>
  <c r="J3032" i="5"/>
  <c r="G3032" i="5"/>
  <c r="AC3031" i="5"/>
  <c r="N3031" i="5"/>
  <c r="J3031" i="5"/>
  <c r="G3031" i="5"/>
  <c r="AC3030" i="5"/>
  <c r="N3030" i="5"/>
  <c r="J3030" i="5"/>
  <c r="G3030" i="5"/>
  <c r="AQ3029" i="5"/>
  <c r="AC3029" i="5"/>
  <c r="N3029" i="5"/>
  <c r="J3029" i="5"/>
  <c r="G3029" i="5"/>
  <c r="AQ3028" i="5"/>
  <c r="AC3028" i="5"/>
  <c r="N3028" i="5"/>
  <c r="J3028" i="5"/>
  <c r="G3028" i="5"/>
  <c r="AC3027" i="5"/>
  <c r="N3027" i="5"/>
  <c r="J3027" i="5"/>
  <c r="G3027" i="5"/>
  <c r="AC3026" i="5"/>
  <c r="N3026" i="5"/>
  <c r="J3026" i="5"/>
  <c r="G3026" i="5"/>
  <c r="AQ3025" i="5"/>
  <c r="AC3025" i="5"/>
  <c r="N3025" i="5"/>
  <c r="J3025" i="5"/>
  <c r="G3025" i="5"/>
  <c r="AC3024" i="5"/>
  <c r="N3024" i="5"/>
  <c r="J3024" i="5"/>
  <c r="G3024" i="5"/>
  <c r="AC3023" i="5"/>
  <c r="N3023" i="5"/>
  <c r="J3023" i="5"/>
  <c r="G3023" i="5"/>
  <c r="AC3022" i="5"/>
  <c r="N3022" i="5"/>
  <c r="J3022" i="5"/>
  <c r="G3022" i="5"/>
  <c r="AC3021" i="5"/>
  <c r="N3021" i="5"/>
  <c r="J3021" i="5"/>
  <c r="G3021" i="5"/>
  <c r="AC3020" i="5"/>
  <c r="N3020" i="5"/>
  <c r="J3020" i="5"/>
  <c r="G3020" i="5"/>
  <c r="AC3019" i="5"/>
  <c r="N3019" i="5"/>
  <c r="J3019" i="5"/>
  <c r="G3019" i="5"/>
  <c r="AC3018" i="5"/>
  <c r="N3018" i="5"/>
  <c r="J3018" i="5"/>
  <c r="G3018" i="5"/>
  <c r="AC3017" i="5"/>
  <c r="N3017" i="5"/>
  <c r="J3017" i="5"/>
  <c r="G3017" i="5"/>
  <c r="AC3016" i="5"/>
  <c r="N3016" i="5"/>
  <c r="J3016" i="5"/>
  <c r="G3016" i="5"/>
  <c r="AC3015" i="5"/>
  <c r="N3015" i="5"/>
  <c r="J3015" i="5"/>
  <c r="G3015" i="5"/>
  <c r="AQ3014" i="5"/>
  <c r="AC3014" i="5"/>
  <c r="N3014" i="5"/>
  <c r="J3014" i="5"/>
  <c r="G3014" i="5"/>
  <c r="AC3013" i="5"/>
  <c r="N3013" i="5"/>
  <c r="J3013" i="5"/>
  <c r="G3013" i="5"/>
  <c r="AQ3012" i="5"/>
  <c r="AC3012" i="5"/>
  <c r="N3012" i="5"/>
  <c r="J3012" i="5"/>
  <c r="G3012" i="5"/>
  <c r="AQ3011" i="5"/>
  <c r="AC3011" i="5"/>
  <c r="N3011" i="5"/>
  <c r="J3011" i="5"/>
  <c r="G3011" i="5"/>
  <c r="AC3010" i="5"/>
  <c r="N3010" i="5"/>
  <c r="J3010" i="5"/>
  <c r="G3010" i="5"/>
  <c r="AC3009" i="5"/>
  <c r="N3009" i="5"/>
  <c r="J3009" i="5"/>
  <c r="G3009" i="5"/>
  <c r="AC3008" i="5"/>
  <c r="N3008" i="5"/>
  <c r="J3008" i="5"/>
  <c r="G3008" i="5"/>
  <c r="AC3007" i="5"/>
  <c r="N3007" i="5"/>
  <c r="J3007" i="5"/>
  <c r="G3007" i="5"/>
  <c r="AC3006" i="5"/>
  <c r="N3006" i="5"/>
  <c r="J3006" i="5"/>
  <c r="G3006" i="5"/>
  <c r="AC3005" i="5"/>
  <c r="N3005" i="5"/>
  <c r="J3005" i="5"/>
  <c r="G3005" i="5"/>
  <c r="AC3004" i="5"/>
  <c r="N3004" i="5"/>
  <c r="J3004" i="5"/>
  <c r="G3004" i="5"/>
  <c r="AC3003" i="5"/>
  <c r="N3003" i="5"/>
  <c r="J3003" i="5"/>
  <c r="G3003" i="5"/>
  <c r="AC3002" i="5"/>
  <c r="N3002" i="5"/>
  <c r="J3002" i="5"/>
  <c r="G3002" i="5"/>
  <c r="AC3001" i="5"/>
  <c r="N3001" i="5"/>
  <c r="J3001" i="5"/>
  <c r="G3001" i="5"/>
  <c r="AC3000" i="5"/>
  <c r="N3000" i="5"/>
  <c r="J3000" i="5"/>
  <c r="G3000" i="5"/>
  <c r="AC2999" i="5"/>
  <c r="N2999" i="5"/>
  <c r="J2999" i="5"/>
  <c r="G2999" i="5"/>
  <c r="AC2998" i="5"/>
  <c r="N2998" i="5"/>
  <c r="J2998" i="5"/>
  <c r="G2998" i="5"/>
  <c r="AC2997" i="5"/>
  <c r="N2997" i="5"/>
  <c r="J2997" i="5"/>
  <c r="G2997" i="5"/>
  <c r="AQ2996" i="5"/>
  <c r="AC2996" i="5"/>
  <c r="N2996" i="5"/>
  <c r="J2996" i="5"/>
  <c r="G2996" i="5"/>
  <c r="AC2995" i="5"/>
  <c r="N2995" i="5"/>
  <c r="J2995" i="5"/>
  <c r="G2995" i="5"/>
  <c r="AC2994" i="5"/>
  <c r="N2994" i="5"/>
  <c r="J2994" i="5"/>
  <c r="G2994" i="5"/>
  <c r="AC2993" i="5"/>
  <c r="N2993" i="5"/>
  <c r="J2993" i="5"/>
  <c r="G2993" i="5"/>
  <c r="AC2992" i="5"/>
  <c r="N2992" i="5"/>
  <c r="J2992" i="5"/>
  <c r="G2992" i="5"/>
  <c r="AC2991" i="5"/>
  <c r="N2991" i="5"/>
  <c r="J2991" i="5"/>
  <c r="G2991" i="5"/>
  <c r="AC2990" i="5"/>
  <c r="N2990" i="5"/>
  <c r="J2990" i="5"/>
  <c r="G2990" i="5"/>
  <c r="AC2989" i="5"/>
  <c r="N2989" i="5"/>
  <c r="J2989" i="5"/>
  <c r="G2989" i="5"/>
  <c r="AC2988" i="5"/>
  <c r="N2988" i="5"/>
  <c r="J2988" i="5"/>
  <c r="G2988" i="5"/>
  <c r="AC2987" i="5"/>
  <c r="N2987" i="5"/>
  <c r="J2987" i="5"/>
  <c r="G2987" i="5"/>
  <c r="AC2986" i="5"/>
  <c r="N2986" i="5"/>
  <c r="J2986" i="5"/>
  <c r="G2986" i="5"/>
  <c r="AC2985" i="5"/>
  <c r="N2985" i="5"/>
  <c r="J2985" i="5"/>
  <c r="G2985" i="5"/>
  <c r="AC2984" i="5"/>
  <c r="N2984" i="5"/>
  <c r="J2984" i="5"/>
  <c r="G2984" i="5"/>
  <c r="AC2983" i="5"/>
  <c r="N2983" i="5"/>
  <c r="J2983" i="5"/>
  <c r="G2983" i="5"/>
  <c r="AC2982" i="5"/>
  <c r="N2982" i="5"/>
  <c r="J2982" i="5"/>
  <c r="G2982" i="5"/>
  <c r="AC2981" i="5"/>
  <c r="N2981" i="5"/>
  <c r="J2981" i="5"/>
  <c r="G2981" i="5"/>
  <c r="AC2980" i="5"/>
  <c r="N2980" i="5"/>
  <c r="J2980" i="5"/>
  <c r="G2980" i="5"/>
  <c r="AC2979" i="5"/>
  <c r="N2979" i="5"/>
  <c r="J2979" i="5"/>
  <c r="G2979" i="5"/>
  <c r="AC2978" i="5"/>
  <c r="N2978" i="5"/>
  <c r="J2978" i="5"/>
  <c r="G2978" i="5"/>
  <c r="AC2977" i="5"/>
  <c r="N2977" i="5"/>
  <c r="J2977" i="5"/>
  <c r="G2977" i="5"/>
  <c r="AC2976" i="5"/>
  <c r="N2976" i="5"/>
  <c r="J2976" i="5"/>
  <c r="G2976" i="5"/>
  <c r="AC2975" i="5"/>
  <c r="N2975" i="5"/>
  <c r="J2975" i="5"/>
  <c r="G2975" i="5"/>
  <c r="AC2974" i="5"/>
  <c r="N2974" i="5"/>
  <c r="J2974" i="5"/>
  <c r="G2974" i="5"/>
  <c r="AC2973" i="5"/>
  <c r="N2973" i="5"/>
  <c r="J2973" i="5"/>
  <c r="G2973" i="5"/>
  <c r="AC2972" i="5"/>
  <c r="N2972" i="5"/>
  <c r="J2972" i="5"/>
  <c r="G2972" i="5"/>
  <c r="AC2971" i="5"/>
  <c r="N2971" i="5"/>
  <c r="J2971" i="5"/>
  <c r="G2971" i="5"/>
  <c r="AC2970" i="5"/>
  <c r="N2970" i="5"/>
  <c r="J2970" i="5"/>
  <c r="G2970" i="5"/>
  <c r="AC2969" i="5"/>
  <c r="N2969" i="5"/>
  <c r="J2969" i="5"/>
  <c r="G2969" i="5"/>
  <c r="AC2968" i="5"/>
  <c r="N2968" i="5"/>
  <c r="J2968" i="5"/>
  <c r="G2968" i="5"/>
  <c r="AC2967" i="5"/>
  <c r="N2967" i="5"/>
  <c r="J2967" i="5"/>
  <c r="G2967" i="5"/>
  <c r="AC2966" i="5"/>
  <c r="N2966" i="5"/>
  <c r="J2966" i="5"/>
  <c r="G2966" i="5"/>
  <c r="AC2965" i="5"/>
  <c r="N2965" i="5"/>
  <c r="J2965" i="5"/>
  <c r="G2965" i="5"/>
  <c r="AC2964" i="5"/>
  <c r="N2964" i="5"/>
  <c r="J2964" i="5"/>
  <c r="G2964" i="5"/>
  <c r="AC2963" i="5"/>
  <c r="N2963" i="5"/>
  <c r="J2963" i="5"/>
  <c r="G2963" i="5"/>
  <c r="AC2962" i="5"/>
  <c r="N2962" i="5"/>
  <c r="J2962" i="5"/>
  <c r="G2962" i="5"/>
  <c r="AC2961" i="5"/>
  <c r="N2961" i="5"/>
  <c r="J2961" i="5"/>
  <c r="G2961" i="5"/>
  <c r="AC2960" i="5"/>
  <c r="N2960" i="5"/>
  <c r="J2960" i="5"/>
  <c r="G2960" i="5"/>
  <c r="AC2959" i="5"/>
  <c r="N2959" i="5"/>
  <c r="J2959" i="5"/>
  <c r="G2959" i="5"/>
  <c r="AC2958" i="5"/>
  <c r="N2958" i="5"/>
  <c r="J2958" i="5"/>
  <c r="G2958" i="5"/>
  <c r="AC2957" i="5"/>
  <c r="N2957" i="5"/>
  <c r="J2957" i="5"/>
  <c r="G2957" i="5"/>
  <c r="AC2956" i="5"/>
  <c r="N2956" i="5"/>
  <c r="J2956" i="5"/>
  <c r="G2956" i="5"/>
  <c r="AC2955" i="5"/>
  <c r="N2955" i="5"/>
  <c r="J2955" i="5"/>
  <c r="G2955" i="5"/>
  <c r="AC2954" i="5"/>
  <c r="N2954" i="5"/>
  <c r="J2954" i="5"/>
  <c r="G2954" i="5"/>
  <c r="AC2953" i="5"/>
  <c r="N2953" i="5"/>
  <c r="J2953" i="5"/>
  <c r="G2953" i="5"/>
  <c r="AC2952" i="5"/>
  <c r="N2952" i="5"/>
  <c r="J2952" i="5"/>
  <c r="G2952" i="5"/>
  <c r="AC2951" i="5"/>
  <c r="N2951" i="5"/>
  <c r="J2951" i="5"/>
  <c r="G2951" i="5"/>
  <c r="AC2950" i="5"/>
  <c r="N2950" i="5"/>
  <c r="J2950" i="5"/>
  <c r="G2950" i="5"/>
  <c r="AC2949" i="5"/>
  <c r="N2949" i="5"/>
  <c r="J2949" i="5"/>
  <c r="G2949" i="5"/>
  <c r="AC2948" i="5"/>
  <c r="N2948" i="5"/>
  <c r="J2948" i="5"/>
  <c r="G2948" i="5"/>
  <c r="AC2947" i="5"/>
  <c r="N2947" i="5"/>
  <c r="J2947" i="5"/>
  <c r="G2947" i="5"/>
  <c r="AC2946" i="5"/>
  <c r="N2946" i="5"/>
  <c r="J2946" i="5"/>
  <c r="G2946" i="5"/>
  <c r="AC2945" i="5"/>
  <c r="N2945" i="5"/>
  <c r="J2945" i="5"/>
  <c r="G2945" i="5"/>
  <c r="AC2944" i="5"/>
  <c r="N2944" i="5"/>
  <c r="J2944" i="5"/>
  <c r="G2944" i="5"/>
  <c r="AC2943" i="5"/>
  <c r="N2943" i="5"/>
  <c r="J2943" i="5"/>
  <c r="G2943" i="5"/>
  <c r="AC2942" i="5"/>
  <c r="N2942" i="5"/>
  <c r="J2942" i="5"/>
  <c r="G2942" i="5"/>
  <c r="AC2941" i="5"/>
  <c r="N2941" i="5"/>
  <c r="J2941" i="5"/>
  <c r="G2941" i="5"/>
  <c r="AC2940" i="5"/>
  <c r="N2940" i="5"/>
  <c r="J2940" i="5"/>
  <c r="G2940" i="5"/>
  <c r="AC2939" i="5"/>
  <c r="N2939" i="5"/>
  <c r="J2939" i="5"/>
  <c r="G2939" i="5"/>
  <c r="AC2938" i="5"/>
  <c r="N2938" i="5"/>
  <c r="J2938" i="5"/>
  <c r="G2938" i="5"/>
  <c r="AC2937" i="5"/>
  <c r="N2937" i="5"/>
  <c r="J2937" i="5"/>
  <c r="G2937" i="5"/>
  <c r="AC2936" i="5"/>
  <c r="N2936" i="5"/>
  <c r="J2936" i="5"/>
  <c r="G2936" i="5"/>
  <c r="AC2935" i="5"/>
  <c r="N2935" i="5"/>
  <c r="J2935" i="5"/>
  <c r="G2935" i="5"/>
  <c r="AQ2934" i="5"/>
  <c r="AC2934" i="5"/>
  <c r="N2934" i="5"/>
  <c r="J2934" i="5"/>
  <c r="G2934" i="5"/>
  <c r="AC2933" i="5"/>
  <c r="N2933" i="5"/>
  <c r="J2933" i="5"/>
  <c r="G2933" i="5"/>
  <c r="AQ2932" i="5"/>
  <c r="AC2932" i="5"/>
  <c r="N2932" i="5"/>
  <c r="J2932" i="5"/>
  <c r="G2932" i="5"/>
  <c r="AQ2931" i="5"/>
  <c r="AC2931" i="5"/>
  <c r="N2931" i="5"/>
  <c r="J2931" i="5"/>
  <c r="G2931" i="5"/>
  <c r="AQ2930" i="5"/>
  <c r="AC2930" i="5"/>
  <c r="N2930" i="5"/>
  <c r="J2930" i="5"/>
  <c r="G2930" i="5"/>
  <c r="AQ2929" i="5"/>
  <c r="AC2929" i="5"/>
  <c r="N2929" i="5"/>
  <c r="J2929" i="5"/>
  <c r="G2929" i="5"/>
  <c r="AQ2928" i="5"/>
  <c r="AC2928" i="5"/>
  <c r="N2928" i="5"/>
  <c r="J2928" i="5"/>
  <c r="G2928" i="5"/>
  <c r="AQ2927" i="5"/>
  <c r="AC2927" i="5"/>
  <c r="N2927" i="5"/>
  <c r="J2927" i="5"/>
  <c r="G2927" i="5"/>
  <c r="AQ2926" i="5"/>
  <c r="AC2926" i="5"/>
  <c r="N2926" i="5"/>
  <c r="J2926" i="5"/>
  <c r="G2926" i="5"/>
  <c r="AQ2925" i="5"/>
  <c r="AC2925" i="5"/>
  <c r="N2925" i="5"/>
  <c r="J2925" i="5"/>
  <c r="G2925" i="5"/>
  <c r="AQ2924" i="5"/>
  <c r="AC2924" i="5"/>
  <c r="N2924" i="5"/>
  <c r="J2924" i="5"/>
  <c r="G2924" i="5"/>
  <c r="AQ2923" i="5"/>
  <c r="AC2923" i="5"/>
  <c r="N2923" i="5"/>
  <c r="J2923" i="5"/>
  <c r="G2923" i="5"/>
  <c r="AQ2922" i="5"/>
  <c r="AC2922" i="5"/>
  <c r="N2922" i="5"/>
  <c r="J2922" i="5"/>
  <c r="G2922" i="5"/>
  <c r="AQ2921" i="5"/>
  <c r="AC2921" i="5"/>
  <c r="N2921" i="5"/>
  <c r="J2921" i="5"/>
  <c r="G2921" i="5"/>
  <c r="AC2920" i="5"/>
  <c r="N2920" i="5"/>
  <c r="J2920" i="5"/>
  <c r="G2920" i="5"/>
  <c r="AC2919" i="5"/>
  <c r="N2919" i="5"/>
  <c r="J2919" i="5"/>
  <c r="G2919" i="5"/>
  <c r="AC2918" i="5"/>
  <c r="N2918" i="5"/>
  <c r="J2918" i="5"/>
  <c r="G2918" i="5"/>
  <c r="AC2917" i="5"/>
  <c r="N2917" i="5"/>
  <c r="J2917" i="5"/>
  <c r="G2917" i="5"/>
  <c r="AC2916" i="5"/>
  <c r="N2916" i="5"/>
  <c r="J2916" i="5"/>
  <c r="G2916" i="5"/>
  <c r="AC2915" i="5"/>
  <c r="N2915" i="5"/>
  <c r="J2915" i="5"/>
  <c r="G2915" i="5"/>
  <c r="AC2914" i="5"/>
  <c r="N2914" i="5"/>
  <c r="J2914" i="5"/>
  <c r="G2914" i="5"/>
  <c r="AC2913" i="5"/>
  <c r="N2913" i="5"/>
  <c r="J2913" i="5"/>
  <c r="G2913" i="5"/>
  <c r="AC2912" i="5"/>
  <c r="N2912" i="5"/>
  <c r="J2912" i="5"/>
  <c r="G2912" i="5"/>
  <c r="AC2911" i="5"/>
  <c r="N2911" i="5"/>
  <c r="J2911" i="5"/>
  <c r="G2911" i="5"/>
  <c r="AC2910" i="5"/>
  <c r="N2910" i="5"/>
  <c r="J2910" i="5"/>
  <c r="G2910" i="5"/>
  <c r="AC2909" i="5"/>
  <c r="N2909" i="5"/>
  <c r="J2909" i="5"/>
  <c r="G2909" i="5"/>
  <c r="AC2908" i="5"/>
  <c r="N2908" i="5"/>
  <c r="J2908" i="5"/>
  <c r="G2908" i="5"/>
  <c r="AC2907" i="5"/>
  <c r="N2907" i="5"/>
  <c r="J2907" i="5"/>
  <c r="G2907" i="5"/>
  <c r="AC2906" i="5"/>
  <c r="N2906" i="5"/>
  <c r="J2906" i="5"/>
  <c r="G2906" i="5"/>
  <c r="AC2905" i="5"/>
  <c r="N2905" i="5"/>
  <c r="J2905" i="5"/>
  <c r="G2905" i="5"/>
  <c r="AC2904" i="5"/>
  <c r="N2904" i="5"/>
  <c r="J2904" i="5"/>
  <c r="G2904" i="5"/>
  <c r="AC2903" i="5"/>
  <c r="N2903" i="5"/>
  <c r="J2903" i="5"/>
  <c r="G2903" i="5"/>
  <c r="AC2902" i="5"/>
  <c r="N2902" i="5"/>
  <c r="J2902" i="5"/>
  <c r="G2902" i="5"/>
  <c r="AC2901" i="5"/>
  <c r="N2901" i="5"/>
  <c r="J2901" i="5"/>
  <c r="G2901" i="5"/>
  <c r="AC2900" i="5"/>
  <c r="N2900" i="5"/>
  <c r="J2900" i="5"/>
  <c r="G2900" i="5"/>
  <c r="AQ2899" i="5"/>
  <c r="AC2899" i="5"/>
  <c r="N2899" i="5"/>
  <c r="J2899" i="5"/>
  <c r="G2899" i="5"/>
  <c r="AC2898" i="5"/>
  <c r="N2898" i="5"/>
  <c r="J2898" i="5"/>
  <c r="G2898" i="5"/>
  <c r="AC2897" i="5"/>
  <c r="N2897" i="5"/>
  <c r="J2897" i="5"/>
  <c r="G2897" i="5"/>
  <c r="AC2896" i="5"/>
  <c r="N2896" i="5"/>
  <c r="J2896" i="5"/>
  <c r="G2896" i="5"/>
  <c r="AC2895" i="5"/>
  <c r="N2895" i="5"/>
  <c r="J2895" i="5"/>
  <c r="G2895" i="5"/>
  <c r="AC2894" i="5"/>
  <c r="N2894" i="5"/>
  <c r="J2894" i="5"/>
  <c r="G2894" i="5"/>
  <c r="AC2893" i="5"/>
  <c r="N2893" i="5"/>
  <c r="J2893" i="5"/>
  <c r="G2893" i="5"/>
  <c r="AC2892" i="5"/>
  <c r="N2892" i="5"/>
  <c r="J2892" i="5"/>
  <c r="G2892" i="5"/>
  <c r="AC2891" i="5"/>
  <c r="N2891" i="5"/>
  <c r="J2891" i="5"/>
  <c r="G2891" i="5"/>
  <c r="AC2890" i="5"/>
  <c r="N2890" i="5"/>
  <c r="J2890" i="5"/>
  <c r="G2890" i="5"/>
  <c r="AC2889" i="5"/>
  <c r="N2889" i="5"/>
  <c r="J2889" i="5"/>
  <c r="G2889" i="5"/>
  <c r="AC2888" i="5"/>
  <c r="N2888" i="5"/>
  <c r="J2888" i="5"/>
  <c r="G2888" i="5"/>
  <c r="AC2887" i="5"/>
  <c r="N2887" i="5"/>
  <c r="J2887" i="5"/>
  <c r="G2887" i="5"/>
  <c r="AC2886" i="5"/>
  <c r="N2886" i="5"/>
  <c r="J2886" i="5"/>
  <c r="G2886" i="5"/>
  <c r="AC2885" i="5"/>
  <c r="N2885" i="5"/>
  <c r="J2885" i="5"/>
  <c r="G2885" i="5"/>
  <c r="AC2884" i="5"/>
  <c r="N2884" i="5"/>
  <c r="J2884" i="5"/>
  <c r="G2884" i="5"/>
  <c r="AC2883" i="5"/>
  <c r="N2883" i="5"/>
  <c r="J2883" i="5"/>
  <c r="G2883" i="5"/>
  <c r="AC2882" i="5"/>
  <c r="N2882" i="5"/>
  <c r="J2882" i="5"/>
  <c r="G2882" i="5"/>
  <c r="AC2881" i="5"/>
  <c r="N2881" i="5"/>
  <c r="J2881" i="5"/>
  <c r="G2881" i="5"/>
  <c r="AC2880" i="5"/>
  <c r="N2880" i="5"/>
  <c r="J2880" i="5"/>
  <c r="G2880" i="5"/>
  <c r="AC2879" i="5"/>
  <c r="N2879" i="5"/>
  <c r="J2879" i="5"/>
  <c r="G2879" i="5"/>
  <c r="AC2878" i="5"/>
  <c r="N2878" i="5"/>
  <c r="J2878" i="5"/>
  <c r="G2878" i="5"/>
  <c r="AC2877" i="5"/>
  <c r="N2877" i="5"/>
  <c r="J2877" i="5"/>
  <c r="G2877" i="5"/>
  <c r="AC2876" i="5"/>
  <c r="N2876" i="5"/>
  <c r="J2876" i="5"/>
  <c r="G2876" i="5"/>
  <c r="AC2875" i="5"/>
  <c r="N2875" i="5"/>
  <c r="J2875" i="5"/>
  <c r="G2875" i="5"/>
  <c r="AC2874" i="5"/>
  <c r="N2874" i="5"/>
  <c r="J2874" i="5"/>
  <c r="G2874" i="5"/>
  <c r="AC2873" i="5"/>
  <c r="N2873" i="5"/>
  <c r="J2873" i="5"/>
  <c r="G2873" i="5"/>
  <c r="AC2872" i="5"/>
  <c r="N2872" i="5"/>
  <c r="J2872" i="5"/>
  <c r="G2872" i="5"/>
  <c r="AC2871" i="5"/>
  <c r="N2871" i="5"/>
  <c r="J2871" i="5"/>
  <c r="G2871" i="5"/>
  <c r="AQ2870" i="5"/>
  <c r="AC2870" i="5"/>
  <c r="N2870" i="5"/>
  <c r="J2870" i="5"/>
  <c r="G2870" i="5"/>
  <c r="AC2869" i="5"/>
  <c r="N2869" i="5"/>
  <c r="J2869" i="5"/>
  <c r="G2869" i="5"/>
  <c r="AC2868" i="5"/>
  <c r="N2868" i="5"/>
  <c r="J2868" i="5"/>
  <c r="G2868" i="5"/>
  <c r="AC2867" i="5"/>
  <c r="N2867" i="5"/>
  <c r="J2867" i="5"/>
  <c r="G2867" i="5"/>
  <c r="AC2866" i="5"/>
  <c r="N2866" i="5"/>
  <c r="J2866" i="5"/>
  <c r="G2866" i="5"/>
  <c r="AQ2865" i="5"/>
  <c r="AC2865" i="5"/>
  <c r="N2865" i="5"/>
  <c r="J2865" i="5"/>
  <c r="G2865" i="5"/>
  <c r="AQ2864" i="5"/>
  <c r="AC2864" i="5"/>
  <c r="N2864" i="5"/>
  <c r="J2864" i="5"/>
  <c r="G2864" i="5"/>
  <c r="AC2863" i="5"/>
  <c r="N2863" i="5"/>
  <c r="J2863" i="5"/>
  <c r="G2863" i="5"/>
  <c r="AQ2862" i="5"/>
  <c r="AC2862" i="5"/>
  <c r="N2862" i="5"/>
  <c r="J2862" i="5"/>
  <c r="G2862" i="5"/>
  <c r="AC2861" i="5"/>
  <c r="N2861" i="5"/>
  <c r="J2861" i="5"/>
  <c r="G2861" i="5"/>
  <c r="AQ2860" i="5"/>
  <c r="AC2860" i="5"/>
  <c r="N2860" i="5"/>
  <c r="J2860" i="5"/>
  <c r="G2860" i="5"/>
  <c r="AC2859" i="5"/>
  <c r="N2859" i="5"/>
  <c r="J2859" i="5"/>
  <c r="G2859" i="5"/>
  <c r="AC2858" i="5"/>
  <c r="N2858" i="5"/>
  <c r="J2858" i="5"/>
  <c r="G2858" i="5"/>
  <c r="AC2857" i="5"/>
  <c r="N2857" i="5"/>
  <c r="J2857" i="5"/>
  <c r="G2857" i="5"/>
  <c r="AC2856" i="5"/>
  <c r="N2856" i="5"/>
  <c r="J2856" i="5"/>
  <c r="G2856" i="5"/>
  <c r="AC2855" i="5"/>
  <c r="N2855" i="5"/>
  <c r="J2855" i="5"/>
  <c r="G2855" i="5"/>
  <c r="AC2854" i="5"/>
  <c r="N2854" i="5"/>
  <c r="J2854" i="5"/>
  <c r="G2854" i="5"/>
  <c r="AC2853" i="5"/>
  <c r="N2853" i="5"/>
  <c r="J2853" i="5"/>
  <c r="G2853" i="5"/>
  <c r="AC2852" i="5"/>
  <c r="N2852" i="5"/>
  <c r="J2852" i="5"/>
  <c r="G2852" i="5"/>
  <c r="AC2851" i="5"/>
  <c r="N2851" i="5"/>
  <c r="J2851" i="5"/>
  <c r="G2851" i="5"/>
  <c r="AC2850" i="5"/>
  <c r="N2850" i="5"/>
  <c r="J2850" i="5"/>
  <c r="G2850" i="5"/>
  <c r="AC2849" i="5"/>
  <c r="N2849" i="5"/>
  <c r="J2849" i="5"/>
  <c r="G2849" i="5"/>
  <c r="AC2848" i="5"/>
  <c r="N2848" i="5"/>
  <c r="J2848" i="5"/>
  <c r="G2848" i="5"/>
  <c r="AC2847" i="5"/>
  <c r="N2847" i="5"/>
  <c r="J2847" i="5"/>
  <c r="G2847" i="5"/>
  <c r="AC2846" i="5"/>
  <c r="N2846" i="5"/>
  <c r="J2846" i="5"/>
  <c r="G2846" i="5"/>
  <c r="AC2845" i="5"/>
  <c r="N2845" i="5"/>
  <c r="J2845" i="5"/>
  <c r="G2845" i="5"/>
  <c r="AC2844" i="5"/>
  <c r="N2844" i="5"/>
  <c r="J2844" i="5"/>
  <c r="G2844" i="5"/>
  <c r="AC2843" i="5"/>
  <c r="N2843" i="5"/>
  <c r="J2843" i="5"/>
  <c r="G2843" i="5"/>
  <c r="AC2842" i="5"/>
  <c r="N2842" i="5"/>
  <c r="J2842" i="5"/>
  <c r="G2842" i="5"/>
  <c r="AC2841" i="5"/>
  <c r="N2841" i="5"/>
  <c r="J2841" i="5"/>
  <c r="G2841" i="5"/>
  <c r="AC2840" i="5"/>
  <c r="N2840" i="5"/>
  <c r="J2840" i="5"/>
  <c r="G2840" i="5"/>
  <c r="AC2839" i="5"/>
  <c r="N2839" i="5"/>
  <c r="J2839" i="5"/>
  <c r="G2839" i="5"/>
  <c r="AC2838" i="5"/>
  <c r="N2838" i="5"/>
  <c r="J2838" i="5"/>
  <c r="G2838" i="5"/>
  <c r="AC2837" i="5"/>
  <c r="N2837" i="5"/>
  <c r="J2837" i="5"/>
  <c r="G2837" i="5"/>
  <c r="AC2836" i="5"/>
  <c r="N2836" i="5"/>
  <c r="J2836" i="5"/>
  <c r="G2836" i="5"/>
  <c r="AC2835" i="5"/>
  <c r="N2835" i="5"/>
  <c r="J2835" i="5"/>
  <c r="G2835" i="5"/>
  <c r="AC2834" i="5"/>
  <c r="N2834" i="5"/>
  <c r="J2834" i="5"/>
  <c r="G2834" i="5"/>
  <c r="AC2833" i="5"/>
  <c r="N2833" i="5"/>
  <c r="J2833" i="5"/>
  <c r="G2833" i="5"/>
  <c r="AC2832" i="5"/>
  <c r="N2832" i="5"/>
  <c r="J2832" i="5"/>
  <c r="G2832" i="5"/>
  <c r="AC2831" i="5"/>
  <c r="N2831" i="5"/>
  <c r="J2831" i="5"/>
  <c r="G2831" i="5"/>
  <c r="AC2830" i="5"/>
  <c r="N2830" i="5"/>
  <c r="J2830" i="5"/>
  <c r="G2830" i="5"/>
  <c r="AC2829" i="5"/>
  <c r="N2829" i="5"/>
  <c r="J2829" i="5"/>
  <c r="G2829" i="5"/>
  <c r="AC2828" i="5"/>
  <c r="N2828" i="5"/>
  <c r="J2828" i="5"/>
  <c r="G2828" i="5"/>
  <c r="AC2827" i="5"/>
  <c r="N2827" i="5"/>
  <c r="J2827" i="5"/>
  <c r="G2827" i="5"/>
  <c r="AC2826" i="5"/>
  <c r="N2826" i="5"/>
  <c r="J2826" i="5"/>
  <c r="G2826" i="5"/>
  <c r="AC2825" i="5"/>
  <c r="N2825" i="5"/>
  <c r="J2825" i="5"/>
  <c r="G2825" i="5"/>
  <c r="AC2824" i="5"/>
  <c r="N2824" i="5"/>
  <c r="J2824" i="5"/>
  <c r="G2824" i="5"/>
  <c r="AC2823" i="5"/>
  <c r="N2823" i="5"/>
  <c r="J2823" i="5"/>
  <c r="G2823" i="5"/>
  <c r="AC2822" i="5"/>
  <c r="N2822" i="5"/>
  <c r="J2822" i="5"/>
  <c r="G2822" i="5"/>
  <c r="AC2821" i="5"/>
  <c r="N2821" i="5"/>
  <c r="J2821" i="5"/>
  <c r="G2821" i="5"/>
  <c r="AC2820" i="5"/>
  <c r="N2820" i="5"/>
  <c r="J2820" i="5"/>
  <c r="G2820" i="5"/>
  <c r="AC2819" i="5"/>
  <c r="N2819" i="5"/>
  <c r="J2819" i="5"/>
  <c r="G2819" i="5"/>
  <c r="AC2818" i="5"/>
  <c r="N2818" i="5"/>
  <c r="J2818" i="5"/>
  <c r="G2818" i="5"/>
  <c r="AC2817" i="5"/>
  <c r="N2817" i="5"/>
  <c r="J2817" i="5"/>
  <c r="G2817" i="5"/>
  <c r="AC2816" i="5"/>
  <c r="N2816" i="5"/>
  <c r="J2816" i="5"/>
  <c r="G2816" i="5"/>
  <c r="AC2815" i="5"/>
  <c r="N2815" i="5"/>
  <c r="J2815" i="5"/>
  <c r="G2815" i="5"/>
  <c r="AC2814" i="5"/>
  <c r="N2814" i="5"/>
  <c r="J2814" i="5"/>
  <c r="G2814" i="5"/>
  <c r="AC2813" i="5"/>
  <c r="N2813" i="5"/>
  <c r="J2813" i="5"/>
  <c r="G2813" i="5"/>
  <c r="AC2812" i="5"/>
  <c r="N2812" i="5"/>
  <c r="J2812" i="5"/>
  <c r="G2812" i="5"/>
  <c r="AC2811" i="5"/>
  <c r="N2811" i="5"/>
  <c r="J2811" i="5"/>
  <c r="G2811" i="5"/>
  <c r="AC2810" i="5"/>
  <c r="N2810" i="5"/>
  <c r="J2810" i="5"/>
  <c r="G2810" i="5"/>
  <c r="AC2809" i="5"/>
  <c r="N2809" i="5"/>
  <c r="J2809" i="5"/>
  <c r="G2809" i="5"/>
  <c r="AC2808" i="5"/>
  <c r="N2808" i="5"/>
  <c r="J2808" i="5"/>
  <c r="G2808" i="5"/>
  <c r="AQ2807" i="5"/>
  <c r="AC2807" i="5"/>
  <c r="N2807" i="5"/>
  <c r="J2807" i="5"/>
  <c r="G2807" i="5"/>
  <c r="AC2806" i="5"/>
  <c r="N2806" i="5"/>
  <c r="J2806" i="5"/>
  <c r="G2806" i="5"/>
  <c r="AC2805" i="5"/>
  <c r="N2805" i="5"/>
  <c r="J2805" i="5"/>
  <c r="G2805" i="5"/>
  <c r="AC2804" i="5"/>
  <c r="N2804" i="5"/>
  <c r="J2804" i="5"/>
  <c r="G2804" i="5"/>
  <c r="AC2803" i="5"/>
  <c r="N2803" i="5"/>
  <c r="J2803" i="5"/>
  <c r="G2803" i="5"/>
  <c r="AC2802" i="5"/>
  <c r="N2802" i="5"/>
  <c r="J2802" i="5"/>
  <c r="G2802" i="5"/>
  <c r="AC2801" i="5"/>
  <c r="N2801" i="5"/>
  <c r="J2801" i="5"/>
  <c r="G2801" i="5"/>
  <c r="AC2800" i="5"/>
  <c r="N2800" i="5"/>
  <c r="J2800" i="5"/>
  <c r="G2800" i="5"/>
  <c r="AC2799" i="5"/>
  <c r="N2799" i="5"/>
  <c r="J2799" i="5"/>
  <c r="G2799" i="5"/>
  <c r="AC2798" i="5"/>
  <c r="N2798" i="5"/>
  <c r="J2798" i="5"/>
  <c r="G2798" i="5"/>
  <c r="AC2797" i="5"/>
  <c r="N2797" i="5"/>
  <c r="J2797" i="5"/>
  <c r="G2797" i="5"/>
  <c r="AC2796" i="5"/>
  <c r="N2796" i="5"/>
  <c r="J2796" i="5"/>
  <c r="G2796" i="5"/>
  <c r="AC2795" i="5"/>
  <c r="N2795" i="5"/>
  <c r="J2795" i="5"/>
  <c r="G2795" i="5"/>
  <c r="AC2794" i="5"/>
  <c r="N2794" i="5"/>
  <c r="J2794" i="5"/>
  <c r="G2794" i="5"/>
  <c r="AC2793" i="5"/>
  <c r="N2793" i="5"/>
  <c r="J2793" i="5"/>
  <c r="G2793" i="5"/>
  <c r="AC2792" i="5"/>
  <c r="N2792" i="5"/>
  <c r="J2792" i="5"/>
  <c r="G2792" i="5"/>
  <c r="AC2791" i="5"/>
  <c r="N2791" i="5"/>
  <c r="J2791" i="5"/>
  <c r="G2791" i="5"/>
  <c r="AC2790" i="5"/>
  <c r="N2790" i="5"/>
  <c r="J2790" i="5"/>
  <c r="G2790" i="5"/>
  <c r="AC2789" i="5"/>
  <c r="N2789" i="5"/>
  <c r="J2789" i="5"/>
  <c r="G2789" i="5"/>
  <c r="AC2788" i="5"/>
  <c r="N2788" i="5"/>
  <c r="J2788" i="5"/>
  <c r="G2788" i="5"/>
  <c r="AQ2787" i="5"/>
  <c r="AC2787" i="5"/>
  <c r="N2787" i="5"/>
  <c r="J2787" i="5"/>
  <c r="G2787" i="5"/>
  <c r="AC2786" i="5"/>
  <c r="N2786" i="5"/>
  <c r="J2786" i="5"/>
  <c r="G2786" i="5"/>
  <c r="AC2785" i="5"/>
  <c r="N2785" i="5"/>
  <c r="J2785" i="5"/>
  <c r="G2785" i="5"/>
  <c r="AC2784" i="5"/>
  <c r="N2784" i="5"/>
  <c r="J2784" i="5"/>
  <c r="G2784" i="5"/>
  <c r="AC2783" i="5"/>
  <c r="N2783" i="5"/>
  <c r="J2783" i="5"/>
  <c r="G2783" i="5"/>
  <c r="AC2782" i="5"/>
  <c r="N2782" i="5"/>
  <c r="J2782" i="5"/>
  <c r="G2782" i="5"/>
  <c r="AC2781" i="5"/>
  <c r="N2781" i="5"/>
  <c r="J2781" i="5"/>
  <c r="G2781" i="5"/>
  <c r="AC2780" i="5"/>
  <c r="N2780" i="5"/>
  <c r="J2780" i="5"/>
  <c r="G2780" i="5"/>
  <c r="AC2779" i="5"/>
  <c r="N2779" i="5"/>
  <c r="J2779" i="5"/>
  <c r="G2779" i="5"/>
  <c r="AC2778" i="5"/>
  <c r="N2778" i="5"/>
  <c r="J2778" i="5"/>
  <c r="G2778" i="5"/>
  <c r="AC2777" i="5"/>
  <c r="N2777" i="5"/>
  <c r="J2777" i="5"/>
  <c r="G2777" i="5"/>
  <c r="AC2776" i="5"/>
  <c r="N2776" i="5"/>
  <c r="J2776" i="5"/>
  <c r="G2776" i="5"/>
  <c r="AC2775" i="5"/>
  <c r="N2775" i="5"/>
  <c r="J2775" i="5"/>
  <c r="G2775" i="5"/>
  <c r="AC2774" i="5"/>
  <c r="N2774" i="5"/>
  <c r="J2774" i="5"/>
  <c r="G2774" i="5"/>
  <c r="AC2773" i="5"/>
  <c r="N2773" i="5"/>
  <c r="J2773" i="5"/>
  <c r="G2773" i="5"/>
  <c r="AC2772" i="5"/>
  <c r="N2772" i="5"/>
  <c r="J2772" i="5"/>
  <c r="G2772" i="5"/>
  <c r="AC2771" i="5"/>
  <c r="N2771" i="5"/>
  <c r="J2771" i="5"/>
  <c r="G2771" i="5"/>
  <c r="AC2770" i="5"/>
  <c r="N2770" i="5"/>
  <c r="J2770" i="5"/>
  <c r="G2770" i="5"/>
  <c r="AC2769" i="5"/>
  <c r="N2769" i="5"/>
  <c r="J2769" i="5"/>
  <c r="G2769" i="5"/>
  <c r="AC2768" i="5"/>
  <c r="N2768" i="5"/>
  <c r="J2768" i="5"/>
  <c r="G2768" i="5"/>
  <c r="AC2767" i="5"/>
  <c r="N2767" i="5"/>
  <c r="J2767" i="5"/>
  <c r="G2767" i="5"/>
  <c r="AQ2766" i="5"/>
  <c r="AC2766" i="5"/>
  <c r="N2766" i="5"/>
  <c r="J2766" i="5"/>
  <c r="G2766" i="5"/>
  <c r="AC2765" i="5"/>
  <c r="N2765" i="5"/>
  <c r="J2765" i="5"/>
  <c r="G2765" i="5"/>
  <c r="AQ2764" i="5"/>
  <c r="AC2764" i="5"/>
  <c r="N2764" i="5"/>
  <c r="J2764" i="5"/>
  <c r="G2764" i="5"/>
  <c r="AQ2763" i="5"/>
  <c r="AC2763" i="5"/>
  <c r="N2763" i="5"/>
  <c r="J2763" i="5"/>
  <c r="G2763" i="5"/>
  <c r="AC2762" i="5"/>
  <c r="N2762" i="5"/>
  <c r="J2762" i="5"/>
  <c r="G2762" i="5"/>
  <c r="AC2761" i="5"/>
  <c r="N2761" i="5"/>
  <c r="J2761" i="5"/>
  <c r="G2761" i="5"/>
  <c r="AQ2760" i="5"/>
  <c r="AC2760" i="5"/>
  <c r="N2760" i="5"/>
  <c r="J2760" i="5"/>
  <c r="G2760" i="5"/>
  <c r="AC2759" i="5"/>
  <c r="N2759" i="5"/>
  <c r="J2759" i="5"/>
  <c r="G2759" i="5"/>
  <c r="AQ2758" i="5"/>
  <c r="AC2758" i="5"/>
  <c r="N2758" i="5"/>
  <c r="J2758" i="5"/>
  <c r="G2758" i="5"/>
  <c r="AC2757" i="5"/>
  <c r="N2757" i="5"/>
  <c r="J2757" i="5"/>
  <c r="G2757" i="5"/>
  <c r="AC2756" i="5"/>
  <c r="N2756" i="5"/>
  <c r="J2756" i="5"/>
  <c r="G2756" i="5"/>
  <c r="AC2755" i="5"/>
  <c r="N2755" i="5"/>
  <c r="J2755" i="5"/>
  <c r="G2755" i="5"/>
  <c r="AC2754" i="5"/>
  <c r="N2754" i="5"/>
  <c r="J2754" i="5"/>
  <c r="G2754" i="5"/>
  <c r="AC2753" i="5"/>
  <c r="N2753" i="5"/>
  <c r="J2753" i="5"/>
  <c r="G2753" i="5"/>
  <c r="AC2752" i="5"/>
  <c r="N2752" i="5"/>
  <c r="J2752" i="5"/>
  <c r="G2752" i="5"/>
  <c r="AC2751" i="5"/>
  <c r="N2751" i="5"/>
  <c r="J2751" i="5"/>
  <c r="G2751" i="5"/>
  <c r="AC2750" i="5"/>
  <c r="N2750" i="5"/>
  <c r="J2750" i="5"/>
  <c r="G2750" i="5"/>
  <c r="AC2749" i="5"/>
  <c r="N2749" i="5"/>
  <c r="J2749" i="5"/>
  <c r="G2749" i="5"/>
  <c r="AC2748" i="5"/>
  <c r="N2748" i="5"/>
  <c r="J2748" i="5"/>
  <c r="G2748" i="5"/>
  <c r="AC2747" i="5"/>
  <c r="N2747" i="5"/>
  <c r="J2747" i="5"/>
  <c r="G2747" i="5"/>
  <c r="AC2746" i="5"/>
  <c r="N2746" i="5"/>
  <c r="J2746" i="5"/>
  <c r="G2746" i="5"/>
  <c r="AC2745" i="5"/>
  <c r="N2745" i="5"/>
  <c r="J2745" i="5"/>
  <c r="G2745" i="5"/>
  <c r="AC2744" i="5"/>
  <c r="N2744" i="5"/>
  <c r="J2744" i="5"/>
  <c r="G2744" i="5"/>
  <c r="AQ2743" i="5"/>
  <c r="AC2743" i="5"/>
  <c r="N2743" i="5"/>
  <c r="J2743" i="5"/>
  <c r="G2743" i="5"/>
  <c r="AC2742" i="5"/>
  <c r="N2742" i="5"/>
  <c r="J2742" i="5"/>
  <c r="G2742" i="5"/>
  <c r="AC2741" i="5"/>
  <c r="N2741" i="5"/>
  <c r="J2741" i="5"/>
  <c r="G2741" i="5"/>
  <c r="AC2740" i="5"/>
  <c r="N2740" i="5"/>
  <c r="J2740" i="5"/>
  <c r="G2740" i="5"/>
  <c r="AC2739" i="5"/>
  <c r="N2739" i="5"/>
  <c r="J2739" i="5"/>
  <c r="G2739" i="5"/>
  <c r="AC2738" i="5"/>
  <c r="N2738" i="5"/>
  <c r="J2738" i="5"/>
  <c r="G2738" i="5"/>
  <c r="AC2737" i="5"/>
  <c r="N2737" i="5"/>
  <c r="J2737" i="5"/>
  <c r="G2737" i="5"/>
  <c r="AC2736" i="5"/>
  <c r="N2736" i="5"/>
  <c r="J2736" i="5"/>
  <c r="G2736" i="5"/>
  <c r="AC2735" i="5"/>
  <c r="N2735" i="5"/>
  <c r="J2735" i="5"/>
  <c r="G2735" i="5"/>
  <c r="AC2734" i="5"/>
  <c r="N2734" i="5"/>
  <c r="J2734" i="5"/>
  <c r="G2734" i="5"/>
  <c r="AC2733" i="5"/>
  <c r="N2733" i="5"/>
  <c r="J2733" i="5"/>
  <c r="G2733" i="5"/>
  <c r="AC2732" i="5"/>
  <c r="N2732" i="5"/>
  <c r="J2732" i="5"/>
  <c r="G2732" i="5"/>
  <c r="AC2731" i="5"/>
  <c r="N2731" i="5"/>
  <c r="J2731" i="5"/>
  <c r="G2731" i="5"/>
  <c r="AC2730" i="5"/>
  <c r="N2730" i="5"/>
  <c r="J2730" i="5"/>
  <c r="G2730" i="5"/>
  <c r="AC2729" i="5"/>
  <c r="N2729" i="5"/>
  <c r="J2729" i="5"/>
  <c r="G2729" i="5"/>
  <c r="AC2728" i="5"/>
  <c r="N2728" i="5"/>
  <c r="J2728" i="5"/>
  <c r="G2728" i="5"/>
  <c r="AC2727" i="5"/>
  <c r="N2727" i="5"/>
  <c r="J2727" i="5"/>
  <c r="G2727" i="5"/>
  <c r="AC2726" i="5"/>
  <c r="N2726" i="5"/>
  <c r="J2726" i="5"/>
  <c r="G2726" i="5"/>
  <c r="AC2725" i="5"/>
  <c r="N2725" i="5"/>
  <c r="J2725" i="5"/>
  <c r="G2725" i="5"/>
  <c r="AC2724" i="5"/>
  <c r="N2724" i="5"/>
  <c r="J2724" i="5"/>
  <c r="G2724" i="5"/>
  <c r="AC2723" i="5"/>
  <c r="N2723" i="5"/>
  <c r="J2723" i="5"/>
  <c r="G2723" i="5"/>
  <c r="AC2722" i="5"/>
  <c r="N2722" i="5"/>
  <c r="J2722" i="5"/>
  <c r="G2722" i="5"/>
  <c r="AC2721" i="5"/>
  <c r="N2721" i="5"/>
  <c r="J2721" i="5"/>
  <c r="G2721" i="5"/>
  <c r="AC2720" i="5"/>
  <c r="N2720" i="5"/>
  <c r="J2720" i="5"/>
  <c r="G2720" i="5"/>
  <c r="AC2719" i="5"/>
  <c r="N2719" i="5"/>
  <c r="J2719" i="5"/>
  <c r="G2719" i="5"/>
  <c r="AC2718" i="5"/>
  <c r="N2718" i="5"/>
  <c r="J2718" i="5"/>
  <c r="G2718" i="5"/>
  <c r="AC2717" i="5"/>
  <c r="N2717" i="5"/>
  <c r="J2717" i="5"/>
  <c r="G2717" i="5"/>
  <c r="AC2716" i="5"/>
  <c r="N2716" i="5"/>
  <c r="J2716" i="5"/>
  <c r="G2716" i="5"/>
  <c r="AC2715" i="5"/>
  <c r="N2715" i="5"/>
  <c r="J2715" i="5"/>
  <c r="G2715" i="5"/>
  <c r="AC2714" i="5"/>
  <c r="N2714" i="5"/>
  <c r="J2714" i="5"/>
  <c r="G2714" i="5"/>
  <c r="AC2713" i="5"/>
  <c r="N2713" i="5"/>
  <c r="J2713" i="5"/>
  <c r="G2713" i="5"/>
  <c r="AC2712" i="5"/>
  <c r="N2712" i="5"/>
  <c r="J2712" i="5"/>
  <c r="G2712" i="5"/>
  <c r="AC2711" i="5"/>
  <c r="N2711" i="5"/>
  <c r="J2711" i="5"/>
  <c r="G2711" i="5"/>
  <c r="AC2710" i="5"/>
  <c r="N2710" i="5"/>
  <c r="J2710" i="5"/>
  <c r="G2710" i="5"/>
  <c r="AC2709" i="5"/>
  <c r="N2709" i="5"/>
  <c r="J2709" i="5"/>
  <c r="G2709" i="5"/>
  <c r="AC2708" i="5"/>
  <c r="N2708" i="5"/>
  <c r="J2708" i="5"/>
  <c r="G2708" i="5"/>
  <c r="AC2707" i="5"/>
  <c r="N2707" i="5"/>
  <c r="J2707" i="5"/>
  <c r="G2707" i="5"/>
  <c r="AC2706" i="5"/>
  <c r="N2706" i="5"/>
  <c r="J2706" i="5"/>
  <c r="G2706" i="5"/>
  <c r="AC2705" i="5"/>
  <c r="N2705" i="5"/>
  <c r="J2705" i="5"/>
  <c r="G2705" i="5"/>
  <c r="AC2704" i="5"/>
  <c r="N2704" i="5"/>
  <c r="J2704" i="5"/>
  <c r="G2704" i="5"/>
  <c r="AC2703" i="5"/>
  <c r="N2703" i="5"/>
  <c r="J2703" i="5"/>
  <c r="G2703" i="5"/>
  <c r="AC2702" i="5"/>
  <c r="N2702" i="5"/>
  <c r="J2702" i="5"/>
  <c r="G2702" i="5"/>
  <c r="AC2701" i="5"/>
  <c r="N2701" i="5"/>
  <c r="J2701" i="5"/>
  <c r="G2701" i="5"/>
  <c r="AC2700" i="5"/>
  <c r="N2700" i="5"/>
  <c r="J2700" i="5"/>
  <c r="G2700" i="5"/>
  <c r="AQ2699" i="5"/>
  <c r="AC2699" i="5"/>
  <c r="N2699" i="5"/>
  <c r="J2699" i="5"/>
  <c r="G2699" i="5"/>
  <c r="AC2698" i="5"/>
  <c r="N2698" i="5"/>
  <c r="J2698" i="5"/>
  <c r="G2698" i="5"/>
  <c r="AC2697" i="5"/>
  <c r="N2697" i="5"/>
  <c r="J2697" i="5"/>
  <c r="G2697" i="5"/>
  <c r="AC2696" i="5"/>
  <c r="N2696" i="5"/>
  <c r="J2696" i="5"/>
  <c r="G2696" i="5"/>
  <c r="AC2695" i="5"/>
  <c r="N2695" i="5"/>
  <c r="J2695" i="5"/>
  <c r="G2695" i="5"/>
  <c r="AC2694" i="5"/>
  <c r="N2694" i="5"/>
  <c r="J2694" i="5"/>
  <c r="G2694" i="5"/>
  <c r="AC2693" i="5"/>
  <c r="N2693" i="5"/>
  <c r="J2693" i="5"/>
  <c r="G2693" i="5"/>
  <c r="AC2692" i="5"/>
  <c r="N2692" i="5"/>
  <c r="J2692" i="5"/>
  <c r="G2692" i="5"/>
  <c r="AC2691" i="5"/>
  <c r="N2691" i="5"/>
  <c r="J2691" i="5"/>
  <c r="G2691" i="5"/>
  <c r="AC2690" i="5"/>
  <c r="N2690" i="5"/>
  <c r="J2690" i="5"/>
  <c r="G2690" i="5"/>
  <c r="AC2689" i="5"/>
  <c r="N2689" i="5"/>
  <c r="J2689" i="5"/>
  <c r="G2689" i="5"/>
  <c r="AC2688" i="5"/>
  <c r="N2688" i="5"/>
  <c r="J2688" i="5"/>
  <c r="G2688" i="5"/>
  <c r="AC2687" i="5"/>
  <c r="N2687" i="5"/>
  <c r="J2687" i="5"/>
  <c r="G2687" i="5"/>
  <c r="AC2686" i="5"/>
  <c r="N2686" i="5"/>
  <c r="J2686" i="5"/>
  <c r="G2686" i="5"/>
  <c r="AC2685" i="5"/>
  <c r="N2685" i="5"/>
  <c r="J2685" i="5"/>
  <c r="G2685" i="5"/>
  <c r="AC2684" i="5"/>
  <c r="N2684" i="5"/>
  <c r="J2684" i="5"/>
  <c r="G2684" i="5"/>
  <c r="AC2683" i="5"/>
  <c r="N2683" i="5"/>
  <c r="J2683" i="5"/>
  <c r="G2683" i="5"/>
  <c r="AC2682" i="5"/>
  <c r="N2682" i="5"/>
  <c r="J2682" i="5"/>
  <c r="G2682" i="5"/>
  <c r="AC2681" i="5"/>
  <c r="N2681" i="5"/>
  <c r="J2681" i="5"/>
  <c r="G2681" i="5"/>
  <c r="AC2680" i="5"/>
  <c r="N2680" i="5"/>
  <c r="J2680" i="5"/>
  <c r="G2680" i="5"/>
  <c r="AC2679" i="5"/>
  <c r="N2679" i="5"/>
  <c r="J2679" i="5"/>
  <c r="G2679" i="5"/>
  <c r="AC2678" i="5"/>
  <c r="N2678" i="5"/>
  <c r="J2678" i="5"/>
  <c r="G2678" i="5"/>
  <c r="AC2677" i="5"/>
  <c r="N2677" i="5"/>
  <c r="J2677" i="5"/>
  <c r="G2677" i="5"/>
  <c r="AC2676" i="5"/>
  <c r="N2676" i="5"/>
  <c r="J2676" i="5"/>
  <c r="G2676" i="5"/>
  <c r="AC2675" i="5"/>
  <c r="N2675" i="5"/>
  <c r="J2675" i="5"/>
  <c r="G2675" i="5"/>
  <c r="AC2674" i="5"/>
  <c r="N2674" i="5"/>
  <c r="J2674" i="5"/>
  <c r="G2674" i="5"/>
  <c r="AC2673" i="5"/>
  <c r="N2673" i="5"/>
  <c r="J2673" i="5"/>
  <c r="G2673" i="5"/>
  <c r="AC2672" i="5"/>
  <c r="N2672" i="5"/>
  <c r="J2672" i="5"/>
  <c r="G2672" i="5"/>
  <c r="AC2671" i="5"/>
  <c r="N2671" i="5"/>
  <c r="J2671" i="5"/>
  <c r="G2671" i="5"/>
  <c r="AC2670" i="5"/>
  <c r="N2670" i="5"/>
  <c r="J2670" i="5"/>
  <c r="G2670" i="5"/>
  <c r="AC2669" i="5"/>
  <c r="N2669" i="5"/>
  <c r="J2669" i="5"/>
  <c r="G2669" i="5"/>
  <c r="AC2668" i="5"/>
  <c r="N2668" i="5"/>
  <c r="J2668" i="5"/>
  <c r="G2668" i="5"/>
  <c r="AC2667" i="5"/>
  <c r="N2667" i="5"/>
  <c r="J2667" i="5"/>
  <c r="G2667" i="5"/>
  <c r="AC2666" i="5"/>
  <c r="N2666" i="5"/>
  <c r="J2666" i="5"/>
  <c r="G2666" i="5"/>
  <c r="AC2665" i="5"/>
  <c r="N2665" i="5"/>
  <c r="J2665" i="5"/>
  <c r="G2665" i="5"/>
  <c r="AC2664" i="5"/>
  <c r="N2664" i="5"/>
  <c r="J2664" i="5"/>
  <c r="G2664" i="5"/>
  <c r="AC2663" i="5"/>
  <c r="N2663" i="5"/>
  <c r="J2663" i="5"/>
  <c r="G2663" i="5"/>
  <c r="AC2662" i="5"/>
  <c r="N2662" i="5"/>
  <c r="J2662" i="5"/>
  <c r="G2662" i="5"/>
  <c r="AC2661" i="5"/>
  <c r="N2661" i="5"/>
  <c r="J2661" i="5"/>
  <c r="G2661" i="5"/>
  <c r="AC2660" i="5"/>
  <c r="N2660" i="5"/>
  <c r="J2660" i="5"/>
  <c r="G2660" i="5"/>
  <c r="AC2659" i="5"/>
  <c r="N2659" i="5"/>
  <c r="J2659" i="5"/>
  <c r="G2659" i="5"/>
  <c r="AC2658" i="5"/>
  <c r="N2658" i="5"/>
  <c r="J2658" i="5"/>
  <c r="G2658" i="5"/>
  <c r="AC2657" i="5"/>
  <c r="N2657" i="5"/>
  <c r="J2657" i="5"/>
  <c r="G2657" i="5"/>
  <c r="AQ2656" i="5"/>
  <c r="AC2656" i="5"/>
  <c r="N2656" i="5"/>
  <c r="J2656" i="5"/>
  <c r="G2656" i="5"/>
  <c r="AC2655" i="5"/>
  <c r="N2655" i="5"/>
  <c r="J2655" i="5"/>
  <c r="G2655" i="5"/>
  <c r="AC2654" i="5"/>
  <c r="N2654" i="5"/>
  <c r="J2654" i="5"/>
  <c r="G2654" i="5"/>
  <c r="AC2653" i="5"/>
  <c r="N2653" i="5"/>
  <c r="J2653" i="5"/>
  <c r="G2653" i="5"/>
  <c r="AC2652" i="5"/>
  <c r="N2652" i="5"/>
  <c r="J2652" i="5"/>
  <c r="G2652" i="5"/>
  <c r="AC2651" i="5"/>
  <c r="N2651" i="5"/>
  <c r="J2651" i="5"/>
  <c r="G2651" i="5"/>
  <c r="AC2650" i="5"/>
  <c r="N2650" i="5"/>
  <c r="J2650" i="5"/>
  <c r="G2650" i="5"/>
  <c r="AC2649" i="5"/>
  <c r="N2649" i="5"/>
  <c r="J2649" i="5"/>
  <c r="G2649" i="5"/>
  <c r="AC2648" i="5"/>
  <c r="N2648" i="5"/>
  <c r="J2648" i="5"/>
  <c r="G2648" i="5"/>
  <c r="AQ2647" i="5"/>
  <c r="AC2647" i="5"/>
  <c r="N2647" i="5"/>
  <c r="J2647" i="5"/>
  <c r="G2647" i="5"/>
  <c r="AC2646" i="5"/>
  <c r="N2646" i="5"/>
  <c r="J2646" i="5"/>
  <c r="G2646" i="5"/>
  <c r="AC2645" i="5"/>
  <c r="N2645" i="5"/>
  <c r="J2645" i="5"/>
  <c r="G2645" i="5"/>
  <c r="AC2644" i="5"/>
  <c r="N2644" i="5"/>
  <c r="J2644" i="5"/>
  <c r="G2644" i="5"/>
  <c r="AC2643" i="5"/>
  <c r="N2643" i="5"/>
  <c r="J2643" i="5"/>
  <c r="G2643" i="5"/>
  <c r="AC2642" i="5"/>
  <c r="N2642" i="5"/>
  <c r="J2642" i="5"/>
  <c r="G2642" i="5"/>
  <c r="AC2641" i="5"/>
  <c r="N2641" i="5"/>
  <c r="J2641" i="5"/>
  <c r="G2641" i="5"/>
  <c r="AC2640" i="5"/>
  <c r="N2640" i="5"/>
  <c r="J2640" i="5"/>
  <c r="G2640" i="5"/>
  <c r="AC2639" i="5"/>
  <c r="N2639" i="5"/>
  <c r="J2639" i="5"/>
  <c r="G2639" i="5"/>
  <c r="AC2638" i="5"/>
  <c r="N2638" i="5"/>
  <c r="J2638" i="5"/>
  <c r="G2638" i="5"/>
  <c r="AC2637" i="5"/>
  <c r="N2637" i="5"/>
  <c r="J2637" i="5"/>
  <c r="G2637" i="5"/>
  <c r="AQ2636" i="5"/>
  <c r="AC2636" i="5"/>
  <c r="N2636" i="5"/>
  <c r="J2636" i="5"/>
  <c r="G2636" i="5"/>
  <c r="AC2635" i="5"/>
  <c r="N2635" i="5"/>
  <c r="J2635" i="5"/>
  <c r="G2635" i="5"/>
  <c r="AC2634" i="5"/>
  <c r="N2634" i="5"/>
  <c r="J2634" i="5"/>
  <c r="G2634" i="5"/>
  <c r="AQ2633" i="5"/>
  <c r="AC2633" i="5"/>
  <c r="N2633" i="5"/>
  <c r="J2633" i="5"/>
  <c r="G2633" i="5"/>
  <c r="AQ2632" i="5"/>
  <c r="AC2632" i="5"/>
  <c r="N2632" i="5"/>
  <c r="J2632" i="5"/>
  <c r="G2632" i="5"/>
  <c r="AC2631" i="5"/>
  <c r="N2631" i="5"/>
  <c r="J2631" i="5"/>
  <c r="G2631" i="5"/>
  <c r="AQ2630" i="5"/>
  <c r="AC2630" i="5"/>
  <c r="N2630" i="5"/>
  <c r="J2630" i="5"/>
  <c r="G2630" i="5"/>
  <c r="AC2629" i="5"/>
  <c r="N2629" i="5"/>
  <c r="J2629" i="5"/>
  <c r="G2629" i="5"/>
  <c r="AC2628" i="5"/>
  <c r="N2628" i="5"/>
  <c r="J2628" i="5"/>
  <c r="G2628" i="5"/>
  <c r="AC2627" i="5"/>
  <c r="N2627" i="5"/>
  <c r="J2627" i="5"/>
  <c r="G2627" i="5"/>
  <c r="AC2626" i="5"/>
  <c r="N2626" i="5"/>
  <c r="J2626" i="5"/>
  <c r="G2626" i="5"/>
  <c r="AC2625" i="5"/>
  <c r="N2625" i="5"/>
  <c r="J2625" i="5"/>
  <c r="G2625" i="5"/>
  <c r="AC2624" i="5"/>
  <c r="N2624" i="5"/>
  <c r="J2624" i="5"/>
  <c r="G2624" i="5"/>
  <c r="AC2623" i="5"/>
  <c r="N2623" i="5"/>
  <c r="J2623" i="5"/>
  <c r="G2623" i="5"/>
  <c r="AQ2622" i="5"/>
  <c r="AC2622" i="5"/>
  <c r="N2622" i="5"/>
  <c r="J2622" i="5"/>
  <c r="G2622" i="5"/>
  <c r="AC2621" i="5"/>
  <c r="N2621" i="5"/>
  <c r="J2621" i="5"/>
  <c r="G2621" i="5"/>
  <c r="AQ2620" i="5"/>
  <c r="AC2620" i="5"/>
  <c r="N2620" i="5"/>
  <c r="J2620" i="5"/>
  <c r="G2620" i="5"/>
  <c r="AC2619" i="5"/>
  <c r="N2619" i="5"/>
  <c r="J2619" i="5"/>
  <c r="G2619" i="5"/>
  <c r="AQ2618" i="5"/>
  <c r="AC2618" i="5"/>
  <c r="N2618" i="5"/>
  <c r="J2618" i="5"/>
  <c r="G2618" i="5"/>
  <c r="AQ2617" i="5"/>
  <c r="AC2617" i="5"/>
  <c r="N2617" i="5"/>
  <c r="J2617" i="5"/>
  <c r="G2617" i="5"/>
  <c r="AQ2616" i="5"/>
  <c r="AC2616" i="5"/>
  <c r="N2616" i="5"/>
  <c r="J2616" i="5"/>
  <c r="G2616" i="5"/>
  <c r="AQ2615" i="5"/>
  <c r="AC2615" i="5"/>
  <c r="N2615" i="5"/>
  <c r="J2615" i="5"/>
  <c r="G2615" i="5"/>
  <c r="AQ2614" i="5"/>
  <c r="AC2614" i="5"/>
  <c r="N2614" i="5"/>
  <c r="J2614" i="5"/>
  <c r="G2614" i="5"/>
  <c r="AQ2613" i="5"/>
  <c r="AC2613" i="5"/>
  <c r="N2613" i="5"/>
  <c r="J2613" i="5"/>
  <c r="G2613" i="5"/>
  <c r="AC2612" i="5"/>
  <c r="N2612" i="5"/>
  <c r="J2612" i="5"/>
  <c r="G2612" i="5"/>
  <c r="AC2611" i="5"/>
  <c r="N2611" i="5"/>
  <c r="J2611" i="5"/>
  <c r="G2611" i="5"/>
  <c r="AC2610" i="5"/>
  <c r="N2610" i="5"/>
  <c r="J2610" i="5"/>
  <c r="G2610" i="5"/>
  <c r="AC2609" i="5"/>
  <c r="N2609" i="5"/>
  <c r="J2609" i="5"/>
  <c r="G2609" i="5"/>
  <c r="AC2608" i="5"/>
  <c r="N2608" i="5"/>
  <c r="J2608" i="5"/>
  <c r="G2608" i="5"/>
  <c r="AC2607" i="5"/>
  <c r="N2607" i="5"/>
  <c r="J2607" i="5"/>
  <c r="G2607" i="5"/>
  <c r="AC2606" i="5"/>
  <c r="N2606" i="5"/>
  <c r="J2606" i="5"/>
  <c r="G2606" i="5"/>
  <c r="AQ2605" i="5"/>
  <c r="AC2605" i="5"/>
  <c r="N2605" i="5"/>
  <c r="J2605" i="5"/>
  <c r="G2605" i="5"/>
  <c r="AQ2604" i="5"/>
  <c r="AC2604" i="5"/>
  <c r="N2604" i="5"/>
  <c r="J2604" i="5"/>
  <c r="G2604" i="5"/>
  <c r="AQ2603" i="5"/>
  <c r="AC2603" i="5"/>
  <c r="N2603" i="5"/>
  <c r="J2603" i="5"/>
  <c r="G2603" i="5"/>
  <c r="AQ2602" i="5"/>
  <c r="AC2602" i="5"/>
  <c r="N2602" i="5"/>
  <c r="J2602" i="5"/>
  <c r="G2602" i="5"/>
  <c r="AQ2601" i="5"/>
  <c r="AC2601" i="5"/>
  <c r="N2601" i="5"/>
  <c r="J2601" i="5"/>
  <c r="G2601" i="5"/>
  <c r="AC2600" i="5"/>
  <c r="N2600" i="5"/>
  <c r="J2600" i="5"/>
  <c r="G2600" i="5"/>
  <c r="AQ2599" i="5"/>
  <c r="AC2599" i="5"/>
  <c r="N2599" i="5"/>
  <c r="J2599" i="5"/>
  <c r="G2599" i="5"/>
  <c r="AQ2598" i="5"/>
  <c r="AC2598" i="5"/>
  <c r="N2598" i="5"/>
  <c r="J2598" i="5"/>
  <c r="G2598" i="5"/>
  <c r="AQ2597" i="5"/>
  <c r="AC2597" i="5"/>
  <c r="N2597" i="5"/>
  <c r="J2597" i="5"/>
  <c r="G2597" i="5"/>
  <c r="AQ2596" i="5"/>
  <c r="AC2596" i="5"/>
  <c r="N2596" i="5"/>
  <c r="J2596" i="5"/>
  <c r="G2596" i="5"/>
  <c r="AC2595" i="5"/>
  <c r="N2595" i="5"/>
  <c r="J2595" i="5"/>
  <c r="G2595" i="5"/>
  <c r="AQ2594" i="5"/>
  <c r="AC2594" i="5"/>
  <c r="N2594" i="5"/>
  <c r="J2594" i="5"/>
  <c r="G2594" i="5"/>
  <c r="AC2593" i="5"/>
  <c r="N2593" i="5"/>
  <c r="J2593" i="5"/>
  <c r="G2593" i="5"/>
  <c r="AC2592" i="5"/>
  <c r="N2592" i="5"/>
  <c r="J2592" i="5"/>
  <c r="G2592" i="5"/>
  <c r="AQ2591" i="5"/>
  <c r="AC2591" i="5"/>
  <c r="N2591" i="5"/>
  <c r="J2591" i="5"/>
  <c r="G2591" i="5"/>
  <c r="AC2590" i="5"/>
  <c r="N2590" i="5"/>
  <c r="J2590" i="5"/>
  <c r="G2590" i="5"/>
  <c r="AC2589" i="5"/>
  <c r="N2589" i="5"/>
  <c r="J2589" i="5"/>
  <c r="G2589" i="5"/>
  <c r="AC2588" i="5"/>
  <c r="N2588" i="5"/>
  <c r="J2588" i="5"/>
  <c r="G2588" i="5"/>
  <c r="AC2587" i="5"/>
  <c r="N2587" i="5"/>
  <c r="J2587" i="5"/>
  <c r="G2587" i="5"/>
  <c r="AC2586" i="5"/>
  <c r="N2586" i="5"/>
  <c r="J2586" i="5"/>
  <c r="G2586" i="5"/>
  <c r="AC2585" i="5"/>
  <c r="N2585" i="5"/>
  <c r="J2585" i="5"/>
  <c r="G2585" i="5"/>
  <c r="AC2584" i="5"/>
  <c r="N2584" i="5"/>
  <c r="J2584" i="5"/>
  <c r="G2584" i="5"/>
  <c r="AC2583" i="5"/>
  <c r="N2583" i="5"/>
  <c r="J2583" i="5"/>
  <c r="G2583" i="5"/>
  <c r="AC2582" i="5"/>
  <c r="N2582" i="5"/>
  <c r="J2582" i="5"/>
  <c r="G2582" i="5"/>
  <c r="AC2581" i="5"/>
  <c r="N2581" i="5"/>
  <c r="J2581" i="5"/>
  <c r="G2581" i="5"/>
  <c r="AC2580" i="5"/>
  <c r="N2580" i="5"/>
  <c r="J2580" i="5"/>
  <c r="G2580" i="5"/>
  <c r="AC2579" i="5"/>
  <c r="N2579" i="5"/>
  <c r="J2579" i="5"/>
  <c r="G2579" i="5"/>
  <c r="AC2578" i="5"/>
  <c r="N2578" i="5"/>
  <c r="J2578" i="5"/>
  <c r="G2578" i="5"/>
  <c r="AC2577" i="5"/>
  <c r="N2577" i="5"/>
  <c r="J2577" i="5"/>
  <c r="G2577" i="5"/>
  <c r="AC2576" i="5"/>
  <c r="N2576" i="5"/>
  <c r="J2576" i="5"/>
  <c r="G2576" i="5"/>
  <c r="AC2575" i="5"/>
  <c r="N2575" i="5"/>
  <c r="J2575" i="5"/>
  <c r="G2575" i="5"/>
  <c r="AC2574" i="5"/>
  <c r="N2574" i="5"/>
  <c r="J2574" i="5"/>
  <c r="G2574" i="5"/>
  <c r="AC2573" i="5"/>
  <c r="N2573" i="5"/>
  <c r="J2573" i="5"/>
  <c r="G2573" i="5"/>
  <c r="AC2572" i="5"/>
  <c r="N2572" i="5"/>
  <c r="J2572" i="5"/>
  <c r="G2572" i="5"/>
  <c r="AC2571" i="5"/>
  <c r="N2571" i="5"/>
  <c r="J2571" i="5"/>
  <c r="G2571" i="5"/>
  <c r="AQ2570" i="5"/>
  <c r="AC2570" i="5"/>
  <c r="N2570" i="5"/>
  <c r="J2570" i="5"/>
  <c r="G2570" i="5"/>
  <c r="AC2569" i="5"/>
  <c r="N2569" i="5"/>
  <c r="J2569" i="5"/>
  <c r="G2569" i="5"/>
  <c r="AC2568" i="5"/>
  <c r="N2568" i="5"/>
  <c r="J2568" i="5"/>
  <c r="G2568" i="5"/>
  <c r="AC2567" i="5"/>
  <c r="N2567" i="5"/>
  <c r="J2567" i="5"/>
  <c r="G2567" i="5"/>
  <c r="AC2566" i="5"/>
  <c r="N2566" i="5"/>
  <c r="J2566" i="5"/>
  <c r="G2566" i="5"/>
  <c r="AC2565" i="5"/>
  <c r="N2565" i="5"/>
  <c r="J2565" i="5"/>
  <c r="G2565" i="5"/>
  <c r="AQ2564" i="5"/>
  <c r="AC2564" i="5"/>
  <c r="N2564" i="5"/>
  <c r="J2564" i="5"/>
  <c r="G2564" i="5"/>
  <c r="AC2563" i="5"/>
  <c r="N2563" i="5"/>
  <c r="J2563" i="5"/>
  <c r="G2563" i="5"/>
  <c r="AC2562" i="5"/>
  <c r="N2562" i="5"/>
  <c r="J2562" i="5"/>
  <c r="G2562" i="5"/>
  <c r="AC2561" i="5"/>
  <c r="N2561" i="5"/>
  <c r="J2561" i="5"/>
  <c r="G2561" i="5"/>
  <c r="AC2560" i="5"/>
  <c r="N2560" i="5"/>
  <c r="J2560" i="5"/>
  <c r="G2560" i="5"/>
  <c r="AC2559" i="5"/>
  <c r="N2559" i="5"/>
  <c r="J2559" i="5"/>
  <c r="G2559" i="5"/>
  <c r="AC2558" i="5"/>
  <c r="N2558" i="5"/>
  <c r="J2558" i="5"/>
  <c r="G2558" i="5"/>
  <c r="AC2557" i="5"/>
  <c r="N2557" i="5"/>
  <c r="J2557" i="5"/>
  <c r="G2557" i="5"/>
  <c r="AC2556" i="5"/>
  <c r="N2556" i="5"/>
  <c r="J2556" i="5"/>
  <c r="G2556" i="5"/>
  <c r="AC2555" i="5"/>
  <c r="N2555" i="5"/>
  <c r="J2555" i="5"/>
  <c r="G2555" i="5"/>
  <c r="AC2554" i="5"/>
  <c r="N2554" i="5"/>
  <c r="J2554" i="5"/>
  <c r="G2554" i="5"/>
  <c r="AC2553" i="5"/>
  <c r="N2553" i="5"/>
  <c r="J2553" i="5"/>
  <c r="G2553" i="5"/>
  <c r="AC2552" i="5"/>
  <c r="N2552" i="5"/>
  <c r="J2552" i="5"/>
  <c r="G2552" i="5"/>
  <c r="AC2551" i="5"/>
  <c r="N2551" i="5"/>
  <c r="J2551" i="5"/>
  <c r="G2551" i="5"/>
  <c r="AC2550" i="5"/>
  <c r="N2550" i="5"/>
  <c r="J2550" i="5"/>
  <c r="G2550" i="5"/>
  <c r="AC2549" i="5"/>
  <c r="N2549" i="5"/>
  <c r="J2549" i="5"/>
  <c r="G2549" i="5"/>
  <c r="AC2548" i="5"/>
  <c r="N2548" i="5"/>
  <c r="J2548" i="5"/>
  <c r="G2548" i="5"/>
  <c r="AC2547" i="5"/>
  <c r="N2547" i="5"/>
  <c r="J2547" i="5"/>
  <c r="G2547" i="5"/>
  <c r="AC2546" i="5"/>
  <c r="N2546" i="5"/>
  <c r="J2546" i="5"/>
  <c r="G2546" i="5"/>
  <c r="AC2545" i="5"/>
  <c r="N2545" i="5"/>
  <c r="J2545" i="5"/>
  <c r="G2545" i="5"/>
  <c r="AC2544" i="5"/>
  <c r="N2544" i="5"/>
  <c r="J2544" i="5"/>
  <c r="G2544" i="5"/>
  <c r="AC2543" i="5"/>
  <c r="N2543" i="5"/>
  <c r="J2543" i="5"/>
  <c r="G2543" i="5"/>
  <c r="AC2542" i="5"/>
  <c r="N2542" i="5"/>
  <c r="J2542" i="5"/>
  <c r="G2542" i="5"/>
  <c r="AC2541" i="5"/>
  <c r="N2541" i="5"/>
  <c r="J2541" i="5"/>
  <c r="G2541" i="5"/>
  <c r="AC2540" i="5"/>
  <c r="N2540" i="5"/>
  <c r="J2540" i="5"/>
  <c r="G2540" i="5"/>
  <c r="AC2539" i="5"/>
  <c r="N2539" i="5"/>
  <c r="J2539" i="5"/>
  <c r="G2539" i="5"/>
  <c r="AC2538" i="5"/>
  <c r="N2538" i="5"/>
  <c r="J2538" i="5"/>
  <c r="G2538" i="5"/>
  <c r="AC2537" i="5"/>
  <c r="N2537" i="5"/>
  <c r="J2537" i="5"/>
  <c r="G2537" i="5"/>
  <c r="AC2536" i="5"/>
  <c r="N2536" i="5"/>
  <c r="J2536" i="5"/>
  <c r="G2536" i="5"/>
  <c r="AC2535" i="5"/>
  <c r="N2535" i="5"/>
  <c r="J2535" i="5"/>
  <c r="G2535" i="5"/>
  <c r="AC2534" i="5"/>
  <c r="N2534" i="5"/>
  <c r="J2534" i="5"/>
  <c r="G2534" i="5"/>
  <c r="AC2533" i="5"/>
  <c r="N2533" i="5"/>
  <c r="J2533" i="5"/>
  <c r="G2533" i="5"/>
  <c r="AC2532" i="5"/>
  <c r="N2532" i="5"/>
  <c r="J2532" i="5"/>
  <c r="G2532" i="5"/>
  <c r="AC2531" i="5"/>
  <c r="N2531" i="5"/>
  <c r="J2531" i="5"/>
  <c r="G2531" i="5"/>
  <c r="AC2530" i="5"/>
  <c r="N2530" i="5"/>
  <c r="J2530" i="5"/>
  <c r="G2530" i="5"/>
  <c r="AC2529" i="5"/>
  <c r="N2529" i="5"/>
  <c r="J2529" i="5"/>
  <c r="G2529" i="5"/>
  <c r="AC2528" i="5"/>
  <c r="N2528" i="5"/>
  <c r="J2528" i="5"/>
  <c r="G2528" i="5"/>
  <c r="AC2527" i="5"/>
  <c r="N2527" i="5"/>
  <c r="J2527" i="5"/>
  <c r="G2527" i="5"/>
  <c r="AC2526" i="5"/>
  <c r="N2526" i="5"/>
  <c r="J2526" i="5"/>
  <c r="G2526" i="5"/>
  <c r="AC2525" i="5"/>
  <c r="N2525" i="5"/>
  <c r="J2525" i="5"/>
  <c r="G2525" i="5"/>
  <c r="AC2524" i="5"/>
  <c r="N2524" i="5"/>
  <c r="J2524" i="5"/>
  <c r="G2524" i="5"/>
  <c r="AC2523" i="5"/>
  <c r="N2523" i="5"/>
  <c r="J2523" i="5"/>
  <c r="G2523" i="5"/>
  <c r="AC2522" i="5"/>
  <c r="N2522" i="5"/>
  <c r="J2522" i="5"/>
  <c r="G2522" i="5"/>
  <c r="AC2521" i="5"/>
  <c r="N2521" i="5"/>
  <c r="J2521" i="5"/>
  <c r="G2521" i="5"/>
  <c r="AC2520" i="5"/>
  <c r="N2520" i="5"/>
  <c r="J2520" i="5"/>
  <c r="G2520" i="5"/>
  <c r="AC2519" i="5"/>
  <c r="N2519" i="5"/>
  <c r="J2519" i="5"/>
  <c r="G2519" i="5"/>
  <c r="AC2518" i="5"/>
  <c r="N2518" i="5"/>
  <c r="J2518" i="5"/>
  <c r="G2518" i="5"/>
  <c r="AC2517" i="5"/>
  <c r="N2517" i="5"/>
  <c r="J2517" i="5"/>
  <c r="G2517" i="5"/>
  <c r="AC2516" i="5"/>
  <c r="N2516" i="5"/>
  <c r="J2516" i="5"/>
  <c r="G2516" i="5"/>
  <c r="AC2515" i="5"/>
  <c r="N2515" i="5"/>
  <c r="J2515" i="5"/>
  <c r="G2515" i="5"/>
  <c r="AC2514" i="5"/>
  <c r="N2514" i="5"/>
  <c r="J2514" i="5"/>
  <c r="G2514" i="5"/>
  <c r="AC2513" i="5"/>
  <c r="N2513" i="5"/>
  <c r="J2513" i="5"/>
  <c r="G2513" i="5"/>
  <c r="AC2512" i="5"/>
  <c r="N2512" i="5"/>
  <c r="J2512" i="5"/>
  <c r="G2512" i="5"/>
  <c r="AC2511" i="5"/>
  <c r="N2511" i="5"/>
  <c r="J2511" i="5"/>
  <c r="G2511" i="5"/>
  <c r="AC2510" i="5"/>
  <c r="N2510" i="5"/>
  <c r="J2510" i="5"/>
  <c r="G2510" i="5"/>
  <c r="AC2509" i="5"/>
  <c r="N2509" i="5"/>
  <c r="J2509" i="5"/>
  <c r="G2509" i="5"/>
  <c r="AC2508" i="5"/>
  <c r="N2508" i="5"/>
  <c r="J2508" i="5"/>
  <c r="G2508" i="5"/>
  <c r="AC2507" i="5"/>
  <c r="N2507" i="5"/>
  <c r="J2507" i="5"/>
  <c r="G2507" i="5"/>
  <c r="AC2506" i="5"/>
  <c r="N2506" i="5"/>
  <c r="J2506" i="5"/>
  <c r="G2506" i="5"/>
  <c r="AC2505" i="5"/>
  <c r="N2505" i="5"/>
  <c r="J2505" i="5"/>
  <c r="G2505" i="5"/>
  <c r="AQ2504" i="5"/>
  <c r="AC2504" i="5"/>
  <c r="N2504" i="5"/>
  <c r="J2504" i="5"/>
  <c r="G2504" i="5"/>
  <c r="AQ2503" i="5"/>
  <c r="AC2503" i="5"/>
  <c r="N2503" i="5"/>
  <c r="J2503" i="5"/>
  <c r="G2503" i="5"/>
  <c r="AQ2502" i="5"/>
  <c r="AC2502" i="5"/>
  <c r="N2502" i="5"/>
  <c r="J2502" i="5"/>
  <c r="G2502" i="5"/>
  <c r="AQ2501" i="5"/>
  <c r="AC2501" i="5"/>
  <c r="N2501" i="5"/>
  <c r="J2501" i="5"/>
  <c r="G2501" i="5"/>
  <c r="AQ2500" i="5"/>
  <c r="AC2500" i="5"/>
  <c r="N2500" i="5"/>
  <c r="J2500" i="5"/>
  <c r="G2500" i="5"/>
  <c r="AQ2499" i="5"/>
  <c r="AC2499" i="5"/>
  <c r="N2499" i="5"/>
  <c r="J2499" i="5"/>
  <c r="G2499" i="5"/>
  <c r="AQ2498" i="5"/>
  <c r="AC2498" i="5"/>
  <c r="N2498" i="5"/>
  <c r="J2498" i="5"/>
  <c r="G2498" i="5"/>
  <c r="AQ2497" i="5"/>
  <c r="AC2497" i="5"/>
  <c r="N2497" i="5"/>
  <c r="J2497" i="5"/>
  <c r="G2497" i="5"/>
  <c r="AQ2496" i="5"/>
  <c r="AC2496" i="5"/>
  <c r="N2496" i="5"/>
  <c r="J2496" i="5"/>
  <c r="G2496" i="5"/>
  <c r="AQ2495" i="5"/>
  <c r="AC2495" i="5"/>
  <c r="N2495" i="5"/>
  <c r="J2495" i="5"/>
  <c r="G2495" i="5"/>
  <c r="AQ2494" i="5"/>
  <c r="AC2494" i="5"/>
  <c r="N2494" i="5"/>
  <c r="J2494" i="5"/>
  <c r="G2494" i="5"/>
  <c r="AQ2493" i="5"/>
  <c r="AC2493" i="5"/>
  <c r="N2493" i="5"/>
  <c r="J2493" i="5"/>
  <c r="G2493" i="5"/>
  <c r="AQ2492" i="5"/>
  <c r="AC2492" i="5"/>
  <c r="N2492" i="5"/>
  <c r="J2492" i="5"/>
  <c r="G2492" i="5"/>
  <c r="AQ2491" i="5"/>
  <c r="AC2491" i="5"/>
  <c r="N2491" i="5"/>
  <c r="J2491" i="5"/>
  <c r="G2491" i="5"/>
  <c r="AQ2490" i="5"/>
  <c r="AC2490" i="5"/>
  <c r="N2490" i="5"/>
  <c r="J2490" i="5"/>
  <c r="G2490" i="5"/>
  <c r="AQ2489" i="5"/>
  <c r="AC2489" i="5"/>
  <c r="N2489" i="5"/>
  <c r="J2489" i="5"/>
  <c r="G2489" i="5"/>
  <c r="AQ2488" i="5"/>
  <c r="AC2488" i="5"/>
  <c r="N2488" i="5"/>
  <c r="J2488" i="5"/>
  <c r="G2488" i="5"/>
  <c r="AQ2487" i="5"/>
  <c r="AC2487" i="5"/>
  <c r="N2487" i="5"/>
  <c r="J2487" i="5"/>
  <c r="G2487" i="5"/>
  <c r="AQ2486" i="5"/>
  <c r="AC2486" i="5"/>
  <c r="N2486" i="5"/>
  <c r="J2486" i="5"/>
  <c r="G2486" i="5"/>
  <c r="AQ2485" i="5"/>
  <c r="AC2485" i="5"/>
  <c r="N2485" i="5"/>
  <c r="J2485" i="5"/>
  <c r="G2485" i="5"/>
  <c r="AQ2484" i="5"/>
  <c r="AC2484" i="5"/>
  <c r="N2484" i="5"/>
  <c r="J2484" i="5"/>
  <c r="G2484" i="5"/>
  <c r="AQ2483" i="5"/>
  <c r="AC2483" i="5"/>
  <c r="N2483" i="5"/>
  <c r="J2483" i="5"/>
  <c r="G2483" i="5"/>
  <c r="AQ2482" i="5"/>
  <c r="AC2482" i="5"/>
  <c r="N2482" i="5"/>
  <c r="J2482" i="5"/>
  <c r="G2482" i="5"/>
  <c r="AQ2481" i="5"/>
  <c r="AC2481" i="5"/>
  <c r="N2481" i="5"/>
  <c r="J2481" i="5"/>
  <c r="G2481" i="5"/>
  <c r="AQ2480" i="5"/>
  <c r="AC2480" i="5"/>
  <c r="N2480" i="5"/>
  <c r="J2480" i="5"/>
  <c r="G2480" i="5"/>
  <c r="AQ2479" i="5"/>
  <c r="AC2479" i="5"/>
  <c r="N2479" i="5"/>
  <c r="J2479" i="5"/>
  <c r="G2479" i="5"/>
  <c r="AQ2478" i="5"/>
  <c r="AC2478" i="5"/>
  <c r="N2478" i="5"/>
  <c r="J2478" i="5"/>
  <c r="G2478" i="5"/>
  <c r="AC2477" i="5"/>
  <c r="N2477" i="5"/>
  <c r="J2477" i="5"/>
  <c r="G2477" i="5"/>
  <c r="AC2476" i="5"/>
  <c r="N2476" i="5"/>
  <c r="J2476" i="5"/>
  <c r="G2476" i="5"/>
  <c r="AC2475" i="5"/>
  <c r="N2475" i="5"/>
  <c r="J2475" i="5"/>
  <c r="G2475" i="5"/>
  <c r="AC2474" i="5"/>
  <c r="N2474" i="5"/>
  <c r="J2474" i="5"/>
  <c r="G2474" i="5"/>
  <c r="AC2473" i="5"/>
  <c r="N2473" i="5"/>
  <c r="J2473" i="5"/>
  <c r="G2473" i="5"/>
  <c r="AC2472" i="5"/>
  <c r="N2472" i="5"/>
  <c r="J2472" i="5"/>
  <c r="G2472" i="5"/>
  <c r="AC2471" i="5"/>
  <c r="N2471" i="5"/>
  <c r="J2471" i="5"/>
  <c r="G2471" i="5"/>
  <c r="AC2470" i="5"/>
  <c r="N2470" i="5"/>
  <c r="J2470" i="5"/>
  <c r="G2470" i="5"/>
  <c r="AC2469" i="5"/>
  <c r="N2469" i="5"/>
  <c r="J2469" i="5"/>
  <c r="G2469" i="5"/>
  <c r="AC2468" i="5"/>
  <c r="N2468" i="5"/>
  <c r="J2468" i="5"/>
  <c r="G2468" i="5"/>
  <c r="AC2467" i="5"/>
  <c r="N2467" i="5"/>
  <c r="J2467" i="5"/>
  <c r="G2467" i="5"/>
  <c r="AC2466" i="5"/>
  <c r="N2466" i="5"/>
  <c r="J2466" i="5"/>
  <c r="G2466" i="5"/>
  <c r="AC2465" i="5"/>
  <c r="N2465" i="5"/>
  <c r="J2465" i="5"/>
  <c r="G2465" i="5"/>
  <c r="AC2464" i="5"/>
  <c r="N2464" i="5"/>
  <c r="J2464" i="5"/>
  <c r="G2464" i="5"/>
  <c r="AC2463" i="5"/>
  <c r="N2463" i="5"/>
  <c r="J2463" i="5"/>
  <c r="G2463" i="5"/>
  <c r="AC2462" i="5"/>
  <c r="N2462" i="5"/>
  <c r="J2462" i="5"/>
  <c r="G2462" i="5"/>
  <c r="AC2461" i="5"/>
  <c r="N2461" i="5"/>
  <c r="J2461" i="5"/>
  <c r="G2461" i="5"/>
  <c r="AC2460" i="5"/>
  <c r="N2460" i="5"/>
  <c r="J2460" i="5"/>
  <c r="G2460" i="5"/>
  <c r="AC2459" i="5"/>
  <c r="N2459" i="5"/>
  <c r="J2459" i="5"/>
  <c r="G2459" i="5"/>
  <c r="AC2458" i="5"/>
  <c r="N2458" i="5"/>
  <c r="J2458" i="5"/>
  <c r="G2458" i="5"/>
  <c r="AC2457" i="5"/>
  <c r="N2457" i="5"/>
  <c r="J2457" i="5"/>
  <c r="G2457" i="5"/>
  <c r="AC2456" i="5"/>
  <c r="N2456" i="5"/>
  <c r="J2456" i="5"/>
  <c r="G2456" i="5"/>
  <c r="AC2455" i="5"/>
  <c r="N2455" i="5"/>
  <c r="J2455" i="5"/>
  <c r="G2455" i="5"/>
  <c r="AC2454" i="5"/>
  <c r="N2454" i="5"/>
  <c r="J2454" i="5"/>
  <c r="G2454" i="5"/>
  <c r="AC2453" i="5"/>
  <c r="N2453" i="5"/>
  <c r="J2453" i="5"/>
  <c r="G2453" i="5"/>
  <c r="AC2452" i="5"/>
  <c r="N2452" i="5"/>
  <c r="J2452" i="5"/>
  <c r="G2452" i="5"/>
  <c r="AC2451" i="5"/>
  <c r="N2451" i="5"/>
  <c r="J2451" i="5"/>
  <c r="G2451" i="5"/>
  <c r="AC2450" i="5"/>
  <c r="N2450" i="5"/>
  <c r="J2450" i="5"/>
  <c r="G2450" i="5"/>
  <c r="AC2449" i="5"/>
  <c r="N2449" i="5"/>
  <c r="J2449" i="5"/>
  <c r="G2449" i="5"/>
  <c r="AC2448" i="5"/>
  <c r="N2448" i="5"/>
  <c r="J2448" i="5"/>
  <c r="G2448" i="5"/>
  <c r="AC2447" i="5"/>
  <c r="N2447" i="5"/>
  <c r="J2447" i="5"/>
  <c r="G2447" i="5"/>
  <c r="AC2446" i="5"/>
  <c r="N2446" i="5"/>
  <c r="J2446" i="5"/>
  <c r="G2446" i="5"/>
  <c r="AC2445" i="5"/>
  <c r="N2445" i="5"/>
  <c r="J2445" i="5"/>
  <c r="G2445" i="5"/>
  <c r="AC2444" i="5"/>
  <c r="N2444" i="5"/>
  <c r="J2444" i="5"/>
  <c r="G2444" i="5"/>
  <c r="AC2443" i="5"/>
  <c r="N2443" i="5"/>
  <c r="J2443" i="5"/>
  <c r="G2443" i="5"/>
  <c r="AC2442" i="5"/>
  <c r="N2442" i="5"/>
  <c r="J2442" i="5"/>
  <c r="G2442" i="5"/>
  <c r="AC2441" i="5"/>
  <c r="N2441" i="5"/>
  <c r="J2441" i="5"/>
  <c r="G2441" i="5"/>
  <c r="AC2440" i="5"/>
  <c r="N2440" i="5"/>
  <c r="J2440" i="5"/>
  <c r="G2440" i="5"/>
  <c r="AC2439" i="5"/>
  <c r="N2439" i="5"/>
  <c r="J2439" i="5"/>
  <c r="G2439" i="5"/>
  <c r="AC2438" i="5"/>
  <c r="N2438" i="5"/>
  <c r="J2438" i="5"/>
  <c r="G2438" i="5"/>
  <c r="AC2437" i="5"/>
  <c r="N2437" i="5"/>
  <c r="J2437" i="5"/>
  <c r="G2437" i="5"/>
  <c r="AC2436" i="5"/>
  <c r="N2436" i="5"/>
  <c r="J2436" i="5"/>
  <c r="G2436" i="5"/>
  <c r="AC2435" i="5"/>
  <c r="N2435" i="5"/>
  <c r="J2435" i="5"/>
  <c r="G2435" i="5"/>
  <c r="AC2434" i="5"/>
  <c r="N2434" i="5"/>
  <c r="J2434" i="5"/>
  <c r="G2434" i="5"/>
  <c r="AC2433" i="5"/>
  <c r="N2433" i="5"/>
  <c r="J2433" i="5"/>
  <c r="G2433" i="5"/>
  <c r="AC2432" i="5"/>
  <c r="N2432" i="5"/>
  <c r="J2432" i="5"/>
  <c r="G2432" i="5"/>
  <c r="AQ2431" i="5"/>
  <c r="AC2431" i="5"/>
  <c r="N2431" i="5"/>
  <c r="J2431" i="5"/>
  <c r="G2431" i="5"/>
  <c r="AQ2430" i="5"/>
  <c r="AC2430" i="5"/>
  <c r="N2430" i="5"/>
  <c r="J2430" i="5"/>
  <c r="G2430" i="5"/>
  <c r="AQ2429" i="5"/>
  <c r="AC2429" i="5"/>
  <c r="N2429" i="5"/>
  <c r="J2429" i="5"/>
  <c r="G2429" i="5"/>
  <c r="AC2428" i="5"/>
  <c r="N2428" i="5"/>
  <c r="J2428" i="5"/>
  <c r="G2428" i="5"/>
  <c r="AC2427" i="5"/>
  <c r="N2427" i="5"/>
  <c r="J2427" i="5"/>
  <c r="G2427" i="5"/>
  <c r="AC2426" i="5"/>
  <c r="N2426" i="5"/>
  <c r="J2426" i="5"/>
  <c r="G2426" i="5"/>
  <c r="AC2425" i="5"/>
  <c r="N2425" i="5"/>
  <c r="J2425" i="5"/>
  <c r="G2425" i="5"/>
  <c r="AC2424" i="5"/>
  <c r="N2424" i="5"/>
  <c r="J2424" i="5"/>
  <c r="G2424" i="5"/>
  <c r="AC2423" i="5"/>
  <c r="N2423" i="5"/>
  <c r="J2423" i="5"/>
  <c r="G2423" i="5"/>
  <c r="AC2422" i="5"/>
  <c r="N2422" i="5"/>
  <c r="J2422" i="5"/>
  <c r="G2422" i="5"/>
  <c r="AC2421" i="5"/>
  <c r="N2421" i="5"/>
  <c r="J2421" i="5"/>
  <c r="G2421" i="5"/>
  <c r="AC2420" i="5"/>
  <c r="N2420" i="5"/>
  <c r="J2420" i="5"/>
  <c r="G2420" i="5"/>
  <c r="AC2419" i="5"/>
  <c r="N2419" i="5"/>
  <c r="J2419" i="5"/>
  <c r="G2419" i="5"/>
  <c r="AC2418" i="5"/>
  <c r="N2418" i="5"/>
  <c r="J2418" i="5"/>
  <c r="G2418" i="5"/>
  <c r="AC2417" i="5"/>
  <c r="N2417" i="5"/>
  <c r="J2417" i="5"/>
  <c r="G2417" i="5"/>
  <c r="AC2416" i="5"/>
  <c r="N2416" i="5"/>
  <c r="J2416" i="5"/>
  <c r="G2416" i="5"/>
  <c r="AQ2415" i="5"/>
  <c r="AC2415" i="5"/>
  <c r="N2415" i="5"/>
  <c r="J2415" i="5"/>
  <c r="G2415" i="5"/>
  <c r="AC2414" i="5"/>
  <c r="N2414" i="5"/>
  <c r="J2414" i="5"/>
  <c r="G2414" i="5"/>
  <c r="AC2413" i="5"/>
  <c r="N2413" i="5"/>
  <c r="J2413" i="5"/>
  <c r="G2413" i="5"/>
  <c r="AC2412" i="5"/>
  <c r="N2412" i="5"/>
  <c r="J2412" i="5"/>
  <c r="G2412" i="5"/>
  <c r="AC2411" i="5"/>
  <c r="N2411" i="5"/>
  <c r="J2411" i="5"/>
  <c r="G2411" i="5"/>
  <c r="AC2410" i="5"/>
  <c r="N2410" i="5"/>
  <c r="J2410" i="5"/>
  <c r="G2410" i="5"/>
  <c r="AC2409" i="5"/>
  <c r="N2409" i="5"/>
  <c r="J2409" i="5"/>
  <c r="G2409" i="5"/>
  <c r="AC2408" i="5"/>
  <c r="N2408" i="5"/>
  <c r="J2408" i="5"/>
  <c r="G2408" i="5"/>
  <c r="AC2407" i="5"/>
  <c r="N2407" i="5"/>
  <c r="J2407" i="5"/>
  <c r="G2407" i="5"/>
  <c r="AC2406" i="5"/>
  <c r="N2406" i="5"/>
  <c r="J2406" i="5"/>
  <c r="G2406" i="5"/>
  <c r="AC2405" i="5"/>
  <c r="N2405" i="5"/>
  <c r="J2405" i="5"/>
  <c r="G2405" i="5"/>
  <c r="AC2404" i="5"/>
  <c r="N2404" i="5"/>
  <c r="J2404" i="5"/>
  <c r="G2404" i="5"/>
  <c r="AC2403" i="5"/>
  <c r="N2403" i="5"/>
  <c r="J2403" i="5"/>
  <c r="G2403" i="5"/>
  <c r="AC2402" i="5"/>
  <c r="N2402" i="5"/>
  <c r="J2402" i="5"/>
  <c r="G2402" i="5"/>
  <c r="AC2401" i="5"/>
  <c r="N2401" i="5"/>
  <c r="J2401" i="5"/>
  <c r="G2401" i="5"/>
  <c r="AC2400" i="5"/>
  <c r="N2400" i="5"/>
  <c r="J2400" i="5"/>
  <c r="G2400" i="5"/>
  <c r="AC2399" i="5"/>
  <c r="N2399" i="5"/>
  <c r="J2399" i="5"/>
  <c r="G2399" i="5"/>
  <c r="AC2398" i="5"/>
  <c r="N2398" i="5"/>
  <c r="J2398" i="5"/>
  <c r="G2398" i="5"/>
  <c r="AC2397" i="5"/>
  <c r="N2397" i="5"/>
  <c r="J2397" i="5"/>
  <c r="G2397" i="5"/>
  <c r="AC2396" i="5"/>
  <c r="N2396" i="5"/>
  <c r="J2396" i="5"/>
  <c r="G2396" i="5"/>
  <c r="AC2395" i="5"/>
  <c r="N2395" i="5"/>
  <c r="J2395" i="5"/>
  <c r="G2395" i="5"/>
  <c r="AC2394" i="5"/>
  <c r="N2394" i="5"/>
  <c r="J2394" i="5"/>
  <c r="G2394" i="5"/>
  <c r="AC2393" i="5"/>
  <c r="N2393" i="5"/>
  <c r="J2393" i="5"/>
  <c r="G2393" i="5"/>
  <c r="AC2392" i="5"/>
  <c r="N2392" i="5"/>
  <c r="J2392" i="5"/>
  <c r="G2392" i="5"/>
  <c r="AC2391" i="5"/>
  <c r="N2391" i="5"/>
  <c r="J2391" i="5"/>
  <c r="G2391" i="5"/>
  <c r="AC2390" i="5"/>
  <c r="N2390" i="5"/>
  <c r="J2390" i="5"/>
  <c r="G2390" i="5"/>
  <c r="AC2389" i="5"/>
  <c r="N2389" i="5"/>
  <c r="J2389" i="5"/>
  <c r="G2389" i="5"/>
  <c r="AC2388" i="5"/>
  <c r="N2388" i="5"/>
  <c r="J2388" i="5"/>
  <c r="G2388" i="5"/>
  <c r="AC2387" i="5"/>
  <c r="N2387" i="5"/>
  <c r="J2387" i="5"/>
  <c r="G2387" i="5"/>
  <c r="AC2386" i="5"/>
  <c r="N2386" i="5"/>
  <c r="J2386" i="5"/>
  <c r="G2386" i="5"/>
  <c r="AC2385" i="5"/>
  <c r="N2385" i="5"/>
  <c r="J2385" i="5"/>
  <c r="G2385" i="5"/>
  <c r="AC2384" i="5"/>
  <c r="N2384" i="5"/>
  <c r="J2384" i="5"/>
  <c r="G2384" i="5"/>
  <c r="AC2383" i="5"/>
  <c r="N2383" i="5"/>
  <c r="J2383" i="5"/>
  <c r="G2383" i="5"/>
  <c r="AC2382" i="5"/>
  <c r="N2382" i="5"/>
  <c r="J2382" i="5"/>
  <c r="G2382" i="5"/>
  <c r="AC2381" i="5"/>
  <c r="N2381" i="5"/>
  <c r="J2381" i="5"/>
  <c r="G2381" i="5"/>
  <c r="AC2380" i="5"/>
  <c r="N2380" i="5"/>
  <c r="J2380" i="5"/>
  <c r="G2380" i="5"/>
  <c r="AC2379" i="5"/>
  <c r="N2379" i="5"/>
  <c r="J2379" i="5"/>
  <c r="G2379" i="5"/>
  <c r="AC2378" i="5"/>
  <c r="N2378" i="5"/>
  <c r="J2378" i="5"/>
  <c r="G2378" i="5"/>
  <c r="AC2377" i="5"/>
  <c r="N2377" i="5"/>
  <c r="J2377" i="5"/>
  <c r="G2377" i="5"/>
  <c r="AC2376" i="5"/>
  <c r="N2376" i="5"/>
  <c r="J2376" i="5"/>
  <c r="G2376" i="5"/>
  <c r="AC2375" i="5"/>
  <c r="N2375" i="5"/>
  <c r="J2375" i="5"/>
  <c r="G2375" i="5"/>
  <c r="AC2374" i="5"/>
  <c r="N2374" i="5"/>
  <c r="J2374" i="5"/>
  <c r="G2374" i="5"/>
  <c r="AC2373" i="5"/>
  <c r="N2373" i="5"/>
  <c r="J2373" i="5"/>
  <c r="G2373" i="5"/>
  <c r="AC2372" i="5"/>
  <c r="N2372" i="5"/>
  <c r="J2372" i="5"/>
  <c r="G2372" i="5"/>
  <c r="AC2371" i="5"/>
  <c r="N2371" i="5"/>
  <c r="J2371" i="5"/>
  <c r="G2371" i="5"/>
  <c r="AC2370" i="5"/>
  <c r="N2370" i="5"/>
  <c r="J2370" i="5"/>
  <c r="G2370" i="5"/>
  <c r="AC2369" i="5"/>
  <c r="N2369" i="5"/>
  <c r="J2369" i="5"/>
  <c r="G2369" i="5"/>
  <c r="AC2368" i="5"/>
  <c r="N2368" i="5"/>
  <c r="J2368" i="5"/>
  <c r="G2368" i="5"/>
  <c r="AC2367" i="5"/>
  <c r="N2367" i="5"/>
  <c r="J2367" i="5"/>
  <c r="G2367" i="5"/>
  <c r="AC2366" i="5"/>
  <c r="N2366" i="5"/>
  <c r="J2366" i="5"/>
  <c r="G2366" i="5"/>
  <c r="AC2365" i="5"/>
  <c r="N2365" i="5"/>
  <c r="J2365" i="5"/>
  <c r="G2365" i="5"/>
  <c r="AC2364" i="5"/>
  <c r="N2364" i="5"/>
  <c r="J2364" i="5"/>
  <c r="G2364" i="5"/>
  <c r="AC2363" i="5"/>
  <c r="N2363" i="5"/>
  <c r="J2363" i="5"/>
  <c r="G2363" i="5"/>
  <c r="AC2362" i="5"/>
  <c r="N2362" i="5"/>
  <c r="J2362" i="5"/>
  <c r="G2362" i="5"/>
  <c r="AC2361" i="5"/>
  <c r="N2361" i="5"/>
  <c r="J2361" i="5"/>
  <c r="G2361" i="5"/>
  <c r="AC2360" i="5"/>
  <c r="N2360" i="5"/>
  <c r="J2360" i="5"/>
  <c r="G2360" i="5"/>
  <c r="AC2359" i="5"/>
  <c r="N2359" i="5"/>
  <c r="J2359" i="5"/>
  <c r="G2359" i="5"/>
  <c r="AC2358" i="5"/>
  <c r="N2358" i="5"/>
  <c r="J2358" i="5"/>
  <c r="G2358" i="5"/>
  <c r="AC2357" i="5"/>
  <c r="N2357" i="5"/>
  <c r="J2357" i="5"/>
  <c r="G2357" i="5"/>
  <c r="AC2356" i="5"/>
  <c r="N2356" i="5"/>
  <c r="J2356" i="5"/>
  <c r="G2356" i="5"/>
  <c r="AC2355" i="5"/>
  <c r="N2355" i="5"/>
  <c r="J2355" i="5"/>
  <c r="G2355" i="5"/>
  <c r="AC2354" i="5"/>
  <c r="N2354" i="5"/>
  <c r="J2354" i="5"/>
  <c r="G2354" i="5"/>
  <c r="AC2353" i="5"/>
  <c r="N2353" i="5"/>
  <c r="J2353" i="5"/>
  <c r="G2353" i="5"/>
  <c r="AC2352" i="5"/>
  <c r="N2352" i="5"/>
  <c r="J2352" i="5"/>
  <c r="G2352" i="5"/>
  <c r="AC2351" i="5"/>
  <c r="N2351" i="5"/>
  <c r="J2351" i="5"/>
  <c r="G2351" i="5"/>
  <c r="AC2350" i="5"/>
  <c r="N2350" i="5"/>
  <c r="J2350" i="5"/>
  <c r="G2350" i="5"/>
  <c r="AC2349" i="5"/>
  <c r="N2349" i="5"/>
  <c r="J2349" i="5"/>
  <c r="G2349" i="5"/>
  <c r="AC2348" i="5"/>
  <c r="N2348" i="5"/>
  <c r="J2348" i="5"/>
  <c r="G2348" i="5"/>
  <c r="AC2347" i="5"/>
  <c r="N2347" i="5"/>
  <c r="J2347" i="5"/>
  <c r="G2347" i="5"/>
  <c r="AC2346" i="5"/>
  <c r="N2346" i="5"/>
  <c r="J2346" i="5"/>
  <c r="G2346" i="5"/>
  <c r="AC2345" i="5"/>
  <c r="N2345" i="5"/>
  <c r="J2345" i="5"/>
  <c r="G2345" i="5"/>
  <c r="AC2344" i="5"/>
  <c r="N2344" i="5"/>
  <c r="J2344" i="5"/>
  <c r="G2344" i="5"/>
  <c r="AC2343" i="5"/>
  <c r="N2343" i="5"/>
  <c r="J2343" i="5"/>
  <c r="G2343" i="5"/>
  <c r="AC2342" i="5"/>
  <c r="N2342" i="5"/>
  <c r="J2342" i="5"/>
  <c r="G2342" i="5"/>
  <c r="AC2341" i="5"/>
  <c r="N2341" i="5"/>
  <c r="J2341" i="5"/>
  <c r="G2341" i="5"/>
  <c r="AC2340" i="5"/>
  <c r="N2340" i="5"/>
  <c r="J2340" i="5"/>
  <c r="G2340" i="5"/>
  <c r="AC2339" i="5"/>
  <c r="N2339" i="5"/>
  <c r="J2339" i="5"/>
  <c r="G2339" i="5"/>
  <c r="AC2338" i="5"/>
  <c r="N2338" i="5"/>
  <c r="J2338" i="5"/>
  <c r="G2338" i="5"/>
  <c r="AC2337" i="5"/>
  <c r="N2337" i="5"/>
  <c r="J2337" i="5"/>
  <c r="G2337" i="5"/>
  <c r="AC2336" i="5"/>
  <c r="N2336" i="5"/>
  <c r="J2336" i="5"/>
  <c r="G2336" i="5"/>
  <c r="AC2335" i="5"/>
  <c r="N2335" i="5"/>
  <c r="J2335" i="5"/>
  <c r="G2335" i="5"/>
  <c r="AC2334" i="5"/>
  <c r="N2334" i="5"/>
  <c r="J2334" i="5"/>
  <c r="G2334" i="5"/>
  <c r="AC2333" i="5"/>
  <c r="N2333" i="5"/>
  <c r="J2333" i="5"/>
  <c r="G2333" i="5"/>
  <c r="AC2332" i="5"/>
  <c r="N2332" i="5"/>
  <c r="J2332" i="5"/>
  <c r="G2332" i="5"/>
  <c r="AC2331" i="5"/>
  <c r="N2331" i="5"/>
  <c r="J2331" i="5"/>
  <c r="G2331" i="5"/>
  <c r="AC2330" i="5"/>
  <c r="N2330" i="5"/>
  <c r="J2330" i="5"/>
  <c r="G2330" i="5"/>
  <c r="AC2329" i="5"/>
  <c r="N2329" i="5"/>
  <c r="J2329" i="5"/>
  <c r="G2329" i="5"/>
  <c r="AC2328" i="5"/>
  <c r="N2328" i="5"/>
  <c r="J2328" i="5"/>
  <c r="G2328" i="5"/>
  <c r="AC2327" i="5"/>
  <c r="N2327" i="5"/>
  <c r="J2327" i="5"/>
  <c r="G2327" i="5"/>
  <c r="AC2326" i="5"/>
  <c r="N2326" i="5"/>
  <c r="J2326" i="5"/>
  <c r="G2326" i="5"/>
  <c r="AC2325" i="5"/>
  <c r="N2325" i="5"/>
  <c r="J2325" i="5"/>
  <c r="G2325" i="5"/>
  <c r="AC2324" i="5"/>
  <c r="N2324" i="5"/>
  <c r="J2324" i="5"/>
  <c r="G2324" i="5"/>
  <c r="AC2323" i="5"/>
  <c r="N2323" i="5"/>
  <c r="J2323" i="5"/>
  <c r="G2323" i="5"/>
  <c r="AC2322" i="5"/>
  <c r="N2322" i="5"/>
  <c r="J2322" i="5"/>
  <c r="G2322" i="5"/>
  <c r="AC2321" i="5"/>
  <c r="N2321" i="5"/>
  <c r="J2321" i="5"/>
  <c r="G2321" i="5"/>
  <c r="AC2320" i="5"/>
  <c r="N2320" i="5"/>
  <c r="J2320" i="5"/>
  <c r="G2320" i="5"/>
  <c r="AC2319" i="5"/>
  <c r="N2319" i="5"/>
  <c r="J2319" i="5"/>
  <c r="G2319" i="5"/>
  <c r="AC2318" i="5"/>
  <c r="N2318" i="5"/>
  <c r="J2318" i="5"/>
  <c r="G2318" i="5"/>
  <c r="AC2317" i="5"/>
  <c r="N2317" i="5"/>
  <c r="J2317" i="5"/>
  <c r="G2317" i="5"/>
  <c r="AC2316" i="5"/>
  <c r="N2316" i="5"/>
  <c r="J2316" i="5"/>
  <c r="G2316" i="5"/>
  <c r="AC2315" i="5"/>
  <c r="N2315" i="5"/>
  <c r="J2315" i="5"/>
  <c r="G2315" i="5"/>
  <c r="AC2314" i="5"/>
  <c r="N2314" i="5"/>
  <c r="J2314" i="5"/>
  <c r="G2314" i="5"/>
  <c r="AC2313" i="5"/>
  <c r="N2313" i="5"/>
  <c r="J2313" i="5"/>
  <c r="G2313" i="5"/>
  <c r="AC2312" i="5"/>
  <c r="N2312" i="5"/>
  <c r="J2312" i="5"/>
  <c r="G2312" i="5"/>
  <c r="AC2311" i="5"/>
  <c r="N2311" i="5"/>
  <c r="J2311" i="5"/>
  <c r="G2311" i="5"/>
  <c r="AC2310" i="5"/>
  <c r="N2310" i="5"/>
  <c r="J2310" i="5"/>
  <c r="G2310" i="5"/>
  <c r="AC2309" i="5"/>
  <c r="N2309" i="5"/>
  <c r="J2309" i="5"/>
  <c r="G2309" i="5"/>
  <c r="AC2308" i="5"/>
  <c r="N2308" i="5"/>
  <c r="J2308" i="5"/>
  <c r="G2308" i="5"/>
  <c r="AC2307" i="5"/>
  <c r="N2307" i="5"/>
  <c r="J2307" i="5"/>
  <c r="G2307" i="5"/>
  <c r="AC2306" i="5"/>
  <c r="N2306" i="5"/>
  <c r="J2306" i="5"/>
  <c r="G2306" i="5"/>
  <c r="AC2305" i="5"/>
  <c r="N2305" i="5"/>
  <c r="J2305" i="5"/>
  <c r="G2305" i="5"/>
  <c r="AC2304" i="5"/>
  <c r="N2304" i="5"/>
  <c r="J2304" i="5"/>
  <c r="G2304" i="5"/>
  <c r="AC2303" i="5"/>
  <c r="N2303" i="5"/>
  <c r="J2303" i="5"/>
  <c r="G2303" i="5"/>
  <c r="AC2302" i="5"/>
  <c r="N2302" i="5"/>
  <c r="J2302" i="5"/>
  <c r="G2302" i="5"/>
  <c r="AC2301" i="5"/>
  <c r="N2301" i="5"/>
  <c r="J2301" i="5"/>
  <c r="G2301" i="5"/>
  <c r="AC2300" i="5"/>
  <c r="N2300" i="5"/>
  <c r="J2300" i="5"/>
  <c r="G2300" i="5"/>
  <c r="AC2299" i="5"/>
  <c r="N2299" i="5"/>
  <c r="J2299" i="5"/>
  <c r="G2299" i="5"/>
  <c r="AC2298" i="5"/>
  <c r="N2298" i="5"/>
  <c r="J2298" i="5"/>
  <c r="G2298" i="5"/>
  <c r="AC2297" i="5"/>
  <c r="N2297" i="5"/>
  <c r="J2297" i="5"/>
  <c r="G2297" i="5"/>
  <c r="AC2296" i="5"/>
  <c r="N2296" i="5"/>
  <c r="J2296" i="5"/>
  <c r="G2296" i="5"/>
  <c r="AC2295" i="5"/>
  <c r="N2295" i="5"/>
  <c r="J2295" i="5"/>
  <c r="G2295" i="5"/>
  <c r="AC2294" i="5"/>
  <c r="N2294" i="5"/>
  <c r="J2294" i="5"/>
  <c r="G2294" i="5"/>
  <c r="AC2293" i="5"/>
  <c r="N2293" i="5"/>
  <c r="J2293" i="5"/>
  <c r="G2293" i="5"/>
  <c r="AC2292" i="5"/>
  <c r="N2292" i="5"/>
  <c r="J2292" i="5"/>
  <c r="G2292" i="5"/>
  <c r="AC2291" i="5"/>
  <c r="N2291" i="5"/>
  <c r="J2291" i="5"/>
  <c r="G2291" i="5"/>
  <c r="AC2290" i="5"/>
  <c r="N2290" i="5"/>
  <c r="J2290" i="5"/>
  <c r="G2290" i="5"/>
  <c r="AC2289" i="5"/>
  <c r="N2289" i="5"/>
  <c r="J2289" i="5"/>
  <c r="G2289" i="5"/>
  <c r="AC2288" i="5"/>
  <c r="N2288" i="5"/>
  <c r="J2288" i="5"/>
  <c r="G2288" i="5"/>
  <c r="AC2287" i="5"/>
  <c r="N2287" i="5"/>
  <c r="J2287" i="5"/>
  <c r="G2287" i="5"/>
  <c r="AC2286" i="5"/>
  <c r="N2286" i="5"/>
  <c r="J2286" i="5"/>
  <c r="G2286" i="5"/>
  <c r="AC2285" i="5"/>
  <c r="N2285" i="5"/>
  <c r="J2285" i="5"/>
  <c r="G2285" i="5"/>
  <c r="AC2284" i="5"/>
  <c r="N2284" i="5"/>
  <c r="J2284" i="5"/>
  <c r="G2284" i="5"/>
  <c r="AC2283" i="5"/>
  <c r="N2283" i="5"/>
  <c r="J2283" i="5"/>
  <c r="G2283" i="5"/>
  <c r="AQ2282" i="5"/>
  <c r="AC2282" i="5"/>
  <c r="N2282" i="5"/>
  <c r="J2282" i="5"/>
  <c r="G2282" i="5"/>
  <c r="AC2281" i="5"/>
  <c r="N2281" i="5"/>
  <c r="J2281" i="5"/>
  <c r="G2281" i="5"/>
  <c r="AC2280" i="5"/>
  <c r="N2280" i="5"/>
  <c r="J2280" i="5"/>
  <c r="G2280" i="5"/>
  <c r="AC2279" i="5"/>
  <c r="N2279" i="5"/>
  <c r="J2279" i="5"/>
  <c r="G2279" i="5"/>
  <c r="AC2278" i="5"/>
  <c r="N2278" i="5"/>
  <c r="J2278" i="5"/>
  <c r="G2278" i="5"/>
  <c r="AC2277" i="5"/>
  <c r="N2277" i="5"/>
  <c r="J2277" i="5"/>
  <c r="G2277" i="5"/>
  <c r="AC2276" i="5"/>
  <c r="N2276" i="5"/>
  <c r="J2276" i="5"/>
  <c r="G2276" i="5"/>
  <c r="AC2275" i="5"/>
  <c r="N2275" i="5"/>
  <c r="J2275" i="5"/>
  <c r="G2275" i="5"/>
  <c r="AC2274" i="5"/>
  <c r="N2274" i="5"/>
  <c r="J2274" i="5"/>
  <c r="G2274" i="5"/>
  <c r="AC2273" i="5"/>
  <c r="N2273" i="5"/>
  <c r="J2273" i="5"/>
  <c r="G2273" i="5"/>
  <c r="AC2272" i="5"/>
  <c r="N2272" i="5"/>
  <c r="J2272" i="5"/>
  <c r="G2272" i="5"/>
  <c r="AC2271" i="5"/>
  <c r="N2271" i="5"/>
  <c r="J2271" i="5"/>
  <c r="G2271" i="5"/>
  <c r="AC2270" i="5"/>
  <c r="N2270" i="5"/>
  <c r="J2270" i="5"/>
  <c r="G2270" i="5"/>
  <c r="AC2269" i="5"/>
  <c r="N2269" i="5"/>
  <c r="J2269" i="5"/>
  <c r="G2269" i="5"/>
  <c r="AC2268" i="5"/>
  <c r="N2268" i="5"/>
  <c r="J2268" i="5"/>
  <c r="G2268" i="5"/>
  <c r="AC2267" i="5"/>
  <c r="N2267" i="5"/>
  <c r="J2267" i="5"/>
  <c r="G2267" i="5"/>
  <c r="AC2266" i="5"/>
  <c r="N2266" i="5"/>
  <c r="J2266" i="5"/>
  <c r="G2266" i="5"/>
  <c r="AC2265" i="5"/>
  <c r="N2265" i="5"/>
  <c r="J2265" i="5"/>
  <c r="G2265" i="5"/>
  <c r="AC2264" i="5"/>
  <c r="N2264" i="5"/>
  <c r="J2264" i="5"/>
  <c r="G2264" i="5"/>
  <c r="AC2263" i="5"/>
  <c r="N2263" i="5"/>
  <c r="J2263" i="5"/>
  <c r="G2263" i="5"/>
  <c r="AC2262" i="5"/>
  <c r="N2262" i="5"/>
  <c r="J2262" i="5"/>
  <c r="G2262" i="5"/>
  <c r="AC2261" i="5"/>
  <c r="N2261" i="5"/>
  <c r="J2261" i="5"/>
  <c r="G2261" i="5"/>
  <c r="AC2260" i="5"/>
  <c r="N2260" i="5"/>
  <c r="J2260" i="5"/>
  <c r="G2260" i="5"/>
  <c r="AC2259" i="5"/>
  <c r="N2259" i="5"/>
  <c r="J2259" i="5"/>
  <c r="G2259" i="5"/>
  <c r="AC2258" i="5"/>
  <c r="N2258" i="5"/>
  <c r="J2258" i="5"/>
  <c r="G2258" i="5"/>
  <c r="AC2257" i="5"/>
  <c r="N2257" i="5"/>
  <c r="J2257" i="5"/>
  <c r="G2257" i="5"/>
  <c r="AC2256" i="5"/>
  <c r="N2256" i="5"/>
  <c r="J2256" i="5"/>
  <c r="G2256" i="5"/>
  <c r="AC2255" i="5"/>
  <c r="N2255" i="5"/>
  <c r="J2255" i="5"/>
  <c r="G2255" i="5"/>
  <c r="AC2254" i="5"/>
  <c r="N2254" i="5"/>
  <c r="J2254" i="5"/>
  <c r="G2254" i="5"/>
  <c r="AC2253" i="5"/>
  <c r="N2253" i="5"/>
  <c r="J2253" i="5"/>
  <c r="G2253" i="5"/>
  <c r="AC2252" i="5"/>
  <c r="N2252" i="5"/>
  <c r="J2252" i="5"/>
  <c r="G2252" i="5"/>
  <c r="AC2251" i="5"/>
  <c r="N2251" i="5"/>
  <c r="J2251" i="5"/>
  <c r="G2251" i="5"/>
  <c r="AC2250" i="5"/>
  <c r="N2250" i="5"/>
  <c r="J2250" i="5"/>
  <c r="G2250" i="5"/>
  <c r="AC2249" i="5"/>
  <c r="N2249" i="5"/>
  <c r="J2249" i="5"/>
  <c r="G2249" i="5"/>
  <c r="AC2248" i="5"/>
  <c r="N2248" i="5"/>
  <c r="J2248" i="5"/>
  <c r="G2248" i="5"/>
  <c r="AC2247" i="5"/>
  <c r="N2247" i="5"/>
  <c r="J2247" i="5"/>
  <c r="G2247" i="5"/>
  <c r="AC2246" i="5"/>
  <c r="N2246" i="5"/>
  <c r="J2246" i="5"/>
  <c r="G2246" i="5"/>
  <c r="AC2245" i="5"/>
  <c r="N2245" i="5"/>
  <c r="J2245" i="5"/>
  <c r="G2245" i="5"/>
  <c r="AC2244" i="5"/>
  <c r="N2244" i="5"/>
  <c r="J2244" i="5"/>
  <c r="G2244" i="5"/>
  <c r="AC2243" i="5"/>
  <c r="N2243" i="5"/>
  <c r="J2243" i="5"/>
  <c r="G2243" i="5"/>
  <c r="AC2242" i="5"/>
  <c r="N2242" i="5"/>
  <c r="J2242" i="5"/>
  <c r="G2242" i="5"/>
  <c r="AC2241" i="5"/>
  <c r="N2241" i="5"/>
  <c r="J2241" i="5"/>
  <c r="G2241" i="5"/>
  <c r="AC2240" i="5"/>
  <c r="N2240" i="5"/>
  <c r="J2240" i="5"/>
  <c r="G2240" i="5"/>
  <c r="AC2239" i="5"/>
  <c r="N2239" i="5"/>
  <c r="J2239" i="5"/>
  <c r="G2239" i="5"/>
  <c r="AC2238" i="5"/>
  <c r="N2238" i="5"/>
  <c r="J2238" i="5"/>
  <c r="G2238" i="5"/>
  <c r="AC2237" i="5"/>
  <c r="N2237" i="5"/>
  <c r="J2237" i="5"/>
  <c r="G2237" i="5"/>
  <c r="AC2236" i="5"/>
  <c r="N2236" i="5"/>
  <c r="J2236" i="5"/>
  <c r="G2236" i="5"/>
  <c r="AC2235" i="5"/>
  <c r="N2235" i="5"/>
  <c r="J2235" i="5"/>
  <c r="G2235" i="5"/>
  <c r="AC2234" i="5"/>
  <c r="N2234" i="5"/>
  <c r="J2234" i="5"/>
  <c r="G2234" i="5"/>
  <c r="AC2233" i="5"/>
  <c r="N2233" i="5"/>
  <c r="J2233" i="5"/>
  <c r="G2233" i="5"/>
  <c r="AC2232" i="5"/>
  <c r="N2232" i="5"/>
  <c r="J2232" i="5"/>
  <c r="G2232" i="5"/>
  <c r="AC2231" i="5"/>
  <c r="N2231" i="5"/>
  <c r="J2231" i="5"/>
  <c r="G2231" i="5"/>
  <c r="AC2230" i="5"/>
  <c r="N2230" i="5"/>
  <c r="J2230" i="5"/>
  <c r="G2230" i="5"/>
  <c r="AC2229" i="5"/>
  <c r="N2229" i="5"/>
  <c r="J2229" i="5"/>
  <c r="G2229" i="5"/>
  <c r="AC2228" i="5"/>
  <c r="N2228" i="5"/>
  <c r="J2228" i="5"/>
  <c r="G2228" i="5"/>
  <c r="AC2227" i="5"/>
  <c r="N2227" i="5"/>
  <c r="J2227" i="5"/>
  <c r="G2227" i="5"/>
  <c r="AC2226" i="5"/>
  <c r="N2226" i="5"/>
  <c r="J2226" i="5"/>
  <c r="G2226" i="5"/>
  <c r="AC2225" i="5"/>
  <c r="N2225" i="5"/>
  <c r="J2225" i="5"/>
  <c r="G2225" i="5"/>
  <c r="AC2224" i="5"/>
  <c r="N2224" i="5"/>
  <c r="J2224" i="5"/>
  <c r="G2224" i="5"/>
  <c r="AC2223" i="5"/>
  <c r="N2223" i="5"/>
  <c r="J2223" i="5"/>
  <c r="G2223" i="5"/>
  <c r="AC2222" i="5"/>
  <c r="N2222" i="5"/>
  <c r="J2222" i="5"/>
  <c r="G2222" i="5"/>
  <c r="AC2221" i="5"/>
  <c r="N2221" i="5"/>
  <c r="J2221" i="5"/>
  <c r="G2221" i="5"/>
  <c r="AC2220" i="5"/>
  <c r="N2220" i="5"/>
  <c r="J2220" i="5"/>
  <c r="G2220" i="5"/>
  <c r="AC2219" i="5"/>
  <c r="N2219" i="5"/>
  <c r="J2219" i="5"/>
  <c r="G2219" i="5"/>
  <c r="AC2218" i="5"/>
  <c r="N2218" i="5"/>
  <c r="J2218" i="5"/>
  <c r="G2218" i="5"/>
  <c r="AC2217" i="5"/>
  <c r="N2217" i="5"/>
  <c r="J2217" i="5"/>
  <c r="G2217" i="5"/>
  <c r="AC2216" i="5"/>
  <c r="N2216" i="5"/>
  <c r="J2216" i="5"/>
  <c r="G2216" i="5"/>
  <c r="AC2215" i="5"/>
  <c r="N2215" i="5"/>
  <c r="J2215" i="5"/>
  <c r="G2215" i="5"/>
  <c r="AC2214" i="5"/>
  <c r="N2214" i="5"/>
  <c r="J2214" i="5"/>
  <c r="G2214" i="5"/>
  <c r="AC2213" i="5"/>
  <c r="N2213" i="5"/>
  <c r="J2213" i="5"/>
  <c r="G2213" i="5"/>
  <c r="AC2212" i="5"/>
  <c r="N2212" i="5"/>
  <c r="J2212" i="5"/>
  <c r="G2212" i="5"/>
  <c r="AC2211" i="5"/>
  <c r="N2211" i="5"/>
  <c r="J2211" i="5"/>
  <c r="G2211" i="5"/>
  <c r="AC2210" i="5"/>
  <c r="N2210" i="5"/>
  <c r="J2210" i="5"/>
  <c r="G2210" i="5"/>
  <c r="AC2209" i="5"/>
  <c r="N2209" i="5"/>
  <c r="J2209" i="5"/>
  <c r="G2209" i="5"/>
  <c r="AC2208" i="5"/>
  <c r="N2208" i="5"/>
  <c r="J2208" i="5"/>
  <c r="G2208" i="5"/>
  <c r="AC2207" i="5"/>
  <c r="N2207" i="5"/>
  <c r="J2207" i="5"/>
  <c r="G2207" i="5"/>
  <c r="AC2206" i="5"/>
  <c r="N2206" i="5"/>
  <c r="J2206" i="5"/>
  <c r="G2206" i="5"/>
  <c r="AC2205" i="5"/>
  <c r="N2205" i="5"/>
  <c r="J2205" i="5"/>
  <c r="G2205" i="5"/>
  <c r="AC2204" i="5"/>
  <c r="N2204" i="5"/>
  <c r="J2204" i="5"/>
  <c r="G2204" i="5"/>
  <c r="AC2203" i="5"/>
  <c r="N2203" i="5"/>
  <c r="J2203" i="5"/>
  <c r="G2203" i="5"/>
  <c r="AC2202" i="5"/>
  <c r="N2202" i="5"/>
  <c r="J2202" i="5"/>
  <c r="G2202" i="5"/>
  <c r="AC2201" i="5"/>
  <c r="N2201" i="5"/>
  <c r="J2201" i="5"/>
  <c r="G2201" i="5"/>
  <c r="AC2200" i="5"/>
  <c r="N2200" i="5"/>
  <c r="J2200" i="5"/>
  <c r="G2200" i="5"/>
  <c r="AC2199" i="5"/>
  <c r="N2199" i="5"/>
  <c r="J2199" i="5"/>
  <c r="G2199" i="5"/>
  <c r="AC2198" i="5"/>
  <c r="N2198" i="5"/>
  <c r="J2198" i="5"/>
  <c r="G2198" i="5"/>
  <c r="AC2197" i="5"/>
  <c r="N2197" i="5"/>
  <c r="J2197" i="5"/>
  <c r="G2197" i="5"/>
  <c r="AC2196" i="5"/>
  <c r="N2196" i="5"/>
  <c r="J2196" i="5"/>
  <c r="G2196" i="5"/>
  <c r="AC2195" i="5"/>
  <c r="N2195" i="5"/>
  <c r="J2195" i="5"/>
  <c r="G2195" i="5"/>
  <c r="AC2194" i="5"/>
  <c r="N2194" i="5"/>
  <c r="J2194" i="5"/>
  <c r="G2194" i="5"/>
  <c r="AC2193" i="5"/>
  <c r="N2193" i="5"/>
  <c r="J2193" i="5"/>
  <c r="G2193" i="5"/>
  <c r="AC2192" i="5"/>
  <c r="N2192" i="5"/>
  <c r="J2192" i="5"/>
  <c r="G2192" i="5"/>
  <c r="AC2191" i="5"/>
  <c r="N2191" i="5"/>
  <c r="J2191" i="5"/>
  <c r="G2191" i="5"/>
  <c r="AC2190" i="5"/>
  <c r="N2190" i="5"/>
  <c r="J2190" i="5"/>
  <c r="G2190" i="5"/>
  <c r="AC2189" i="5"/>
  <c r="N2189" i="5"/>
  <c r="J2189" i="5"/>
  <c r="G2189" i="5"/>
  <c r="AC2188" i="5"/>
  <c r="N2188" i="5"/>
  <c r="J2188" i="5"/>
  <c r="G2188" i="5"/>
  <c r="AC2187" i="5"/>
  <c r="N2187" i="5"/>
  <c r="J2187" i="5"/>
  <c r="G2187" i="5"/>
  <c r="AC2186" i="5"/>
  <c r="N2186" i="5"/>
  <c r="J2186" i="5"/>
  <c r="G2186" i="5"/>
  <c r="AC2185" i="5"/>
  <c r="N2185" i="5"/>
  <c r="J2185" i="5"/>
  <c r="G2185" i="5"/>
  <c r="AC2184" i="5"/>
  <c r="N2184" i="5"/>
  <c r="J2184" i="5"/>
  <c r="G2184" i="5"/>
  <c r="AC2183" i="5"/>
  <c r="N2183" i="5"/>
  <c r="J2183" i="5"/>
  <c r="G2183" i="5"/>
  <c r="AC2182" i="5"/>
  <c r="N2182" i="5"/>
  <c r="J2182" i="5"/>
  <c r="G2182" i="5"/>
  <c r="AC2181" i="5"/>
  <c r="N2181" i="5"/>
  <c r="J2181" i="5"/>
  <c r="G2181" i="5"/>
  <c r="AC2180" i="5"/>
  <c r="N2180" i="5"/>
  <c r="J2180" i="5"/>
  <c r="G2180" i="5"/>
  <c r="AC2179" i="5"/>
  <c r="N2179" i="5"/>
  <c r="J2179" i="5"/>
  <c r="G2179" i="5"/>
  <c r="AC2178" i="5"/>
  <c r="N2178" i="5"/>
  <c r="J2178" i="5"/>
  <c r="G2178" i="5"/>
  <c r="AC2177" i="5"/>
  <c r="N2177" i="5"/>
  <c r="J2177" i="5"/>
  <c r="G2177" i="5"/>
  <c r="AC2176" i="5"/>
  <c r="N2176" i="5"/>
  <c r="J2176" i="5"/>
  <c r="G2176" i="5"/>
  <c r="AC2175" i="5"/>
  <c r="N2175" i="5"/>
  <c r="J2175" i="5"/>
  <c r="G2175" i="5"/>
  <c r="AC2174" i="5"/>
  <c r="N2174" i="5"/>
  <c r="J2174" i="5"/>
  <c r="G2174" i="5"/>
  <c r="AC2173" i="5"/>
  <c r="N2173" i="5"/>
  <c r="J2173" i="5"/>
  <c r="G2173" i="5"/>
  <c r="AC2172" i="5"/>
  <c r="N2172" i="5"/>
  <c r="J2172" i="5"/>
  <c r="G2172" i="5"/>
  <c r="AC2171" i="5"/>
  <c r="N2171" i="5"/>
  <c r="J2171" i="5"/>
  <c r="G2171" i="5"/>
  <c r="AC2170" i="5"/>
  <c r="N2170" i="5"/>
  <c r="J2170" i="5"/>
  <c r="G2170" i="5"/>
  <c r="AC2169" i="5"/>
  <c r="N2169" i="5"/>
  <c r="J2169" i="5"/>
  <c r="G2169" i="5"/>
  <c r="AC2168" i="5"/>
  <c r="N2168" i="5"/>
  <c r="J2168" i="5"/>
  <c r="G2168" i="5"/>
  <c r="AC2167" i="5"/>
  <c r="N2167" i="5"/>
  <c r="J2167" i="5"/>
  <c r="G2167" i="5"/>
  <c r="AC2166" i="5"/>
  <c r="N2166" i="5"/>
  <c r="J2166" i="5"/>
  <c r="G2166" i="5"/>
  <c r="AC2165" i="5"/>
  <c r="N2165" i="5"/>
  <c r="J2165" i="5"/>
  <c r="G2165" i="5"/>
  <c r="AC2164" i="5"/>
  <c r="N2164" i="5"/>
  <c r="J2164" i="5"/>
  <c r="G2164" i="5"/>
  <c r="AC2163" i="5"/>
  <c r="N2163" i="5"/>
  <c r="J2163" i="5"/>
  <c r="G2163" i="5"/>
  <c r="AC2162" i="5"/>
  <c r="N2162" i="5"/>
  <c r="J2162" i="5"/>
  <c r="G2162" i="5"/>
  <c r="AC2161" i="5"/>
  <c r="N2161" i="5"/>
  <c r="J2161" i="5"/>
  <c r="G2161" i="5"/>
  <c r="AC2160" i="5"/>
  <c r="N2160" i="5"/>
  <c r="J2160" i="5"/>
  <c r="G2160" i="5"/>
  <c r="AC2159" i="5"/>
  <c r="N2159" i="5"/>
  <c r="J2159" i="5"/>
  <c r="G2159" i="5"/>
  <c r="AC2158" i="5"/>
  <c r="N2158" i="5"/>
  <c r="J2158" i="5"/>
  <c r="G2158" i="5"/>
  <c r="AC2157" i="5"/>
  <c r="N2157" i="5"/>
  <c r="J2157" i="5"/>
  <c r="G2157" i="5"/>
  <c r="AC2156" i="5"/>
  <c r="N2156" i="5"/>
  <c r="J2156" i="5"/>
  <c r="G2156" i="5"/>
  <c r="AC2155" i="5"/>
  <c r="N2155" i="5"/>
  <c r="J2155" i="5"/>
  <c r="G2155" i="5"/>
  <c r="AC2154" i="5"/>
  <c r="N2154" i="5"/>
  <c r="J2154" i="5"/>
  <c r="G2154" i="5"/>
  <c r="AC2153" i="5"/>
  <c r="N2153" i="5"/>
  <c r="J2153" i="5"/>
  <c r="G2153" i="5"/>
  <c r="AC2152" i="5"/>
  <c r="N2152" i="5"/>
  <c r="J2152" i="5"/>
  <c r="G2152" i="5"/>
  <c r="AC2151" i="5"/>
  <c r="N2151" i="5"/>
  <c r="J2151" i="5"/>
  <c r="G2151" i="5"/>
  <c r="AC2150" i="5"/>
  <c r="N2150" i="5"/>
  <c r="J2150" i="5"/>
  <c r="G2150" i="5"/>
  <c r="AC2149" i="5"/>
  <c r="N2149" i="5"/>
  <c r="J2149" i="5"/>
  <c r="G2149" i="5"/>
  <c r="AC2148" i="5"/>
  <c r="N2148" i="5"/>
  <c r="J2148" i="5"/>
  <c r="G2148" i="5"/>
  <c r="AC2147" i="5"/>
  <c r="N2147" i="5"/>
  <c r="J2147" i="5"/>
  <c r="G2147" i="5"/>
  <c r="AC2146" i="5"/>
  <c r="N2146" i="5"/>
  <c r="J2146" i="5"/>
  <c r="G2146" i="5"/>
  <c r="AC2145" i="5"/>
  <c r="N2145" i="5"/>
  <c r="J2145" i="5"/>
  <c r="G2145" i="5"/>
  <c r="AC2144" i="5"/>
  <c r="N2144" i="5"/>
  <c r="J2144" i="5"/>
  <c r="G2144" i="5"/>
  <c r="AC2143" i="5"/>
  <c r="N2143" i="5"/>
  <c r="J2143" i="5"/>
  <c r="G2143" i="5"/>
  <c r="AC2142" i="5"/>
  <c r="N2142" i="5"/>
  <c r="J2142" i="5"/>
  <c r="G2142" i="5"/>
  <c r="AC2141" i="5"/>
  <c r="N2141" i="5"/>
  <c r="J2141" i="5"/>
  <c r="G2141" i="5"/>
  <c r="AC2140" i="5"/>
  <c r="N2140" i="5"/>
  <c r="J2140" i="5"/>
  <c r="G2140" i="5"/>
  <c r="AC2139" i="5"/>
  <c r="N2139" i="5"/>
  <c r="J2139" i="5"/>
  <c r="G2139" i="5"/>
  <c r="AC2138" i="5"/>
  <c r="N2138" i="5"/>
  <c r="J2138" i="5"/>
  <c r="G2138" i="5"/>
  <c r="AC2137" i="5"/>
  <c r="N2137" i="5"/>
  <c r="J2137" i="5"/>
  <c r="G2137" i="5"/>
  <c r="AC2136" i="5"/>
  <c r="N2136" i="5"/>
  <c r="J2136" i="5"/>
  <c r="G2136" i="5"/>
  <c r="AC2135" i="5"/>
  <c r="N2135" i="5"/>
  <c r="J2135" i="5"/>
  <c r="G2135" i="5"/>
  <c r="AQ2134" i="5"/>
  <c r="AC2134" i="5"/>
  <c r="N2134" i="5"/>
  <c r="J2134" i="5"/>
  <c r="G2134" i="5"/>
  <c r="AC2133" i="5"/>
  <c r="N2133" i="5"/>
  <c r="J2133" i="5"/>
  <c r="G2133" i="5"/>
  <c r="AC2132" i="5"/>
  <c r="N2132" i="5"/>
  <c r="J2132" i="5"/>
  <c r="G2132" i="5"/>
  <c r="AC2131" i="5"/>
  <c r="N2131" i="5"/>
  <c r="J2131" i="5"/>
  <c r="G2131" i="5"/>
  <c r="AC2130" i="5"/>
  <c r="N2130" i="5"/>
  <c r="J2130" i="5"/>
  <c r="G2130" i="5"/>
  <c r="AC2129" i="5"/>
  <c r="N2129" i="5"/>
  <c r="J2129" i="5"/>
  <c r="G2129" i="5"/>
  <c r="AC2128" i="5"/>
  <c r="N2128" i="5"/>
  <c r="J2128" i="5"/>
  <c r="G2128" i="5"/>
  <c r="AC2127" i="5"/>
  <c r="N2127" i="5"/>
  <c r="J2127" i="5"/>
  <c r="G2127" i="5"/>
  <c r="AC2126" i="5"/>
  <c r="N2126" i="5"/>
  <c r="J2126" i="5"/>
  <c r="G2126" i="5"/>
  <c r="AC2125" i="5"/>
  <c r="N2125" i="5"/>
  <c r="J2125" i="5"/>
  <c r="G2125" i="5"/>
  <c r="AC2124" i="5"/>
  <c r="N2124" i="5"/>
  <c r="J2124" i="5"/>
  <c r="G2124" i="5"/>
  <c r="AC2123" i="5"/>
  <c r="N2123" i="5"/>
  <c r="J2123" i="5"/>
  <c r="G2123" i="5"/>
  <c r="AC2122" i="5"/>
  <c r="N2122" i="5"/>
  <c r="J2122" i="5"/>
  <c r="G2122" i="5"/>
  <c r="AC2121" i="5"/>
  <c r="N2121" i="5"/>
  <c r="J2121" i="5"/>
  <c r="G2121" i="5"/>
  <c r="AC2120" i="5"/>
  <c r="N2120" i="5"/>
  <c r="J2120" i="5"/>
  <c r="G2120" i="5"/>
  <c r="AC2119" i="5"/>
  <c r="N2119" i="5"/>
  <c r="J2119" i="5"/>
  <c r="G2119" i="5"/>
  <c r="AC2118" i="5"/>
  <c r="N2118" i="5"/>
  <c r="J2118" i="5"/>
  <c r="G2118" i="5"/>
  <c r="AC2117" i="5"/>
  <c r="N2117" i="5"/>
  <c r="J2117" i="5"/>
  <c r="G2117" i="5"/>
  <c r="AC2116" i="5"/>
  <c r="N2116" i="5"/>
  <c r="J2116" i="5"/>
  <c r="G2116" i="5"/>
  <c r="AC2115" i="5"/>
  <c r="N2115" i="5"/>
  <c r="J2115" i="5"/>
  <c r="G2115" i="5"/>
  <c r="AC2114" i="5"/>
  <c r="N2114" i="5"/>
  <c r="J2114" i="5"/>
  <c r="G2114" i="5"/>
  <c r="AC2113" i="5"/>
  <c r="N2113" i="5"/>
  <c r="J2113" i="5"/>
  <c r="G2113" i="5"/>
  <c r="AC2112" i="5"/>
  <c r="N2112" i="5"/>
  <c r="J2112" i="5"/>
  <c r="G2112" i="5"/>
  <c r="AC2111" i="5"/>
  <c r="N2111" i="5"/>
  <c r="J2111" i="5"/>
  <c r="G2111" i="5"/>
  <c r="AC2110" i="5"/>
  <c r="N2110" i="5"/>
  <c r="J2110" i="5"/>
  <c r="G2110" i="5"/>
  <c r="AC2109" i="5"/>
  <c r="N2109" i="5"/>
  <c r="J2109" i="5"/>
  <c r="G2109" i="5"/>
  <c r="AC2108" i="5"/>
  <c r="N2108" i="5"/>
  <c r="J2108" i="5"/>
  <c r="G2108" i="5"/>
  <c r="AC2107" i="5"/>
  <c r="N2107" i="5"/>
  <c r="J2107" i="5"/>
  <c r="G2107" i="5"/>
  <c r="AC2106" i="5"/>
  <c r="N2106" i="5"/>
  <c r="J2106" i="5"/>
  <c r="G2106" i="5"/>
  <c r="AC2105" i="5"/>
  <c r="N2105" i="5"/>
  <c r="J2105" i="5"/>
  <c r="G2105" i="5"/>
  <c r="AC2104" i="5"/>
  <c r="N2104" i="5"/>
  <c r="J2104" i="5"/>
  <c r="G2104" i="5"/>
  <c r="AC2103" i="5"/>
  <c r="N2103" i="5"/>
  <c r="J2103" i="5"/>
  <c r="G2103" i="5"/>
  <c r="AC2102" i="5"/>
  <c r="N2102" i="5"/>
  <c r="J2102" i="5"/>
  <c r="G2102" i="5"/>
  <c r="AC2101" i="5"/>
  <c r="N2101" i="5"/>
  <c r="J2101" i="5"/>
  <c r="G2101" i="5"/>
  <c r="AC2100" i="5"/>
  <c r="N2100" i="5"/>
  <c r="J2100" i="5"/>
  <c r="G2100" i="5"/>
  <c r="AC2099" i="5"/>
  <c r="N2099" i="5"/>
  <c r="J2099" i="5"/>
  <c r="G2099" i="5"/>
  <c r="AC2098" i="5"/>
  <c r="N2098" i="5"/>
  <c r="J2098" i="5"/>
  <c r="G2098" i="5"/>
  <c r="AC2097" i="5"/>
  <c r="N2097" i="5"/>
  <c r="J2097" i="5"/>
  <c r="G2097" i="5"/>
  <c r="AC2096" i="5"/>
  <c r="N2096" i="5"/>
  <c r="J2096" i="5"/>
  <c r="G2096" i="5"/>
  <c r="AC2095" i="5"/>
  <c r="N2095" i="5"/>
  <c r="J2095" i="5"/>
  <c r="G2095" i="5"/>
  <c r="AC2094" i="5"/>
  <c r="N2094" i="5"/>
  <c r="J2094" i="5"/>
  <c r="G2094" i="5"/>
  <c r="AC2093" i="5"/>
  <c r="N2093" i="5"/>
  <c r="J2093" i="5"/>
  <c r="G2093" i="5"/>
  <c r="AC2092" i="5"/>
  <c r="N2092" i="5"/>
  <c r="J2092" i="5"/>
  <c r="G2092" i="5"/>
  <c r="AC2091" i="5"/>
  <c r="N2091" i="5"/>
  <c r="J2091" i="5"/>
  <c r="G2091" i="5"/>
  <c r="AC2090" i="5"/>
  <c r="N2090" i="5"/>
  <c r="J2090" i="5"/>
  <c r="G2090" i="5"/>
  <c r="AC2089" i="5"/>
  <c r="N2089" i="5"/>
  <c r="J2089" i="5"/>
  <c r="G2089" i="5"/>
  <c r="AC2088" i="5"/>
  <c r="N2088" i="5"/>
  <c r="J2088" i="5"/>
  <c r="G2088" i="5"/>
  <c r="AC2087" i="5"/>
  <c r="N2087" i="5"/>
  <c r="J2087" i="5"/>
  <c r="G2087" i="5"/>
  <c r="AC2086" i="5"/>
  <c r="N2086" i="5"/>
  <c r="J2086" i="5"/>
  <c r="G2086" i="5"/>
  <c r="AC2085" i="5"/>
  <c r="N2085" i="5"/>
  <c r="J2085" i="5"/>
  <c r="G2085" i="5"/>
  <c r="AC2084" i="5"/>
  <c r="N2084" i="5"/>
  <c r="J2084" i="5"/>
  <c r="G2084" i="5"/>
  <c r="AC2083" i="5"/>
  <c r="N2083" i="5"/>
  <c r="J2083" i="5"/>
  <c r="G2083" i="5"/>
  <c r="AC2082" i="5"/>
  <c r="N2082" i="5"/>
  <c r="J2082" i="5"/>
  <c r="G2082" i="5"/>
  <c r="AC2081" i="5"/>
  <c r="N2081" i="5"/>
  <c r="J2081" i="5"/>
  <c r="G2081" i="5"/>
  <c r="AC2080" i="5"/>
  <c r="N2080" i="5"/>
  <c r="J2080" i="5"/>
  <c r="G2080" i="5"/>
  <c r="AC2079" i="5"/>
  <c r="N2079" i="5"/>
  <c r="J2079" i="5"/>
  <c r="G2079" i="5"/>
  <c r="AC2078" i="5"/>
  <c r="N2078" i="5"/>
  <c r="J2078" i="5"/>
  <c r="G2078" i="5"/>
  <c r="AC2077" i="5"/>
  <c r="N2077" i="5"/>
  <c r="J2077" i="5"/>
  <c r="G2077" i="5"/>
  <c r="AC2076" i="5"/>
  <c r="N2076" i="5"/>
  <c r="J2076" i="5"/>
  <c r="G2076" i="5"/>
  <c r="AC2075" i="5"/>
  <c r="N2075" i="5"/>
  <c r="J2075" i="5"/>
  <c r="G2075" i="5"/>
  <c r="AC2074" i="5"/>
  <c r="N2074" i="5"/>
  <c r="J2074" i="5"/>
  <c r="G2074" i="5"/>
  <c r="AC2073" i="5"/>
  <c r="N2073" i="5"/>
  <c r="J2073" i="5"/>
  <c r="G2073" i="5"/>
  <c r="AC2072" i="5"/>
  <c r="N2072" i="5"/>
  <c r="J2072" i="5"/>
  <c r="G2072" i="5"/>
  <c r="AC2071" i="5"/>
  <c r="N2071" i="5"/>
  <c r="J2071" i="5"/>
  <c r="G2071" i="5"/>
  <c r="AC2070" i="5"/>
  <c r="N2070" i="5"/>
  <c r="J2070" i="5"/>
  <c r="G2070" i="5"/>
  <c r="AC2069" i="5"/>
  <c r="N2069" i="5"/>
  <c r="J2069" i="5"/>
  <c r="G2069" i="5"/>
  <c r="AC2068" i="5"/>
  <c r="N2068" i="5"/>
  <c r="J2068" i="5"/>
  <c r="G2068" i="5"/>
  <c r="AC2067" i="5"/>
  <c r="N2067" i="5"/>
  <c r="J2067" i="5"/>
  <c r="G2067" i="5"/>
  <c r="AC2066" i="5"/>
  <c r="N2066" i="5"/>
  <c r="J2066" i="5"/>
  <c r="G2066" i="5"/>
  <c r="AC2065" i="5"/>
  <c r="N2065" i="5"/>
  <c r="J2065" i="5"/>
  <c r="G2065" i="5"/>
  <c r="AC2064" i="5"/>
  <c r="N2064" i="5"/>
  <c r="J2064" i="5"/>
  <c r="G2064" i="5"/>
  <c r="AC2063" i="5"/>
  <c r="N2063" i="5"/>
  <c r="J2063" i="5"/>
  <c r="G2063" i="5"/>
  <c r="AC2062" i="5"/>
  <c r="N2062" i="5"/>
  <c r="J2062" i="5"/>
  <c r="G2062" i="5"/>
  <c r="AC2061" i="5"/>
  <c r="N2061" i="5"/>
  <c r="J2061" i="5"/>
  <c r="G2061" i="5"/>
  <c r="AC2060" i="5"/>
  <c r="N2060" i="5"/>
  <c r="J2060" i="5"/>
  <c r="G2060" i="5"/>
  <c r="AC2059" i="5"/>
  <c r="N2059" i="5"/>
  <c r="J2059" i="5"/>
  <c r="G2059" i="5"/>
  <c r="AC2058" i="5"/>
  <c r="N2058" i="5"/>
  <c r="J2058" i="5"/>
  <c r="G2058" i="5"/>
  <c r="AC2057" i="5"/>
  <c r="N2057" i="5"/>
  <c r="J2057" i="5"/>
  <c r="G2057" i="5"/>
  <c r="AC2056" i="5"/>
  <c r="N2056" i="5"/>
  <c r="J2056" i="5"/>
  <c r="G2056" i="5"/>
  <c r="AC2055" i="5"/>
  <c r="N2055" i="5"/>
  <c r="J2055" i="5"/>
  <c r="G2055" i="5"/>
  <c r="AC2054" i="5"/>
  <c r="N2054" i="5"/>
  <c r="J2054" i="5"/>
  <c r="G2054" i="5"/>
  <c r="AC2053" i="5"/>
  <c r="N2053" i="5"/>
  <c r="J2053" i="5"/>
  <c r="G2053" i="5"/>
  <c r="AC2052" i="5"/>
  <c r="N2052" i="5"/>
  <c r="J2052" i="5"/>
  <c r="G2052" i="5"/>
  <c r="AC2051" i="5"/>
  <c r="N2051" i="5"/>
  <c r="J2051" i="5"/>
  <c r="G2051" i="5"/>
  <c r="AC2050" i="5"/>
  <c r="N2050" i="5"/>
  <c r="J2050" i="5"/>
  <c r="G2050" i="5"/>
  <c r="AC2049" i="5"/>
  <c r="N2049" i="5"/>
  <c r="J2049" i="5"/>
  <c r="G2049" i="5"/>
  <c r="AC2048" i="5"/>
  <c r="N2048" i="5"/>
  <c r="J2048" i="5"/>
  <c r="G2048" i="5"/>
  <c r="AC2047" i="5"/>
  <c r="N2047" i="5"/>
  <c r="J2047" i="5"/>
  <c r="G2047" i="5"/>
  <c r="AC2046" i="5"/>
  <c r="N2046" i="5"/>
  <c r="J2046" i="5"/>
  <c r="G2046" i="5"/>
  <c r="AC2045" i="5"/>
  <c r="N2045" i="5"/>
  <c r="J2045" i="5"/>
  <c r="G2045" i="5"/>
  <c r="AC2044" i="5"/>
  <c r="N2044" i="5"/>
  <c r="J2044" i="5"/>
  <c r="G2044" i="5"/>
  <c r="AC2043" i="5"/>
  <c r="N2043" i="5"/>
  <c r="J2043" i="5"/>
  <c r="G2043" i="5"/>
  <c r="AC2042" i="5"/>
  <c r="N2042" i="5"/>
  <c r="J2042" i="5"/>
  <c r="G2042" i="5"/>
  <c r="AC2041" i="5"/>
  <c r="N2041" i="5"/>
  <c r="J2041" i="5"/>
  <c r="G2041" i="5"/>
  <c r="AC2040" i="5"/>
  <c r="N2040" i="5"/>
  <c r="J2040" i="5"/>
  <c r="G2040" i="5"/>
  <c r="AC2039" i="5"/>
  <c r="N2039" i="5"/>
  <c r="J2039" i="5"/>
  <c r="G2039" i="5"/>
  <c r="AC2038" i="5"/>
  <c r="N2038" i="5"/>
  <c r="J2038" i="5"/>
  <c r="G2038" i="5"/>
  <c r="AC2037" i="5"/>
  <c r="N2037" i="5"/>
  <c r="J2037" i="5"/>
  <c r="G2037" i="5"/>
  <c r="AC2036" i="5"/>
  <c r="N2036" i="5"/>
  <c r="J2036" i="5"/>
  <c r="G2036" i="5"/>
  <c r="AC2035" i="5"/>
  <c r="N2035" i="5"/>
  <c r="J2035" i="5"/>
  <c r="G2035" i="5"/>
  <c r="AC2034" i="5"/>
  <c r="N2034" i="5"/>
  <c r="J2034" i="5"/>
  <c r="G2034" i="5"/>
  <c r="AC2033" i="5"/>
  <c r="N2033" i="5"/>
  <c r="J2033" i="5"/>
  <c r="G2033" i="5"/>
  <c r="AC2032" i="5"/>
  <c r="N2032" i="5"/>
  <c r="J2032" i="5"/>
  <c r="G2032" i="5"/>
  <c r="AC2031" i="5"/>
  <c r="N2031" i="5"/>
  <c r="J2031" i="5"/>
  <c r="G2031" i="5"/>
  <c r="AC2030" i="5"/>
  <c r="N2030" i="5"/>
  <c r="J2030" i="5"/>
  <c r="G2030" i="5"/>
  <c r="AC2029" i="5"/>
  <c r="N2029" i="5"/>
  <c r="J2029" i="5"/>
  <c r="G2029" i="5"/>
  <c r="AC2028" i="5"/>
  <c r="N2028" i="5"/>
  <c r="J2028" i="5"/>
  <c r="G2028" i="5"/>
  <c r="AC2027" i="5"/>
  <c r="N2027" i="5"/>
  <c r="J2027" i="5"/>
  <c r="G2027" i="5"/>
  <c r="AC2026" i="5"/>
  <c r="N2026" i="5"/>
  <c r="J2026" i="5"/>
  <c r="G2026" i="5"/>
  <c r="AC2025" i="5"/>
  <c r="N2025" i="5"/>
  <c r="J2025" i="5"/>
  <c r="G2025" i="5"/>
  <c r="AQ2024" i="5"/>
  <c r="AC2024" i="5"/>
  <c r="N2024" i="5"/>
  <c r="J2024" i="5"/>
  <c r="G2024" i="5"/>
  <c r="AC2023" i="5"/>
  <c r="N2023" i="5"/>
  <c r="J2023" i="5"/>
  <c r="G2023" i="5"/>
  <c r="AQ2022" i="5"/>
  <c r="AC2022" i="5"/>
  <c r="N2022" i="5"/>
  <c r="J2022" i="5"/>
  <c r="G2022" i="5"/>
  <c r="AQ2021" i="5"/>
  <c r="AC2021" i="5"/>
  <c r="N2021" i="5"/>
  <c r="J2021" i="5"/>
  <c r="G2021" i="5"/>
  <c r="AC2020" i="5"/>
  <c r="N2020" i="5"/>
  <c r="J2020" i="5"/>
  <c r="G2020" i="5"/>
  <c r="AC2019" i="5"/>
  <c r="N2019" i="5"/>
  <c r="J2019" i="5"/>
  <c r="G2019" i="5"/>
  <c r="AQ2018" i="5"/>
  <c r="AC2018" i="5"/>
  <c r="N2018" i="5"/>
  <c r="J2018" i="5"/>
  <c r="G2018" i="5"/>
  <c r="AC2017" i="5"/>
  <c r="N2017" i="5"/>
  <c r="J2017" i="5"/>
  <c r="G2017" i="5"/>
  <c r="AC2016" i="5"/>
  <c r="N2016" i="5"/>
  <c r="J2016" i="5"/>
  <c r="G2016" i="5"/>
  <c r="AC2015" i="5"/>
  <c r="N2015" i="5"/>
  <c r="J2015" i="5"/>
  <c r="G2015" i="5"/>
  <c r="AQ2014" i="5"/>
  <c r="AC2014" i="5"/>
  <c r="N2014" i="5"/>
  <c r="J2014" i="5"/>
  <c r="G2014" i="5"/>
  <c r="AC2013" i="5"/>
  <c r="N2013" i="5"/>
  <c r="J2013" i="5"/>
  <c r="G2013" i="5"/>
  <c r="AQ2012" i="5"/>
  <c r="AC2012" i="5"/>
  <c r="N2012" i="5"/>
  <c r="J2012" i="5"/>
  <c r="G2012" i="5"/>
  <c r="AC2011" i="5"/>
  <c r="N2011" i="5"/>
  <c r="J2011" i="5"/>
  <c r="G2011" i="5"/>
  <c r="AQ2010" i="5"/>
  <c r="AC2010" i="5"/>
  <c r="N2010" i="5"/>
  <c r="J2010" i="5"/>
  <c r="G2010" i="5"/>
  <c r="AC2009" i="5"/>
  <c r="N2009" i="5"/>
  <c r="J2009" i="5"/>
  <c r="G2009" i="5"/>
  <c r="AC2008" i="5"/>
  <c r="N2008" i="5"/>
  <c r="J2008" i="5"/>
  <c r="G2008" i="5"/>
  <c r="AQ2007" i="5"/>
  <c r="AC2007" i="5"/>
  <c r="N2007" i="5"/>
  <c r="J2007" i="5"/>
  <c r="G2007" i="5"/>
  <c r="AQ2006" i="5"/>
  <c r="AC2006" i="5"/>
  <c r="N2006" i="5"/>
  <c r="J2006" i="5"/>
  <c r="G2006" i="5"/>
  <c r="AQ2005" i="5"/>
  <c r="AC2005" i="5"/>
  <c r="N2005" i="5"/>
  <c r="J2005" i="5"/>
  <c r="G2005" i="5"/>
  <c r="AC2004" i="5"/>
  <c r="N2004" i="5"/>
  <c r="J2004" i="5"/>
  <c r="G2004" i="5"/>
  <c r="AQ2003" i="5"/>
  <c r="AC2003" i="5"/>
  <c r="N2003" i="5"/>
  <c r="J2003" i="5"/>
  <c r="G2003" i="5"/>
  <c r="AC2002" i="5"/>
  <c r="N2002" i="5"/>
  <c r="J2002" i="5"/>
  <c r="G2002" i="5"/>
  <c r="AC2001" i="5"/>
  <c r="N2001" i="5"/>
  <c r="J2001" i="5"/>
  <c r="G2001" i="5"/>
  <c r="AC2000" i="5"/>
  <c r="N2000" i="5"/>
  <c r="J2000" i="5"/>
  <c r="G2000" i="5"/>
  <c r="AC1999" i="5"/>
  <c r="N1999" i="5"/>
  <c r="J1999" i="5"/>
  <c r="G1999" i="5"/>
  <c r="AC1998" i="5"/>
  <c r="N1998" i="5"/>
  <c r="J1998" i="5"/>
  <c r="G1998" i="5"/>
  <c r="AC1997" i="5"/>
  <c r="N1997" i="5"/>
  <c r="J1997" i="5"/>
  <c r="G1997" i="5"/>
  <c r="AC1996" i="5"/>
  <c r="N1996" i="5"/>
  <c r="J1996" i="5"/>
  <c r="G1996" i="5"/>
  <c r="AC1995" i="5"/>
  <c r="N1995" i="5"/>
  <c r="J1995" i="5"/>
  <c r="G1995" i="5"/>
  <c r="AC1994" i="5"/>
  <c r="N1994" i="5"/>
  <c r="J1994" i="5"/>
  <c r="G1994" i="5"/>
  <c r="AQ1993" i="5"/>
  <c r="AC1993" i="5"/>
  <c r="N1993" i="5"/>
  <c r="J1993" i="5"/>
  <c r="G1993" i="5"/>
  <c r="AQ1992" i="5"/>
  <c r="AC1992" i="5"/>
  <c r="N1992" i="5"/>
  <c r="J1992" i="5"/>
  <c r="G1992" i="5"/>
  <c r="AC1991" i="5"/>
  <c r="N1991" i="5"/>
  <c r="J1991" i="5"/>
  <c r="G1991" i="5"/>
  <c r="AC1990" i="5"/>
  <c r="N1990" i="5"/>
  <c r="J1990" i="5"/>
  <c r="G1990" i="5"/>
  <c r="AC1989" i="5"/>
  <c r="N1989" i="5"/>
  <c r="J1989" i="5"/>
  <c r="G1989" i="5"/>
  <c r="AC1988" i="5"/>
  <c r="N1988" i="5"/>
  <c r="J1988" i="5"/>
  <c r="G1988" i="5"/>
  <c r="AC1987" i="5"/>
  <c r="N1987" i="5"/>
  <c r="J1987" i="5"/>
  <c r="G1987" i="5"/>
  <c r="AC1986" i="5"/>
  <c r="N1986" i="5"/>
  <c r="J1986" i="5"/>
  <c r="G1986" i="5"/>
  <c r="AC1985" i="5"/>
  <c r="N1985" i="5"/>
  <c r="J1985" i="5"/>
  <c r="G1985" i="5"/>
  <c r="AC1984" i="5"/>
  <c r="N1984" i="5"/>
  <c r="J1984" i="5"/>
  <c r="G1984" i="5"/>
  <c r="AC1983" i="5"/>
  <c r="N1983" i="5"/>
  <c r="J1983" i="5"/>
  <c r="G1983" i="5"/>
  <c r="AC1982" i="5"/>
  <c r="N1982" i="5"/>
  <c r="J1982" i="5"/>
  <c r="G1982" i="5"/>
  <c r="AC1981" i="5"/>
  <c r="N1981" i="5"/>
  <c r="J1981" i="5"/>
  <c r="G1981" i="5"/>
  <c r="AC1980" i="5"/>
  <c r="N1980" i="5"/>
  <c r="J1980" i="5"/>
  <c r="G1980" i="5"/>
  <c r="AC1979" i="5"/>
  <c r="N1979" i="5"/>
  <c r="J1979" i="5"/>
  <c r="G1979" i="5"/>
  <c r="AC1978" i="5"/>
  <c r="N1978" i="5"/>
  <c r="J1978" i="5"/>
  <c r="G1978" i="5"/>
  <c r="AC1977" i="5"/>
  <c r="N1977" i="5"/>
  <c r="J1977" i="5"/>
  <c r="G1977" i="5"/>
  <c r="AC1976" i="5"/>
  <c r="N1976" i="5"/>
  <c r="J1976" i="5"/>
  <c r="G1976" i="5"/>
  <c r="AC1975" i="5"/>
  <c r="N1975" i="5"/>
  <c r="J1975" i="5"/>
  <c r="G1975" i="5"/>
  <c r="AC1974" i="5"/>
  <c r="N1974" i="5"/>
  <c r="J1974" i="5"/>
  <c r="G1974" i="5"/>
  <c r="AC1973" i="5"/>
  <c r="N1973" i="5"/>
  <c r="J1973" i="5"/>
  <c r="G1973" i="5"/>
  <c r="AC1972" i="5"/>
  <c r="N1972" i="5"/>
  <c r="J1972" i="5"/>
  <c r="G1972" i="5"/>
  <c r="AC1971" i="5"/>
  <c r="N1971" i="5"/>
  <c r="J1971" i="5"/>
  <c r="G1971" i="5"/>
  <c r="AC1970" i="5"/>
  <c r="N1970" i="5"/>
  <c r="J1970" i="5"/>
  <c r="G1970" i="5"/>
  <c r="AC1969" i="5"/>
  <c r="N1969" i="5"/>
  <c r="J1969" i="5"/>
  <c r="G1969" i="5"/>
  <c r="AC1968" i="5"/>
  <c r="N1968" i="5"/>
  <c r="J1968" i="5"/>
  <c r="G1968" i="5"/>
  <c r="AC1967" i="5"/>
  <c r="N1967" i="5"/>
  <c r="J1967" i="5"/>
  <c r="G1967" i="5"/>
  <c r="AC1966" i="5"/>
  <c r="N1966" i="5"/>
  <c r="J1966" i="5"/>
  <c r="G1966" i="5"/>
  <c r="AC1965" i="5"/>
  <c r="N1965" i="5"/>
  <c r="J1965" i="5"/>
  <c r="G1965" i="5"/>
  <c r="AC1964" i="5"/>
  <c r="N1964" i="5"/>
  <c r="J1964" i="5"/>
  <c r="G1964" i="5"/>
  <c r="AC1963" i="5"/>
  <c r="N1963" i="5"/>
  <c r="J1963" i="5"/>
  <c r="G1963" i="5"/>
  <c r="AC1962" i="5"/>
  <c r="N1962" i="5"/>
  <c r="J1962" i="5"/>
  <c r="G1962" i="5"/>
  <c r="AC1961" i="5"/>
  <c r="N1961" i="5"/>
  <c r="J1961" i="5"/>
  <c r="G1961" i="5"/>
  <c r="AC1960" i="5"/>
  <c r="N1960" i="5"/>
  <c r="J1960" i="5"/>
  <c r="G1960" i="5"/>
  <c r="AC1959" i="5"/>
  <c r="N1959" i="5"/>
  <c r="J1959" i="5"/>
  <c r="G1959" i="5"/>
  <c r="AC1958" i="5"/>
  <c r="N1958" i="5"/>
  <c r="J1958" i="5"/>
  <c r="G1958" i="5"/>
  <c r="AC1957" i="5"/>
  <c r="N1957" i="5"/>
  <c r="J1957" i="5"/>
  <c r="G1957" i="5"/>
  <c r="AC1956" i="5"/>
  <c r="N1956" i="5"/>
  <c r="J1956" i="5"/>
  <c r="G1956" i="5"/>
  <c r="AC1955" i="5"/>
  <c r="N1955" i="5"/>
  <c r="J1955" i="5"/>
  <c r="G1955" i="5"/>
  <c r="AQ1954" i="5"/>
  <c r="AC1954" i="5"/>
  <c r="N1954" i="5"/>
  <c r="J1954" i="5"/>
  <c r="G1954" i="5"/>
  <c r="AC1953" i="5"/>
  <c r="N1953" i="5"/>
  <c r="J1953" i="5"/>
  <c r="G1953" i="5"/>
  <c r="AC1952" i="5"/>
  <c r="N1952" i="5"/>
  <c r="J1952" i="5"/>
  <c r="G1952" i="5"/>
  <c r="AC1951" i="5"/>
  <c r="N1951" i="5"/>
  <c r="J1951" i="5"/>
  <c r="G1951" i="5"/>
  <c r="AC1950" i="5"/>
  <c r="N1950" i="5"/>
  <c r="J1950" i="5"/>
  <c r="G1950" i="5"/>
  <c r="AC1949" i="5"/>
  <c r="N1949" i="5"/>
  <c r="J1949" i="5"/>
  <c r="G1949" i="5"/>
  <c r="AC1948" i="5"/>
  <c r="N1948" i="5"/>
  <c r="J1948" i="5"/>
  <c r="G1948" i="5"/>
  <c r="AC1947" i="5"/>
  <c r="N1947" i="5"/>
  <c r="J1947" i="5"/>
  <c r="G1947" i="5"/>
  <c r="AC1946" i="5"/>
  <c r="N1946" i="5"/>
  <c r="J1946" i="5"/>
  <c r="G1946" i="5"/>
  <c r="AC1945" i="5"/>
  <c r="N1945" i="5"/>
  <c r="J1945" i="5"/>
  <c r="G1945" i="5"/>
  <c r="AC1944" i="5"/>
  <c r="N1944" i="5"/>
  <c r="J1944" i="5"/>
  <c r="G1944" i="5"/>
  <c r="AC1943" i="5"/>
  <c r="N1943" i="5"/>
  <c r="J1943" i="5"/>
  <c r="G1943" i="5"/>
  <c r="AC1942" i="5"/>
  <c r="N1942" i="5"/>
  <c r="J1942" i="5"/>
  <c r="G1942" i="5"/>
  <c r="AC1941" i="5"/>
  <c r="N1941" i="5"/>
  <c r="J1941" i="5"/>
  <c r="G1941" i="5"/>
  <c r="AC1940" i="5"/>
  <c r="N1940" i="5"/>
  <c r="J1940" i="5"/>
  <c r="G1940" i="5"/>
  <c r="AC1939" i="5"/>
  <c r="N1939" i="5"/>
  <c r="J1939" i="5"/>
  <c r="G1939" i="5"/>
  <c r="AC1938" i="5"/>
  <c r="N1938" i="5"/>
  <c r="J1938" i="5"/>
  <c r="G1938" i="5"/>
  <c r="AC1937" i="5"/>
  <c r="N1937" i="5"/>
  <c r="J1937" i="5"/>
  <c r="G1937" i="5"/>
  <c r="AC1936" i="5"/>
  <c r="N1936" i="5"/>
  <c r="J1936" i="5"/>
  <c r="G1936" i="5"/>
  <c r="AC1935" i="5"/>
  <c r="N1935" i="5"/>
  <c r="J1935" i="5"/>
  <c r="G1935" i="5"/>
  <c r="AC1934" i="5"/>
  <c r="N1934" i="5"/>
  <c r="J1934" i="5"/>
  <c r="G1934" i="5"/>
  <c r="AC1933" i="5"/>
  <c r="N1933" i="5"/>
  <c r="J1933" i="5"/>
  <c r="G1933" i="5"/>
  <c r="AC1932" i="5"/>
  <c r="N1932" i="5"/>
  <c r="J1932" i="5"/>
  <c r="G1932" i="5"/>
  <c r="AC1931" i="5"/>
  <c r="N1931" i="5"/>
  <c r="J1931" i="5"/>
  <c r="G1931" i="5"/>
  <c r="AC1930" i="5"/>
  <c r="N1930" i="5"/>
  <c r="J1930" i="5"/>
  <c r="G1930" i="5"/>
  <c r="AC1929" i="5"/>
  <c r="N1929" i="5"/>
  <c r="J1929" i="5"/>
  <c r="G1929" i="5"/>
  <c r="AC1928" i="5"/>
  <c r="N1928" i="5"/>
  <c r="J1928" i="5"/>
  <c r="G1928" i="5"/>
  <c r="AC1927" i="5"/>
  <c r="N1927" i="5"/>
  <c r="J1927" i="5"/>
  <c r="G1927" i="5"/>
  <c r="AC1926" i="5"/>
  <c r="N1926" i="5"/>
  <c r="J1926" i="5"/>
  <c r="G1926" i="5"/>
  <c r="AC1925" i="5"/>
  <c r="N1925" i="5"/>
  <c r="J1925" i="5"/>
  <c r="G1925" i="5"/>
  <c r="AC1924" i="5"/>
  <c r="N1924" i="5"/>
  <c r="J1924" i="5"/>
  <c r="G1924" i="5"/>
  <c r="AC1923" i="5"/>
  <c r="N1923" i="5"/>
  <c r="J1923" i="5"/>
  <c r="G1923" i="5"/>
  <c r="AC1922" i="5"/>
  <c r="N1922" i="5"/>
  <c r="J1922" i="5"/>
  <c r="G1922" i="5"/>
  <c r="AC1921" i="5"/>
  <c r="N1921" i="5"/>
  <c r="J1921" i="5"/>
  <c r="G1921" i="5"/>
  <c r="AC1920" i="5"/>
  <c r="N1920" i="5"/>
  <c r="J1920" i="5"/>
  <c r="G1920" i="5"/>
  <c r="AC1919" i="5"/>
  <c r="N1919" i="5"/>
  <c r="J1919" i="5"/>
  <c r="G1919" i="5"/>
  <c r="AQ1918" i="5"/>
  <c r="AC1918" i="5"/>
  <c r="N1918" i="5"/>
  <c r="J1918" i="5"/>
  <c r="G1918" i="5"/>
  <c r="AC1917" i="5"/>
  <c r="N1917" i="5"/>
  <c r="J1917" i="5"/>
  <c r="G1917" i="5"/>
  <c r="AC1916" i="5"/>
  <c r="N1916" i="5"/>
  <c r="J1916" i="5"/>
  <c r="G1916" i="5"/>
  <c r="AC1915" i="5"/>
  <c r="N1915" i="5"/>
  <c r="J1915" i="5"/>
  <c r="G1915" i="5"/>
  <c r="AC1914" i="5"/>
  <c r="N1914" i="5"/>
  <c r="J1914" i="5"/>
  <c r="G1914" i="5"/>
  <c r="AC1913" i="5"/>
  <c r="N1913" i="5"/>
  <c r="J1913" i="5"/>
  <c r="G1913" i="5"/>
  <c r="AC1912" i="5"/>
  <c r="N1912" i="5"/>
  <c r="J1912" i="5"/>
  <c r="G1912" i="5"/>
  <c r="AC1911" i="5"/>
  <c r="N1911" i="5"/>
  <c r="J1911" i="5"/>
  <c r="G1911" i="5"/>
  <c r="AC1910" i="5"/>
  <c r="N1910" i="5"/>
  <c r="J1910" i="5"/>
  <c r="G1910" i="5"/>
  <c r="AC1909" i="5"/>
  <c r="N1909" i="5"/>
  <c r="J1909" i="5"/>
  <c r="G1909" i="5"/>
  <c r="AC1908" i="5"/>
  <c r="N1908" i="5"/>
  <c r="J1908" i="5"/>
  <c r="G1908" i="5"/>
  <c r="AC1907" i="5"/>
  <c r="N1907" i="5"/>
  <c r="J1907" i="5"/>
  <c r="G1907" i="5"/>
  <c r="AC1906" i="5"/>
  <c r="N1906" i="5"/>
  <c r="J1906" i="5"/>
  <c r="G1906" i="5"/>
  <c r="AC1905" i="5"/>
  <c r="N1905" i="5"/>
  <c r="J1905" i="5"/>
  <c r="G1905" i="5"/>
  <c r="AC1904" i="5"/>
  <c r="N1904" i="5"/>
  <c r="J1904" i="5"/>
  <c r="G1904" i="5"/>
  <c r="AC1903" i="5"/>
  <c r="N1903" i="5"/>
  <c r="J1903" i="5"/>
  <c r="G1903" i="5"/>
  <c r="AC1902" i="5"/>
  <c r="N1902" i="5"/>
  <c r="J1902" i="5"/>
  <c r="G1902" i="5"/>
  <c r="AC1901" i="5"/>
  <c r="N1901" i="5"/>
  <c r="J1901" i="5"/>
  <c r="G1901" i="5"/>
  <c r="AC1900" i="5"/>
  <c r="N1900" i="5"/>
  <c r="J1900" i="5"/>
  <c r="G1900" i="5"/>
  <c r="AC1899" i="5"/>
  <c r="N1899" i="5"/>
  <c r="J1899" i="5"/>
  <c r="G1899" i="5"/>
  <c r="AC1898" i="5"/>
  <c r="N1898" i="5"/>
  <c r="J1898" i="5"/>
  <c r="G1898" i="5"/>
  <c r="AC1897" i="5"/>
  <c r="N1897" i="5"/>
  <c r="J1897" i="5"/>
  <c r="G1897" i="5"/>
  <c r="AC1896" i="5"/>
  <c r="N1896" i="5"/>
  <c r="J1896" i="5"/>
  <c r="G1896" i="5"/>
  <c r="AC1895" i="5"/>
  <c r="N1895" i="5"/>
  <c r="J1895" i="5"/>
  <c r="G1895" i="5"/>
  <c r="AC1894" i="5"/>
  <c r="N1894" i="5"/>
  <c r="J1894" i="5"/>
  <c r="G1894" i="5"/>
  <c r="AC1893" i="5"/>
  <c r="N1893" i="5"/>
  <c r="J1893" i="5"/>
  <c r="G1893" i="5"/>
  <c r="AC1892" i="5"/>
  <c r="N1892" i="5"/>
  <c r="J1892" i="5"/>
  <c r="G1892" i="5"/>
  <c r="AC1891" i="5"/>
  <c r="N1891" i="5"/>
  <c r="J1891" i="5"/>
  <c r="G1891" i="5"/>
  <c r="AC1890" i="5"/>
  <c r="N1890" i="5"/>
  <c r="J1890" i="5"/>
  <c r="G1890" i="5"/>
  <c r="AC1889" i="5"/>
  <c r="N1889" i="5"/>
  <c r="J1889" i="5"/>
  <c r="G1889" i="5"/>
  <c r="AC1888" i="5"/>
  <c r="N1888" i="5"/>
  <c r="J1888" i="5"/>
  <c r="G1888" i="5"/>
  <c r="AC1887" i="5"/>
  <c r="N1887" i="5"/>
  <c r="J1887" i="5"/>
  <c r="G1887" i="5"/>
  <c r="AC1886" i="5"/>
  <c r="N1886" i="5"/>
  <c r="J1886" i="5"/>
  <c r="G1886" i="5"/>
  <c r="AC1885" i="5"/>
  <c r="N1885" i="5"/>
  <c r="J1885" i="5"/>
  <c r="G1885" i="5"/>
  <c r="AC1884" i="5"/>
  <c r="N1884" i="5"/>
  <c r="J1884" i="5"/>
  <c r="G1884" i="5"/>
  <c r="AC1883" i="5"/>
  <c r="N1883" i="5"/>
  <c r="J1883" i="5"/>
  <c r="G1883" i="5"/>
  <c r="AC1882" i="5"/>
  <c r="N1882" i="5"/>
  <c r="J1882" i="5"/>
  <c r="G1882" i="5"/>
  <c r="AC1881" i="5"/>
  <c r="N1881" i="5"/>
  <c r="J1881" i="5"/>
  <c r="G1881" i="5"/>
  <c r="AC1880" i="5"/>
  <c r="N1880" i="5"/>
  <c r="J1880" i="5"/>
  <c r="G1880" i="5"/>
  <c r="AC1879" i="5"/>
  <c r="N1879" i="5"/>
  <c r="J1879" i="5"/>
  <c r="G1879" i="5"/>
  <c r="AC1878" i="5"/>
  <c r="N1878" i="5"/>
  <c r="J1878" i="5"/>
  <c r="G1878" i="5"/>
  <c r="AC1877" i="5"/>
  <c r="N1877" i="5"/>
  <c r="J1877" i="5"/>
  <c r="G1877" i="5"/>
  <c r="AC1876" i="5"/>
  <c r="N1876" i="5"/>
  <c r="J1876" i="5"/>
  <c r="G1876" i="5"/>
  <c r="AC1875" i="5"/>
  <c r="N1875" i="5"/>
  <c r="J1875" i="5"/>
  <c r="G1875" i="5"/>
  <c r="AC1874" i="5"/>
  <c r="N1874" i="5"/>
  <c r="J1874" i="5"/>
  <c r="G1874" i="5"/>
  <c r="AC1873" i="5"/>
  <c r="N1873" i="5"/>
  <c r="J1873" i="5"/>
  <c r="G1873" i="5"/>
  <c r="AC1872" i="5"/>
  <c r="N1872" i="5"/>
  <c r="J1872" i="5"/>
  <c r="G1872" i="5"/>
  <c r="AC1871" i="5"/>
  <c r="N1871" i="5"/>
  <c r="J1871" i="5"/>
  <c r="G1871" i="5"/>
  <c r="AC1870" i="5"/>
  <c r="N1870" i="5"/>
  <c r="J1870" i="5"/>
  <c r="G1870" i="5"/>
  <c r="AC1869" i="5"/>
  <c r="N1869" i="5"/>
  <c r="J1869" i="5"/>
  <c r="G1869" i="5"/>
  <c r="AC1868" i="5"/>
  <c r="N1868" i="5"/>
  <c r="J1868" i="5"/>
  <c r="G1868" i="5"/>
  <c r="AC1867" i="5"/>
  <c r="N1867" i="5"/>
  <c r="J1867" i="5"/>
  <c r="G1867" i="5"/>
  <c r="AC1866" i="5"/>
  <c r="N1866" i="5"/>
  <c r="J1866" i="5"/>
  <c r="G1866" i="5"/>
  <c r="AC1865" i="5"/>
  <c r="N1865" i="5"/>
  <c r="J1865" i="5"/>
  <c r="G1865" i="5"/>
  <c r="AC1864" i="5"/>
  <c r="N1864" i="5"/>
  <c r="J1864" i="5"/>
  <c r="G1864" i="5"/>
  <c r="AC1863" i="5"/>
  <c r="N1863" i="5"/>
  <c r="J1863" i="5"/>
  <c r="G1863" i="5"/>
  <c r="AC1862" i="5"/>
  <c r="N1862" i="5"/>
  <c r="J1862" i="5"/>
  <c r="G1862" i="5"/>
  <c r="AC1861" i="5"/>
  <c r="N1861" i="5"/>
  <c r="J1861" i="5"/>
  <c r="G1861" i="5"/>
  <c r="AC1860" i="5"/>
  <c r="N1860" i="5"/>
  <c r="J1860" i="5"/>
  <c r="G1860" i="5"/>
  <c r="AC1859" i="5"/>
  <c r="N1859" i="5"/>
  <c r="J1859" i="5"/>
  <c r="G1859" i="5"/>
  <c r="AC1858" i="5"/>
  <c r="N1858" i="5"/>
  <c r="J1858" i="5"/>
  <c r="G1858" i="5"/>
  <c r="AC1857" i="5"/>
  <c r="N1857" i="5"/>
  <c r="J1857" i="5"/>
  <c r="G1857" i="5"/>
  <c r="AC1856" i="5"/>
  <c r="N1856" i="5"/>
  <c r="J1856" i="5"/>
  <c r="G1856" i="5"/>
  <c r="AC1855" i="5"/>
  <c r="N1855" i="5"/>
  <c r="J1855" i="5"/>
  <c r="G1855" i="5"/>
  <c r="AC1854" i="5"/>
  <c r="N1854" i="5"/>
  <c r="J1854" i="5"/>
  <c r="G1854" i="5"/>
  <c r="AC1853" i="5"/>
  <c r="N1853" i="5"/>
  <c r="J1853" i="5"/>
  <c r="G1853" i="5"/>
  <c r="AC1852" i="5"/>
  <c r="N1852" i="5"/>
  <c r="J1852" i="5"/>
  <c r="G1852" i="5"/>
  <c r="AC1851" i="5"/>
  <c r="N1851" i="5"/>
  <c r="J1851" i="5"/>
  <c r="G1851" i="5"/>
  <c r="AC1850" i="5"/>
  <c r="N1850" i="5"/>
  <c r="J1850" i="5"/>
  <c r="G1850" i="5"/>
  <c r="AC1849" i="5"/>
  <c r="N1849" i="5"/>
  <c r="J1849" i="5"/>
  <c r="G1849" i="5"/>
  <c r="AC1848" i="5"/>
  <c r="N1848" i="5"/>
  <c r="J1848" i="5"/>
  <c r="G1848" i="5"/>
  <c r="AC1847" i="5"/>
  <c r="N1847" i="5"/>
  <c r="J1847" i="5"/>
  <c r="G1847" i="5"/>
  <c r="AC1846" i="5"/>
  <c r="N1846" i="5"/>
  <c r="J1846" i="5"/>
  <c r="G1846" i="5"/>
  <c r="AC1845" i="5"/>
  <c r="N1845" i="5"/>
  <c r="J1845" i="5"/>
  <c r="G1845" i="5"/>
  <c r="AC1844" i="5"/>
  <c r="N1844" i="5"/>
  <c r="J1844" i="5"/>
  <c r="G1844" i="5"/>
  <c r="AC1843" i="5"/>
  <c r="N1843" i="5"/>
  <c r="J1843" i="5"/>
  <c r="G1843" i="5"/>
  <c r="AC1842" i="5"/>
  <c r="N1842" i="5"/>
  <c r="J1842" i="5"/>
  <c r="G1842" i="5"/>
  <c r="AC1841" i="5"/>
  <c r="N1841" i="5"/>
  <c r="J1841" i="5"/>
  <c r="G1841" i="5"/>
  <c r="AC1840" i="5"/>
  <c r="N1840" i="5"/>
  <c r="J1840" i="5"/>
  <c r="G1840" i="5"/>
  <c r="AQ1839" i="5"/>
  <c r="AC1839" i="5"/>
  <c r="N1839" i="5"/>
  <c r="J1839" i="5"/>
  <c r="G1839" i="5"/>
  <c r="AQ1838" i="5"/>
  <c r="AC1838" i="5"/>
  <c r="N1838" i="5"/>
  <c r="J1838" i="5"/>
  <c r="G1838" i="5"/>
  <c r="AQ1837" i="5"/>
  <c r="AC1837" i="5"/>
  <c r="N1837" i="5"/>
  <c r="J1837" i="5"/>
  <c r="G1837" i="5"/>
  <c r="AQ1836" i="5"/>
  <c r="AC1836" i="5"/>
  <c r="N1836" i="5"/>
  <c r="J1836" i="5"/>
  <c r="G1836" i="5"/>
  <c r="AC1835" i="5"/>
  <c r="N1835" i="5"/>
  <c r="J1835" i="5"/>
  <c r="G1835" i="5"/>
  <c r="AC1834" i="5"/>
  <c r="N1834" i="5"/>
  <c r="J1834" i="5"/>
  <c r="G1834" i="5"/>
  <c r="AC1833" i="5"/>
  <c r="N1833" i="5"/>
  <c r="J1833" i="5"/>
  <c r="G1833" i="5"/>
  <c r="AC1832" i="5"/>
  <c r="N1832" i="5"/>
  <c r="J1832" i="5"/>
  <c r="G1832" i="5"/>
  <c r="AQ1831" i="5"/>
  <c r="AC1831" i="5"/>
  <c r="N1831" i="5"/>
  <c r="J1831" i="5"/>
  <c r="G1831" i="5"/>
  <c r="AQ1830" i="5"/>
  <c r="AC1830" i="5"/>
  <c r="N1830" i="5"/>
  <c r="J1830" i="5"/>
  <c r="G1830" i="5"/>
  <c r="AQ1829" i="5"/>
  <c r="AC1829" i="5"/>
  <c r="N1829" i="5"/>
  <c r="J1829" i="5"/>
  <c r="G1829" i="5"/>
  <c r="AQ1828" i="5"/>
  <c r="AC1828" i="5"/>
  <c r="N1828" i="5"/>
  <c r="J1828" i="5"/>
  <c r="G1828" i="5"/>
  <c r="AQ1827" i="5"/>
  <c r="AC1827" i="5"/>
  <c r="N1827" i="5"/>
  <c r="J1827" i="5"/>
  <c r="G1827" i="5"/>
  <c r="AQ1826" i="5"/>
  <c r="AC1826" i="5"/>
  <c r="N1826" i="5"/>
  <c r="J1826" i="5"/>
  <c r="G1826" i="5"/>
  <c r="AQ1825" i="5"/>
  <c r="AC1825" i="5"/>
  <c r="N1825" i="5"/>
  <c r="J1825" i="5"/>
  <c r="G1825" i="5"/>
  <c r="AQ1824" i="5"/>
  <c r="AC1824" i="5"/>
  <c r="N1824" i="5"/>
  <c r="J1824" i="5"/>
  <c r="G1824" i="5"/>
  <c r="AQ1823" i="5"/>
  <c r="AC1823" i="5"/>
  <c r="N1823" i="5"/>
  <c r="J1823" i="5"/>
  <c r="G1823" i="5"/>
  <c r="AC1822" i="5"/>
  <c r="N1822" i="5"/>
  <c r="J1822" i="5"/>
  <c r="G1822" i="5"/>
  <c r="AC1821" i="5"/>
  <c r="N1821" i="5"/>
  <c r="J1821" i="5"/>
  <c r="G1821" i="5"/>
  <c r="AQ1820" i="5"/>
  <c r="AC1820" i="5"/>
  <c r="N1820" i="5"/>
  <c r="J1820" i="5"/>
  <c r="G1820" i="5"/>
  <c r="AQ1819" i="5"/>
  <c r="AC1819" i="5"/>
  <c r="N1819" i="5"/>
  <c r="J1819" i="5"/>
  <c r="G1819" i="5"/>
  <c r="AQ1818" i="5"/>
  <c r="AC1818" i="5"/>
  <c r="N1818" i="5"/>
  <c r="J1818" i="5"/>
  <c r="G1818" i="5"/>
  <c r="AQ1817" i="5"/>
  <c r="AC1817" i="5"/>
  <c r="N1817" i="5"/>
  <c r="J1817" i="5"/>
  <c r="G1817" i="5"/>
  <c r="AQ1816" i="5"/>
  <c r="AC1816" i="5"/>
  <c r="N1816" i="5"/>
  <c r="J1816" i="5"/>
  <c r="G1816" i="5"/>
  <c r="AQ1815" i="5"/>
  <c r="AC1815" i="5"/>
  <c r="N1815" i="5"/>
  <c r="J1815" i="5"/>
  <c r="G1815" i="5"/>
  <c r="AQ1814" i="5"/>
  <c r="AC1814" i="5"/>
  <c r="N1814" i="5"/>
  <c r="J1814" i="5"/>
  <c r="G1814" i="5"/>
  <c r="AC1813" i="5"/>
  <c r="N1813" i="5"/>
  <c r="J1813" i="5"/>
  <c r="G1813" i="5"/>
  <c r="AC1812" i="5"/>
  <c r="N1812" i="5"/>
  <c r="J1812" i="5"/>
  <c r="G1812" i="5"/>
  <c r="AC1811" i="5"/>
  <c r="N1811" i="5"/>
  <c r="J1811" i="5"/>
  <c r="G1811" i="5"/>
  <c r="AC1810" i="5"/>
  <c r="N1810" i="5"/>
  <c r="J1810" i="5"/>
  <c r="G1810" i="5"/>
  <c r="AQ1809" i="5"/>
  <c r="AC1809" i="5"/>
  <c r="N1809" i="5"/>
  <c r="J1809" i="5"/>
  <c r="G1809" i="5"/>
  <c r="AQ1808" i="5"/>
  <c r="AC1808" i="5"/>
  <c r="N1808" i="5"/>
  <c r="J1808" i="5"/>
  <c r="G1808" i="5"/>
  <c r="AQ1807" i="5"/>
  <c r="AC1807" i="5"/>
  <c r="N1807" i="5"/>
  <c r="J1807" i="5"/>
  <c r="G1807" i="5"/>
  <c r="AC1806" i="5"/>
  <c r="N1806" i="5"/>
  <c r="J1806" i="5"/>
  <c r="G1806" i="5"/>
  <c r="AQ1805" i="5"/>
  <c r="AC1805" i="5"/>
  <c r="N1805" i="5"/>
  <c r="J1805" i="5"/>
  <c r="G1805" i="5"/>
  <c r="AQ1804" i="5"/>
  <c r="AC1804" i="5"/>
  <c r="N1804" i="5"/>
  <c r="J1804" i="5"/>
  <c r="G1804" i="5"/>
  <c r="AC1803" i="5"/>
  <c r="N1803" i="5"/>
  <c r="J1803" i="5"/>
  <c r="G1803" i="5"/>
  <c r="AQ1802" i="5"/>
  <c r="AC1802" i="5"/>
  <c r="N1802" i="5"/>
  <c r="J1802" i="5"/>
  <c r="G1802" i="5"/>
  <c r="AQ1801" i="5"/>
  <c r="AC1801" i="5"/>
  <c r="N1801" i="5"/>
  <c r="J1801" i="5"/>
  <c r="G1801" i="5"/>
  <c r="AQ1800" i="5"/>
  <c r="AC1800" i="5"/>
  <c r="N1800" i="5"/>
  <c r="J1800" i="5"/>
  <c r="G1800" i="5"/>
  <c r="AQ1799" i="5"/>
  <c r="AC1799" i="5"/>
  <c r="N1799" i="5"/>
  <c r="J1799" i="5"/>
  <c r="G1799" i="5"/>
  <c r="AQ1798" i="5"/>
  <c r="AC1798" i="5"/>
  <c r="N1798" i="5"/>
  <c r="J1798" i="5"/>
  <c r="G1798" i="5"/>
  <c r="AC1797" i="5"/>
  <c r="N1797" i="5"/>
  <c r="J1797" i="5"/>
  <c r="G1797" i="5"/>
  <c r="AC1796" i="5"/>
  <c r="N1796" i="5"/>
  <c r="J1796" i="5"/>
  <c r="G1796" i="5"/>
  <c r="AQ1795" i="5"/>
  <c r="AC1795" i="5"/>
  <c r="N1795" i="5"/>
  <c r="J1795" i="5"/>
  <c r="G1795" i="5"/>
  <c r="AQ1794" i="5"/>
  <c r="AC1794" i="5"/>
  <c r="N1794" i="5"/>
  <c r="J1794" i="5"/>
  <c r="G1794" i="5"/>
  <c r="AQ1793" i="5"/>
  <c r="AC1793" i="5"/>
  <c r="N1793" i="5"/>
  <c r="J1793" i="5"/>
  <c r="G1793" i="5"/>
  <c r="AQ1792" i="5"/>
  <c r="AC1792" i="5"/>
  <c r="N1792" i="5"/>
  <c r="J1792" i="5"/>
  <c r="G1792" i="5"/>
  <c r="AQ1791" i="5"/>
  <c r="AC1791" i="5"/>
  <c r="N1791" i="5"/>
  <c r="J1791" i="5"/>
  <c r="G1791" i="5"/>
  <c r="AQ1790" i="5"/>
  <c r="AC1790" i="5"/>
  <c r="N1790" i="5"/>
  <c r="J1790" i="5"/>
  <c r="G1790" i="5"/>
  <c r="AC1789" i="5"/>
  <c r="N1789" i="5"/>
  <c r="J1789" i="5"/>
  <c r="G1789" i="5"/>
  <c r="AC1788" i="5"/>
  <c r="N1788" i="5"/>
  <c r="J1788" i="5"/>
  <c r="G1788" i="5"/>
  <c r="AQ1787" i="5"/>
  <c r="AC1787" i="5"/>
  <c r="N1787" i="5"/>
  <c r="J1787" i="5"/>
  <c r="G1787" i="5"/>
  <c r="AQ1786" i="5"/>
  <c r="AC1786" i="5"/>
  <c r="N1786" i="5"/>
  <c r="J1786" i="5"/>
  <c r="G1786" i="5"/>
  <c r="AQ1785" i="5"/>
  <c r="AC1785" i="5"/>
  <c r="N1785" i="5"/>
  <c r="J1785" i="5"/>
  <c r="G1785" i="5"/>
  <c r="AQ1784" i="5"/>
  <c r="AC1784" i="5"/>
  <c r="N1784" i="5"/>
  <c r="J1784" i="5"/>
  <c r="G1784" i="5"/>
  <c r="AQ1783" i="5"/>
  <c r="AC1783" i="5"/>
  <c r="N1783" i="5"/>
  <c r="J1783" i="5"/>
  <c r="G1783" i="5"/>
  <c r="AQ1782" i="5"/>
  <c r="AC1782" i="5"/>
  <c r="N1782" i="5"/>
  <c r="J1782" i="5"/>
  <c r="G1782" i="5"/>
  <c r="AC1781" i="5"/>
  <c r="N1781" i="5"/>
  <c r="J1781" i="5"/>
  <c r="G1781" i="5"/>
  <c r="AC1780" i="5"/>
  <c r="N1780" i="5"/>
  <c r="J1780" i="5"/>
  <c r="G1780" i="5"/>
  <c r="AQ1779" i="5"/>
  <c r="AC1779" i="5"/>
  <c r="N1779" i="5"/>
  <c r="J1779" i="5"/>
  <c r="G1779" i="5"/>
  <c r="AQ1778" i="5"/>
  <c r="AC1778" i="5"/>
  <c r="N1778" i="5"/>
  <c r="J1778" i="5"/>
  <c r="G1778" i="5"/>
  <c r="AC1777" i="5"/>
  <c r="N1777" i="5"/>
  <c r="J1777" i="5"/>
  <c r="G1777" i="5"/>
  <c r="AQ1776" i="5"/>
  <c r="AC1776" i="5"/>
  <c r="N1776" i="5"/>
  <c r="J1776" i="5"/>
  <c r="G1776" i="5"/>
  <c r="AC1775" i="5"/>
  <c r="N1775" i="5"/>
  <c r="J1775" i="5"/>
  <c r="G1775" i="5"/>
  <c r="AC1774" i="5"/>
  <c r="N1774" i="5"/>
  <c r="J1774" i="5"/>
  <c r="G1774" i="5"/>
  <c r="AC1773" i="5"/>
  <c r="N1773" i="5"/>
  <c r="J1773" i="5"/>
  <c r="G1773" i="5"/>
  <c r="AC1772" i="5"/>
  <c r="N1772" i="5"/>
  <c r="J1772" i="5"/>
  <c r="G1772" i="5"/>
  <c r="AC1771" i="5"/>
  <c r="N1771" i="5"/>
  <c r="J1771" i="5"/>
  <c r="G1771" i="5"/>
  <c r="AC1770" i="5"/>
  <c r="N1770" i="5"/>
  <c r="J1770" i="5"/>
  <c r="G1770" i="5"/>
  <c r="AC1769" i="5"/>
  <c r="N1769" i="5"/>
  <c r="J1769" i="5"/>
  <c r="G1769" i="5"/>
  <c r="AC1768" i="5"/>
  <c r="N1768" i="5"/>
  <c r="J1768" i="5"/>
  <c r="G1768" i="5"/>
  <c r="AC1767" i="5"/>
  <c r="N1767" i="5"/>
  <c r="J1767" i="5"/>
  <c r="G1767" i="5"/>
  <c r="AC1766" i="5"/>
  <c r="N1766" i="5"/>
  <c r="J1766" i="5"/>
  <c r="G1766" i="5"/>
  <c r="AC1765" i="5"/>
  <c r="N1765" i="5"/>
  <c r="J1765" i="5"/>
  <c r="G1765" i="5"/>
  <c r="AC1764" i="5"/>
  <c r="N1764" i="5"/>
  <c r="J1764" i="5"/>
  <c r="G1764" i="5"/>
  <c r="AC1763" i="5"/>
  <c r="N1763" i="5"/>
  <c r="J1763" i="5"/>
  <c r="G1763" i="5"/>
  <c r="AC1762" i="5"/>
  <c r="N1762" i="5"/>
  <c r="J1762" i="5"/>
  <c r="G1762" i="5"/>
  <c r="AC1761" i="5"/>
  <c r="N1761" i="5"/>
  <c r="J1761" i="5"/>
  <c r="G1761" i="5"/>
  <c r="AC1760" i="5"/>
  <c r="N1760" i="5"/>
  <c r="J1760" i="5"/>
  <c r="G1760" i="5"/>
  <c r="AC1759" i="5"/>
  <c r="N1759" i="5"/>
  <c r="J1759" i="5"/>
  <c r="G1759" i="5"/>
  <c r="AC1758" i="5"/>
  <c r="N1758" i="5"/>
  <c r="J1758" i="5"/>
  <c r="G1758" i="5"/>
  <c r="AC1757" i="5"/>
  <c r="N1757" i="5"/>
  <c r="J1757" i="5"/>
  <c r="G1757" i="5"/>
  <c r="AC1756" i="5"/>
  <c r="N1756" i="5"/>
  <c r="J1756" i="5"/>
  <c r="G1756" i="5"/>
  <c r="AC1755" i="5"/>
  <c r="N1755" i="5"/>
  <c r="J1755" i="5"/>
  <c r="G1755" i="5"/>
  <c r="AC1754" i="5"/>
  <c r="N1754" i="5"/>
  <c r="J1754" i="5"/>
  <c r="G1754" i="5"/>
  <c r="AC1753" i="5"/>
  <c r="N1753" i="5"/>
  <c r="J1753" i="5"/>
  <c r="G1753" i="5"/>
  <c r="AC1752" i="5"/>
  <c r="N1752" i="5"/>
  <c r="J1752" i="5"/>
  <c r="G1752" i="5"/>
  <c r="AC1751" i="5"/>
  <c r="N1751" i="5"/>
  <c r="J1751" i="5"/>
  <c r="G1751" i="5"/>
  <c r="AC1750" i="5"/>
  <c r="N1750" i="5"/>
  <c r="J1750" i="5"/>
  <c r="G1750" i="5"/>
  <c r="AC1749" i="5"/>
  <c r="N1749" i="5"/>
  <c r="J1749" i="5"/>
  <c r="G1749" i="5"/>
  <c r="AC1748" i="5"/>
  <c r="N1748" i="5"/>
  <c r="J1748" i="5"/>
  <c r="G1748" i="5"/>
  <c r="AC1747" i="5"/>
  <c r="N1747" i="5"/>
  <c r="J1747" i="5"/>
  <c r="G1747" i="5"/>
  <c r="AC1746" i="5"/>
  <c r="N1746" i="5"/>
  <c r="J1746" i="5"/>
  <c r="G1746" i="5"/>
  <c r="AC1745" i="5"/>
  <c r="N1745" i="5"/>
  <c r="J1745" i="5"/>
  <c r="G1745" i="5"/>
  <c r="AC1744" i="5"/>
  <c r="N1744" i="5"/>
  <c r="J1744" i="5"/>
  <c r="G1744" i="5"/>
  <c r="AC1743" i="5"/>
  <c r="N1743" i="5"/>
  <c r="J1743" i="5"/>
  <c r="G1743" i="5"/>
  <c r="AC1742" i="5"/>
  <c r="N1742" i="5"/>
  <c r="J1742" i="5"/>
  <c r="G1742" i="5"/>
  <c r="AC1741" i="5"/>
  <c r="N1741" i="5"/>
  <c r="J1741" i="5"/>
  <c r="G1741" i="5"/>
  <c r="AC1740" i="5"/>
  <c r="N1740" i="5"/>
  <c r="J1740" i="5"/>
  <c r="G1740" i="5"/>
  <c r="AC1739" i="5"/>
  <c r="N1739" i="5"/>
  <c r="J1739" i="5"/>
  <c r="G1739" i="5"/>
  <c r="AC1738" i="5"/>
  <c r="N1738" i="5"/>
  <c r="J1738" i="5"/>
  <c r="G1738" i="5"/>
  <c r="AC1737" i="5"/>
  <c r="N1737" i="5"/>
  <c r="J1737" i="5"/>
  <c r="G1737" i="5"/>
  <c r="AC1736" i="5"/>
  <c r="N1736" i="5"/>
  <c r="J1736" i="5"/>
  <c r="G1736" i="5"/>
  <c r="AC1735" i="5"/>
  <c r="N1735" i="5"/>
  <c r="J1735" i="5"/>
  <c r="G1735" i="5"/>
  <c r="AC1734" i="5"/>
  <c r="N1734" i="5"/>
  <c r="J1734" i="5"/>
  <c r="G1734" i="5"/>
  <c r="AC1733" i="5"/>
  <c r="N1733" i="5"/>
  <c r="J1733" i="5"/>
  <c r="G1733" i="5"/>
  <c r="AC1732" i="5"/>
  <c r="N1732" i="5"/>
  <c r="J1732" i="5"/>
  <c r="G1732" i="5"/>
  <c r="AC1731" i="5"/>
  <c r="N1731" i="5"/>
  <c r="J1731" i="5"/>
  <c r="G1731" i="5"/>
  <c r="AC1730" i="5"/>
  <c r="N1730" i="5"/>
  <c r="J1730" i="5"/>
  <c r="G1730" i="5"/>
  <c r="AC1729" i="5"/>
  <c r="N1729" i="5"/>
  <c r="J1729" i="5"/>
  <c r="G1729" i="5"/>
  <c r="AC1728" i="5"/>
  <c r="N1728" i="5"/>
  <c r="J1728" i="5"/>
  <c r="G1728" i="5"/>
  <c r="AC1727" i="5"/>
  <c r="N1727" i="5"/>
  <c r="J1727" i="5"/>
  <c r="G1727" i="5"/>
  <c r="AC1726" i="5"/>
  <c r="N1726" i="5"/>
  <c r="J1726" i="5"/>
  <c r="G1726" i="5"/>
  <c r="AC1725" i="5"/>
  <c r="N1725" i="5"/>
  <c r="J1725" i="5"/>
  <c r="G1725" i="5"/>
  <c r="AC1724" i="5"/>
  <c r="N1724" i="5"/>
  <c r="J1724" i="5"/>
  <c r="G1724" i="5"/>
  <c r="AC1723" i="5"/>
  <c r="N1723" i="5"/>
  <c r="J1723" i="5"/>
  <c r="G1723" i="5"/>
  <c r="AC1722" i="5"/>
  <c r="N1722" i="5"/>
  <c r="J1722" i="5"/>
  <c r="G1722" i="5"/>
  <c r="AC1721" i="5"/>
  <c r="N1721" i="5"/>
  <c r="J1721" i="5"/>
  <c r="G1721" i="5"/>
  <c r="AC1720" i="5"/>
  <c r="N1720" i="5"/>
  <c r="J1720" i="5"/>
  <c r="G1720" i="5"/>
  <c r="AC1719" i="5"/>
  <c r="N1719" i="5"/>
  <c r="J1719" i="5"/>
  <c r="G1719" i="5"/>
  <c r="AC1718" i="5"/>
  <c r="N1718" i="5"/>
  <c r="J1718" i="5"/>
  <c r="G1718" i="5"/>
  <c r="AC1717" i="5"/>
  <c r="N1717" i="5"/>
  <c r="J1717" i="5"/>
  <c r="G1717" i="5"/>
  <c r="AC1716" i="5"/>
  <c r="N1716" i="5"/>
  <c r="J1716" i="5"/>
  <c r="G1716" i="5"/>
  <c r="AC1715" i="5"/>
  <c r="N1715" i="5"/>
  <c r="J1715" i="5"/>
  <c r="G1715" i="5"/>
  <c r="AC1714" i="5"/>
  <c r="N1714" i="5"/>
  <c r="J1714" i="5"/>
  <c r="G1714" i="5"/>
  <c r="AC1713" i="5"/>
  <c r="N1713" i="5"/>
  <c r="J1713" i="5"/>
  <c r="G1713" i="5"/>
  <c r="AC1712" i="5"/>
  <c r="N1712" i="5"/>
  <c r="J1712" i="5"/>
  <c r="G1712" i="5"/>
  <c r="AC1711" i="5"/>
  <c r="N1711" i="5"/>
  <c r="J1711" i="5"/>
  <c r="G1711" i="5"/>
  <c r="AC1710" i="5"/>
  <c r="N1710" i="5"/>
  <c r="J1710" i="5"/>
  <c r="G1710" i="5"/>
  <c r="AQ1709" i="5"/>
  <c r="AC1709" i="5"/>
  <c r="N1709" i="5"/>
  <c r="J1709" i="5"/>
  <c r="G1709" i="5"/>
  <c r="AC1708" i="5"/>
  <c r="N1708" i="5"/>
  <c r="J1708" i="5"/>
  <c r="G1708" i="5"/>
  <c r="AC1707" i="5"/>
  <c r="N1707" i="5"/>
  <c r="J1707" i="5"/>
  <c r="G1707" i="5"/>
  <c r="AC1706" i="5"/>
  <c r="N1706" i="5"/>
  <c r="J1706" i="5"/>
  <c r="G1706" i="5"/>
  <c r="AC1705" i="5"/>
  <c r="N1705" i="5"/>
  <c r="J1705" i="5"/>
  <c r="G1705" i="5"/>
  <c r="AC1704" i="5"/>
  <c r="N1704" i="5"/>
  <c r="J1704" i="5"/>
  <c r="G1704" i="5"/>
  <c r="AC1703" i="5"/>
  <c r="N1703" i="5"/>
  <c r="J1703" i="5"/>
  <c r="G1703" i="5"/>
  <c r="AC1702" i="5"/>
  <c r="N1702" i="5"/>
  <c r="J1702" i="5"/>
  <c r="G1702" i="5"/>
  <c r="AC1701" i="5"/>
  <c r="N1701" i="5"/>
  <c r="J1701" i="5"/>
  <c r="G1701" i="5"/>
  <c r="AC1700" i="5"/>
  <c r="N1700" i="5"/>
  <c r="J1700" i="5"/>
  <c r="G1700" i="5"/>
  <c r="AC1699" i="5"/>
  <c r="N1699" i="5"/>
  <c r="J1699" i="5"/>
  <c r="G1699" i="5"/>
  <c r="AC1698" i="5"/>
  <c r="N1698" i="5"/>
  <c r="J1698" i="5"/>
  <c r="G1698" i="5"/>
  <c r="AC1697" i="5"/>
  <c r="N1697" i="5"/>
  <c r="J1697" i="5"/>
  <c r="G1697" i="5"/>
  <c r="AC1696" i="5"/>
  <c r="N1696" i="5"/>
  <c r="J1696" i="5"/>
  <c r="G1696" i="5"/>
  <c r="AC1695" i="5"/>
  <c r="N1695" i="5"/>
  <c r="J1695" i="5"/>
  <c r="G1695" i="5"/>
  <c r="AC1694" i="5"/>
  <c r="N1694" i="5"/>
  <c r="J1694" i="5"/>
  <c r="G1694" i="5"/>
  <c r="AC1693" i="5"/>
  <c r="N1693" i="5"/>
  <c r="J1693" i="5"/>
  <c r="G1693" i="5"/>
  <c r="AC1692" i="5"/>
  <c r="N1692" i="5"/>
  <c r="J1692" i="5"/>
  <c r="G1692" i="5"/>
  <c r="AC1691" i="5"/>
  <c r="N1691" i="5"/>
  <c r="J1691" i="5"/>
  <c r="G1691" i="5"/>
  <c r="AC1690" i="5"/>
  <c r="N1690" i="5"/>
  <c r="J1690" i="5"/>
  <c r="G1690" i="5"/>
  <c r="AC1689" i="5"/>
  <c r="N1689" i="5"/>
  <c r="J1689" i="5"/>
  <c r="G1689" i="5"/>
  <c r="AC1688" i="5"/>
  <c r="N1688" i="5"/>
  <c r="J1688" i="5"/>
  <c r="G1688" i="5"/>
  <c r="AC1687" i="5"/>
  <c r="N1687" i="5"/>
  <c r="J1687" i="5"/>
  <c r="G1687" i="5"/>
  <c r="AQ1686" i="5"/>
  <c r="AC1686" i="5"/>
  <c r="N1686" i="5"/>
  <c r="J1686" i="5"/>
  <c r="G1686" i="5"/>
  <c r="AQ1685" i="5"/>
  <c r="AC1685" i="5"/>
  <c r="N1685" i="5"/>
  <c r="J1685" i="5"/>
  <c r="G1685" i="5"/>
  <c r="AC1684" i="5"/>
  <c r="N1684" i="5"/>
  <c r="J1684" i="5"/>
  <c r="G1684" i="5"/>
  <c r="AQ1683" i="5"/>
  <c r="AC1683" i="5"/>
  <c r="N1683" i="5"/>
  <c r="J1683" i="5"/>
  <c r="G1683" i="5"/>
  <c r="AQ1682" i="5"/>
  <c r="AC1682" i="5"/>
  <c r="N1682" i="5"/>
  <c r="J1682" i="5"/>
  <c r="G1682" i="5"/>
  <c r="AC1681" i="5"/>
  <c r="N1681" i="5"/>
  <c r="J1681" i="5"/>
  <c r="G1681" i="5"/>
  <c r="AQ1680" i="5"/>
  <c r="AC1680" i="5"/>
  <c r="N1680" i="5"/>
  <c r="J1680" i="5"/>
  <c r="G1680" i="5"/>
  <c r="AC1679" i="5"/>
  <c r="N1679" i="5"/>
  <c r="J1679" i="5"/>
  <c r="G1679" i="5"/>
  <c r="AC1678" i="5"/>
  <c r="N1678" i="5"/>
  <c r="J1678" i="5"/>
  <c r="G1678" i="5"/>
  <c r="AQ1677" i="5"/>
  <c r="AC1677" i="5"/>
  <c r="N1677" i="5"/>
  <c r="J1677" i="5"/>
  <c r="G1677" i="5"/>
  <c r="AC1676" i="5"/>
  <c r="N1676" i="5"/>
  <c r="J1676" i="5"/>
  <c r="G1676" i="5"/>
  <c r="AC1675" i="5"/>
  <c r="N1675" i="5"/>
  <c r="J1675" i="5"/>
  <c r="G1675" i="5"/>
  <c r="AC1674" i="5"/>
  <c r="N1674" i="5"/>
  <c r="J1674" i="5"/>
  <c r="G1674" i="5"/>
  <c r="AC1673" i="5"/>
  <c r="N1673" i="5"/>
  <c r="J1673" i="5"/>
  <c r="G1673" i="5"/>
  <c r="AC1672" i="5"/>
  <c r="N1672" i="5"/>
  <c r="J1672" i="5"/>
  <c r="G1672" i="5"/>
  <c r="AC1671" i="5"/>
  <c r="N1671" i="5"/>
  <c r="J1671" i="5"/>
  <c r="G1671" i="5"/>
  <c r="AC1670" i="5"/>
  <c r="N1670" i="5"/>
  <c r="J1670" i="5"/>
  <c r="G1670" i="5"/>
  <c r="AC1669" i="5"/>
  <c r="N1669" i="5"/>
  <c r="J1669" i="5"/>
  <c r="G1669" i="5"/>
  <c r="AC1668" i="5"/>
  <c r="N1668" i="5"/>
  <c r="J1668" i="5"/>
  <c r="G1668" i="5"/>
  <c r="AC1667" i="5"/>
  <c r="N1667" i="5"/>
  <c r="J1667" i="5"/>
  <c r="G1667" i="5"/>
  <c r="AC1666" i="5"/>
  <c r="N1666" i="5"/>
  <c r="J1666" i="5"/>
  <c r="G1666" i="5"/>
  <c r="AQ1665" i="5"/>
  <c r="AC1665" i="5"/>
  <c r="N1665" i="5"/>
  <c r="J1665" i="5"/>
  <c r="G1665" i="5"/>
  <c r="AQ1664" i="5"/>
  <c r="AC1664" i="5"/>
  <c r="N1664" i="5"/>
  <c r="J1664" i="5"/>
  <c r="G1664" i="5"/>
  <c r="AQ1663" i="5"/>
  <c r="AC1663" i="5"/>
  <c r="N1663" i="5"/>
  <c r="J1663" i="5"/>
  <c r="G1663" i="5"/>
  <c r="AQ1662" i="5"/>
  <c r="AC1662" i="5"/>
  <c r="N1662" i="5"/>
  <c r="J1662" i="5"/>
  <c r="G1662" i="5"/>
  <c r="AC1661" i="5"/>
  <c r="N1661" i="5"/>
  <c r="J1661" i="5"/>
  <c r="G1661" i="5"/>
  <c r="AC1660" i="5"/>
  <c r="N1660" i="5"/>
  <c r="J1660" i="5"/>
  <c r="G1660" i="5"/>
  <c r="AC1659" i="5"/>
  <c r="N1659" i="5"/>
  <c r="J1659" i="5"/>
  <c r="G1659" i="5"/>
  <c r="AQ1658" i="5"/>
  <c r="AC1658" i="5"/>
  <c r="N1658" i="5"/>
  <c r="J1658" i="5"/>
  <c r="G1658" i="5"/>
  <c r="AQ1657" i="5"/>
  <c r="AC1657" i="5"/>
  <c r="N1657" i="5"/>
  <c r="J1657" i="5"/>
  <c r="G1657" i="5"/>
  <c r="AQ1656" i="5"/>
  <c r="AC1656" i="5"/>
  <c r="N1656" i="5"/>
  <c r="J1656" i="5"/>
  <c r="G1656" i="5"/>
  <c r="AQ1655" i="5"/>
  <c r="AC1655" i="5"/>
  <c r="N1655" i="5"/>
  <c r="J1655" i="5"/>
  <c r="G1655" i="5"/>
  <c r="AQ1654" i="5"/>
  <c r="AC1654" i="5"/>
  <c r="N1654" i="5"/>
  <c r="J1654" i="5"/>
  <c r="G1654" i="5"/>
  <c r="AQ1653" i="5"/>
  <c r="AC1653" i="5"/>
  <c r="N1653" i="5"/>
  <c r="J1653" i="5"/>
  <c r="G1653" i="5"/>
  <c r="AC1652" i="5"/>
  <c r="N1652" i="5"/>
  <c r="J1652" i="5"/>
  <c r="G1652" i="5"/>
  <c r="AC1651" i="5"/>
  <c r="N1651" i="5"/>
  <c r="J1651" i="5"/>
  <c r="G1651" i="5"/>
  <c r="AC1650" i="5"/>
  <c r="N1650" i="5"/>
  <c r="J1650" i="5"/>
  <c r="G1650" i="5"/>
  <c r="AQ1649" i="5"/>
  <c r="AC1649" i="5"/>
  <c r="N1649" i="5"/>
  <c r="J1649" i="5"/>
  <c r="G1649" i="5"/>
  <c r="AC1648" i="5"/>
  <c r="N1648" i="5"/>
  <c r="J1648" i="5"/>
  <c r="G1648" i="5"/>
  <c r="AQ1647" i="5"/>
  <c r="AC1647" i="5"/>
  <c r="N1647" i="5"/>
  <c r="J1647" i="5"/>
  <c r="G1647" i="5"/>
  <c r="AC1646" i="5"/>
  <c r="N1646" i="5"/>
  <c r="J1646" i="5"/>
  <c r="G1646" i="5"/>
  <c r="AQ1645" i="5"/>
  <c r="AC1645" i="5"/>
  <c r="N1645" i="5"/>
  <c r="J1645" i="5"/>
  <c r="G1645" i="5"/>
  <c r="AC1644" i="5"/>
  <c r="N1644" i="5"/>
  <c r="J1644" i="5"/>
  <c r="G1644" i="5"/>
  <c r="AC1643" i="5"/>
  <c r="N1643" i="5"/>
  <c r="J1643" i="5"/>
  <c r="G1643" i="5"/>
  <c r="AC1642" i="5"/>
  <c r="N1642" i="5"/>
  <c r="J1642" i="5"/>
  <c r="G1642" i="5"/>
  <c r="AC1641" i="5"/>
  <c r="N1641" i="5"/>
  <c r="J1641" i="5"/>
  <c r="G1641" i="5"/>
  <c r="AC1640" i="5"/>
  <c r="N1640" i="5"/>
  <c r="J1640" i="5"/>
  <c r="G1640" i="5"/>
  <c r="AQ1639" i="5"/>
  <c r="AC1639" i="5"/>
  <c r="N1639" i="5"/>
  <c r="J1639" i="5"/>
  <c r="G1639" i="5"/>
  <c r="AQ1638" i="5"/>
  <c r="AC1638" i="5"/>
  <c r="N1638" i="5"/>
  <c r="J1638" i="5"/>
  <c r="G1638" i="5"/>
  <c r="AQ1637" i="5"/>
  <c r="AC1637" i="5"/>
  <c r="N1637" i="5"/>
  <c r="J1637" i="5"/>
  <c r="G1637" i="5"/>
  <c r="AC1636" i="5"/>
  <c r="N1636" i="5"/>
  <c r="J1636" i="5"/>
  <c r="G1636" i="5"/>
  <c r="AQ1635" i="5"/>
  <c r="AC1635" i="5"/>
  <c r="N1635" i="5"/>
  <c r="J1635" i="5"/>
  <c r="G1635" i="5"/>
  <c r="AC1634" i="5"/>
  <c r="N1634" i="5"/>
  <c r="J1634" i="5"/>
  <c r="G1634" i="5"/>
  <c r="AQ1633" i="5"/>
  <c r="AC1633" i="5"/>
  <c r="N1633" i="5"/>
  <c r="J1633" i="5"/>
  <c r="G1633" i="5"/>
  <c r="AQ1632" i="5"/>
  <c r="AC1632" i="5"/>
  <c r="N1632" i="5"/>
  <c r="J1632" i="5"/>
  <c r="G1632" i="5"/>
  <c r="AQ1631" i="5"/>
  <c r="AC1631" i="5"/>
  <c r="N1631" i="5"/>
  <c r="J1631" i="5"/>
  <c r="G1631" i="5"/>
  <c r="AQ1630" i="5"/>
  <c r="AC1630" i="5"/>
  <c r="N1630" i="5"/>
  <c r="J1630" i="5"/>
  <c r="G1630" i="5"/>
  <c r="AQ1629" i="5"/>
  <c r="AC1629" i="5"/>
  <c r="N1629" i="5"/>
  <c r="J1629" i="5"/>
  <c r="G1629" i="5"/>
  <c r="AC1628" i="5"/>
  <c r="N1628" i="5"/>
  <c r="J1628" i="5"/>
  <c r="G1628" i="5"/>
  <c r="AC1627" i="5"/>
  <c r="N1627" i="5"/>
  <c r="J1627" i="5"/>
  <c r="G1627" i="5"/>
  <c r="AC1626" i="5"/>
  <c r="N1626" i="5"/>
  <c r="J1626" i="5"/>
  <c r="G1626" i="5"/>
  <c r="AQ1625" i="5"/>
  <c r="AC1625" i="5"/>
  <c r="N1625" i="5"/>
  <c r="J1625" i="5"/>
  <c r="G1625" i="5"/>
  <c r="AC1624" i="5"/>
  <c r="N1624" i="5"/>
  <c r="J1624" i="5"/>
  <c r="G1624" i="5"/>
  <c r="AQ1623" i="5"/>
  <c r="AC1623" i="5"/>
  <c r="N1623" i="5"/>
  <c r="J1623" i="5"/>
  <c r="G1623" i="5"/>
  <c r="AC1622" i="5"/>
  <c r="N1622" i="5"/>
  <c r="J1622" i="5"/>
  <c r="G1622" i="5"/>
  <c r="AQ1621" i="5"/>
  <c r="AC1621" i="5"/>
  <c r="N1621" i="5"/>
  <c r="J1621" i="5"/>
  <c r="G1621" i="5"/>
  <c r="AC1620" i="5"/>
  <c r="N1620" i="5"/>
  <c r="J1620" i="5"/>
  <c r="G1620" i="5"/>
  <c r="AC1619" i="5"/>
  <c r="N1619" i="5"/>
  <c r="J1619" i="5"/>
  <c r="G1619" i="5"/>
  <c r="AC1618" i="5"/>
  <c r="N1618" i="5"/>
  <c r="J1618" i="5"/>
  <c r="G1618" i="5"/>
  <c r="AC1617" i="5"/>
  <c r="N1617" i="5"/>
  <c r="J1617" i="5"/>
  <c r="G1617" i="5"/>
  <c r="AC1616" i="5"/>
  <c r="N1616" i="5"/>
  <c r="J1616" i="5"/>
  <c r="G1616" i="5"/>
  <c r="AC1615" i="5"/>
  <c r="N1615" i="5"/>
  <c r="J1615" i="5"/>
  <c r="G1615" i="5"/>
  <c r="AC1614" i="5"/>
  <c r="N1614" i="5"/>
  <c r="J1614" i="5"/>
  <c r="G1614" i="5"/>
  <c r="AC1613" i="5"/>
  <c r="N1613" i="5"/>
  <c r="J1613" i="5"/>
  <c r="G1613" i="5"/>
  <c r="AC1612" i="5"/>
  <c r="N1612" i="5"/>
  <c r="J1612" i="5"/>
  <c r="G1612" i="5"/>
  <c r="AC1611" i="5"/>
  <c r="N1611" i="5"/>
  <c r="J1611" i="5"/>
  <c r="G1611" i="5"/>
  <c r="AC1610" i="5"/>
  <c r="N1610" i="5"/>
  <c r="J1610" i="5"/>
  <c r="G1610" i="5"/>
  <c r="AC1609" i="5"/>
  <c r="N1609" i="5"/>
  <c r="J1609" i="5"/>
  <c r="G1609" i="5"/>
  <c r="AC1608" i="5"/>
  <c r="N1608" i="5"/>
  <c r="J1608" i="5"/>
  <c r="G1608" i="5"/>
  <c r="AC1607" i="5"/>
  <c r="N1607" i="5"/>
  <c r="J1607" i="5"/>
  <c r="G1607" i="5"/>
  <c r="AC1606" i="5"/>
  <c r="N1606" i="5"/>
  <c r="J1606" i="5"/>
  <c r="G1606" i="5"/>
  <c r="AC1605" i="5"/>
  <c r="N1605" i="5"/>
  <c r="J1605" i="5"/>
  <c r="G1605" i="5"/>
  <c r="AC1604" i="5"/>
  <c r="N1604" i="5"/>
  <c r="J1604" i="5"/>
  <c r="G1604" i="5"/>
  <c r="AC1603" i="5"/>
  <c r="N1603" i="5"/>
  <c r="J1603" i="5"/>
  <c r="G1603" i="5"/>
  <c r="AC1602" i="5"/>
  <c r="N1602" i="5"/>
  <c r="J1602" i="5"/>
  <c r="G1602" i="5"/>
  <c r="AC1601" i="5"/>
  <c r="N1601" i="5"/>
  <c r="J1601" i="5"/>
  <c r="G1601" i="5"/>
  <c r="AC1600" i="5"/>
  <c r="N1600" i="5"/>
  <c r="J1600" i="5"/>
  <c r="G1600" i="5"/>
  <c r="AC1599" i="5"/>
  <c r="N1599" i="5"/>
  <c r="J1599" i="5"/>
  <c r="G1599" i="5"/>
  <c r="AC1598" i="5"/>
  <c r="N1598" i="5"/>
  <c r="J1598" i="5"/>
  <c r="G1598" i="5"/>
  <c r="AC1597" i="5"/>
  <c r="N1597" i="5"/>
  <c r="J1597" i="5"/>
  <c r="G1597" i="5"/>
  <c r="AC1596" i="5"/>
  <c r="N1596" i="5"/>
  <c r="J1596" i="5"/>
  <c r="G1596" i="5"/>
  <c r="AC1595" i="5"/>
  <c r="N1595" i="5"/>
  <c r="J1595" i="5"/>
  <c r="G1595" i="5"/>
  <c r="AC1594" i="5"/>
  <c r="N1594" i="5"/>
  <c r="J1594" i="5"/>
  <c r="G1594" i="5"/>
  <c r="AC1593" i="5"/>
  <c r="N1593" i="5"/>
  <c r="J1593" i="5"/>
  <c r="G1593" i="5"/>
  <c r="AC1592" i="5"/>
  <c r="N1592" i="5"/>
  <c r="J1592" i="5"/>
  <c r="G1592" i="5"/>
  <c r="AQ1591" i="5"/>
  <c r="AC1591" i="5"/>
  <c r="N1591" i="5"/>
  <c r="J1591" i="5"/>
  <c r="G1591" i="5"/>
  <c r="AQ1590" i="5"/>
  <c r="AC1590" i="5"/>
  <c r="N1590" i="5"/>
  <c r="J1590" i="5"/>
  <c r="G1590" i="5"/>
  <c r="AC1589" i="5"/>
  <c r="N1589" i="5"/>
  <c r="J1589" i="5"/>
  <c r="G1589" i="5"/>
  <c r="AC1588" i="5"/>
  <c r="N1588" i="5"/>
  <c r="J1588" i="5"/>
  <c r="G1588" i="5"/>
  <c r="AC1587" i="5"/>
  <c r="N1587" i="5"/>
  <c r="J1587" i="5"/>
  <c r="G1587" i="5"/>
  <c r="AC1586" i="5"/>
  <c r="N1586" i="5"/>
  <c r="J1586" i="5"/>
  <c r="G1586" i="5"/>
  <c r="AC1585" i="5"/>
  <c r="N1585" i="5"/>
  <c r="J1585" i="5"/>
  <c r="G1585" i="5"/>
  <c r="AC1584" i="5"/>
  <c r="N1584" i="5"/>
  <c r="J1584" i="5"/>
  <c r="G1584" i="5"/>
  <c r="AC1583" i="5"/>
  <c r="N1583" i="5"/>
  <c r="J1583" i="5"/>
  <c r="G1583" i="5"/>
  <c r="AC1582" i="5"/>
  <c r="N1582" i="5"/>
  <c r="J1582" i="5"/>
  <c r="G1582" i="5"/>
  <c r="AQ1581" i="5"/>
  <c r="AC1581" i="5"/>
  <c r="N1581" i="5"/>
  <c r="J1581" i="5"/>
  <c r="G1581" i="5"/>
  <c r="AC1580" i="5"/>
  <c r="N1580" i="5"/>
  <c r="J1580" i="5"/>
  <c r="G1580" i="5"/>
  <c r="AC1579" i="5"/>
  <c r="N1579" i="5"/>
  <c r="J1579" i="5"/>
  <c r="G1579" i="5"/>
  <c r="AC1578" i="5"/>
  <c r="N1578" i="5"/>
  <c r="J1578" i="5"/>
  <c r="G1578" i="5"/>
  <c r="AC1577" i="5"/>
  <c r="N1577" i="5"/>
  <c r="J1577" i="5"/>
  <c r="G1577" i="5"/>
  <c r="AC1576" i="5"/>
  <c r="N1576" i="5"/>
  <c r="J1576" i="5"/>
  <c r="G1576" i="5"/>
  <c r="AC1575" i="5"/>
  <c r="N1575" i="5"/>
  <c r="J1575" i="5"/>
  <c r="G1575" i="5"/>
  <c r="AC1574" i="5"/>
  <c r="N1574" i="5"/>
  <c r="J1574" i="5"/>
  <c r="G1574" i="5"/>
  <c r="AC1573" i="5"/>
  <c r="N1573" i="5"/>
  <c r="J1573" i="5"/>
  <c r="G1573" i="5"/>
  <c r="AC1572" i="5"/>
  <c r="N1572" i="5"/>
  <c r="J1572" i="5"/>
  <c r="G1572" i="5"/>
  <c r="AC1571" i="5"/>
  <c r="N1571" i="5"/>
  <c r="J1571" i="5"/>
  <c r="G1571" i="5"/>
  <c r="AC1570" i="5"/>
  <c r="N1570" i="5"/>
  <c r="J1570" i="5"/>
  <c r="G1570" i="5"/>
  <c r="AC1569" i="5"/>
  <c r="N1569" i="5"/>
  <c r="J1569" i="5"/>
  <c r="G1569" i="5"/>
  <c r="AC1568" i="5"/>
  <c r="N1568" i="5"/>
  <c r="J1568" i="5"/>
  <c r="G1568" i="5"/>
  <c r="AC1567" i="5"/>
  <c r="N1567" i="5"/>
  <c r="J1567" i="5"/>
  <c r="G1567" i="5"/>
  <c r="AC1566" i="5"/>
  <c r="N1566" i="5"/>
  <c r="J1566" i="5"/>
  <c r="G1566" i="5"/>
  <c r="AC1565" i="5"/>
  <c r="N1565" i="5"/>
  <c r="J1565" i="5"/>
  <c r="G1565" i="5"/>
  <c r="AC1564" i="5"/>
  <c r="N1564" i="5"/>
  <c r="J1564" i="5"/>
  <c r="G1564" i="5"/>
  <c r="AC1563" i="5"/>
  <c r="N1563" i="5"/>
  <c r="J1563" i="5"/>
  <c r="G1563" i="5"/>
  <c r="AC1562" i="5"/>
  <c r="N1562" i="5"/>
  <c r="J1562" i="5"/>
  <c r="G1562" i="5"/>
  <c r="AC1561" i="5"/>
  <c r="N1561" i="5"/>
  <c r="J1561" i="5"/>
  <c r="G1561" i="5"/>
  <c r="AQ1560" i="5"/>
  <c r="AC1560" i="5"/>
  <c r="N1560" i="5"/>
  <c r="J1560" i="5"/>
  <c r="G1560" i="5"/>
  <c r="AC1559" i="5"/>
  <c r="N1559" i="5"/>
  <c r="J1559" i="5"/>
  <c r="G1559" i="5"/>
  <c r="AQ1558" i="5"/>
  <c r="AC1558" i="5"/>
  <c r="N1558" i="5"/>
  <c r="J1558" i="5"/>
  <c r="G1558" i="5"/>
  <c r="AQ1557" i="5"/>
  <c r="AC1557" i="5"/>
  <c r="N1557" i="5"/>
  <c r="J1557" i="5"/>
  <c r="G1557" i="5"/>
  <c r="AQ1556" i="5"/>
  <c r="AC1556" i="5"/>
  <c r="N1556" i="5"/>
  <c r="J1556" i="5"/>
  <c r="G1556" i="5"/>
  <c r="AQ1555" i="5"/>
  <c r="AC1555" i="5"/>
  <c r="N1555" i="5"/>
  <c r="J1555" i="5"/>
  <c r="G1555" i="5"/>
  <c r="AQ1554" i="5"/>
  <c r="AC1554" i="5"/>
  <c r="N1554" i="5"/>
  <c r="J1554" i="5"/>
  <c r="G1554" i="5"/>
  <c r="AQ1553" i="5"/>
  <c r="AC1553" i="5"/>
  <c r="N1553" i="5"/>
  <c r="J1553" i="5"/>
  <c r="G1553" i="5"/>
  <c r="AC1552" i="5"/>
  <c r="N1552" i="5"/>
  <c r="J1552" i="5"/>
  <c r="G1552" i="5"/>
  <c r="AC1551" i="5"/>
  <c r="N1551" i="5"/>
  <c r="J1551" i="5"/>
  <c r="G1551" i="5"/>
  <c r="AQ1550" i="5"/>
  <c r="AC1550" i="5"/>
  <c r="N1550" i="5"/>
  <c r="J1550" i="5"/>
  <c r="G1550" i="5"/>
  <c r="AQ1549" i="5"/>
  <c r="AC1549" i="5"/>
  <c r="N1549" i="5"/>
  <c r="J1549" i="5"/>
  <c r="G1549" i="5"/>
  <c r="AQ1548" i="5"/>
  <c r="AC1548" i="5"/>
  <c r="N1548" i="5"/>
  <c r="J1548" i="5"/>
  <c r="G1548" i="5"/>
  <c r="AQ1547" i="5"/>
  <c r="AC1547" i="5"/>
  <c r="N1547" i="5"/>
  <c r="J1547" i="5"/>
  <c r="G1547" i="5"/>
  <c r="AQ1546" i="5"/>
  <c r="AC1546" i="5"/>
  <c r="N1546" i="5"/>
  <c r="J1546" i="5"/>
  <c r="G1546" i="5"/>
  <c r="AQ1545" i="5"/>
  <c r="AC1545" i="5"/>
  <c r="N1545" i="5"/>
  <c r="J1545" i="5"/>
  <c r="G1545" i="5"/>
  <c r="AQ1544" i="5"/>
  <c r="AC1544" i="5"/>
  <c r="N1544" i="5"/>
  <c r="J1544" i="5"/>
  <c r="G1544" i="5"/>
  <c r="AC1543" i="5"/>
  <c r="N1543" i="5"/>
  <c r="J1543" i="5"/>
  <c r="G1543" i="5"/>
  <c r="AQ1542" i="5"/>
  <c r="AC1542" i="5"/>
  <c r="N1542" i="5"/>
  <c r="J1542" i="5"/>
  <c r="G1542" i="5"/>
  <c r="AC1541" i="5"/>
  <c r="N1541" i="5"/>
  <c r="J1541" i="5"/>
  <c r="G1541" i="5"/>
  <c r="AQ1540" i="5"/>
  <c r="AC1540" i="5"/>
  <c r="N1540" i="5"/>
  <c r="J1540" i="5"/>
  <c r="G1540" i="5"/>
  <c r="AC1539" i="5"/>
  <c r="N1539" i="5"/>
  <c r="J1539" i="5"/>
  <c r="G1539" i="5"/>
  <c r="AC1538" i="5"/>
  <c r="N1538" i="5"/>
  <c r="J1538" i="5"/>
  <c r="G1538" i="5"/>
  <c r="AC1537" i="5"/>
  <c r="N1537" i="5"/>
  <c r="J1537" i="5"/>
  <c r="G1537" i="5"/>
  <c r="AC1536" i="5"/>
  <c r="N1536" i="5"/>
  <c r="J1536" i="5"/>
  <c r="G1536" i="5"/>
  <c r="AC1535" i="5"/>
  <c r="N1535" i="5"/>
  <c r="J1535" i="5"/>
  <c r="G1535" i="5"/>
  <c r="AQ1534" i="5"/>
  <c r="AC1534" i="5"/>
  <c r="N1534" i="5"/>
  <c r="J1534" i="5"/>
  <c r="G1534" i="5"/>
  <c r="AC1533" i="5"/>
  <c r="N1533" i="5"/>
  <c r="J1533" i="5"/>
  <c r="G1533" i="5"/>
  <c r="AQ1532" i="5"/>
  <c r="AC1532" i="5"/>
  <c r="N1532" i="5"/>
  <c r="J1532" i="5"/>
  <c r="G1532" i="5"/>
  <c r="AC1531" i="5"/>
  <c r="N1531" i="5"/>
  <c r="J1531" i="5"/>
  <c r="G1531" i="5"/>
  <c r="AC1530" i="5"/>
  <c r="N1530" i="5"/>
  <c r="J1530" i="5"/>
  <c r="G1530" i="5"/>
  <c r="AC1529" i="5"/>
  <c r="N1529" i="5"/>
  <c r="J1529" i="5"/>
  <c r="G1529" i="5"/>
  <c r="AC1528" i="5"/>
  <c r="N1528" i="5"/>
  <c r="J1528" i="5"/>
  <c r="G1528" i="5"/>
  <c r="AC1527" i="5"/>
  <c r="N1527" i="5"/>
  <c r="J1527" i="5"/>
  <c r="G1527" i="5"/>
  <c r="AC1526" i="5"/>
  <c r="N1526" i="5"/>
  <c r="J1526" i="5"/>
  <c r="G1526" i="5"/>
  <c r="AC1525" i="5"/>
  <c r="N1525" i="5"/>
  <c r="J1525" i="5"/>
  <c r="G1525" i="5"/>
  <c r="AC1524" i="5"/>
  <c r="N1524" i="5"/>
  <c r="J1524" i="5"/>
  <c r="G1524" i="5"/>
  <c r="AQ1523" i="5"/>
  <c r="AC1523" i="5"/>
  <c r="N1523" i="5"/>
  <c r="J1523" i="5"/>
  <c r="G1523" i="5"/>
  <c r="AC1522" i="5"/>
  <c r="N1522" i="5"/>
  <c r="J1522" i="5"/>
  <c r="G1522" i="5"/>
  <c r="AC1521" i="5"/>
  <c r="N1521" i="5"/>
  <c r="J1521" i="5"/>
  <c r="G1521" i="5"/>
  <c r="AC1520" i="5"/>
  <c r="N1520" i="5"/>
  <c r="J1520" i="5"/>
  <c r="G1520" i="5"/>
  <c r="AC1519" i="5"/>
  <c r="N1519" i="5"/>
  <c r="J1519" i="5"/>
  <c r="G1519" i="5"/>
  <c r="AQ1518" i="5"/>
  <c r="AC1518" i="5"/>
  <c r="N1518" i="5"/>
  <c r="J1518" i="5"/>
  <c r="G1518" i="5"/>
  <c r="AQ1517" i="5"/>
  <c r="AC1517" i="5"/>
  <c r="N1517" i="5"/>
  <c r="J1517" i="5"/>
  <c r="G1517" i="5"/>
  <c r="AC1516" i="5"/>
  <c r="N1516" i="5"/>
  <c r="J1516" i="5"/>
  <c r="G1516" i="5"/>
  <c r="AC1515" i="5"/>
  <c r="N1515" i="5"/>
  <c r="J1515" i="5"/>
  <c r="G1515" i="5"/>
  <c r="AQ1514" i="5"/>
  <c r="AC1514" i="5"/>
  <c r="N1514" i="5"/>
  <c r="J1514" i="5"/>
  <c r="G1514" i="5"/>
  <c r="AC1513" i="5"/>
  <c r="N1513" i="5"/>
  <c r="J1513" i="5"/>
  <c r="G1513" i="5"/>
  <c r="AC1512" i="5"/>
  <c r="N1512" i="5"/>
  <c r="J1512" i="5"/>
  <c r="G1512" i="5"/>
  <c r="AC1511" i="5"/>
  <c r="N1511" i="5"/>
  <c r="J1511" i="5"/>
  <c r="G1511" i="5"/>
  <c r="AQ1510" i="5"/>
  <c r="AC1510" i="5"/>
  <c r="N1510" i="5"/>
  <c r="J1510" i="5"/>
  <c r="G1510" i="5"/>
  <c r="AQ1509" i="5"/>
  <c r="AC1509" i="5"/>
  <c r="N1509" i="5"/>
  <c r="J1509" i="5"/>
  <c r="G1509" i="5"/>
  <c r="AC1508" i="5"/>
  <c r="N1508" i="5"/>
  <c r="J1508" i="5"/>
  <c r="G1508" i="5"/>
  <c r="AC1507" i="5"/>
  <c r="N1507" i="5"/>
  <c r="J1507" i="5"/>
  <c r="G1507" i="5"/>
  <c r="AC1506" i="5"/>
  <c r="N1506" i="5"/>
  <c r="J1506" i="5"/>
  <c r="G1506" i="5"/>
  <c r="AC1505" i="5"/>
  <c r="N1505" i="5"/>
  <c r="J1505" i="5"/>
  <c r="G1505" i="5"/>
  <c r="AC1504" i="5"/>
  <c r="N1504" i="5"/>
  <c r="J1504" i="5"/>
  <c r="G1504" i="5"/>
  <c r="AC1503" i="5"/>
  <c r="N1503" i="5"/>
  <c r="J1503" i="5"/>
  <c r="G1503" i="5"/>
  <c r="AC1502" i="5"/>
  <c r="N1502" i="5"/>
  <c r="J1502" i="5"/>
  <c r="G1502" i="5"/>
  <c r="AQ1501" i="5"/>
  <c r="AC1501" i="5"/>
  <c r="N1501" i="5"/>
  <c r="J1501" i="5"/>
  <c r="G1501" i="5"/>
  <c r="AQ1500" i="5"/>
  <c r="AC1500" i="5"/>
  <c r="N1500" i="5"/>
  <c r="J1500" i="5"/>
  <c r="G1500" i="5"/>
  <c r="AC1499" i="5"/>
  <c r="N1499" i="5"/>
  <c r="J1499" i="5"/>
  <c r="G1499" i="5"/>
  <c r="AC1498" i="5"/>
  <c r="N1498" i="5"/>
  <c r="J1498" i="5"/>
  <c r="G1498" i="5"/>
  <c r="AQ1497" i="5"/>
  <c r="AC1497" i="5"/>
  <c r="N1497" i="5"/>
  <c r="J1497" i="5"/>
  <c r="G1497" i="5"/>
  <c r="AQ1496" i="5"/>
  <c r="AC1496" i="5"/>
  <c r="N1496" i="5"/>
  <c r="J1496" i="5"/>
  <c r="G1496" i="5"/>
  <c r="AQ1495" i="5"/>
  <c r="AC1495" i="5"/>
  <c r="N1495" i="5"/>
  <c r="J1495" i="5"/>
  <c r="G1495" i="5"/>
  <c r="AC1494" i="5"/>
  <c r="N1494" i="5"/>
  <c r="J1494" i="5"/>
  <c r="G1494" i="5"/>
  <c r="AC1493" i="5"/>
  <c r="N1493" i="5"/>
  <c r="J1493" i="5"/>
  <c r="G1493" i="5"/>
  <c r="AQ1492" i="5"/>
  <c r="AC1492" i="5"/>
  <c r="N1492" i="5"/>
  <c r="J1492" i="5"/>
  <c r="G1492" i="5"/>
  <c r="AC1491" i="5"/>
  <c r="N1491" i="5"/>
  <c r="J1491" i="5"/>
  <c r="G1491" i="5"/>
  <c r="AQ1490" i="5"/>
  <c r="AC1490" i="5"/>
  <c r="N1490" i="5"/>
  <c r="J1490" i="5"/>
  <c r="G1490" i="5"/>
  <c r="AQ1489" i="5"/>
  <c r="AC1489" i="5"/>
  <c r="N1489" i="5"/>
  <c r="J1489" i="5"/>
  <c r="G1489" i="5"/>
  <c r="AC1488" i="5"/>
  <c r="N1488" i="5"/>
  <c r="J1488" i="5"/>
  <c r="G1488" i="5"/>
  <c r="AC1487" i="5"/>
  <c r="N1487" i="5"/>
  <c r="J1487" i="5"/>
  <c r="G1487" i="5"/>
  <c r="AC1486" i="5"/>
  <c r="N1486" i="5"/>
  <c r="J1486" i="5"/>
  <c r="G1486" i="5"/>
  <c r="AC1485" i="5"/>
  <c r="N1485" i="5"/>
  <c r="J1485" i="5"/>
  <c r="G1485" i="5"/>
  <c r="AQ1484" i="5"/>
  <c r="AC1484" i="5"/>
  <c r="N1484" i="5"/>
  <c r="J1484" i="5"/>
  <c r="G1484" i="5"/>
  <c r="AQ1483" i="5"/>
  <c r="AC1483" i="5"/>
  <c r="N1483" i="5"/>
  <c r="J1483" i="5"/>
  <c r="G1483" i="5"/>
  <c r="AQ1482" i="5"/>
  <c r="AC1482" i="5"/>
  <c r="N1482" i="5"/>
  <c r="J1482" i="5"/>
  <c r="G1482" i="5"/>
  <c r="AQ1481" i="5"/>
  <c r="AC1481" i="5"/>
  <c r="N1481" i="5"/>
  <c r="J1481" i="5"/>
  <c r="G1481" i="5"/>
  <c r="AQ1480" i="5"/>
  <c r="AC1480" i="5"/>
  <c r="N1480" i="5"/>
  <c r="J1480" i="5"/>
  <c r="G1480" i="5"/>
  <c r="AC1479" i="5"/>
  <c r="N1479" i="5"/>
  <c r="J1479" i="5"/>
  <c r="G1479" i="5"/>
  <c r="AC1478" i="5"/>
  <c r="N1478" i="5"/>
  <c r="J1478" i="5"/>
  <c r="G1478" i="5"/>
  <c r="AQ1477" i="5"/>
  <c r="AC1477" i="5"/>
  <c r="N1477" i="5"/>
  <c r="J1477" i="5"/>
  <c r="G1477" i="5"/>
  <c r="AQ1476" i="5"/>
  <c r="AC1476" i="5"/>
  <c r="N1476" i="5"/>
  <c r="J1476" i="5"/>
  <c r="G1476" i="5"/>
  <c r="AC1475" i="5"/>
  <c r="N1475" i="5"/>
  <c r="J1475" i="5"/>
  <c r="G1475" i="5"/>
  <c r="AQ1474" i="5"/>
  <c r="AC1474" i="5"/>
  <c r="N1474" i="5"/>
  <c r="J1474" i="5"/>
  <c r="G1474" i="5"/>
  <c r="AQ1473" i="5"/>
  <c r="AC1473" i="5"/>
  <c r="N1473" i="5"/>
  <c r="J1473" i="5"/>
  <c r="G1473" i="5"/>
  <c r="AQ1472" i="5"/>
  <c r="AC1472" i="5"/>
  <c r="N1472" i="5"/>
  <c r="J1472" i="5"/>
  <c r="G1472" i="5"/>
  <c r="AQ1471" i="5"/>
  <c r="AC1471" i="5"/>
  <c r="N1471" i="5"/>
  <c r="J1471" i="5"/>
  <c r="G1471" i="5"/>
  <c r="AQ1470" i="5"/>
  <c r="AC1470" i="5"/>
  <c r="N1470" i="5"/>
  <c r="J1470" i="5"/>
  <c r="G1470" i="5"/>
  <c r="AQ1469" i="5"/>
  <c r="AC1469" i="5"/>
  <c r="N1469" i="5"/>
  <c r="J1469" i="5"/>
  <c r="G1469" i="5"/>
  <c r="AC1468" i="5"/>
  <c r="N1468" i="5"/>
  <c r="J1468" i="5"/>
  <c r="G1468" i="5"/>
  <c r="AQ1467" i="5"/>
  <c r="AC1467" i="5"/>
  <c r="N1467" i="5"/>
  <c r="J1467" i="5"/>
  <c r="G1467" i="5"/>
  <c r="AQ1466" i="5"/>
  <c r="AC1466" i="5"/>
  <c r="N1466" i="5"/>
  <c r="J1466" i="5"/>
  <c r="G1466" i="5"/>
  <c r="AQ1465" i="5"/>
  <c r="AC1465" i="5"/>
  <c r="N1465" i="5"/>
  <c r="J1465" i="5"/>
  <c r="G1465" i="5"/>
  <c r="AQ1464" i="5"/>
  <c r="AC1464" i="5"/>
  <c r="N1464" i="5"/>
  <c r="J1464" i="5"/>
  <c r="G1464" i="5"/>
  <c r="AQ1463" i="5"/>
  <c r="AC1463" i="5"/>
  <c r="N1463" i="5"/>
  <c r="J1463" i="5"/>
  <c r="G1463" i="5"/>
  <c r="AQ1462" i="5"/>
  <c r="AC1462" i="5"/>
  <c r="N1462" i="5"/>
  <c r="J1462" i="5"/>
  <c r="G1462" i="5"/>
  <c r="AQ1461" i="5"/>
  <c r="AC1461" i="5"/>
  <c r="N1461" i="5"/>
  <c r="J1461" i="5"/>
  <c r="G1461" i="5"/>
  <c r="AQ1460" i="5"/>
  <c r="AC1460" i="5"/>
  <c r="N1460" i="5"/>
  <c r="J1460" i="5"/>
  <c r="G1460" i="5"/>
  <c r="AC1459" i="5"/>
  <c r="N1459" i="5"/>
  <c r="J1459" i="5"/>
  <c r="G1459" i="5"/>
  <c r="AQ1458" i="5"/>
  <c r="AC1458" i="5"/>
  <c r="N1458" i="5"/>
  <c r="J1458" i="5"/>
  <c r="G1458" i="5"/>
  <c r="AC1457" i="5"/>
  <c r="N1457" i="5"/>
  <c r="J1457" i="5"/>
  <c r="G1457" i="5"/>
  <c r="AC1456" i="5"/>
  <c r="N1456" i="5"/>
  <c r="J1456" i="5"/>
  <c r="G1456" i="5"/>
  <c r="AC1455" i="5"/>
  <c r="N1455" i="5"/>
  <c r="J1455" i="5"/>
  <c r="G1455" i="5"/>
  <c r="AC1454" i="5"/>
  <c r="N1454" i="5"/>
  <c r="J1454" i="5"/>
  <c r="G1454" i="5"/>
  <c r="AC1453" i="5"/>
  <c r="N1453" i="5"/>
  <c r="J1453" i="5"/>
  <c r="G1453" i="5"/>
  <c r="AC1452" i="5"/>
  <c r="N1452" i="5"/>
  <c r="J1452" i="5"/>
  <c r="G1452" i="5"/>
  <c r="AC1451" i="5"/>
  <c r="N1451" i="5"/>
  <c r="J1451" i="5"/>
  <c r="G1451" i="5"/>
  <c r="AC1450" i="5"/>
  <c r="N1450" i="5"/>
  <c r="J1450" i="5"/>
  <c r="G1450" i="5"/>
  <c r="AC1449" i="5"/>
  <c r="N1449" i="5"/>
  <c r="J1449" i="5"/>
  <c r="G1449" i="5"/>
  <c r="AC1448" i="5"/>
  <c r="N1448" i="5"/>
  <c r="J1448" i="5"/>
  <c r="G1448" i="5"/>
  <c r="AC1447" i="5"/>
  <c r="N1447" i="5"/>
  <c r="J1447" i="5"/>
  <c r="G1447" i="5"/>
  <c r="AC1446" i="5"/>
  <c r="N1446" i="5"/>
  <c r="J1446" i="5"/>
  <c r="G1446" i="5"/>
  <c r="AC1445" i="5"/>
  <c r="N1445" i="5"/>
  <c r="J1445" i="5"/>
  <c r="G1445" i="5"/>
  <c r="AC1444" i="5"/>
  <c r="N1444" i="5"/>
  <c r="J1444" i="5"/>
  <c r="G1444" i="5"/>
  <c r="AC1443" i="5"/>
  <c r="N1443" i="5"/>
  <c r="J1443" i="5"/>
  <c r="G1443" i="5"/>
  <c r="AC1442" i="5"/>
  <c r="N1442" i="5"/>
  <c r="J1442" i="5"/>
  <c r="G1442" i="5"/>
  <c r="AC1441" i="5"/>
  <c r="N1441" i="5"/>
  <c r="J1441" i="5"/>
  <c r="G1441" i="5"/>
  <c r="AC1440" i="5"/>
  <c r="N1440" i="5"/>
  <c r="J1440" i="5"/>
  <c r="G1440" i="5"/>
  <c r="AC1439" i="5"/>
  <c r="N1439" i="5"/>
  <c r="J1439" i="5"/>
  <c r="G1439" i="5"/>
  <c r="AC1438" i="5"/>
  <c r="N1438" i="5"/>
  <c r="J1438" i="5"/>
  <c r="G1438" i="5"/>
  <c r="AC1437" i="5"/>
  <c r="N1437" i="5"/>
  <c r="J1437" i="5"/>
  <c r="G1437" i="5"/>
  <c r="AQ1436" i="5"/>
  <c r="AC1436" i="5"/>
  <c r="N1436" i="5"/>
  <c r="J1436" i="5"/>
  <c r="G1436" i="5"/>
  <c r="AQ1435" i="5"/>
  <c r="AC1435" i="5"/>
  <c r="N1435" i="5"/>
  <c r="J1435" i="5"/>
  <c r="G1435" i="5"/>
  <c r="AQ1434" i="5"/>
  <c r="AC1434" i="5"/>
  <c r="N1434" i="5"/>
  <c r="J1434" i="5"/>
  <c r="G1434" i="5"/>
  <c r="AQ1433" i="5"/>
  <c r="AC1433" i="5"/>
  <c r="N1433" i="5"/>
  <c r="J1433" i="5"/>
  <c r="G1433" i="5"/>
  <c r="AC1432" i="5"/>
  <c r="N1432" i="5"/>
  <c r="J1432" i="5"/>
  <c r="G1432" i="5"/>
  <c r="AC1431" i="5"/>
  <c r="N1431" i="5"/>
  <c r="J1431" i="5"/>
  <c r="G1431" i="5"/>
  <c r="AC1430" i="5"/>
  <c r="N1430" i="5"/>
  <c r="J1430" i="5"/>
  <c r="G1430" i="5"/>
  <c r="AQ1429" i="5"/>
  <c r="AC1429" i="5"/>
  <c r="N1429" i="5"/>
  <c r="J1429" i="5"/>
  <c r="G1429" i="5"/>
  <c r="AC1428" i="5"/>
  <c r="N1428" i="5"/>
  <c r="J1428" i="5"/>
  <c r="G1428" i="5"/>
  <c r="AQ1427" i="5"/>
  <c r="AC1427" i="5"/>
  <c r="N1427" i="5"/>
  <c r="J1427" i="5"/>
  <c r="G1427" i="5"/>
  <c r="AC1426" i="5"/>
  <c r="N1426" i="5"/>
  <c r="J1426" i="5"/>
  <c r="G1426" i="5"/>
  <c r="AC1425" i="5"/>
  <c r="N1425" i="5"/>
  <c r="J1425" i="5"/>
  <c r="G1425" i="5"/>
  <c r="AC1424" i="5"/>
  <c r="N1424" i="5"/>
  <c r="J1424" i="5"/>
  <c r="G1424" i="5"/>
  <c r="AQ1423" i="5"/>
  <c r="AC1423" i="5"/>
  <c r="N1423" i="5"/>
  <c r="J1423" i="5"/>
  <c r="G1423" i="5"/>
  <c r="AC1422" i="5"/>
  <c r="N1422" i="5"/>
  <c r="J1422" i="5"/>
  <c r="G1422" i="5"/>
  <c r="AQ1421" i="5"/>
  <c r="AC1421" i="5"/>
  <c r="N1421" i="5"/>
  <c r="J1421" i="5"/>
  <c r="G1421" i="5"/>
  <c r="AC1420" i="5"/>
  <c r="N1420" i="5"/>
  <c r="J1420" i="5"/>
  <c r="G1420" i="5"/>
  <c r="AQ1419" i="5"/>
  <c r="AC1419" i="5"/>
  <c r="N1419" i="5"/>
  <c r="J1419" i="5"/>
  <c r="G1419" i="5"/>
  <c r="AC1418" i="5"/>
  <c r="N1418" i="5"/>
  <c r="J1418" i="5"/>
  <c r="G1418" i="5"/>
  <c r="AC1417" i="5"/>
  <c r="N1417" i="5"/>
  <c r="J1417" i="5"/>
  <c r="G1417" i="5"/>
  <c r="AC1416" i="5"/>
  <c r="N1416" i="5"/>
  <c r="J1416" i="5"/>
  <c r="G1416" i="5"/>
  <c r="AC1415" i="5"/>
  <c r="N1415" i="5"/>
  <c r="J1415" i="5"/>
  <c r="G1415" i="5"/>
  <c r="AC1414" i="5"/>
  <c r="N1414" i="5"/>
  <c r="J1414" i="5"/>
  <c r="G1414" i="5"/>
  <c r="AQ1413" i="5"/>
  <c r="AC1413" i="5"/>
  <c r="N1413" i="5"/>
  <c r="J1413" i="5"/>
  <c r="G1413" i="5"/>
  <c r="AC1412" i="5"/>
  <c r="N1412" i="5"/>
  <c r="J1412" i="5"/>
  <c r="G1412" i="5"/>
  <c r="AC1411" i="5"/>
  <c r="N1411" i="5"/>
  <c r="J1411" i="5"/>
  <c r="G1411" i="5"/>
  <c r="AC1410" i="5"/>
  <c r="N1410" i="5"/>
  <c r="J1410" i="5"/>
  <c r="G1410" i="5"/>
  <c r="AC1409" i="5"/>
  <c r="N1409" i="5"/>
  <c r="J1409" i="5"/>
  <c r="G1409" i="5"/>
  <c r="AC1408" i="5"/>
  <c r="N1408" i="5"/>
  <c r="J1408" i="5"/>
  <c r="G1408" i="5"/>
  <c r="AC1407" i="5"/>
  <c r="N1407" i="5"/>
  <c r="J1407" i="5"/>
  <c r="G1407" i="5"/>
  <c r="AC1406" i="5"/>
  <c r="N1406" i="5"/>
  <c r="J1406" i="5"/>
  <c r="G1406" i="5"/>
  <c r="AC1405" i="5"/>
  <c r="N1405" i="5"/>
  <c r="J1405" i="5"/>
  <c r="G1405" i="5"/>
  <c r="AC1404" i="5"/>
  <c r="N1404" i="5"/>
  <c r="J1404" i="5"/>
  <c r="G1404" i="5"/>
  <c r="AC1403" i="5"/>
  <c r="N1403" i="5"/>
  <c r="J1403" i="5"/>
  <c r="G1403" i="5"/>
  <c r="AC1402" i="5"/>
  <c r="N1402" i="5"/>
  <c r="J1402" i="5"/>
  <c r="G1402" i="5"/>
  <c r="AC1401" i="5"/>
  <c r="N1401" i="5"/>
  <c r="J1401" i="5"/>
  <c r="G1401" i="5"/>
  <c r="AC1400" i="5"/>
  <c r="N1400" i="5"/>
  <c r="J1400" i="5"/>
  <c r="G1400" i="5"/>
  <c r="AC1399" i="5"/>
  <c r="N1399" i="5"/>
  <c r="J1399" i="5"/>
  <c r="G1399" i="5"/>
  <c r="AC1398" i="5"/>
  <c r="N1398" i="5"/>
  <c r="J1398" i="5"/>
  <c r="G1398" i="5"/>
  <c r="AC1397" i="5"/>
  <c r="N1397" i="5"/>
  <c r="J1397" i="5"/>
  <c r="G1397" i="5"/>
  <c r="AC1396" i="5"/>
  <c r="N1396" i="5"/>
  <c r="J1396" i="5"/>
  <c r="G1396" i="5"/>
  <c r="AC1395" i="5"/>
  <c r="N1395" i="5"/>
  <c r="J1395" i="5"/>
  <c r="G1395" i="5"/>
  <c r="AC1394" i="5"/>
  <c r="N1394" i="5"/>
  <c r="J1394" i="5"/>
  <c r="G1394" i="5"/>
  <c r="AC1393" i="5"/>
  <c r="N1393" i="5"/>
  <c r="J1393" i="5"/>
  <c r="G1393" i="5"/>
  <c r="AC1392" i="5"/>
  <c r="N1392" i="5"/>
  <c r="J1392" i="5"/>
  <c r="G1392" i="5"/>
  <c r="AC1391" i="5"/>
  <c r="N1391" i="5"/>
  <c r="J1391" i="5"/>
  <c r="G1391" i="5"/>
  <c r="AC1390" i="5"/>
  <c r="N1390" i="5"/>
  <c r="J1390" i="5"/>
  <c r="G1390" i="5"/>
  <c r="AC1389" i="5"/>
  <c r="N1389" i="5"/>
  <c r="J1389" i="5"/>
  <c r="G1389" i="5"/>
  <c r="AC1388" i="5"/>
  <c r="N1388" i="5"/>
  <c r="J1388" i="5"/>
  <c r="G1388" i="5"/>
  <c r="AQ1387" i="5"/>
  <c r="AC1387" i="5"/>
  <c r="N1387" i="5"/>
  <c r="J1387" i="5"/>
  <c r="G1387" i="5"/>
  <c r="AC1386" i="5"/>
  <c r="N1386" i="5"/>
  <c r="J1386" i="5"/>
  <c r="G1386" i="5"/>
  <c r="AQ1385" i="5"/>
  <c r="AC1385" i="5"/>
  <c r="N1385" i="5"/>
  <c r="J1385" i="5"/>
  <c r="G1385" i="5"/>
  <c r="AC1384" i="5"/>
  <c r="N1384" i="5"/>
  <c r="J1384" i="5"/>
  <c r="G1384" i="5"/>
  <c r="AC1383" i="5"/>
  <c r="N1383" i="5"/>
  <c r="J1383" i="5"/>
  <c r="G1383" i="5"/>
  <c r="AC1382" i="5"/>
  <c r="N1382" i="5"/>
  <c r="J1382" i="5"/>
  <c r="G1382" i="5"/>
  <c r="AC1381" i="5"/>
  <c r="N1381" i="5"/>
  <c r="J1381" i="5"/>
  <c r="G1381" i="5"/>
  <c r="AC1380" i="5"/>
  <c r="N1380" i="5"/>
  <c r="J1380" i="5"/>
  <c r="G1380" i="5"/>
  <c r="AQ1379" i="5"/>
  <c r="AC1379" i="5"/>
  <c r="N1379" i="5"/>
  <c r="J1379" i="5"/>
  <c r="G1379" i="5"/>
  <c r="AC1378" i="5"/>
  <c r="N1378" i="5"/>
  <c r="J1378" i="5"/>
  <c r="G1378" i="5"/>
  <c r="AQ1377" i="5"/>
  <c r="AC1377" i="5"/>
  <c r="N1377" i="5"/>
  <c r="J1377" i="5"/>
  <c r="G1377" i="5"/>
  <c r="AQ1376" i="5"/>
  <c r="AC1376" i="5"/>
  <c r="N1376" i="5"/>
  <c r="J1376" i="5"/>
  <c r="G1376" i="5"/>
  <c r="AC1375" i="5"/>
  <c r="N1375" i="5"/>
  <c r="J1375" i="5"/>
  <c r="G1375" i="5"/>
  <c r="AC1374" i="5"/>
  <c r="N1374" i="5"/>
  <c r="J1374" i="5"/>
  <c r="G1374" i="5"/>
  <c r="AC1373" i="5"/>
  <c r="N1373" i="5"/>
  <c r="J1373" i="5"/>
  <c r="G1373" i="5"/>
  <c r="AC1372" i="5"/>
  <c r="N1372" i="5"/>
  <c r="J1372" i="5"/>
  <c r="G1372" i="5"/>
  <c r="AC1371" i="5"/>
  <c r="N1371" i="5"/>
  <c r="J1371" i="5"/>
  <c r="G1371" i="5"/>
  <c r="AC1370" i="5"/>
  <c r="N1370" i="5"/>
  <c r="J1370" i="5"/>
  <c r="G1370" i="5"/>
  <c r="AC1369" i="5"/>
  <c r="N1369" i="5"/>
  <c r="J1369" i="5"/>
  <c r="G1369" i="5"/>
  <c r="AC1368" i="5"/>
  <c r="N1368" i="5"/>
  <c r="J1368" i="5"/>
  <c r="G1368" i="5"/>
  <c r="AQ1367" i="5"/>
  <c r="AC1367" i="5"/>
  <c r="N1367" i="5"/>
  <c r="J1367" i="5"/>
  <c r="G1367" i="5"/>
  <c r="AC1366" i="5"/>
  <c r="N1366" i="5"/>
  <c r="J1366" i="5"/>
  <c r="G1366" i="5"/>
  <c r="AC1365" i="5"/>
  <c r="N1365" i="5"/>
  <c r="J1365" i="5"/>
  <c r="G1365" i="5"/>
  <c r="AC1364" i="5"/>
  <c r="N1364" i="5"/>
  <c r="J1364" i="5"/>
  <c r="G1364" i="5"/>
  <c r="AC1363" i="5"/>
  <c r="N1363" i="5"/>
  <c r="J1363" i="5"/>
  <c r="G1363" i="5"/>
  <c r="AC1362" i="5"/>
  <c r="N1362" i="5"/>
  <c r="J1362" i="5"/>
  <c r="G1362" i="5"/>
  <c r="AQ1361" i="5"/>
  <c r="AC1361" i="5"/>
  <c r="N1361" i="5"/>
  <c r="J1361" i="5"/>
  <c r="G1361" i="5"/>
  <c r="AC1360" i="5"/>
  <c r="N1360" i="5"/>
  <c r="J1360" i="5"/>
  <c r="G1360" i="5"/>
  <c r="AC1359" i="5"/>
  <c r="N1359" i="5"/>
  <c r="J1359" i="5"/>
  <c r="G1359" i="5"/>
  <c r="AC1358" i="5"/>
  <c r="N1358" i="5"/>
  <c r="J1358" i="5"/>
  <c r="G1358" i="5"/>
  <c r="AC1357" i="5"/>
  <c r="N1357" i="5"/>
  <c r="J1357" i="5"/>
  <c r="G1357" i="5"/>
  <c r="AC1356" i="5"/>
  <c r="N1356" i="5"/>
  <c r="J1356" i="5"/>
  <c r="G1356" i="5"/>
  <c r="AC1355" i="5"/>
  <c r="N1355" i="5"/>
  <c r="J1355" i="5"/>
  <c r="G1355" i="5"/>
  <c r="AC1354" i="5"/>
  <c r="N1354" i="5"/>
  <c r="J1354" i="5"/>
  <c r="G1354" i="5"/>
  <c r="AC1353" i="5"/>
  <c r="N1353" i="5"/>
  <c r="J1353" i="5"/>
  <c r="G1353" i="5"/>
  <c r="AC1352" i="5"/>
  <c r="N1352" i="5"/>
  <c r="J1352" i="5"/>
  <c r="G1352" i="5"/>
  <c r="AC1351" i="5"/>
  <c r="N1351" i="5"/>
  <c r="J1351" i="5"/>
  <c r="G1351" i="5"/>
  <c r="AC1350" i="5"/>
  <c r="N1350" i="5"/>
  <c r="J1350" i="5"/>
  <c r="G1350" i="5"/>
  <c r="AC1349" i="5"/>
  <c r="N1349" i="5"/>
  <c r="J1349" i="5"/>
  <c r="G1349" i="5"/>
  <c r="AQ1348" i="5"/>
  <c r="AC1348" i="5"/>
  <c r="N1348" i="5"/>
  <c r="J1348" i="5"/>
  <c r="G1348" i="5"/>
  <c r="AC1347" i="5"/>
  <c r="N1347" i="5"/>
  <c r="J1347" i="5"/>
  <c r="G1347" i="5"/>
  <c r="AC1346" i="5"/>
  <c r="N1346" i="5"/>
  <c r="J1346" i="5"/>
  <c r="G1346" i="5"/>
  <c r="AQ1345" i="5"/>
  <c r="AC1345" i="5"/>
  <c r="N1345" i="5"/>
  <c r="J1345" i="5"/>
  <c r="G1345" i="5"/>
  <c r="AQ1344" i="5"/>
  <c r="AC1344" i="5"/>
  <c r="N1344" i="5"/>
  <c r="J1344" i="5"/>
  <c r="G1344" i="5"/>
  <c r="AQ1343" i="5"/>
  <c r="AC1343" i="5"/>
  <c r="N1343" i="5"/>
  <c r="J1343" i="5"/>
  <c r="G1343" i="5"/>
  <c r="AC1342" i="5"/>
  <c r="N1342" i="5"/>
  <c r="J1342" i="5"/>
  <c r="G1342" i="5"/>
  <c r="AC1341" i="5"/>
  <c r="N1341" i="5"/>
  <c r="J1341" i="5"/>
  <c r="G1341" i="5"/>
  <c r="AQ1340" i="5"/>
  <c r="AC1340" i="5"/>
  <c r="N1340" i="5"/>
  <c r="J1340" i="5"/>
  <c r="G1340" i="5"/>
  <c r="AQ1339" i="5"/>
  <c r="AC1339" i="5"/>
  <c r="N1339" i="5"/>
  <c r="J1339" i="5"/>
  <c r="G1339" i="5"/>
  <c r="AC1338" i="5"/>
  <c r="N1338" i="5"/>
  <c r="J1338" i="5"/>
  <c r="G1338" i="5"/>
  <c r="AC1337" i="5"/>
  <c r="N1337" i="5"/>
  <c r="J1337" i="5"/>
  <c r="G1337" i="5"/>
  <c r="AC1336" i="5"/>
  <c r="N1336" i="5"/>
  <c r="J1336" i="5"/>
  <c r="G1336" i="5"/>
  <c r="AC1335" i="5"/>
  <c r="N1335" i="5"/>
  <c r="J1335" i="5"/>
  <c r="G1335" i="5"/>
  <c r="AC1334" i="5"/>
  <c r="N1334" i="5"/>
  <c r="J1334" i="5"/>
  <c r="G1334" i="5"/>
  <c r="AC1333" i="5"/>
  <c r="N1333" i="5"/>
  <c r="J1333" i="5"/>
  <c r="G1333" i="5"/>
  <c r="AC1332" i="5"/>
  <c r="N1332" i="5"/>
  <c r="J1332" i="5"/>
  <c r="G1332" i="5"/>
  <c r="AQ1331" i="5"/>
  <c r="AC1331" i="5"/>
  <c r="N1331" i="5"/>
  <c r="J1331" i="5"/>
  <c r="G1331" i="5"/>
  <c r="AQ1330" i="5"/>
  <c r="AC1330" i="5"/>
  <c r="N1330" i="5"/>
  <c r="J1330" i="5"/>
  <c r="G1330" i="5"/>
  <c r="AQ1329" i="5"/>
  <c r="AC1329" i="5"/>
  <c r="N1329" i="5"/>
  <c r="J1329" i="5"/>
  <c r="G1329" i="5"/>
  <c r="AQ1328" i="5"/>
  <c r="AC1328" i="5"/>
  <c r="N1328" i="5"/>
  <c r="J1328" i="5"/>
  <c r="G1328" i="5"/>
  <c r="AC1327" i="5"/>
  <c r="N1327" i="5"/>
  <c r="J1327" i="5"/>
  <c r="G1327" i="5"/>
  <c r="AQ1326" i="5"/>
  <c r="AC1326" i="5"/>
  <c r="N1326" i="5"/>
  <c r="J1326" i="5"/>
  <c r="G1326" i="5"/>
  <c r="AQ1325" i="5"/>
  <c r="AC1325" i="5"/>
  <c r="N1325" i="5"/>
  <c r="J1325" i="5"/>
  <c r="G1325" i="5"/>
  <c r="AC1324" i="5"/>
  <c r="N1324" i="5"/>
  <c r="J1324" i="5"/>
  <c r="G1324" i="5"/>
  <c r="AQ1323" i="5"/>
  <c r="AC1323" i="5"/>
  <c r="N1323" i="5"/>
  <c r="J1323" i="5"/>
  <c r="G1323" i="5"/>
  <c r="AQ1322" i="5"/>
  <c r="AC1322" i="5"/>
  <c r="N1322" i="5"/>
  <c r="J1322" i="5"/>
  <c r="G1322" i="5"/>
  <c r="AQ1321" i="5"/>
  <c r="AC1321" i="5"/>
  <c r="N1321" i="5"/>
  <c r="J1321" i="5"/>
  <c r="G1321" i="5"/>
  <c r="AQ1320" i="5"/>
  <c r="AC1320" i="5"/>
  <c r="N1320" i="5"/>
  <c r="J1320" i="5"/>
  <c r="G1320" i="5"/>
  <c r="AQ1319" i="5"/>
  <c r="AC1319" i="5"/>
  <c r="N1319" i="5"/>
  <c r="J1319" i="5"/>
  <c r="G1319" i="5"/>
  <c r="AQ1318" i="5"/>
  <c r="AC1318" i="5"/>
  <c r="N1318" i="5"/>
  <c r="J1318" i="5"/>
  <c r="G1318" i="5"/>
  <c r="AC1317" i="5"/>
  <c r="N1317" i="5"/>
  <c r="J1317" i="5"/>
  <c r="G1317" i="5"/>
  <c r="AQ1316" i="5"/>
  <c r="AC1316" i="5"/>
  <c r="N1316" i="5"/>
  <c r="J1316" i="5"/>
  <c r="G1316" i="5"/>
  <c r="AQ1315" i="5"/>
  <c r="AC1315" i="5"/>
  <c r="N1315" i="5"/>
  <c r="J1315" i="5"/>
  <c r="G1315" i="5"/>
  <c r="AQ1314" i="5"/>
  <c r="AC1314" i="5"/>
  <c r="N1314" i="5"/>
  <c r="J1314" i="5"/>
  <c r="G1314" i="5"/>
  <c r="AQ1313" i="5"/>
  <c r="AC1313" i="5"/>
  <c r="N1313" i="5"/>
  <c r="J1313" i="5"/>
  <c r="G1313" i="5"/>
  <c r="AQ1312" i="5"/>
  <c r="AC1312" i="5"/>
  <c r="N1312" i="5"/>
  <c r="J1312" i="5"/>
  <c r="G1312" i="5"/>
  <c r="AC1311" i="5"/>
  <c r="N1311" i="5"/>
  <c r="J1311" i="5"/>
  <c r="G1311" i="5"/>
  <c r="AC1310" i="5"/>
  <c r="N1310" i="5"/>
  <c r="J1310" i="5"/>
  <c r="G1310" i="5"/>
  <c r="AC1309" i="5"/>
  <c r="N1309" i="5"/>
  <c r="J1309" i="5"/>
  <c r="G1309" i="5"/>
  <c r="AC1308" i="5"/>
  <c r="N1308" i="5"/>
  <c r="J1308" i="5"/>
  <c r="G1308" i="5"/>
  <c r="AC1307" i="5"/>
  <c r="N1307" i="5"/>
  <c r="J1307" i="5"/>
  <c r="G1307" i="5"/>
  <c r="AQ1306" i="5"/>
  <c r="AC1306" i="5"/>
  <c r="N1306" i="5"/>
  <c r="J1306" i="5"/>
  <c r="G1306" i="5"/>
  <c r="AC1305" i="5"/>
  <c r="N1305" i="5"/>
  <c r="J1305" i="5"/>
  <c r="G1305" i="5"/>
  <c r="AC1304" i="5"/>
  <c r="N1304" i="5"/>
  <c r="J1304" i="5"/>
  <c r="G1304" i="5"/>
  <c r="AQ1303" i="5"/>
  <c r="AC1303" i="5"/>
  <c r="N1303" i="5"/>
  <c r="J1303" i="5"/>
  <c r="G1303" i="5"/>
  <c r="AQ1302" i="5"/>
  <c r="AC1302" i="5"/>
  <c r="N1302" i="5"/>
  <c r="J1302" i="5"/>
  <c r="G1302" i="5"/>
  <c r="AQ1301" i="5"/>
  <c r="AC1301" i="5"/>
  <c r="N1301" i="5"/>
  <c r="J1301" i="5"/>
  <c r="G1301" i="5"/>
  <c r="AQ1300" i="5"/>
  <c r="AC1300" i="5"/>
  <c r="N1300" i="5"/>
  <c r="J1300" i="5"/>
  <c r="G1300" i="5"/>
  <c r="AC1299" i="5"/>
  <c r="N1299" i="5"/>
  <c r="J1299" i="5"/>
  <c r="G1299" i="5"/>
  <c r="AC1298" i="5"/>
  <c r="N1298" i="5"/>
  <c r="J1298" i="5"/>
  <c r="G1298" i="5"/>
  <c r="AQ1297" i="5"/>
  <c r="AC1297" i="5"/>
  <c r="N1297" i="5"/>
  <c r="J1297" i="5"/>
  <c r="G1297" i="5"/>
  <c r="AQ1296" i="5"/>
  <c r="AC1296" i="5"/>
  <c r="N1296" i="5"/>
  <c r="J1296" i="5"/>
  <c r="G1296" i="5"/>
  <c r="AC1295" i="5"/>
  <c r="N1295" i="5"/>
  <c r="J1295" i="5"/>
  <c r="G1295" i="5"/>
  <c r="AC1294" i="5"/>
  <c r="N1294" i="5"/>
  <c r="J1294" i="5"/>
  <c r="G1294" i="5"/>
  <c r="AQ1293" i="5"/>
  <c r="AC1293" i="5"/>
  <c r="N1293" i="5"/>
  <c r="J1293" i="5"/>
  <c r="G1293" i="5"/>
  <c r="AQ1292" i="5"/>
  <c r="AC1292" i="5"/>
  <c r="N1292" i="5"/>
  <c r="J1292" i="5"/>
  <c r="G1292" i="5"/>
  <c r="AQ1291" i="5"/>
  <c r="AC1291" i="5"/>
  <c r="N1291" i="5"/>
  <c r="J1291" i="5"/>
  <c r="G1291" i="5"/>
  <c r="AQ1290" i="5"/>
  <c r="AC1290" i="5"/>
  <c r="N1290" i="5"/>
  <c r="J1290" i="5"/>
  <c r="G1290" i="5"/>
  <c r="AQ1289" i="5"/>
  <c r="AC1289" i="5"/>
  <c r="N1289" i="5"/>
  <c r="J1289" i="5"/>
  <c r="G1289" i="5"/>
  <c r="AC1288" i="5"/>
  <c r="N1288" i="5"/>
  <c r="J1288" i="5"/>
  <c r="G1288" i="5"/>
  <c r="AC1287" i="5"/>
  <c r="N1287" i="5"/>
  <c r="J1287" i="5"/>
  <c r="G1287" i="5"/>
  <c r="AC1286" i="5"/>
  <c r="N1286" i="5"/>
  <c r="J1286" i="5"/>
  <c r="G1286" i="5"/>
  <c r="AC1285" i="5"/>
  <c r="N1285" i="5"/>
  <c r="J1285" i="5"/>
  <c r="G1285" i="5"/>
  <c r="AC1284" i="5"/>
  <c r="N1284" i="5"/>
  <c r="J1284" i="5"/>
  <c r="G1284" i="5"/>
  <c r="AC1283" i="5"/>
  <c r="N1283" i="5"/>
  <c r="J1283" i="5"/>
  <c r="G1283" i="5"/>
  <c r="AC1282" i="5"/>
  <c r="N1282" i="5"/>
  <c r="J1282" i="5"/>
  <c r="G1282" i="5"/>
  <c r="AC1281" i="5"/>
  <c r="N1281" i="5"/>
  <c r="J1281" i="5"/>
  <c r="G1281" i="5"/>
  <c r="AC1280" i="5"/>
  <c r="N1280" i="5"/>
  <c r="J1280" i="5"/>
  <c r="G1280" i="5"/>
  <c r="AC1279" i="5"/>
  <c r="N1279" i="5"/>
  <c r="J1279" i="5"/>
  <c r="G1279" i="5"/>
  <c r="AC1278" i="5"/>
  <c r="N1278" i="5"/>
  <c r="J1278" i="5"/>
  <c r="G1278" i="5"/>
  <c r="AC1277" i="5"/>
  <c r="N1277" i="5"/>
  <c r="J1277" i="5"/>
  <c r="G1277" i="5"/>
  <c r="AC1276" i="5"/>
  <c r="N1276" i="5"/>
  <c r="J1276" i="5"/>
  <c r="G1276" i="5"/>
  <c r="AC1275" i="5"/>
  <c r="N1275" i="5"/>
  <c r="J1275" i="5"/>
  <c r="G1275" i="5"/>
  <c r="AQ1274" i="5"/>
  <c r="AC1274" i="5"/>
  <c r="N1274" i="5"/>
  <c r="J1274" i="5"/>
  <c r="G1274" i="5"/>
  <c r="AC1273" i="5"/>
  <c r="N1273" i="5"/>
  <c r="J1273" i="5"/>
  <c r="G1273" i="5"/>
  <c r="AQ1272" i="5"/>
  <c r="AC1272" i="5"/>
  <c r="N1272" i="5"/>
  <c r="J1272" i="5"/>
  <c r="G1272" i="5"/>
  <c r="AC1271" i="5"/>
  <c r="N1271" i="5"/>
  <c r="J1271" i="5"/>
  <c r="G1271" i="5"/>
  <c r="AC1270" i="5"/>
  <c r="N1270" i="5"/>
  <c r="J1270" i="5"/>
  <c r="G1270" i="5"/>
  <c r="AC1269" i="5"/>
  <c r="N1269" i="5"/>
  <c r="J1269" i="5"/>
  <c r="G1269" i="5"/>
  <c r="AC1268" i="5"/>
  <c r="N1268" i="5"/>
  <c r="J1268" i="5"/>
  <c r="G1268" i="5"/>
  <c r="AC1267" i="5"/>
  <c r="N1267" i="5"/>
  <c r="J1267" i="5"/>
  <c r="G1267" i="5"/>
  <c r="AC1266" i="5"/>
  <c r="N1266" i="5"/>
  <c r="J1266" i="5"/>
  <c r="G1266" i="5"/>
  <c r="AC1265" i="5"/>
  <c r="N1265" i="5"/>
  <c r="J1265" i="5"/>
  <c r="G1265" i="5"/>
  <c r="AC1264" i="5"/>
  <c r="N1264" i="5"/>
  <c r="J1264" i="5"/>
  <c r="G1264" i="5"/>
  <c r="AC1263" i="5"/>
  <c r="N1263" i="5"/>
  <c r="J1263" i="5"/>
  <c r="G1263" i="5"/>
  <c r="AC1262" i="5"/>
  <c r="N1262" i="5"/>
  <c r="J1262" i="5"/>
  <c r="G1262" i="5"/>
  <c r="AC1261" i="5"/>
  <c r="N1261" i="5"/>
  <c r="J1261" i="5"/>
  <c r="G1261" i="5"/>
  <c r="AC1260" i="5"/>
  <c r="N1260" i="5"/>
  <c r="J1260" i="5"/>
  <c r="G1260" i="5"/>
  <c r="AC1259" i="5"/>
  <c r="N1259" i="5"/>
  <c r="J1259" i="5"/>
  <c r="G1259" i="5"/>
  <c r="AC1258" i="5"/>
  <c r="N1258" i="5"/>
  <c r="J1258" i="5"/>
  <c r="G1258" i="5"/>
  <c r="AC1257" i="5"/>
  <c r="N1257" i="5"/>
  <c r="J1257" i="5"/>
  <c r="G1257" i="5"/>
  <c r="AC1256" i="5"/>
  <c r="N1256" i="5"/>
  <c r="J1256" i="5"/>
  <c r="G1256" i="5"/>
  <c r="AC1255" i="5"/>
  <c r="N1255" i="5"/>
  <c r="J1255" i="5"/>
  <c r="G1255" i="5"/>
  <c r="AC1254" i="5"/>
  <c r="N1254" i="5"/>
  <c r="J1254" i="5"/>
  <c r="G1254" i="5"/>
  <c r="AQ1253" i="5"/>
  <c r="AC1253" i="5"/>
  <c r="N1253" i="5"/>
  <c r="J1253" i="5"/>
  <c r="G1253" i="5"/>
  <c r="AC1252" i="5"/>
  <c r="N1252" i="5"/>
  <c r="J1252" i="5"/>
  <c r="G1252" i="5"/>
  <c r="AC1251" i="5"/>
  <c r="N1251" i="5"/>
  <c r="J1251" i="5"/>
  <c r="G1251" i="5"/>
  <c r="AC1250" i="5"/>
  <c r="N1250" i="5"/>
  <c r="J1250" i="5"/>
  <c r="G1250" i="5"/>
  <c r="AC1249" i="5"/>
  <c r="N1249" i="5"/>
  <c r="J1249" i="5"/>
  <c r="G1249" i="5"/>
  <c r="AC1248" i="5"/>
  <c r="N1248" i="5"/>
  <c r="J1248" i="5"/>
  <c r="G1248" i="5"/>
  <c r="AC1247" i="5"/>
  <c r="N1247" i="5"/>
  <c r="J1247" i="5"/>
  <c r="G1247" i="5"/>
  <c r="AC1246" i="5"/>
  <c r="N1246" i="5"/>
  <c r="J1246" i="5"/>
  <c r="G1246" i="5"/>
  <c r="AC1245" i="5"/>
  <c r="N1245" i="5"/>
  <c r="J1245" i="5"/>
  <c r="G1245" i="5"/>
  <c r="AC1244" i="5"/>
  <c r="N1244" i="5"/>
  <c r="J1244" i="5"/>
  <c r="G1244" i="5"/>
  <c r="AC1243" i="5"/>
  <c r="N1243" i="5"/>
  <c r="J1243" i="5"/>
  <c r="G1243" i="5"/>
  <c r="AC1242" i="5"/>
  <c r="N1242" i="5"/>
  <c r="J1242" i="5"/>
  <c r="G1242" i="5"/>
  <c r="AC1241" i="5"/>
  <c r="N1241" i="5"/>
  <c r="J1241" i="5"/>
  <c r="G1241" i="5"/>
  <c r="AC1240" i="5"/>
  <c r="N1240" i="5"/>
  <c r="J1240" i="5"/>
  <c r="G1240" i="5"/>
  <c r="AC1239" i="5"/>
  <c r="N1239" i="5"/>
  <c r="J1239" i="5"/>
  <c r="G1239" i="5"/>
  <c r="AC1238" i="5"/>
  <c r="N1238" i="5"/>
  <c r="J1238" i="5"/>
  <c r="G1238" i="5"/>
  <c r="AC1237" i="5"/>
  <c r="N1237" i="5"/>
  <c r="J1237" i="5"/>
  <c r="G1237" i="5"/>
  <c r="AC1236" i="5"/>
  <c r="N1236" i="5"/>
  <c r="J1236" i="5"/>
  <c r="G1236" i="5"/>
  <c r="AC1235" i="5"/>
  <c r="N1235" i="5"/>
  <c r="J1235" i="5"/>
  <c r="G1235" i="5"/>
  <c r="AC1234" i="5"/>
  <c r="N1234" i="5"/>
  <c r="J1234" i="5"/>
  <c r="G1234" i="5"/>
  <c r="AC1233" i="5"/>
  <c r="N1233" i="5"/>
  <c r="J1233" i="5"/>
  <c r="G1233" i="5"/>
  <c r="AC1232" i="5"/>
  <c r="N1232" i="5"/>
  <c r="J1232" i="5"/>
  <c r="G1232" i="5"/>
  <c r="AC1231" i="5"/>
  <c r="N1231" i="5"/>
  <c r="J1231" i="5"/>
  <c r="G1231" i="5"/>
  <c r="AC1230" i="5"/>
  <c r="N1230" i="5"/>
  <c r="J1230" i="5"/>
  <c r="G1230" i="5"/>
  <c r="AC1229" i="5"/>
  <c r="N1229" i="5"/>
  <c r="J1229" i="5"/>
  <c r="G1229" i="5"/>
  <c r="AC1228" i="5"/>
  <c r="N1228" i="5"/>
  <c r="J1228" i="5"/>
  <c r="G1228" i="5"/>
  <c r="AC1227" i="5"/>
  <c r="N1227" i="5"/>
  <c r="J1227" i="5"/>
  <c r="G1227" i="5"/>
  <c r="AC1226" i="5"/>
  <c r="N1226" i="5"/>
  <c r="J1226" i="5"/>
  <c r="G1226" i="5"/>
  <c r="AC1225" i="5"/>
  <c r="N1225" i="5"/>
  <c r="J1225" i="5"/>
  <c r="G1225" i="5"/>
  <c r="AC1224" i="5"/>
  <c r="N1224" i="5"/>
  <c r="J1224" i="5"/>
  <c r="G1224" i="5"/>
  <c r="AC1223" i="5"/>
  <c r="N1223" i="5"/>
  <c r="J1223" i="5"/>
  <c r="G1223" i="5"/>
  <c r="AC1222" i="5"/>
  <c r="N1222" i="5"/>
  <c r="J1222" i="5"/>
  <c r="G1222" i="5"/>
  <c r="AC1221" i="5"/>
  <c r="N1221" i="5"/>
  <c r="J1221" i="5"/>
  <c r="G1221" i="5"/>
  <c r="AC1220" i="5"/>
  <c r="N1220" i="5"/>
  <c r="J1220" i="5"/>
  <c r="G1220" i="5"/>
  <c r="AC1219" i="5"/>
  <c r="N1219" i="5"/>
  <c r="J1219" i="5"/>
  <c r="G1219" i="5"/>
  <c r="AC1218" i="5"/>
  <c r="N1218" i="5"/>
  <c r="J1218" i="5"/>
  <c r="G1218" i="5"/>
  <c r="AC1217" i="5"/>
  <c r="N1217" i="5"/>
  <c r="J1217" i="5"/>
  <c r="G1217" i="5"/>
  <c r="AC1216" i="5"/>
  <c r="N1216" i="5"/>
  <c r="J1216" i="5"/>
  <c r="G1216" i="5"/>
  <c r="AC1215" i="5"/>
  <c r="N1215" i="5"/>
  <c r="J1215" i="5"/>
  <c r="G1215" i="5"/>
  <c r="AC1214" i="5"/>
  <c r="N1214" i="5"/>
  <c r="J1214" i="5"/>
  <c r="G1214" i="5"/>
  <c r="AC1213" i="5"/>
  <c r="N1213" i="5"/>
  <c r="J1213" i="5"/>
  <c r="G1213" i="5"/>
  <c r="AC1212" i="5"/>
  <c r="N1212" i="5"/>
  <c r="J1212" i="5"/>
  <c r="G1212" i="5"/>
  <c r="AC1211" i="5"/>
  <c r="N1211" i="5"/>
  <c r="J1211" i="5"/>
  <c r="G1211" i="5"/>
  <c r="AC1210" i="5"/>
  <c r="N1210" i="5"/>
  <c r="J1210" i="5"/>
  <c r="G1210" i="5"/>
  <c r="AC1209" i="5"/>
  <c r="N1209" i="5"/>
  <c r="J1209" i="5"/>
  <c r="G1209" i="5"/>
  <c r="AC1208" i="5"/>
  <c r="N1208" i="5"/>
  <c r="J1208" i="5"/>
  <c r="G1208" i="5"/>
  <c r="AC1207" i="5"/>
  <c r="N1207" i="5"/>
  <c r="J1207" i="5"/>
  <c r="G1207" i="5"/>
  <c r="AC1206" i="5"/>
  <c r="N1206" i="5"/>
  <c r="J1206" i="5"/>
  <c r="G1206" i="5"/>
  <c r="AC1205" i="5"/>
  <c r="N1205" i="5"/>
  <c r="J1205" i="5"/>
  <c r="G1205" i="5"/>
  <c r="AC1204" i="5"/>
  <c r="N1204" i="5"/>
  <c r="J1204" i="5"/>
  <c r="G1204" i="5"/>
  <c r="AC1203" i="5"/>
  <c r="N1203" i="5"/>
  <c r="J1203" i="5"/>
  <c r="G1203" i="5"/>
  <c r="AC1202" i="5"/>
  <c r="N1202" i="5"/>
  <c r="J1202" i="5"/>
  <c r="G1202" i="5"/>
  <c r="AC1201" i="5"/>
  <c r="N1201" i="5"/>
  <c r="J1201" i="5"/>
  <c r="G1201" i="5"/>
  <c r="AC1200" i="5"/>
  <c r="N1200" i="5"/>
  <c r="J1200" i="5"/>
  <c r="G1200" i="5"/>
  <c r="AC1199" i="5"/>
  <c r="N1199" i="5"/>
  <c r="J1199" i="5"/>
  <c r="G1199" i="5"/>
  <c r="AC1198" i="5"/>
  <c r="N1198" i="5"/>
  <c r="J1198" i="5"/>
  <c r="G1198" i="5"/>
  <c r="AC1197" i="5"/>
  <c r="N1197" i="5"/>
  <c r="J1197" i="5"/>
  <c r="G1197" i="5"/>
  <c r="AC1196" i="5"/>
  <c r="N1196" i="5"/>
  <c r="J1196" i="5"/>
  <c r="G1196" i="5"/>
  <c r="AC1195" i="5"/>
  <c r="N1195" i="5"/>
  <c r="J1195" i="5"/>
  <c r="G1195" i="5"/>
  <c r="AC1194" i="5"/>
  <c r="N1194" i="5"/>
  <c r="J1194" i="5"/>
  <c r="G1194" i="5"/>
  <c r="AC1193" i="5"/>
  <c r="N1193" i="5"/>
  <c r="J1193" i="5"/>
  <c r="G1193" i="5"/>
  <c r="AC1192" i="5"/>
  <c r="N1192" i="5"/>
  <c r="J1192" i="5"/>
  <c r="G1192" i="5"/>
  <c r="AC1191" i="5"/>
  <c r="N1191" i="5"/>
  <c r="J1191" i="5"/>
  <c r="G1191" i="5"/>
  <c r="AC1190" i="5"/>
  <c r="N1190" i="5"/>
  <c r="J1190" i="5"/>
  <c r="G1190" i="5"/>
  <c r="AC1189" i="5"/>
  <c r="N1189" i="5"/>
  <c r="J1189" i="5"/>
  <c r="G1189" i="5"/>
  <c r="AC1188" i="5"/>
  <c r="N1188" i="5"/>
  <c r="J1188" i="5"/>
  <c r="G1188" i="5"/>
  <c r="AC1187" i="5"/>
  <c r="N1187" i="5"/>
  <c r="J1187" i="5"/>
  <c r="G1187" i="5"/>
  <c r="AC1186" i="5"/>
  <c r="N1186" i="5"/>
  <c r="J1186" i="5"/>
  <c r="G1186" i="5"/>
  <c r="AC1185" i="5"/>
  <c r="N1185" i="5"/>
  <c r="J1185" i="5"/>
  <c r="G1185" i="5"/>
  <c r="AC1184" i="5"/>
  <c r="N1184" i="5"/>
  <c r="J1184" i="5"/>
  <c r="G1184" i="5"/>
  <c r="AC1183" i="5"/>
  <c r="N1183" i="5"/>
  <c r="J1183" i="5"/>
  <c r="G1183" i="5"/>
  <c r="AC1182" i="5"/>
  <c r="N1182" i="5"/>
  <c r="J1182" i="5"/>
  <c r="G1182" i="5"/>
  <c r="AC1181" i="5"/>
  <c r="N1181" i="5"/>
  <c r="J1181" i="5"/>
  <c r="G1181" i="5"/>
  <c r="AC1180" i="5"/>
  <c r="N1180" i="5"/>
  <c r="J1180" i="5"/>
  <c r="G1180" i="5"/>
  <c r="AC1179" i="5"/>
  <c r="N1179" i="5"/>
  <c r="J1179" i="5"/>
  <c r="G1179" i="5"/>
  <c r="AC1178" i="5"/>
  <c r="N1178" i="5"/>
  <c r="J1178" i="5"/>
  <c r="G1178" i="5"/>
  <c r="AC1177" i="5"/>
  <c r="N1177" i="5"/>
  <c r="J1177" i="5"/>
  <c r="G1177" i="5"/>
  <c r="AQ1176" i="5"/>
  <c r="AC1176" i="5"/>
  <c r="N1176" i="5"/>
  <c r="J1176" i="5"/>
  <c r="G1176" i="5"/>
  <c r="AC1175" i="5"/>
  <c r="N1175" i="5"/>
  <c r="J1175" i="5"/>
  <c r="G1175" i="5"/>
  <c r="AC1174" i="5"/>
  <c r="N1174" i="5"/>
  <c r="J1174" i="5"/>
  <c r="G1174" i="5"/>
  <c r="AC1173" i="5"/>
  <c r="N1173" i="5"/>
  <c r="J1173" i="5"/>
  <c r="G1173" i="5"/>
  <c r="AC1172" i="5"/>
  <c r="N1172" i="5"/>
  <c r="J1172" i="5"/>
  <c r="G1172" i="5"/>
  <c r="AC1171" i="5"/>
  <c r="N1171" i="5"/>
  <c r="J1171" i="5"/>
  <c r="G1171" i="5"/>
  <c r="AC1170" i="5"/>
  <c r="N1170" i="5"/>
  <c r="J1170" i="5"/>
  <c r="G1170" i="5"/>
  <c r="AC1169" i="5"/>
  <c r="N1169" i="5"/>
  <c r="J1169" i="5"/>
  <c r="G1169" i="5"/>
  <c r="AC1168" i="5"/>
  <c r="N1168" i="5"/>
  <c r="J1168" i="5"/>
  <c r="G1168" i="5"/>
  <c r="AC1167" i="5"/>
  <c r="N1167" i="5"/>
  <c r="J1167" i="5"/>
  <c r="G1167" i="5"/>
  <c r="AC1166" i="5"/>
  <c r="N1166" i="5"/>
  <c r="J1166" i="5"/>
  <c r="G1166" i="5"/>
  <c r="AC1165" i="5"/>
  <c r="N1165" i="5"/>
  <c r="J1165" i="5"/>
  <c r="G1165" i="5"/>
  <c r="AC1164" i="5"/>
  <c r="N1164" i="5"/>
  <c r="J1164" i="5"/>
  <c r="G1164" i="5"/>
  <c r="AC1163" i="5"/>
  <c r="N1163" i="5"/>
  <c r="J1163" i="5"/>
  <c r="G1163" i="5"/>
  <c r="AC1162" i="5"/>
  <c r="N1162" i="5"/>
  <c r="J1162" i="5"/>
  <c r="G1162" i="5"/>
  <c r="AC1161" i="5"/>
  <c r="N1161" i="5"/>
  <c r="J1161" i="5"/>
  <c r="G1161" i="5"/>
  <c r="AC1160" i="5"/>
  <c r="N1160" i="5"/>
  <c r="J1160" i="5"/>
  <c r="G1160" i="5"/>
  <c r="AC1159" i="5"/>
  <c r="N1159" i="5"/>
  <c r="J1159" i="5"/>
  <c r="G1159" i="5"/>
  <c r="AC1158" i="5"/>
  <c r="N1158" i="5"/>
  <c r="J1158" i="5"/>
  <c r="G1158" i="5"/>
  <c r="AC1157" i="5"/>
  <c r="N1157" i="5"/>
  <c r="J1157" i="5"/>
  <c r="G1157" i="5"/>
  <c r="AC1156" i="5"/>
  <c r="N1156" i="5"/>
  <c r="J1156" i="5"/>
  <c r="G1156" i="5"/>
  <c r="AC1155" i="5"/>
  <c r="N1155" i="5"/>
  <c r="J1155" i="5"/>
  <c r="G1155" i="5"/>
  <c r="AC1154" i="5"/>
  <c r="N1154" i="5"/>
  <c r="J1154" i="5"/>
  <c r="G1154" i="5"/>
  <c r="AC1153" i="5"/>
  <c r="N1153" i="5"/>
  <c r="J1153" i="5"/>
  <c r="G1153" i="5"/>
  <c r="AC1152" i="5"/>
  <c r="N1152" i="5"/>
  <c r="J1152" i="5"/>
  <c r="G1152" i="5"/>
  <c r="AC1151" i="5"/>
  <c r="N1151" i="5"/>
  <c r="J1151" i="5"/>
  <c r="G1151" i="5"/>
  <c r="AC1150" i="5"/>
  <c r="N1150" i="5"/>
  <c r="J1150" i="5"/>
  <c r="G1150" i="5"/>
  <c r="AC1149" i="5"/>
  <c r="N1149" i="5"/>
  <c r="J1149" i="5"/>
  <c r="G1149" i="5"/>
  <c r="AC1148" i="5"/>
  <c r="N1148" i="5"/>
  <c r="J1148" i="5"/>
  <c r="G1148" i="5"/>
  <c r="AC1147" i="5"/>
  <c r="N1147" i="5"/>
  <c r="J1147" i="5"/>
  <c r="G1147" i="5"/>
  <c r="AC1146" i="5"/>
  <c r="N1146" i="5"/>
  <c r="J1146" i="5"/>
  <c r="G1146" i="5"/>
  <c r="AC1145" i="5"/>
  <c r="N1145" i="5"/>
  <c r="J1145" i="5"/>
  <c r="G1145" i="5"/>
  <c r="AC1144" i="5"/>
  <c r="N1144" i="5"/>
  <c r="J1144" i="5"/>
  <c r="G1144" i="5"/>
  <c r="AC1143" i="5"/>
  <c r="N1143" i="5"/>
  <c r="J1143" i="5"/>
  <c r="G1143" i="5"/>
  <c r="AC1142" i="5"/>
  <c r="N1142" i="5"/>
  <c r="J1142" i="5"/>
  <c r="G1142" i="5"/>
  <c r="AC1141" i="5"/>
  <c r="N1141" i="5"/>
  <c r="J1141" i="5"/>
  <c r="G1141" i="5"/>
  <c r="AC1140" i="5"/>
  <c r="N1140" i="5"/>
  <c r="J1140" i="5"/>
  <c r="G1140" i="5"/>
  <c r="AC1139" i="5"/>
  <c r="N1139" i="5"/>
  <c r="J1139" i="5"/>
  <c r="G1139" i="5"/>
  <c r="AC1138" i="5"/>
  <c r="N1138" i="5"/>
  <c r="J1138" i="5"/>
  <c r="G1138" i="5"/>
  <c r="AC1137" i="5"/>
  <c r="N1137" i="5"/>
  <c r="J1137" i="5"/>
  <c r="G1137" i="5"/>
  <c r="AC1136" i="5"/>
  <c r="N1136" i="5"/>
  <c r="J1136" i="5"/>
  <c r="G1136" i="5"/>
  <c r="AC1135" i="5"/>
  <c r="N1135" i="5"/>
  <c r="J1135" i="5"/>
  <c r="G1135" i="5"/>
  <c r="AC1134" i="5"/>
  <c r="N1134" i="5"/>
  <c r="J1134" i="5"/>
  <c r="G1134" i="5"/>
  <c r="AC1133" i="5"/>
  <c r="N1133" i="5"/>
  <c r="J1133" i="5"/>
  <c r="G1133" i="5"/>
  <c r="AC1132" i="5"/>
  <c r="N1132" i="5"/>
  <c r="J1132" i="5"/>
  <c r="G1132" i="5"/>
  <c r="AC1131" i="5"/>
  <c r="N1131" i="5"/>
  <c r="J1131" i="5"/>
  <c r="G1131" i="5"/>
  <c r="AC1130" i="5"/>
  <c r="N1130" i="5"/>
  <c r="J1130" i="5"/>
  <c r="G1130" i="5"/>
  <c r="AC1129" i="5"/>
  <c r="N1129" i="5"/>
  <c r="J1129" i="5"/>
  <c r="G1129" i="5"/>
  <c r="AQ1128" i="5"/>
  <c r="AC1128" i="5"/>
  <c r="N1128" i="5"/>
  <c r="J1128" i="5"/>
  <c r="G1128" i="5"/>
  <c r="AC1127" i="5"/>
  <c r="N1127" i="5"/>
  <c r="J1127" i="5"/>
  <c r="G1127" i="5"/>
  <c r="AC1126" i="5"/>
  <c r="N1126" i="5"/>
  <c r="J1126" i="5"/>
  <c r="G1126" i="5"/>
  <c r="AC1125" i="5"/>
  <c r="N1125" i="5"/>
  <c r="J1125" i="5"/>
  <c r="G1125" i="5"/>
  <c r="AC1124" i="5"/>
  <c r="N1124" i="5"/>
  <c r="J1124" i="5"/>
  <c r="G1124" i="5"/>
  <c r="AC1123" i="5"/>
  <c r="N1123" i="5"/>
  <c r="J1123" i="5"/>
  <c r="G1123" i="5"/>
  <c r="AC1122" i="5"/>
  <c r="N1122" i="5"/>
  <c r="J1122" i="5"/>
  <c r="G1122" i="5"/>
  <c r="AC1121" i="5"/>
  <c r="N1121" i="5"/>
  <c r="J1121" i="5"/>
  <c r="G1121" i="5"/>
  <c r="AC1120" i="5"/>
  <c r="N1120" i="5"/>
  <c r="J1120" i="5"/>
  <c r="G1120" i="5"/>
  <c r="AQ1119" i="5"/>
  <c r="AC1119" i="5"/>
  <c r="N1119" i="5"/>
  <c r="J1119" i="5"/>
  <c r="G1119" i="5"/>
  <c r="AQ1118" i="5"/>
  <c r="AC1118" i="5"/>
  <c r="N1118" i="5"/>
  <c r="J1118" i="5"/>
  <c r="G1118" i="5"/>
  <c r="AC1117" i="5"/>
  <c r="N1117" i="5"/>
  <c r="J1117" i="5"/>
  <c r="G1117" i="5"/>
  <c r="AC1116" i="5"/>
  <c r="N1116" i="5"/>
  <c r="J1116" i="5"/>
  <c r="G1116" i="5"/>
  <c r="AC1115" i="5"/>
  <c r="N1115" i="5"/>
  <c r="J1115" i="5"/>
  <c r="G1115" i="5"/>
  <c r="AC1114" i="5"/>
  <c r="N1114" i="5"/>
  <c r="J1114" i="5"/>
  <c r="G1114" i="5"/>
  <c r="AC1113" i="5"/>
  <c r="N1113" i="5"/>
  <c r="J1113" i="5"/>
  <c r="G1113" i="5"/>
  <c r="AC1112" i="5"/>
  <c r="N1112" i="5"/>
  <c r="J1112" i="5"/>
  <c r="G1112" i="5"/>
  <c r="AC1111" i="5"/>
  <c r="N1111" i="5"/>
  <c r="J1111" i="5"/>
  <c r="G1111" i="5"/>
  <c r="AC1110" i="5"/>
  <c r="N1110" i="5"/>
  <c r="J1110" i="5"/>
  <c r="G1110" i="5"/>
  <c r="AQ1109" i="5"/>
  <c r="AC1109" i="5"/>
  <c r="N1109" i="5"/>
  <c r="J1109" i="5"/>
  <c r="G1109" i="5"/>
  <c r="AC1108" i="5"/>
  <c r="N1108" i="5"/>
  <c r="J1108" i="5"/>
  <c r="G1108" i="5"/>
  <c r="AC1107" i="5"/>
  <c r="N1107" i="5"/>
  <c r="J1107" i="5"/>
  <c r="G1107" i="5"/>
  <c r="AQ1106" i="5"/>
  <c r="AC1106" i="5"/>
  <c r="N1106" i="5"/>
  <c r="J1106" i="5"/>
  <c r="G1106" i="5"/>
  <c r="AQ1105" i="5"/>
  <c r="AC1105" i="5"/>
  <c r="N1105" i="5"/>
  <c r="J1105" i="5"/>
  <c r="G1105" i="5"/>
  <c r="AC1104" i="5"/>
  <c r="N1104" i="5"/>
  <c r="J1104" i="5"/>
  <c r="G1104" i="5"/>
  <c r="AQ1103" i="5"/>
  <c r="AC1103" i="5"/>
  <c r="N1103" i="5"/>
  <c r="J1103" i="5"/>
  <c r="G1103" i="5"/>
  <c r="AQ1102" i="5"/>
  <c r="AC1102" i="5"/>
  <c r="N1102" i="5"/>
  <c r="J1102" i="5"/>
  <c r="G1102" i="5"/>
  <c r="AQ1101" i="5"/>
  <c r="AC1101" i="5"/>
  <c r="N1101" i="5"/>
  <c r="J1101" i="5"/>
  <c r="G1101" i="5"/>
  <c r="AC1100" i="5"/>
  <c r="N1100" i="5"/>
  <c r="J1100" i="5"/>
  <c r="G1100" i="5"/>
  <c r="AQ1099" i="5"/>
  <c r="AC1099" i="5"/>
  <c r="N1099" i="5"/>
  <c r="J1099" i="5"/>
  <c r="G1099" i="5"/>
  <c r="AQ1098" i="5"/>
  <c r="AC1098" i="5"/>
  <c r="N1098" i="5"/>
  <c r="J1098" i="5"/>
  <c r="G1098" i="5"/>
  <c r="AQ1097" i="5"/>
  <c r="AC1097" i="5"/>
  <c r="N1097" i="5"/>
  <c r="J1097" i="5"/>
  <c r="G1097" i="5"/>
  <c r="AC1096" i="5"/>
  <c r="N1096" i="5"/>
  <c r="J1096" i="5"/>
  <c r="G1096" i="5"/>
  <c r="AC1095" i="5"/>
  <c r="N1095" i="5"/>
  <c r="J1095" i="5"/>
  <c r="G1095" i="5"/>
  <c r="AQ1094" i="5"/>
  <c r="AC1094" i="5"/>
  <c r="N1094" i="5"/>
  <c r="J1094" i="5"/>
  <c r="G1094" i="5"/>
  <c r="AQ1093" i="5"/>
  <c r="AC1093" i="5"/>
  <c r="N1093" i="5"/>
  <c r="J1093" i="5"/>
  <c r="G1093" i="5"/>
  <c r="AC1092" i="5"/>
  <c r="N1092" i="5"/>
  <c r="J1092" i="5"/>
  <c r="G1092" i="5"/>
  <c r="AQ1091" i="5"/>
  <c r="AC1091" i="5"/>
  <c r="N1091" i="5"/>
  <c r="J1091" i="5"/>
  <c r="G1091" i="5"/>
  <c r="AQ1090" i="5"/>
  <c r="AC1090" i="5"/>
  <c r="N1090" i="5"/>
  <c r="J1090" i="5"/>
  <c r="G1090" i="5"/>
  <c r="AQ1089" i="5"/>
  <c r="AC1089" i="5"/>
  <c r="N1089" i="5"/>
  <c r="J1089" i="5"/>
  <c r="G1089" i="5"/>
  <c r="AQ1088" i="5"/>
  <c r="AC1088" i="5"/>
  <c r="N1088" i="5"/>
  <c r="J1088" i="5"/>
  <c r="G1088" i="5"/>
  <c r="AC1087" i="5"/>
  <c r="N1087" i="5"/>
  <c r="J1087" i="5"/>
  <c r="G1087" i="5"/>
  <c r="AC1086" i="5"/>
  <c r="N1086" i="5"/>
  <c r="J1086" i="5"/>
  <c r="G1086" i="5"/>
  <c r="AQ1085" i="5"/>
  <c r="AC1085" i="5"/>
  <c r="N1085" i="5"/>
  <c r="J1085" i="5"/>
  <c r="G1085" i="5"/>
  <c r="AQ1084" i="5"/>
  <c r="AC1084" i="5"/>
  <c r="N1084" i="5"/>
  <c r="J1084" i="5"/>
  <c r="G1084" i="5"/>
  <c r="AQ1083" i="5"/>
  <c r="AC1083" i="5"/>
  <c r="N1083" i="5"/>
  <c r="J1083" i="5"/>
  <c r="G1083" i="5"/>
  <c r="AC1082" i="5"/>
  <c r="N1082" i="5"/>
  <c r="J1082" i="5"/>
  <c r="G1082" i="5"/>
  <c r="AQ1081" i="5"/>
  <c r="AC1081" i="5"/>
  <c r="N1081" i="5"/>
  <c r="J1081" i="5"/>
  <c r="G1081" i="5"/>
  <c r="AQ1080" i="5"/>
  <c r="AC1080" i="5"/>
  <c r="N1080" i="5"/>
  <c r="J1080" i="5"/>
  <c r="G1080" i="5"/>
  <c r="AC1079" i="5"/>
  <c r="N1079" i="5"/>
  <c r="J1079" i="5"/>
  <c r="G1079" i="5"/>
  <c r="AQ1078" i="5"/>
  <c r="AC1078" i="5"/>
  <c r="N1078" i="5"/>
  <c r="J1078" i="5"/>
  <c r="G1078" i="5"/>
  <c r="AC1077" i="5"/>
  <c r="N1077" i="5"/>
  <c r="J1077" i="5"/>
  <c r="G1077" i="5"/>
  <c r="AQ1076" i="5"/>
  <c r="AC1076" i="5"/>
  <c r="N1076" i="5"/>
  <c r="J1076" i="5"/>
  <c r="G1076" i="5"/>
  <c r="AC1075" i="5"/>
  <c r="N1075" i="5"/>
  <c r="J1075" i="5"/>
  <c r="G1075" i="5"/>
  <c r="AC1074" i="5"/>
  <c r="N1074" i="5"/>
  <c r="J1074" i="5"/>
  <c r="G1074" i="5"/>
  <c r="AC1073" i="5"/>
  <c r="N1073" i="5"/>
  <c r="J1073" i="5"/>
  <c r="G1073" i="5"/>
  <c r="AQ1072" i="5"/>
  <c r="AC1072" i="5"/>
  <c r="N1072" i="5"/>
  <c r="J1072" i="5"/>
  <c r="G1072" i="5"/>
  <c r="AQ1071" i="5"/>
  <c r="AC1071" i="5"/>
  <c r="N1071" i="5"/>
  <c r="J1071" i="5"/>
  <c r="G1071" i="5"/>
  <c r="AQ1070" i="5"/>
  <c r="AC1070" i="5"/>
  <c r="N1070" i="5"/>
  <c r="J1070" i="5"/>
  <c r="G1070" i="5"/>
  <c r="AQ1069" i="5"/>
  <c r="AC1069" i="5"/>
  <c r="N1069" i="5"/>
  <c r="J1069" i="5"/>
  <c r="G1069" i="5"/>
  <c r="AC1068" i="5"/>
  <c r="N1068" i="5"/>
  <c r="J1068" i="5"/>
  <c r="G1068" i="5"/>
  <c r="AQ1067" i="5"/>
  <c r="AC1067" i="5"/>
  <c r="N1067" i="5"/>
  <c r="J1067" i="5"/>
  <c r="G1067" i="5"/>
  <c r="AQ1066" i="5"/>
  <c r="AC1066" i="5"/>
  <c r="N1066" i="5"/>
  <c r="J1066" i="5"/>
  <c r="G1066" i="5"/>
  <c r="AQ1065" i="5"/>
  <c r="AC1065" i="5"/>
  <c r="N1065" i="5"/>
  <c r="J1065" i="5"/>
  <c r="G1065" i="5"/>
  <c r="AQ1064" i="5"/>
  <c r="AC1064" i="5"/>
  <c r="N1064" i="5"/>
  <c r="J1064" i="5"/>
  <c r="G1064" i="5"/>
  <c r="AQ1063" i="5"/>
  <c r="AC1063" i="5"/>
  <c r="N1063" i="5"/>
  <c r="J1063" i="5"/>
  <c r="G1063" i="5"/>
  <c r="AC1062" i="5"/>
  <c r="N1062" i="5"/>
  <c r="J1062" i="5"/>
  <c r="G1062" i="5"/>
  <c r="AQ1061" i="5"/>
  <c r="AC1061" i="5"/>
  <c r="N1061" i="5"/>
  <c r="J1061" i="5"/>
  <c r="G1061" i="5"/>
  <c r="AC1060" i="5"/>
  <c r="N1060" i="5"/>
  <c r="J1060" i="5"/>
  <c r="G1060" i="5"/>
  <c r="AQ1059" i="5"/>
  <c r="AC1059" i="5"/>
  <c r="N1059" i="5"/>
  <c r="J1059" i="5"/>
  <c r="G1059" i="5"/>
  <c r="AQ1058" i="5"/>
  <c r="AC1058" i="5"/>
  <c r="N1058" i="5"/>
  <c r="J1058" i="5"/>
  <c r="G1058" i="5"/>
  <c r="AC1057" i="5"/>
  <c r="N1057" i="5"/>
  <c r="J1057" i="5"/>
  <c r="G1057" i="5"/>
  <c r="AC1056" i="5"/>
  <c r="N1056" i="5"/>
  <c r="J1056" i="5"/>
  <c r="G1056" i="5"/>
  <c r="AC1055" i="5"/>
  <c r="N1055" i="5"/>
  <c r="J1055" i="5"/>
  <c r="G1055" i="5"/>
  <c r="AC1054" i="5"/>
  <c r="N1054" i="5"/>
  <c r="J1054" i="5"/>
  <c r="G1054" i="5"/>
  <c r="AC1053" i="5"/>
  <c r="N1053" i="5"/>
  <c r="J1053" i="5"/>
  <c r="G1053" i="5"/>
  <c r="AQ1052" i="5"/>
  <c r="AC1052" i="5"/>
  <c r="N1052" i="5"/>
  <c r="J1052" i="5"/>
  <c r="G1052" i="5"/>
  <c r="AQ1051" i="5"/>
  <c r="AC1051" i="5"/>
  <c r="N1051" i="5"/>
  <c r="J1051" i="5"/>
  <c r="G1051" i="5"/>
  <c r="AC1050" i="5"/>
  <c r="N1050" i="5"/>
  <c r="J1050" i="5"/>
  <c r="G1050" i="5"/>
  <c r="AC1049" i="5"/>
  <c r="N1049" i="5"/>
  <c r="J1049" i="5"/>
  <c r="G1049" i="5"/>
  <c r="AC1048" i="5"/>
  <c r="N1048" i="5"/>
  <c r="J1048" i="5"/>
  <c r="G1048" i="5"/>
  <c r="AQ1047" i="5"/>
  <c r="AC1047" i="5"/>
  <c r="N1047" i="5"/>
  <c r="J1047" i="5"/>
  <c r="G1047" i="5"/>
  <c r="AQ1046" i="5"/>
  <c r="AC1046" i="5"/>
  <c r="N1046" i="5"/>
  <c r="J1046" i="5"/>
  <c r="G1046" i="5"/>
  <c r="AC1045" i="5"/>
  <c r="N1045" i="5"/>
  <c r="J1045" i="5"/>
  <c r="G1045" i="5"/>
  <c r="AC1044" i="5"/>
  <c r="N1044" i="5"/>
  <c r="J1044" i="5"/>
  <c r="G1044" i="5"/>
  <c r="AC1043" i="5"/>
  <c r="N1043" i="5"/>
  <c r="J1043" i="5"/>
  <c r="G1043" i="5"/>
  <c r="AC1042" i="5"/>
  <c r="N1042" i="5"/>
  <c r="J1042" i="5"/>
  <c r="G1042" i="5"/>
  <c r="AC1041" i="5"/>
  <c r="N1041" i="5"/>
  <c r="J1041" i="5"/>
  <c r="G1041" i="5"/>
  <c r="AC1040" i="5"/>
  <c r="N1040" i="5"/>
  <c r="J1040" i="5"/>
  <c r="G1040" i="5"/>
  <c r="AC1039" i="5"/>
  <c r="N1039" i="5"/>
  <c r="J1039" i="5"/>
  <c r="G1039" i="5"/>
  <c r="AC1038" i="5"/>
  <c r="N1038" i="5"/>
  <c r="J1038" i="5"/>
  <c r="G1038" i="5"/>
  <c r="AC1037" i="5"/>
  <c r="N1037" i="5"/>
  <c r="J1037" i="5"/>
  <c r="G1037" i="5"/>
  <c r="AC1036" i="5"/>
  <c r="N1036" i="5"/>
  <c r="J1036" i="5"/>
  <c r="G1036" i="5"/>
  <c r="AQ1035" i="5"/>
  <c r="AC1035" i="5"/>
  <c r="N1035" i="5"/>
  <c r="J1035" i="5"/>
  <c r="G1035" i="5"/>
  <c r="AC1034" i="5"/>
  <c r="N1034" i="5"/>
  <c r="J1034" i="5"/>
  <c r="G1034" i="5"/>
  <c r="AC1033" i="5"/>
  <c r="N1033" i="5"/>
  <c r="J1033" i="5"/>
  <c r="G1033" i="5"/>
  <c r="AQ1032" i="5"/>
  <c r="AC1032" i="5"/>
  <c r="N1032" i="5"/>
  <c r="J1032" i="5"/>
  <c r="G1032" i="5"/>
  <c r="AQ1031" i="5"/>
  <c r="AC1031" i="5"/>
  <c r="N1031" i="5"/>
  <c r="J1031" i="5"/>
  <c r="G1031" i="5"/>
  <c r="AC1030" i="5"/>
  <c r="N1030" i="5"/>
  <c r="J1030" i="5"/>
  <c r="G1030" i="5"/>
  <c r="AQ1029" i="5"/>
  <c r="AC1029" i="5"/>
  <c r="N1029" i="5"/>
  <c r="J1029" i="5"/>
  <c r="G1029" i="5"/>
  <c r="AQ1028" i="5"/>
  <c r="AC1028" i="5"/>
  <c r="N1028" i="5"/>
  <c r="J1028" i="5"/>
  <c r="G1028" i="5"/>
  <c r="AQ1027" i="5"/>
  <c r="AC1027" i="5"/>
  <c r="N1027" i="5"/>
  <c r="J1027" i="5"/>
  <c r="G1027" i="5"/>
  <c r="AC1026" i="5"/>
  <c r="N1026" i="5"/>
  <c r="J1026" i="5"/>
  <c r="G1026" i="5"/>
  <c r="AC1025" i="5"/>
  <c r="N1025" i="5"/>
  <c r="J1025" i="5"/>
  <c r="G1025" i="5"/>
  <c r="AQ1024" i="5"/>
  <c r="AC1024" i="5"/>
  <c r="N1024" i="5"/>
  <c r="J1024" i="5"/>
  <c r="G1024" i="5"/>
  <c r="AC1023" i="5"/>
  <c r="N1023" i="5"/>
  <c r="J1023" i="5"/>
  <c r="G1023" i="5"/>
  <c r="AC1022" i="5"/>
  <c r="N1022" i="5"/>
  <c r="J1022" i="5"/>
  <c r="G1022" i="5"/>
  <c r="AC1021" i="5"/>
  <c r="N1021" i="5"/>
  <c r="J1021" i="5"/>
  <c r="G1021" i="5"/>
  <c r="AQ1020" i="5"/>
  <c r="AC1020" i="5"/>
  <c r="N1020" i="5"/>
  <c r="J1020" i="5"/>
  <c r="G1020" i="5"/>
  <c r="AC1019" i="5"/>
  <c r="N1019" i="5"/>
  <c r="J1019" i="5"/>
  <c r="G1019" i="5"/>
  <c r="AQ1018" i="5"/>
  <c r="AC1018" i="5"/>
  <c r="N1018" i="5"/>
  <c r="J1018" i="5"/>
  <c r="G1018" i="5"/>
  <c r="AC1017" i="5"/>
  <c r="N1017" i="5"/>
  <c r="J1017" i="5"/>
  <c r="G1017" i="5"/>
  <c r="AQ1016" i="5"/>
  <c r="AC1016" i="5"/>
  <c r="N1016" i="5"/>
  <c r="J1016" i="5"/>
  <c r="G1016" i="5"/>
  <c r="AQ1015" i="5"/>
  <c r="AC1015" i="5"/>
  <c r="N1015" i="5"/>
  <c r="J1015" i="5"/>
  <c r="G1015" i="5"/>
  <c r="AQ1014" i="5"/>
  <c r="AC1014" i="5"/>
  <c r="N1014" i="5"/>
  <c r="J1014" i="5"/>
  <c r="G1014" i="5"/>
  <c r="AQ1013" i="5"/>
  <c r="AC1013" i="5"/>
  <c r="N1013" i="5"/>
  <c r="J1013" i="5"/>
  <c r="G1013" i="5"/>
  <c r="AQ1012" i="5"/>
  <c r="AC1012" i="5"/>
  <c r="N1012" i="5"/>
  <c r="J1012" i="5"/>
  <c r="G1012" i="5"/>
  <c r="AQ1011" i="5"/>
  <c r="AC1011" i="5"/>
  <c r="N1011" i="5"/>
  <c r="J1011" i="5"/>
  <c r="G1011" i="5"/>
  <c r="AQ1010" i="5"/>
  <c r="AC1010" i="5"/>
  <c r="N1010" i="5"/>
  <c r="J1010" i="5"/>
  <c r="G1010" i="5"/>
  <c r="AC1009" i="5"/>
  <c r="N1009" i="5"/>
  <c r="J1009" i="5"/>
  <c r="G1009" i="5"/>
  <c r="AQ1008" i="5"/>
  <c r="AC1008" i="5"/>
  <c r="N1008" i="5"/>
  <c r="J1008" i="5"/>
  <c r="G1008" i="5"/>
  <c r="AC1007" i="5"/>
  <c r="N1007" i="5"/>
  <c r="J1007" i="5"/>
  <c r="G1007" i="5"/>
  <c r="AC1006" i="5"/>
  <c r="N1006" i="5"/>
  <c r="J1006" i="5"/>
  <c r="G1006" i="5"/>
  <c r="AQ1005" i="5"/>
  <c r="AC1005" i="5"/>
  <c r="N1005" i="5"/>
  <c r="J1005" i="5"/>
  <c r="G1005" i="5"/>
  <c r="AQ1004" i="5"/>
  <c r="AC1004" i="5"/>
  <c r="N1004" i="5"/>
  <c r="J1004" i="5"/>
  <c r="G1004" i="5"/>
  <c r="AQ1003" i="5"/>
  <c r="AC1003" i="5"/>
  <c r="N1003" i="5"/>
  <c r="J1003" i="5"/>
  <c r="G1003" i="5"/>
  <c r="AQ1002" i="5"/>
  <c r="AC1002" i="5"/>
  <c r="N1002" i="5"/>
  <c r="J1002" i="5"/>
  <c r="G1002" i="5"/>
  <c r="AQ1001" i="5"/>
  <c r="AC1001" i="5"/>
  <c r="N1001" i="5"/>
  <c r="J1001" i="5"/>
  <c r="G1001" i="5"/>
  <c r="AC1000" i="5"/>
  <c r="N1000" i="5"/>
  <c r="J1000" i="5"/>
  <c r="G1000" i="5"/>
  <c r="AC999" i="5"/>
  <c r="N999" i="5"/>
  <c r="J999" i="5"/>
  <c r="G999" i="5"/>
  <c r="AQ998" i="5"/>
  <c r="AC998" i="5"/>
  <c r="N998" i="5"/>
  <c r="J998" i="5"/>
  <c r="G998" i="5"/>
  <c r="AC997" i="5"/>
  <c r="N997" i="5"/>
  <c r="J997" i="5"/>
  <c r="G997" i="5"/>
  <c r="AC996" i="5"/>
  <c r="N996" i="5"/>
  <c r="J996" i="5"/>
  <c r="G996" i="5"/>
  <c r="AC995" i="5"/>
  <c r="N995" i="5"/>
  <c r="J995" i="5"/>
  <c r="G995" i="5"/>
  <c r="AC994" i="5"/>
  <c r="N994" i="5"/>
  <c r="J994" i="5"/>
  <c r="G994" i="5"/>
  <c r="AQ993" i="5"/>
  <c r="AC993" i="5"/>
  <c r="N993" i="5"/>
  <c r="J993" i="5"/>
  <c r="G993" i="5"/>
  <c r="AC992" i="5"/>
  <c r="N992" i="5"/>
  <c r="J992" i="5"/>
  <c r="G992" i="5"/>
  <c r="AQ991" i="5"/>
  <c r="AC991" i="5"/>
  <c r="N991" i="5"/>
  <c r="J991" i="5"/>
  <c r="G991" i="5"/>
  <c r="AC990" i="5"/>
  <c r="N990" i="5"/>
  <c r="J990" i="5"/>
  <c r="G990" i="5"/>
  <c r="AC989" i="5"/>
  <c r="N989" i="5"/>
  <c r="J989" i="5"/>
  <c r="G989" i="5"/>
  <c r="AC988" i="5"/>
  <c r="N988" i="5"/>
  <c r="J988" i="5"/>
  <c r="G988" i="5"/>
  <c r="AQ987" i="5"/>
  <c r="AC987" i="5"/>
  <c r="N987" i="5"/>
  <c r="J987" i="5"/>
  <c r="G987" i="5"/>
  <c r="AC986" i="5"/>
  <c r="N986" i="5"/>
  <c r="J986" i="5"/>
  <c r="G986" i="5"/>
  <c r="AQ985" i="5"/>
  <c r="AC985" i="5"/>
  <c r="N985" i="5"/>
  <c r="J985" i="5"/>
  <c r="G985" i="5"/>
  <c r="AC984" i="5"/>
  <c r="N984" i="5"/>
  <c r="J984" i="5"/>
  <c r="G984" i="5"/>
  <c r="AC983" i="5"/>
  <c r="N983" i="5"/>
  <c r="J983" i="5"/>
  <c r="G983" i="5"/>
  <c r="AC982" i="5"/>
  <c r="N982" i="5"/>
  <c r="J982" i="5"/>
  <c r="G982" i="5"/>
  <c r="AC981" i="5"/>
  <c r="N981" i="5"/>
  <c r="J981" i="5"/>
  <c r="G981" i="5"/>
  <c r="AC980" i="5"/>
  <c r="N980" i="5"/>
  <c r="J980" i="5"/>
  <c r="G980" i="5"/>
  <c r="AQ979" i="5"/>
  <c r="AC979" i="5"/>
  <c r="N979" i="5"/>
  <c r="J979" i="5"/>
  <c r="G979" i="5"/>
  <c r="AC978" i="5"/>
  <c r="N978" i="5"/>
  <c r="J978" i="5"/>
  <c r="G978" i="5"/>
  <c r="AC977" i="5"/>
  <c r="N977" i="5"/>
  <c r="J977" i="5"/>
  <c r="G977" i="5"/>
  <c r="AQ976" i="5"/>
  <c r="AC976" i="5"/>
  <c r="N976" i="5"/>
  <c r="J976" i="5"/>
  <c r="G976" i="5"/>
  <c r="AC975" i="5"/>
  <c r="N975" i="5"/>
  <c r="J975" i="5"/>
  <c r="G975" i="5"/>
  <c r="AQ974" i="5"/>
  <c r="AC974" i="5"/>
  <c r="N974" i="5"/>
  <c r="J974" i="5"/>
  <c r="G974" i="5"/>
  <c r="AC973" i="5"/>
  <c r="N973" i="5"/>
  <c r="J973" i="5"/>
  <c r="G973" i="5"/>
  <c r="AC972" i="5"/>
  <c r="N972" i="5"/>
  <c r="J972" i="5"/>
  <c r="G972" i="5"/>
  <c r="AQ971" i="5"/>
  <c r="AC971" i="5"/>
  <c r="N971" i="5"/>
  <c r="J971" i="5"/>
  <c r="G971" i="5"/>
  <c r="AC970" i="5"/>
  <c r="N970" i="5"/>
  <c r="J970" i="5"/>
  <c r="G970" i="5"/>
  <c r="AC969" i="5"/>
  <c r="N969" i="5"/>
  <c r="J969" i="5"/>
  <c r="G969" i="5"/>
  <c r="AC968" i="5"/>
  <c r="N968" i="5"/>
  <c r="J968" i="5"/>
  <c r="G968" i="5"/>
  <c r="AC967" i="5"/>
  <c r="N967" i="5"/>
  <c r="J967" i="5"/>
  <c r="G967" i="5"/>
  <c r="AQ966" i="5"/>
  <c r="AC966" i="5"/>
  <c r="N966" i="5"/>
  <c r="J966" i="5"/>
  <c r="G966" i="5"/>
  <c r="AQ965" i="5"/>
  <c r="AC965" i="5"/>
  <c r="N965" i="5"/>
  <c r="J965" i="5"/>
  <c r="G965" i="5"/>
  <c r="AQ964" i="5"/>
  <c r="AC964" i="5"/>
  <c r="N964" i="5"/>
  <c r="J964" i="5"/>
  <c r="G964" i="5"/>
  <c r="AC963" i="5"/>
  <c r="N963" i="5"/>
  <c r="J963" i="5"/>
  <c r="G963" i="5"/>
  <c r="AC962" i="5"/>
  <c r="N962" i="5"/>
  <c r="J962" i="5"/>
  <c r="G962" i="5"/>
  <c r="AC961" i="5"/>
  <c r="N961" i="5"/>
  <c r="J961" i="5"/>
  <c r="G961" i="5"/>
  <c r="AC960" i="5"/>
  <c r="N960" i="5"/>
  <c r="J960" i="5"/>
  <c r="G960" i="5"/>
  <c r="AC959" i="5"/>
  <c r="N959" i="5"/>
  <c r="J959" i="5"/>
  <c r="G959" i="5"/>
  <c r="AC958" i="5"/>
  <c r="N958" i="5"/>
  <c r="J958" i="5"/>
  <c r="G958" i="5"/>
  <c r="AC957" i="5"/>
  <c r="N957" i="5"/>
  <c r="J957" i="5"/>
  <c r="G957" i="5"/>
  <c r="AC956" i="5"/>
  <c r="N956" i="5"/>
  <c r="J956" i="5"/>
  <c r="G956" i="5"/>
  <c r="AC955" i="5"/>
  <c r="N955" i="5"/>
  <c r="J955" i="5"/>
  <c r="G955" i="5"/>
  <c r="AQ954" i="5"/>
  <c r="AC954" i="5"/>
  <c r="N954" i="5"/>
  <c r="J954" i="5"/>
  <c r="G954" i="5"/>
  <c r="AC953" i="5"/>
  <c r="N953" i="5"/>
  <c r="J953" i="5"/>
  <c r="G953" i="5"/>
  <c r="AC952" i="5"/>
  <c r="N952" i="5"/>
  <c r="J952" i="5"/>
  <c r="G952" i="5"/>
  <c r="AQ951" i="5"/>
  <c r="AC951" i="5"/>
  <c r="N951" i="5"/>
  <c r="J951" i="5"/>
  <c r="G951" i="5"/>
  <c r="AC950" i="5"/>
  <c r="N950" i="5"/>
  <c r="J950" i="5"/>
  <c r="G950" i="5"/>
  <c r="AC949" i="5"/>
  <c r="N949" i="5"/>
  <c r="J949" i="5"/>
  <c r="G949" i="5"/>
  <c r="AQ948" i="5"/>
  <c r="AC948" i="5"/>
  <c r="N948" i="5"/>
  <c r="J948" i="5"/>
  <c r="G948" i="5"/>
  <c r="AQ947" i="5"/>
  <c r="AC947" i="5"/>
  <c r="N947" i="5"/>
  <c r="J947" i="5"/>
  <c r="G947" i="5"/>
  <c r="AC946" i="5"/>
  <c r="N946" i="5"/>
  <c r="J946" i="5"/>
  <c r="G946" i="5"/>
  <c r="AC945" i="5"/>
  <c r="N945" i="5"/>
  <c r="J945" i="5"/>
  <c r="G945" i="5"/>
  <c r="AQ944" i="5"/>
  <c r="AC944" i="5"/>
  <c r="N944" i="5"/>
  <c r="J944" i="5"/>
  <c r="G944" i="5"/>
  <c r="AC943" i="5"/>
  <c r="N943" i="5"/>
  <c r="J943" i="5"/>
  <c r="G943" i="5"/>
  <c r="AC942" i="5"/>
  <c r="N942" i="5"/>
  <c r="J942" i="5"/>
  <c r="G942" i="5"/>
  <c r="AQ941" i="5"/>
  <c r="AC941" i="5"/>
  <c r="N941" i="5"/>
  <c r="J941" i="5"/>
  <c r="G941" i="5"/>
  <c r="AC940" i="5"/>
  <c r="N940" i="5"/>
  <c r="J940" i="5"/>
  <c r="G940" i="5"/>
  <c r="AC939" i="5"/>
  <c r="N939" i="5"/>
  <c r="J939" i="5"/>
  <c r="G939" i="5"/>
  <c r="AC938" i="5"/>
  <c r="N938" i="5"/>
  <c r="J938" i="5"/>
  <c r="G938" i="5"/>
  <c r="AQ937" i="5"/>
  <c r="AC937" i="5"/>
  <c r="N937" i="5"/>
  <c r="J937" i="5"/>
  <c r="G937" i="5"/>
  <c r="AQ936" i="5"/>
  <c r="AC936" i="5"/>
  <c r="N936" i="5"/>
  <c r="J936" i="5"/>
  <c r="G936" i="5"/>
  <c r="AQ935" i="5"/>
  <c r="AC935" i="5"/>
  <c r="N935" i="5"/>
  <c r="J935" i="5"/>
  <c r="G935" i="5"/>
  <c r="AC934" i="5"/>
  <c r="N934" i="5"/>
  <c r="J934" i="5"/>
  <c r="G934" i="5"/>
  <c r="AC933" i="5"/>
  <c r="N933" i="5"/>
  <c r="J933" i="5"/>
  <c r="G933" i="5"/>
  <c r="AQ932" i="5"/>
  <c r="AC932" i="5"/>
  <c r="N932" i="5"/>
  <c r="J932" i="5"/>
  <c r="G932" i="5"/>
  <c r="AQ931" i="5"/>
  <c r="AC931" i="5"/>
  <c r="N931" i="5"/>
  <c r="J931" i="5"/>
  <c r="G931" i="5"/>
  <c r="AQ930" i="5"/>
  <c r="AC930" i="5"/>
  <c r="N930" i="5"/>
  <c r="J930" i="5"/>
  <c r="G930" i="5"/>
  <c r="AQ929" i="5"/>
  <c r="AC929" i="5"/>
  <c r="N929" i="5"/>
  <c r="J929" i="5"/>
  <c r="G929" i="5"/>
  <c r="AQ928" i="5"/>
  <c r="AC928" i="5"/>
  <c r="N928" i="5"/>
  <c r="J928" i="5"/>
  <c r="G928" i="5"/>
  <c r="AQ927" i="5"/>
  <c r="AC927" i="5"/>
  <c r="N927" i="5"/>
  <c r="J927" i="5"/>
  <c r="G927" i="5"/>
  <c r="AQ926" i="5"/>
  <c r="AC926" i="5"/>
  <c r="N926" i="5"/>
  <c r="J926" i="5"/>
  <c r="G926" i="5"/>
  <c r="AQ925" i="5"/>
  <c r="AC925" i="5"/>
  <c r="N925" i="5"/>
  <c r="J925" i="5"/>
  <c r="G925" i="5"/>
  <c r="AC924" i="5"/>
  <c r="N924" i="5"/>
  <c r="J924" i="5"/>
  <c r="G924" i="5"/>
  <c r="AC923" i="5"/>
  <c r="N923" i="5"/>
  <c r="J923" i="5"/>
  <c r="G923" i="5"/>
  <c r="AC922" i="5"/>
  <c r="N922" i="5"/>
  <c r="J922" i="5"/>
  <c r="G922" i="5"/>
  <c r="AQ921" i="5"/>
  <c r="AC921" i="5"/>
  <c r="N921" i="5"/>
  <c r="J921" i="5"/>
  <c r="G921" i="5"/>
  <c r="AC920" i="5"/>
  <c r="N920" i="5"/>
  <c r="J920" i="5"/>
  <c r="G920" i="5"/>
  <c r="AC919" i="5"/>
  <c r="N919" i="5"/>
  <c r="J919" i="5"/>
  <c r="G919" i="5"/>
  <c r="AC918" i="5"/>
  <c r="N918" i="5"/>
  <c r="J918" i="5"/>
  <c r="G918" i="5"/>
  <c r="AQ917" i="5"/>
  <c r="AC917" i="5"/>
  <c r="N917" i="5"/>
  <c r="J917" i="5"/>
  <c r="G917" i="5"/>
  <c r="AC916" i="5"/>
  <c r="N916" i="5"/>
  <c r="J916" i="5"/>
  <c r="G916" i="5"/>
  <c r="AC915" i="5"/>
  <c r="N915" i="5"/>
  <c r="J915" i="5"/>
  <c r="G915" i="5"/>
  <c r="AC914" i="5"/>
  <c r="N914" i="5"/>
  <c r="J914" i="5"/>
  <c r="G914" i="5"/>
  <c r="AQ913" i="5"/>
  <c r="AC913" i="5"/>
  <c r="N913" i="5"/>
  <c r="J913" i="5"/>
  <c r="G913" i="5"/>
  <c r="AQ912" i="5"/>
  <c r="AC912" i="5"/>
  <c r="N912" i="5"/>
  <c r="J912" i="5"/>
  <c r="G912" i="5"/>
  <c r="AQ911" i="5"/>
  <c r="AC911" i="5"/>
  <c r="N911" i="5"/>
  <c r="J911" i="5"/>
  <c r="G911" i="5"/>
  <c r="AC910" i="5"/>
  <c r="N910" i="5"/>
  <c r="J910" i="5"/>
  <c r="G910" i="5"/>
  <c r="AQ909" i="5"/>
  <c r="AC909" i="5"/>
  <c r="N909" i="5"/>
  <c r="J909" i="5"/>
  <c r="G909" i="5"/>
  <c r="AC908" i="5"/>
  <c r="N908" i="5"/>
  <c r="J908" i="5"/>
  <c r="G908" i="5"/>
  <c r="AC907" i="5"/>
  <c r="N907" i="5"/>
  <c r="J907" i="5"/>
  <c r="G907" i="5"/>
  <c r="AQ906" i="5"/>
  <c r="AC906" i="5"/>
  <c r="N906" i="5"/>
  <c r="J906" i="5"/>
  <c r="G906" i="5"/>
  <c r="AQ905" i="5"/>
  <c r="AC905" i="5"/>
  <c r="N905" i="5"/>
  <c r="J905" i="5"/>
  <c r="G905" i="5"/>
  <c r="AQ904" i="5"/>
  <c r="AC904" i="5"/>
  <c r="N904" i="5"/>
  <c r="J904" i="5"/>
  <c r="G904" i="5"/>
  <c r="AQ903" i="5"/>
  <c r="AC903" i="5"/>
  <c r="N903" i="5"/>
  <c r="J903" i="5"/>
  <c r="G903" i="5"/>
  <c r="AC902" i="5"/>
  <c r="N902" i="5"/>
  <c r="J902" i="5"/>
  <c r="G902" i="5"/>
  <c r="AC901" i="5"/>
  <c r="N901" i="5"/>
  <c r="J901" i="5"/>
  <c r="G901" i="5"/>
  <c r="AQ900" i="5"/>
  <c r="AC900" i="5"/>
  <c r="N900" i="5"/>
  <c r="J900" i="5"/>
  <c r="G900" i="5"/>
  <c r="AQ899" i="5"/>
  <c r="AC899" i="5"/>
  <c r="N899" i="5"/>
  <c r="J899" i="5"/>
  <c r="G899" i="5"/>
  <c r="AC898" i="5"/>
  <c r="N898" i="5"/>
  <c r="J898" i="5"/>
  <c r="G898" i="5"/>
  <c r="AQ897" i="5"/>
  <c r="AC897" i="5"/>
  <c r="N897" i="5"/>
  <c r="J897" i="5"/>
  <c r="G897" i="5"/>
  <c r="AC896" i="5"/>
  <c r="N896" i="5"/>
  <c r="J896" i="5"/>
  <c r="G896" i="5"/>
  <c r="AQ895" i="5"/>
  <c r="AC895" i="5"/>
  <c r="N895" i="5"/>
  <c r="J895" i="5"/>
  <c r="G895" i="5"/>
  <c r="AQ894" i="5"/>
  <c r="AC894" i="5"/>
  <c r="N894" i="5"/>
  <c r="J894" i="5"/>
  <c r="G894" i="5"/>
  <c r="AC893" i="5"/>
  <c r="N893" i="5"/>
  <c r="J893" i="5"/>
  <c r="G893" i="5"/>
  <c r="AC892" i="5"/>
  <c r="N892" i="5"/>
  <c r="J892" i="5"/>
  <c r="G892" i="5"/>
  <c r="AC891" i="5"/>
  <c r="N891" i="5"/>
  <c r="J891" i="5"/>
  <c r="G891" i="5"/>
  <c r="AC890" i="5"/>
  <c r="N890" i="5"/>
  <c r="J890" i="5"/>
  <c r="G890" i="5"/>
  <c r="AC889" i="5"/>
  <c r="N889" i="5"/>
  <c r="J889" i="5"/>
  <c r="G889" i="5"/>
  <c r="AC888" i="5"/>
  <c r="N888" i="5"/>
  <c r="J888" i="5"/>
  <c r="G888" i="5"/>
  <c r="AC887" i="5"/>
  <c r="N887" i="5"/>
  <c r="J887" i="5"/>
  <c r="G887" i="5"/>
  <c r="AC886" i="5"/>
  <c r="N886" i="5"/>
  <c r="J886" i="5"/>
  <c r="G886" i="5"/>
  <c r="AC885" i="5"/>
  <c r="N885" i="5"/>
  <c r="J885" i="5"/>
  <c r="G885" i="5"/>
  <c r="AC884" i="5"/>
  <c r="N884" i="5"/>
  <c r="J884" i="5"/>
  <c r="G884" i="5"/>
  <c r="AC883" i="5"/>
  <c r="N883" i="5"/>
  <c r="J883" i="5"/>
  <c r="G883" i="5"/>
  <c r="AC882" i="5"/>
  <c r="N882" i="5"/>
  <c r="J882" i="5"/>
  <c r="G882" i="5"/>
  <c r="AC881" i="5"/>
  <c r="N881" i="5"/>
  <c r="J881" i="5"/>
  <c r="G881" i="5"/>
  <c r="AC880" i="5"/>
  <c r="N880" i="5"/>
  <c r="J880" i="5"/>
  <c r="G880" i="5"/>
  <c r="AC879" i="5"/>
  <c r="N879" i="5"/>
  <c r="J879" i="5"/>
  <c r="G879" i="5"/>
  <c r="AC878" i="5"/>
  <c r="N878" i="5"/>
  <c r="J878" i="5"/>
  <c r="G878" i="5"/>
  <c r="AC877" i="5"/>
  <c r="N877" i="5"/>
  <c r="J877" i="5"/>
  <c r="G877" i="5"/>
  <c r="AC876" i="5"/>
  <c r="N876" i="5"/>
  <c r="J876" i="5"/>
  <c r="G876" i="5"/>
  <c r="AQ875" i="5"/>
  <c r="AC875" i="5"/>
  <c r="N875" i="5"/>
  <c r="J875" i="5"/>
  <c r="G875" i="5"/>
  <c r="AC874" i="5"/>
  <c r="N874" i="5"/>
  <c r="J874" i="5"/>
  <c r="G874" i="5"/>
  <c r="AC873" i="5"/>
  <c r="N873" i="5"/>
  <c r="J873" i="5"/>
  <c r="G873" i="5"/>
  <c r="AC872" i="5"/>
  <c r="N872" i="5"/>
  <c r="J872" i="5"/>
  <c r="G872" i="5"/>
  <c r="AC871" i="5"/>
  <c r="N871" i="5"/>
  <c r="J871" i="5"/>
  <c r="G871" i="5"/>
  <c r="AC870" i="5"/>
  <c r="N870" i="5"/>
  <c r="J870" i="5"/>
  <c r="G870" i="5"/>
  <c r="AC869" i="5"/>
  <c r="N869" i="5"/>
  <c r="J869" i="5"/>
  <c r="G869" i="5"/>
  <c r="AC868" i="5"/>
  <c r="N868" i="5"/>
  <c r="J868" i="5"/>
  <c r="G868" i="5"/>
  <c r="AC867" i="5"/>
  <c r="N867" i="5"/>
  <c r="J867" i="5"/>
  <c r="G867" i="5"/>
  <c r="AC866" i="5"/>
  <c r="N866" i="5"/>
  <c r="J866" i="5"/>
  <c r="G866" i="5"/>
  <c r="AC865" i="5"/>
  <c r="N865" i="5"/>
  <c r="J865" i="5"/>
  <c r="G865" i="5"/>
  <c r="AC864" i="5"/>
  <c r="N864" i="5"/>
  <c r="J864" i="5"/>
  <c r="G864" i="5"/>
  <c r="AC863" i="5"/>
  <c r="N863" i="5"/>
  <c r="J863" i="5"/>
  <c r="G863" i="5"/>
  <c r="AQ862" i="5"/>
  <c r="AC862" i="5"/>
  <c r="N862" i="5"/>
  <c r="J862" i="5"/>
  <c r="G862" i="5"/>
  <c r="AC861" i="5"/>
  <c r="N861" i="5"/>
  <c r="J861" i="5"/>
  <c r="G861" i="5"/>
  <c r="AC860" i="5"/>
  <c r="N860" i="5"/>
  <c r="J860" i="5"/>
  <c r="G860" i="5"/>
  <c r="AC859" i="5"/>
  <c r="N859" i="5"/>
  <c r="J859" i="5"/>
  <c r="G859" i="5"/>
  <c r="AC858" i="5"/>
  <c r="N858" i="5"/>
  <c r="J858" i="5"/>
  <c r="G858" i="5"/>
  <c r="AC857" i="5"/>
  <c r="N857" i="5"/>
  <c r="J857" i="5"/>
  <c r="G857" i="5"/>
  <c r="AC856" i="5"/>
  <c r="N856" i="5"/>
  <c r="J856" i="5"/>
  <c r="G856" i="5"/>
  <c r="AC855" i="5"/>
  <c r="N855" i="5"/>
  <c r="J855" i="5"/>
  <c r="G855" i="5"/>
  <c r="AC854" i="5"/>
  <c r="N854" i="5"/>
  <c r="J854" i="5"/>
  <c r="G854" i="5"/>
  <c r="AC853" i="5"/>
  <c r="N853" i="5"/>
  <c r="J853" i="5"/>
  <c r="G853" i="5"/>
  <c r="AC852" i="5"/>
  <c r="N852" i="5"/>
  <c r="J852" i="5"/>
  <c r="G852" i="5"/>
  <c r="AC851" i="5"/>
  <c r="N851" i="5"/>
  <c r="J851" i="5"/>
  <c r="G851" i="5"/>
  <c r="AC850" i="5"/>
  <c r="N850" i="5"/>
  <c r="J850" i="5"/>
  <c r="G850" i="5"/>
  <c r="AC849" i="5"/>
  <c r="N849" i="5"/>
  <c r="J849" i="5"/>
  <c r="G849" i="5"/>
  <c r="AC848" i="5"/>
  <c r="N848" i="5"/>
  <c r="J848" i="5"/>
  <c r="G848" i="5"/>
  <c r="AC847" i="5"/>
  <c r="N847" i="5"/>
  <c r="J847" i="5"/>
  <c r="G847" i="5"/>
  <c r="AC846" i="5"/>
  <c r="N846" i="5"/>
  <c r="J846" i="5"/>
  <c r="G846" i="5"/>
  <c r="AC845" i="5"/>
  <c r="N845" i="5"/>
  <c r="J845" i="5"/>
  <c r="G845" i="5"/>
  <c r="AC844" i="5"/>
  <c r="N844" i="5"/>
  <c r="J844" i="5"/>
  <c r="G844" i="5"/>
  <c r="AC843" i="5"/>
  <c r="N843" i="5"/>
  <c r="J843" i="5"/>
  <c r="G843" i="5"/>
  <c r="AC842" i="5"/>
  <c r="N842" i="5"/>
  <c r="J842" i="5"/>
  <c r="G842" i="5"/>
  <c r="AC841" i="5"/>
  <c r="N841" i="5"/>
  <c r="J841" i="5"/>
  <c r="G841" i="5"/>
  <c r="AQ840" i="5"/>
  <c r="AC840" i="5"/>
  <c r="N840" i="5"/>
  <c r="J840" i="5"/>
  <c r="G840" i="5"/>
  <c r="AC839" i="5"/>
  <c r="N839" i="5"/>
  <c r="J839" i="5"/>
  <c r="G839" i="5"/>
  <c r="AC838" i="5"/>
  <c r="N838" i="5"/>
  <c r="J838" i="5"/>
  <c r="G838" i="5"/>
  <c r="AC837" i="5"/>
  <c r="N837" i="5"/>
  <c r="J837" i="5"/>
  <c r="G837" i="5"/>
  <c r="AC836" i="5"/>
  <c r="N836" i="5"/>
  <c r="J836" i="5"/>
  <c r="G836" i="5"/>
  <c r="AC835" i="5"/>
  <c r="N835" i="5"/>
  <c r="J835" i="5"/>
  <c r="G835" i="5"/>
  <c r="AC834" i="5"/>
  <c r="N834" i="5"/>
  <c r="J834" i="5"/>
  <c r="G834" i="5"/>
  <c r="AC833" i="5"/>
  <c r="N833" i="5"/>
  <c r="J833" i="5"/>
  <c r="G833" i="5"/>
  <c r="AC832" i="5"/>
  <c r="N832" i="5"/>
  <c r="J832" i="5"/>
  <c r="G832" i="5"/>
  <c r="AC831" i="5"/>
  <c r="N831" i="5"/>
  <c r="J831" i="5"/>
  <c r="G831" i="5"/>
  <c r="AC830" i="5"/>
  <c r="N830" i="5"/>
  <c r="J830" i="5"/>
  <c r="G830" i="5"/>
  <c r="AC829" i="5"/>
  <c r="N829" i="5"/>
  <c r="J829" i="5"/>
  <c r="G829" i="5"/>
  <c r="AC828" i="5"/>
  <c r="N828" i="5"/>
  <c r="J828" i="5"/>
  <c r="G828" i="5"/>
  <c r="AC827" i="5"/>
  <c r="N827" i="5"/>
  <c r="J827" i="5"/>
  <c r="G827" i="5"/>
  <c r="AC826" i="5"/>
  <c r="N826" i="5"/>
  <c r="J826" i="5"/>
  <c r="G826" i="5"/>
  <c r="AC825" i="5"/>
  <c r="N825" i="5"/>
  <c r="J825" i="5"/>
  <c r="G825" i="5"/>
  <c r="AC824" i="5"/>
  <c r="N824" i="5"/>
  <c r="J824" i="5"/>
  <c r="G824" i="5"/>
  <c r="AC823" i="5"/>
  <c r="N823" i="5"/>
  <c r="J823" i="5"/>
  <c r="G823" i="5"/>
  <c r="AC822" i="5"/>
  <c r="N822" i="5"/>
  <c r="J822" i="5"/>
  <c r="G822" i="5"/>
  <c r="AC821" i="5"/>
  <c r="N821" i="5"/>
  <c r="J821" i="5"/>
  <c r="G821" i="5"/>
  <c r="AC820" i="5"/>
  <c r="N820" i="5"/>
  <c r="J820" i="5"/>
  <c r="G820" i="5"/>
  <c r="AC819" i="5"/>
  <c r="N819" i="5"/>
  <c r="J819" i="5"/>
  <c r="G819" i="5"/>
  <c r="AC818" i="5"/>
  <c r="N818" i="5"/>
  <c r="J818" i="5"/>
  <c r="G818" i="5"/>
  <c r="AC817" i="5"/>
  <c r="N817" i="5"/>
  <c r="J817" i="5"/>
  <c r="G817" i="5"/>
  <c r="AC816" i="5"/>
  <c r="N816" i="5"/>
  <c r="J816" i="5"/>
  <c r="G816" i="5"/>
  <c r="AC815" i="5"/>
  <c r="N815" i="5"/>
  <c r="J815" i="5"/>
  <c r="G815" i="5"/>
  <c r="AC814" i="5"/>
  <c r="N814" i="5"/>
  <c r="J814" i="5"/>
  <c r="G814" i="5"/>
  <c r="AC813" i="5"/>
  <c r="N813" i="5"/>
  <c r="J813" i="5"/>
  <c r="G813" i="5"/>
  <c r="AC812" i="5"/>
  <c r="N812" i="5"/>
  <c r="J812" i="5"/>
  <c r="G812" i="5"/>
  <c r="AC811" i="5"/>
  <c r="N811" i="5"/>
  <c r="J811" i="5"/>
  <c r="G811" i="5"/>
  <c r="AC810" i="5"/>
  <c r="N810" i="5"/>
  <c r="J810" i="5"/>
  <c r="G810" i="5"/>
  <c r="AC809" i="5"/>
  <c r="N809" i="5"/>
  <c r="J809" i="5"/>
  <c r="G809" i="5"/>
  <c r="AC808" i="5"/>
  <c r="N808" i="5"/>
  <c r="J808" i="5"/>
  <c r="G808" i="5"/>
  <c r="AC807" i="5"/>
  <c r="N807" i="5"/>
  <c r="J807" i="5"/>
  <c r="G807" i="5"/>
  <c r="AC806" i="5"/>
  <c r="N806" i="5"/>
  <c r="J806" i="5"/>
  <c r="G806" i="5"/>
  <c r="AC805" i="5"/>
  <c r="N805" i="5"/>
  <c r="J805" i="5"/>
  <c r="G805" i="5"/>
  <c r="AC804" i="5"/>
  <c r="N804" i="5"/>
  <c r="J804" i="5"/>
  <c r="G804" i="5"/>
  <c r="AC803" i="5"/>
  <c r="N803" i="5"/>
  <c r="J803" i="5"/>
  <c r="G803" i="5"/>
  <c r="AC802" i="5"/>
  <c r="N802" i="5"/>
  <c r="J802" i="5"/>
  <c r="G802" i="5"/>
  <c r="AC801" i="5"/>
  <c r="N801" i="5"/>
  <c r="J801" i="5"/>
  <c r="G801" i="5"/>
  <c r="AC800" i="5"/>
  <c r="N800" i="5"/>
  <c r="J800" i="5"/>
  <c r="G800" i="5"/>
  <c r="AC799" i="5"/>
  <c r="N799" i="5"/>
  <c r="J799" i="5"/>
  <c r="G799" i="5"/>
  <c r="AC798" i="5"/>
  <c r="N798" i="5"/>
  <c r="J798" i="5"/>
  <c r="G798" i="5"/>
  <c r="AC797" i="5"/>
  <c r="N797" i="5"/>
  <c r="J797" i="5"/>
  <c r="G797" i="5"/>
  <c r="AC796" i="5"/>
  <c r="N796" i="5"/>
  <c r="J796" i="5"/>
  <c r="G796" i="5"/>
  <c r="AC795" i="5"/>
  <c r="N795" i="5"/>
  <c r="J795" i="5"/>
  <c r="G795" i="5"/>
  <c r="AC794" i="5"/>
  <c r="N794" i="5"/>
  <c r="J794" i="5"/>
  <c r="G794" i="5"/>
  <c r="AC793" i="5"/>
  <c r="N793" i="5"/>
  <c r="J793" i="5"/>
  <c r="G793" i="5"/>
  <c r="AC792" i="5"/>
  <c r="N792" i="5"/>
  <c r="J792" i="5"/>
  <c r="G792" i="5"/>
  <c r="AC791" i="5"/>
  <c r="N791" i="5"/>
  <c r="J791" i="5"/>
  <c r="G791" i="5"/>
  <c r="AC790" i="5"/>
  <c r="N790" i="5"/>
  <c r="J790" i="5"/>
  <c r="G790" i="5"/>
  <c r="AC789" i="5"/>
  <c r="N789" i="5"/>
  <c r="J789" i="5"/>
  <c r="G789" i="5"/>
  <c r="AC788" i="5"/>
  <c r="N788" i="5"/>
  <c r="J788" i="5"/>
  <c r="G788" i="5"/>
  <c r="AC787" i="5"/>
  <c r="N787" i="5"/>
  <c r="J787" i="5"/>
  <c r="G787" i="5"/>
  <c r="AC786" i="5"/>
  <c r="N786" i="5"/>
  <c r="J786" i="5"/>
  <c r="G786" i="5"/>
  <c r="AC785" i="5"/>
  <c r="N785" i="5"/>
  <c r="J785" i="5"/>
  <c r="G785" i="5"/>
  <c r="AC784" i="5"/>
  <c r="N784" i="5"/>
  <c r="J784" i="5"/>
  <c r="G784" i="5"/>
  <c r="AC783" i="5"/>
  <c r="N783" i="5"/>
  <c r="J783" i="5"/>
  <c r="G783" i="5"/>
  <c r="AC782" i="5"/>
  <c r="N782" i="5"/>
  <c r="J782" i="5"/>
  <c r="G782" i="5"/>
  <c r="AC781" i="5"/>
  <c r="N781" i="5"/>
  <c r="J781" i="5"/>
  <c r="G781" i="5"/>
  <c r="AC780" i="5"/>
  <c r="N780" i="5"/>
  <c r="J780" i="5"/>
  <c r="G780" i="5"/>
  <c r="AC779" i="5"/>
  <c r="N779" i="5"/>
  <c r="J779" i="5"/>
  <c r="G779" i="5"/>
  <c r="AC778" i="5"/>
  <c r="N778" i="5"/>
  <c r="J778" i="5"/>
  <c r="G778" i="5"/>
  <c r="AC777" i="5"/>
  <c r="N777" i="5"/>
  <c r="J777" i="5"/>
  <c r="G777" i="5"/>
  <c r="AC776" i="5"/>
  <c r="N776" i="5"/>
  <c r="J776" i="5"/>
  <c r="G776" i="5"/>
  <c r="AC775" i="5"/>
  <c r="N775" i="5"/>
  <c r="J775" i="5"/>
  <c r="G775" i="5"/>
  <c r="AC774" i="5"/>
  <c r="N774" i="5"/>
  <c r="J774" i="5"/>
  <c r="G774" i="5"/>
  <c r="AC773" i="5"/>
  <c r="N773" i="5"/>
  <c r="J773" i="5"/>
  <c r="G773" i="5"/>
  <c r="AC772" i="5"/>
  <c r="N772" i="5"/>
  <c r="J772" i="5"/>
  <c r="G772" i="5"/>
  <c r="AC771" i="5"/>
  <c r="N771" i="5"/>
  <c r="J771" i="5"/>
  <c r="G771" i="5"/>
  <c r="AC770" i="5"/>
  <c r="N770" i="5"/>
  <c r="J770" i="5"/>
  <c r="G770" i="5"/>
  <c r="AC769" i="5"/>
  <c r="N769" i="5"/>
  <c r="J769" i="5"/>
  <c r="G769" i="5"/>
  <c r="AC768" i="5"/>
  <c r="N768" i="5"/>
  <c r="J768" i="5"/>
  <c r="G768" i="5"/>
  <c r="AC767" i="5"/>
  <c r="N767" i="5"/>
  <c r="J767" i="5"/>
  <c r="G767" i="5"/>
  <c r="AC766" i="5"/>
  <c r="N766" i="5"/>
  <c r="J766" i="5"/>
  <c r="G766" i="5"/>
  <c r="AC765" i="5"/>
  <c r="N765" i="5"/>
  <c r="J765" i="5"/>
  <c r="G765" i="5"/>
  <c r="AC764" i="5"/>
  <c r="N764" i="5"/>
  <c r="J764" i="5"/>
  <c r="G764" i="5"/>
  <c r="AC763" i="5"/>
  <c r="N763" i="5"/>
  <c r="J763" i="5"/>
  <c r="G763" i="5"/>
  <c r="AC762" i="5"/>
  <c r="N762" i="5"/>
  <c r="J762" i="5"/>
  <c r="G762" i="5"/>
  <c r="AQ761" i="5"/>
  <c r="AC761" i="5"/>
  <c r="N761" i="5"/>
  <c r="J761" i="5"/>
  <c r="G761" i="5"/>
  <c r="AQ760" i="5"/>
  <c r="AC760" i="5"/>
  <c r="N760" i="5"/>
  <c r="J760" i="5"/>
  <c r="G760" i="5"/>
  <c r="AC759" i="5"/>
  <c r="N759" i="5"/>
  <c r="J759" i="5"/>
  <c r="G759" i="5"/>
  <c r="AC758" i="5"/>
  <c r="N758" i="5"/>
  <c r="J758" i="5"/>
  <c r="G758" i="5"/>
  <c r="AC757" i="5"/>
  <c r="N757" i="5"/>
  <c r="J757" i="5"/>
  <c r="G757" i="5"/>
  <c r="AC756" i="5"/>
  <c r="N756" i="5"/>
  <c r="J756" i="5"/>
  <c r="G756" i="5"/>
  <c r="AC755" i="5"/>
  <c r="N755" i="5"/>
  <c r="J755" i="5"/>
  <c r="G755" i="5"/>
  <c r="AC754" i="5"/>
  <c r="N754" i="5"/>
  <c r="J754" i="5"/>
  <c r="G754" i="5"/>
  <c r="AC753" i="5"/>
  <c r="N753" i="5"/>
  <c r="J753" i="5"/>
  <c r="G753" i="5"/>
  <c r="AC752" i="5"/>
  <c r="N752" i="5"/>
  <c r="J752" i="5"/>
  <c r="G752" i="5"/>
  <c r="AC751" i="5"/>
  <c r="N751" i="5"/>
  <c r="J751" i="5"/>
  <c r="G751" i="5"/>
  <c r="AC750" i="5"/>
  <c r="N750" i="5"/>
  <c r="J750" i="5"/>
  <c r="G750" i="5"/>
  <c r="AC749" i="5"/>
  <c r="N749" i="5"/>
  <c r="J749" i="5"/>
  <c r="G749" i="5"/>
  <c r="AC748" i="5"/>
  <c r="N748" i="5"/>
  <c r="J748" i="5"/>
  <c r="G748" i="5"/>
  <c r="AC747" i="5"/>
  <c r="N747" i="5"/>
  <c r="J747" i="5"/>
  <c r="G747" i="5"/>
  <c r="AC746" i="5"/>
  <c r="N746" i="5"/>
  <c r="J746" i="5"/>
  <c r="G746" i="5"/>
  <c r="AC745" i="5"/>
  <c r="N745" i="5"/>
  <c r="J745" i="5"/>
  <c r="G745" i="5"/>
  <c r="AC744" i="5"/>
  <c r="N744" i="5"/>
  <c r="J744" i="5"/>
  <c r="G744" i="5"/>
  <c r="AC743" i="5"/>
  <c r="N743" i="5"/>
  <c r="J743" i="5"/>
  <c r="G743" i="5"/>
  <c r="AC742" i="5"/>
  <c r="N742" i="5"/>
  <c r="J742" i="5"/>
  <c r="G742" i="5"/>
  <c r="AC741" i="5"/>
  <c r="N741" i="5"/>
  <c r="J741" i="5"/>
  <c r="G741" i="5"/>
  <c r="AC740" i="5"/>
  <c r="N740" i="5"/>
  <c r="J740" i="5"/>
  <c r="G740" i="5"/>
  <c r="AC739" i="5"/>
  <c r="N739" i="5"/>
  <c r="J739" i="5"/>
  <c r="G739" i="5"/>
  <c r="AC738" i="5"/>
  <c r="N738" i="5"/>
  <c r="J738" i="5"/>
  <c r="G738" i="5"/>
  <c r="AC737" i="5"/>
  <c r="N737" i="5"/>
  <c r="J737" i="5"/>
  <c r="G737" i="5"/>
  <c r="AC736" i="5"/>
  <c r="N736" i="5"/>
  <c r="J736" i="5"/>
  <c r="G736" i="5"/>
  <c r="AC735" i="5"/>
  <c r="N735" i="5"/>
  <c r="J735" i="5"/>
  <c r="G735" i="5"/>
  <c r="AC734" i="5"/>
  <c r="N734" i="5"/>
  <c r="J734" i="5"/>
  <c r="G734" i="5"/>
  <c r="AC733" i="5"/>
  <c r="N733" i="5"/>
  <c r="J733" i="5"/>
  <c r="G733" i="5"/>
  <c r="AC732" i="5"/>
  <c r="N732" i="5"/>
  <c r="J732" i="5"/>
  <c r="G732" i="5"/>
  <c r="AC731" i="5"/>
  <c r="N731" i="5"/>
  <c r="J731" i="5"/>
  <c r="G731" i="5"/>
  <c r="AC730" i="5"/>
  <c r="N730" i="5"/>
  <c r="J730" i="5"/>
  <c r="G730" i="5"/>
  <c r="AC729" i="5"/>
  <c r="N729" i="5"/>
  <c r="J729" i="5"/>
  <c r="G729" i="5"/>
  <c r="AC728" i="5"/>
  <c r="N728" i="5"/>
  <c r="J728" i="5"/>
  <c r="G728" i="5"/>
  <c r="AC727" i="5"/>
  <c r="N727" i="5"/>
  <c r="J727" i="5"/>
  <c r="G727" i="5"/>
  <c r="AC726" i="5"/>
  <c r="N726" i="5"/>
  <c r="J726" i="5"/>
  <c r="G726" i="5"/>
  <c r="AC725" i="5"/>
  <c r="N725" i="5"/>
  <c r="J725" i="5"/>
  <c r="G725" i="5"/>
  <c r="AC724" i="5"/>
  <c r="N724" i="5"/>
  <c r="J724" i="5"/>
  <c r="G724" i="5"/>
  <c r="AC723" i="5"/>
  <c r="N723" i="5"/>
  <c r="J723" i="5"/>
  <c r="G723" i="5"/>
  <c r="AC722" i="5"/>
  <c r="N722" i="5"/>
  <c r="J722" i="5"/>
  <c r="G722" i="5"/>
  <c r="AC721" i="5"/>
  <c r="N721" i="5"/>
  <c r="J721" i="5"/>
  <c r="G721" i="5"/>
  <c r="AC720" i="5"/>
  <c r="N720" i="5"/>
  <c r="J720" i="5"/>
  <c r="G720" i="5"/>
  <c r="AC719" i="5"/>
  <c r="N719" i="5"/>
  <c r="J719" i="5"/>
  <c r="G719" i="5"/>
  <c r="AC718" i="5"/>
  <c r="N718" i="5"/>
  <c r="J718" i="5"/>
  <c r="G718" i="5"/>
  <c r="AC717" i="5"/>
  <c r="N717" i="5"/>
  <c r="J717" i="5"/>
  <c r="G717" i="5"/>
  <c r="AC716" i="5"/>
  <c r="N716" i="5"/>
  <c r="J716" i="5"/>
  <c r="G716" i="5"/>
  <c r="AC715" i="5"/>
  <c r="N715" i="5"/>
  <c r="J715" i="5"/>
  <c r="G715" i="5"/>
  <c r="AC714" i="5"/>
  <c r="N714" i="5"/>
  <c r="J714" i="5"/>
  <c r="G714" i="5"/>
  <c r="AC713" i="5"/>
  <c r="N713" i="5"/>
  <c r="J713" i="5"/>
  <c r="G713" i="5"/>
  <c r="AC712" i="5"/>
  <c r="N712" i="5"/>
  <c r="J712" i="5"/>
  <c r="G712" i="5"/>
  <c r="AC711" i="5"/>
  <c r="N711" i="5"/>
  <c r="J711" i="5"/>
  <c r="G711" i="5"/>
  <c r="AC710" i="5"/>
  <c r="N710" i="5"/>
  <c r="J710" i="5"/>
  <c r="G710" i="5"/>
  <c r="AC709" i="5"/>
  <c r="N709" i="5"/>
  <c r="J709" i="5"/>
  <c r="G709" i="5"/>
  <c r="AC708" i="5"/>
  <c r="N708" i="5"/>
  <c r="J708" i="5"/>
  <c r="G708" i="5"/>
  <c r="AC707" i="5"/>
  <c r="N707" i="5"/>
  <c r="J707" i="5"/>
  <c r="G707" i="5"/>
  <c r="AC706" i="5"/>
  <c r="N706" i="5"/>
  <c r="J706" i="5"/>
  <c r="G706" i="5"/>
  <c r="AC705" i="5"/>
  <c r="N705" i="5"/>
  <c r="J705" i="5"/>
  <c r="G705" i="5"/>
  <c r="AC704" i="5"/>
  <c r="N704" i="5"/>
  <c r="J704" i="5"/>
  <c r="G704" i="5"/>
  <c r="AC703" i="5"/>
  <c r="N703" i="5"/>
  <c r="J703" i="5"/>
  <c r="G703" i="5"/>
  <c r="AC702" i="5"/>
  <c r="N702" i="5"/>
  <c r="J702" i="5"/>
  <c r="G702" i="5"/>
  <c r="AC701" i="5"/>
  <c r="N701" i="5"/>
  <c r="J701" i="5"/>
  <c r="G701" i="5"/>
  <c r="AC700" i="5"/>
  <c r="N700" i="5"/>
  <c r="J700" i="5"/>
  <c r="G700" i="5"/>
  <c r="AC699" i="5"/>
  <c r="N699" i="5"/>
  <c r="J699" i="5"/>
  <c r="G699" i="5"/>
  <c r="AC698" i="5"/>
  <c r="N698" i="5"/>
  <c r="J698" i="5"/>
  <c r="G698" i="5"/>
  <c r="AC697" i="5"/>
  <c r="N697" i="5"/>
  <c r="J697" i="5"/>
  <c r="G697" i="5"/>
  <c r="AC696" i="5"/>
  <c r="N696" i="5"/>
  <c r="J696" i="5"/>
  <c r="G696" i="5"/>
  <c r="AC695" i="5"/>
  <c r="N695" i="5"/>
  <c r="J695" i="5"/>
  <c r="G695" i="5"/>
  <c r="AC694" i="5"/>
  <c r="N694" i="5"/>
  <c r="J694" i="5"/>
  <c r="G694" i="5"/>
  <c r="AC693" i="5"/>
  <c r="N693" i="5"/>
  <c r="J693" i="5"/>
  <c r="G693" i="5"/>
  <c r="AC692" i="5"/>
  <c r="N692" i="5"/>
  <c r="J692" i="5"/>
  <c r="G692" i="5"/>
  <c r="AC691" i="5"/>
  <c r="N691" i="5"/>
  <c r="J691" i="5"/>
  <c r="G691" i="5"/>
  <c r="AC690" i="5"/>
  <c r="N690" i="5"/>
  <c r="J690" i="5"/>
  <c r="G690" i="5"/>
  <c r="AC689" i="5"/>
  <c r="N689" i="5"/>
  <c r="J689" i="5"/>
  <c r="G689" i="5"/>
  <c r="AC688" i="5"/>
  <c r="N688" i="5"/>
  <c r="J688" i="5"/>
  <c r="G688" i="5"/>
  <c r="AC687" i="5"/>
  <c r="N687" i="5"/>
  <c r="J687" i="5"/>
  <c r="G687" i="5"/>
  <c r="AC686" i="5"/>
  <c r="N686" i="5"/>
  <c r="J686" i="5"/>
  <c r="G686" i="5"/>
  <c r="AC685" i="5"/>
  <c r="N685" i="5"/>
  <c r="J685" i="5"/>
  <c r="G685" i="5"/>
  <c r="AC684" i="5"/>
  <c r="N684" i="5"/>
  <c r="J684" i="5"/>
  <c r="G684" i="5"/>
  <c r="AC683" i="5"/>
  <c r="N683" i="5"/>
  <c r="J683" i="5"/>
  <c r="G683" i="5"/>
  <c r="AC682" i="5"/>
  <c r="N682" i="5"/>
  <c r="J682" i="5"/>
  <c r="G682" i="5"/>
  <c r="AC681" i="5"/>
  <c r="N681" i="5"/>
  <c r="J681" i="5"/>
  <c r="G681" i="5"/>
  <c r="AC680" i="5"/>
  <c r="N680" i="5"/>
  <c r="J680" i="5"/>
  <c r="G680" i="5"/>
  <c r="AC679" i="5"/>
  <c r="N679" i="5"/>
  <c r="J679" i="5"/>
  <c r="G679" i="5"/>
  <c r="AC678" i="5"/>
  <c r="N678" i="5"/>
  <c r="J678" i="5"/>
  <c r="G678" i="5"/>
  <c r="AC677" i="5"/>
  <c r="N677" i="5"/>
  <c r="J677" i="5"/>
  <c r="G677" i="5"/>
  <c r="AC676" i="5"/>
  <c r="N676" i="5"/>
  <c r="J676" i="5"/>
  <c r="G676" i="5"/>
  <c r="AC675" i="5"/>
  <c r="N675" i="5"/>
  <c r="J675" i="5"/>
  <c r="G675" i="5"/>
  <c r="AC674" i="5"/>
  <c r="N674" i="5"/>
  <c r="J674" i="5"/>
  <c r="G674" i="5"/>
  <c r="AC673" i="5"/>
  <c r="N673" i="5"/>
  <c r="J673" i="5"/>
  <c r="G673" i="5"/>
  <c r="AC672" i="5"/>
  <c r="N672" i="5"/>
  <c r="J672" i="5"/>
  <c r="G672" i="5"/>
  <c r="AC671" i="5"/>
  <c r="N671" i="5"/>
  <c r="J671" i="5"/>
  <c r="G671" i="5"/>
  <c r="AC670" i="5"/>
  <c r="N670" i="5"/>
  <c r="J670" i="5"/>
  <c r="G670" i="5"/>
  <c r="AC669" i="5"/>
  <c r="N669" i="5"/>
  <c r="J669" i="5"/>
  <c r="G669" i="5"/>
  <c r="AC668" i="5"/>
  <c r="N668" i="5"/>
  <c r="J668" i="5"/>
  <c r="G668" i="5"/>
  <c r="AC667" i="5"/>
  <c r="N667" i="5"/>
  <c r="J667" i="5"/>
  <c r="G667" i="5"/>
  <c r="AC666" i="5"/>
  <c r="N666" i="5"/>
  <c r="J666" i="5"/>
  <c r="G666" i="5"/>
  <c r="AC665" i="5"/>
  <c r="N665" i="5"/>
  <c r="J665" i="5"/>
  <c r="G665" i="5"/>
  <c r="AC664" i="5"/>
  <c r="N664" i="5"/>
  <c r="J664" i="5"/>
  <c r="G664" i="5"/>
  <c r="AC663" i="5"/>
  <c r="N663" i="5"/>
  <c r="J663" i="5"/>
  <c r="G663" i="5"/>
  <c r="AC662" i="5"/>
  <c r="N662" i="5"/>
  <c r="J662" i="5"/>
  <c r="G662" i="5"/>
  <c r="AC661" i="5"/>
  <c r="N661" i="5"/>
  <c r="J661" i="5"/>
  <c r="G661" i="5"/>
  <c r="AC660" i="5"/>
  <c r="N660" i="5"/>
  <c r="J660" i="5"/>
  <c r="G660" i="5"/>
  <c r="AC659" i="5"/>
  <c r="N659" i="5"/>
  <c r="J659" i="5"/>
  <c r="G659" i="5"/>
  <c r="AC658" i="5"/>
  <c r="N658" i="5"/>
  <c r="J658" i="5"/>
  <c r="G658" i="5"/>
  <c r="AC657" i="5"/>
  <c r="N657" i="5"/>
  <c r="J657" i="5"/>
  <c r="G657" i="5"/>
  <c r="AC656" i="5"/>
  <c r="N656" i="5"/>
  <c r="J656" i="5"/>
  <c r="G656" i="5"/>
  <c r="AC655" i="5"/>
  <c r="N655" i="5"/>
  <c r="J655" i="5"/>
  <c r="G655" i="5"/>
  <c r="AC654" i="5"/>
  <c r="N654" i="5"/>
  <c r="J654" i="5"/>
  <c r="G654" i="5"/>
  <c r="AC653" i="5"/>
  <c r="N653" i="5"/>
  <c r="J653" i="5"/>
  <c r="G653" i="5"/>
  <c r="AC652" i="5"/>
  <c r="N652" i="5"/>
  <c r="J652" i="5"/>
  <c r="G652" i="5"/>
  <c r="AC651" i="5"/>
  <c r="N651" i="5"/>
  <c r="J651" i="5"/>
  <c r="G651" i="5"/>
  <c r="AC650" i="5"/>
  <c r="N650" i="5"/>
  <c r="J650" i="5"/>
  <c r="G650" i="5"/>
  <c r="AC649" i="5"/>
  <c r="N649" i="5"/>
  <c r="J649" i="5"/>
  <c r="G649" i="5"/>
  <c r="AC648" i="5"/>
  <c r="N648" i="5"/>
  <c r="J648" i="5"/>
  <c r="G648" i="5"/>
  <c r="AC647" i="5"/>
  <c r="N647" i="5"/>
  <c r="J647" i="5"/>
  <c r="G647" i="5"/>
  <c r="AC646" i="5"/>
  <c r="N646" i="5"/>
  <c r="J646" i="5"/>
  <c r="G646" i="5"/>
  <c r="AC645" i="5"/>
  <c r="N645" i="5"/>
  <c r="J645" i="5"/>
  <c r="G645" i="5"/>
  <c r="AC644" i="5"/>
  <c r="N644" i="5"/>
  <c r="J644" i="5"/>
  <c r="G644" i="5"/>
  <c r="AC643" i="5"/>
  <c r="N643" i="5"/>
  <c r="J643" i="5"/>
  <c r="G643" i="5"/>
  <c r="AC642" i="5"/>
  <c r="N642" i="5"/>
  <c r="J642" i="5"/>
  <c r="G642" i="5"/>
  <c r="AC641" i="5"/>
  <c r="N641" i="5"/>
  <c r="J641" i="5"/>
  <c r="G641" i="5"/>
  <c r="AC640" i="5"/>
  <c r="N640" i="5"/>
  <c r="J640" i="5"/>
  <c r="G640" i="5"/>
  <c r="AQ639" i="5"/>
  <c r="AC639" i="5"/>
  <c r="N639" i="5"/>
  <c r="J639" i="5"/>
  <c r="G639" i="5"/>
  <c r="AC638" i="5"/>
  <c r="N638" i="5"/>
  <c r="J638" i="5"/>
  <c r="G638" i="5"/>
  <c r="AC637" i="5"/>
  <c r="N637" i="5"/>
  <c r="J637" i="5"/>
  <c r="G637" i="5"/>
  <c r="AC636" i="5"/>
  <c r="N636" i="5"/>
  <c r="J636" i="5"/>
  <c r="G636" i="5"/>
  <c r="AC635" i="5"/>
  <c r="N635" i="5"/>
  <c r="J635" i="5"/>
  <c r="G635" i="5"/>
  <c r="AC634" i="5"/>
  <c r="N634" i="5"/>
  <c r="J634" i="5"/>
  <c r="G634" i="5"/>
  <c r="AC633" i="5"/>
  <c r="N633" i="5"/>
  <c r="J633" i="5"/>
  <c r="G633" i="5"/>
  <c r="AQ632" i="5"/>
  <c r="AC632" i="5"/>
  <c r="N632" i="5"/>
  <c r="J632" i="5"/>
  <c r="G632" i="5"/>
  <c r="AC631" i="5"/>
  <c r="N631" i="5"/>
  <c r="J631" i="5"/>
  <c r="G631" i="5"/>
  <c r="AC630" i="5"/>
  <c r="N630" i="5"/>
  <c r="J630" i="5"/>
  <c r="G630" i="5"/>
  <c r="AC629" i="5"/>
  <c r="N629" i="5"/>
  <c r="J629" i="5"/>
  <c r="G629" i="5"/>
  <c r="AC628" i="5"/>
  <c r="N628" i="5"/>
  <c r="J628" i="5"/>
  <c r="G628" i="5"/>
  <c r="AC627" i="5"/>
  <c r="N627" i="5"/>
  <c r="J627" i="5"/>
  <c r="G627" i="5"/>
  <c r="AC626" i="5"/>
  <c r="N626" i="5"/>
  <c r="J626" i="5"/>
  <c r="G626" i="5"/>
  <c r="AC625" i="5"/>
  <c r="N625" i="5"/>
  <c r="J625" i="5"/>
  <c r="G625" i="5"/>
  <c r="AC624" i="5"/>
  <c r="N624" i="5"/>
  <c r="J624" i="5"/>
  <c r="G624" i="5"/>
  <c r="AC623" i="5"/>
  <c r="N623" i="5"/>
  <c r="J623" i="5"/>
  <c r="G623" i="5"/>
  <c r="AC622" i="5"/>
  <c r="N622" i="5"/>
  <c r="J622" i="5"/>
  <c r="G622" i="5"/>
  <c r="AC621" i="5"/>
  <c r="N621" i="5"/>
  <c r="J621" i="5"/>
  <c r="G621" i="5"/>
  <c r="AC620" i="5"/>
  <c r="N620" i="5"/>
  <c r="J620" i="5"/>
  <c r="G620" i="5"/>
  <c r="AC619" i="5"/>
  <c r="N619" i="5"/>
  <c r="J619" i="5"/>
  <c r="G619" i="5"/>
  <c r="AC618" i="5"/>
  <c r="N618" i="5"/>
  <c r="J618" i="5"/>
  <c r="G618" i="5"/>
  <c r="AC617" i="5"/>
  <c r="N617" i="5"/>
  <c r="J617" i="5"/>
  <c r="G617" i="5"/>
  <c r="AC616" i="5"/>
  <c r="N616" i="5"/>
  <c r="J616" i="5"/>
  <c r="G616" i="5"/>
  <c r="AC615" i="5"/>
  <c r="N615" i="5"/>
  <c r="J615" i="5"/>
  <c r="G615" i="5"/>
  <c r="AC614" i="5"/>
  <c r="N614" i="5"/>
  <c r="J614" i="5"/>
  <c r="G614" i="5"/>
  <c r="AC613" i="5"/>
  <c r="N613" i="5"/>
  <c r="J613" i="5"/>
  <c r="G613" i="5"/>
  <c r="AQ612" i="5"/>
  <c r="AC612" i="5"/>
  <c r="N612" i="5"/>
  <c r="J612" i="5"/>
  <c r="G612" i="5"/>
  <c r="AC611" i="5"/>
  <c r="N611" i="5"/>
  <c r="J611" i="5"/>
  <c r="G611" i="5"/>
  <c r="AQ610" i="5"/>
  <c r="AC610" i="5"/>
  <c r="N610" i="5"/>
  <c r="J610" i="5"/>
  <c r="G610" i="5"/>
  <c r="AC609" i="5"/>
  <c r="N609" i="5"/>
  <c r="J609" i="5"/>
  <c r="G609" i="5"/>
  <c r="AQ608" i="5"/>
  <c r="AC608" i="5"/>
  <c r="N608" i="5"/>
  <c r="J608" i="5"/>
  <c r="G608" i="5"/>
  <c r="AQ607" i="5"/>
  <c r="AC607" i="5"/>
  <c r="N607" i="5"/>
  <c r="J607" i="5"/>
  <c r="G607" i="5"/>
  <c r="AQ606" i="5"/>
  <c r="AC606" i="5"/>
  <c r="N606" i="5"/>
  <c r="J606" i="5"/>
  <c r="G606" i="5"/>
  <c r="AC605" i="5"/>
  <c r="N605" i="5"/>
  <c r="J605" i="5"/>
  <c r="G605" i="5"/>
  <c r="AC604" i="5"/>
  <c r="N604" i="5"/>
  <c r="J604" i="5"/>
  <c r="G604" i="5"/>
  <c r="AC603" i="5"/>
  <c r="N603" i="5"/>
  <c r="J603" i="5"/>
  <c r="G603" i="5"/>
  <c r="AC602" i="5"/>
  <c r="N602" i="5"/>
  <c r="J602" i="5"/>
  <c r="G602" i="5"/>
  <c r="AQ601" i="5"/>
  <c r="AC601" i="5"/>
  <c r="N601" i="5"/>
  <c r="J601" i="5"/>
  <c r="G601" i="5"/>
  <c r="AC600" i="5"/>
  <c r="N600" i="5"/>
  <c r="J600" i="5"/>
  <c r="G600" i="5"/>
  <c r="AC599" i="5"/>
  <c r="N599" i="5"/>
  <c r="J599" i="5"/>
  <c r="G599" i="5"/>
  <c r="AC598" i="5"/>
  <c r="N598" i="5"/>
  <c r="J598" i="5"/>
  <c r="G598" i="5"/>
  <c r="AC597" i="5"/>
  <c r="N597" i="5"/>
  <c r="J597" i="5"/>
  <c r="G597" i="5"/>
  <c r="AC596" i="5"/>
  <c r="N596" i="5"/>
  <c r="J596" i="5"/>
  <c r="G596" i="5"/>
  <c r="AC595" i="5"/>
  <c r="N595" i="5"/>
  <c r="J595" i="5"/>
  <c r="G595" i="5"/>
  <c r="AC594" i="5"/>
  <c r="N594" i="5"/>
  <c r="J594" i="5"/>
  <c r="G594" i="5"/>
  <c r="AQ593" i="5"/>
  <c r="AC593" i="5"/>
  <c r="N593" i="5"/>
  <c r="J593" i="5"/>
  <c r="G593" i="5"/>
  <c r="AC592" i="5"/>
  <c r="N592" i="5"/>
  <c r="J592" i="5"/>
  <c r="G592" i="5"/>
  <c r="AC591" i="5"/>
  <c r="N591" i="5"/>
  <c r="J591" i="5"/>
  <c r="G591" i="5"/>
  <c r="AC590" i="5"/>
  <c r="N590" i="5"/>
  <c r="J590" i="5"/>
  <c r="G590" i="5"/>
  <c r="AC589" i="5"/>
  <c r="N589" i="5"/>
  <c r="J589" i="5"/>
  <c r="G589" i="5"/>
  <c r="AC588" i="5"/>
  <c r="N588" i="5"/>
  <c r="J588" i="5"/>
  <c r="G588" i="5"/>
  <c r="AC587" i="5"/>
  <c r="N587" i="5"/>
  <c r="J587" i="5"/>
  <c r="G587" i="5"/>
  <c r="AC586" i="5"/>
  <c r="N586" i="5"/>
  <c r="J586" i="5"/>
  <c r="G586" i="5"/>
  <c r="AC585" i="5"/>
  <c r="N585" i="5"/>
  <c r="J585" i="5"/>
  <c r="G585" i="5"/>
  <c r="AC584" i="5"/>
  <c r="N584" i="5"/>
  <c r="J584" i="5"/>
  <c r="G584" i="5"/>
  <c r="AC583" i="5"/>
  <c r="N583" i="5"/>
  <c r="J583" i="5"/>
  <c r="G583" i="5"/>
  <c r="AC582" i="5"/>
  <c r="N582" i="5"/>
  <c r="J582" i="5"/>
  <c r="G582" i="5"/>
  <c r="AC581" i="5"/>
  <c r="N581" i="5"/>
  <c r="J581" i="5"/>
  <c r="G581" i="5"/>
  <c r="AC580" i="5"/>
  <c r="N580" i="5"/>
  <c r="J580" i="5"/>
  <c r="G580" i="5"/>
  <c r="AC579" i="5"/>
  <c r="N579" i="5"/>
  <c r="J579" i="5"/>
  <c r="G579" i="5"/>
  <c r="AC578" i="5"/>
  <c r="N578" i="5"/>
  <c r="J578" i="5"/>
  <c r="G578" i="5"/>
  <c r="AC577" i="5"/>
  <c r="N577" i="5"/>
  <c r="J577" i="5"/>
  <c r="G577" i="5"/>
  <c r="AC576" i="5"/>
  <c r="N576" i="5"/>
  <c r="J576" i="5"/>
  <c r="G576" i="5"/>
  <c r="AC575" i="5"/>
  <c r="N575" i="5"/>
  <c r="J575" i="5"/>
  <c r="G575" i="5"/>
  <c r="AC574" i="5"/>
  <c r="N574" i="5"/>
  <c r="J574" i="5"/>
  <c r="G574" i="5"/>
  <c r="AC573" i="5"/>
  <c r="N573" i="5"/>
  <c r="J573" i="5"/>
  <c r="G573" i="5"/>
  <c r="AC572" i="5"/>
  <c r="N572" i="5"/>
  <c r="J572" i="5"/>
  <c r="G572" i="5"/>
  <c r="AC571" i="5"/>
  <c r="N571" i="5"/>
  <c r="J571" i="5"/>
  <c r="G571" i="5"/>
  <c r="AC570" i="5"/>
  <c r="N570" i="5"/>
  <c r="J570" i="5"/>
  <c r="G570" i="5"/>
  <c r="AC569" i="5"/>
  <c r="N569" i="5"/>
  <c r="J569" i="5"/>
  <c r="G569" i="5"/>
  <c r="AC568" i="5"/>
  <c r="N568" i="5"/>
  <c r="J568" i="5"/>
  <c r="G568" i="5"/>
  <c r="AC567" i="5"/>
  <c r="N567" i="5"/>
  <c r="J567" i="5"/>
  <c r="G567" i="5"/>
  <c r="AC566" i="5"/>
  <c r="N566" i="5"/>
  <c r="J566" i="5"/>
  <c r="G566" i="5"/>
  <c r="AC565" i="5"/>
  <c r="N565" i="5"/>
  <c r="J565" i="5"/>
  <c r="G565" i="5"/>
  <c r="AC564" i="5"/>
  <c r="N564" i="5"/>
  <c r="J564" i="5"/>
  <c r="G564" i="5"/>
  <c r="AC563" i="5"/>
  <c r="N563" i="5"/>
  <c r="J563" i="5"/>
  <c r="G563" i="5"/>
  <c r="AC562" i="5"/>
  <c r="N562" i="5"/>
  <c r="J562" i="5"/>
  <c r="G562" i="5"/>
  <c r="AC561" i="5"/>
  <c r="N561" i="5"/>
  <c r="J561" i="5"/>
  <c r="G561" i="5"/>
  <c r="AC560" i="5"/>
  <c r="N560" i="5"/>
  <c r="J560" i="5"/>
  <c r="G560" i="5"/>
  <c r="AC559" i="5"/>
  <c r="N559" i="5"/>
  <c r="J559" i="5"/>
  <c r="G559" i="5"/>
  <c r="AC558" i="5"/>
  <c r="N558" i="5"/>
  <c r="J558" i="5"/>
  <c r="G558" i="5"/>
  <c r="AC557" i="5"/>
  <c r="N557" i="5"/>
  <c r="J557" i="5"/>
  <c r="G557" i="5"/>
  <c r="AC556" i="5"/>
  <c r="N556" i="5"/>
  <c r="J556" i="5"/>
  <c r="G556" i="5"/>
  <c r="AQ555" i="5"/>
  <c r="AC555" i="5"/>
  <c r="N555" i="5"/>
  <c r="J555" i="5"/>
  <c r="G555" i="5"/>
  <c r="AC554" i="5"/>
  <c r="N554" i="5"/>
  <c r="J554" i="5"/>
  <c r="G554" i="5"/>
  <c r="AC553" i="5"/>
  <c r="N553" i="5"/>
  <c r="J553" i="5"/>
  <c r="G553" i="5"/>
  <c r="AC552" i="5"/>
  <c r="N552" i="5"/>
  <c r="J552" i="5"/>
  <c r="G552" i="5"/>
  <c r="AC551" i="5"/>
  <c r="N551" i="5"/>
  <c r="J551" i="5"/>
  <c r="G551" i="5"/>
  <c r="AC550" i="5"/>
  <c r="N550" i="5"/>
  <c r="J550" i="5"/>
  <c r="G550" i="5"/>
  <c r="AC549" i="5"/>
  <c r="N549" i="5"/>
  <c r="J549" i="5"/>
  <c r="G549" i="5"/>
  <c r="AC548" i="5"/>
  <c r="N548" i="5"/>
  <c r="J548" i="5"/>
  <c r="G548" i="5"/>
  <c r="AC547" i="5"/>
  <c r="N547" i="5"/>
  <c r="J547" i="5"/>
  <c r="G547" i="5"/>
  <c r="AC546" i="5"/>
  <c r="N546" i="5"/>
  <c r="J546" i="5"/>
  <c r="G546" i="5"/>
  <c r="AC545" i="5"/>
  <c r="N545" i="5"/>
  <c r="J545" i="5"/>
  <c r="G545" i="5"/>
  <c r="AC544" i="5"/>
  <c r="N544" i="5"/>
  <c r="J544" i="5"/>
  <c r="G544" i="5"/>
  <c r="AC543" i="5"/>
  <c r="N543" i="5"/>
  <c r="J543" i="5"/>
  <c r="G543" i="5"/>
  <c r="AC542" i="5"/>
  <c r="N542" i="5"/>
  <c r="J542" i="5"/>
  <c r="G542" i="5"/>
  <c r="AC541" i="5"/>
  <c r="N541" i="5"/>
  <c r="J541" i="5"/>
  <c r="G541" i="5"/>
  <c r="AC540" i="5"/>
  <c r="N540" i="5"/>
  <c r="J540" i="5"/>
  <c r="G540" i="5"/>
  <c r="AC539" i="5"/>
  <c r="N539" i="5"/>
  <c r="J539" i="5"/>
  <c r="G539" i="5"/>
  <c r="AC538" i="5"/>
  <c r="N538" i="5"/>
  <c r="J538" i="5"/>
  <c r="G538" i="5"/>
  <c r="AC537" i="5"/>
  <c r="N537" i="5"/>
  <c r="J537" i="5"/>
  <c r="G537" i="5"/>
  <c r="AC536" i="5"/>
  <c r="N536" i="5"/>
  <c r="J536" i="5"/>
  <c r="G536" i="5"/>
  <c r="AC535" i="5"/>
  <c r="N535" i="5"/>
  <c r="J535" i="5"/>
  <c r="G535" i="5"/>
  <c r="AC534" i="5"/>
  <c r="N534" i="5"/>
  <c r="J534" i="5"/>
  <c r="G534" i="5"/>
  <c r="AC533" i="5"/>
  <c r="N533" i="5"/>
  <c r="J533" i="5"/>
  <c r="G533" i="5"/>
  <c r="AC532" i="5"/>
  <c r="N532" i="5"/>
  <c r="J532" i="5"/>
  <c r="G532" i="5"/>
  <c r="AC531" i="5"/>
  <c r="N531" i="5"/>
  <c r="J531" i="5"/>
  <c r="G531" i="5"/>
  <c r="AC530" i="5"/>
  <c r="N530" i="5"/>
  <c r="J530" i="5"/>
  <c r="G530" i="5"/>
  <c r="AC529" i="5"/>
  <c r="N529" i="5"/>
  <c r="J529" i="5"/>
  <c r="G529" i="5"/>
  <c r="AC528" i="5"/>
  <c r="N528" i="5"/>
  <c r="J528" i="5"/>
  <c r="G528" i="5"/>
  <c r="AC527" i="5"/>
  <c r="N527" i="5"/>
  <c r="J527" i="5"/>
  <c r="G527" i="5"/>
  <c r="AC526" i="5"/>
  <c r="N526" i="5"/>
  <c r="J526" i="5"/>
  <c r="G526" i="5"/>
  <c r="AC525" i="5"/>
  <c r="N525" i="5"/>
  <c r="J525" i="5"/>
  <c r="G525" i="5"/>
  <c r="AC524" i="5"/>
  <c r="N524" i="5"/>
  <c r="J524" i="5"/>
  <c r="G524" i="5"/>
  <c r="AC523" i="5"/>
  <c r="N523" i="5"/>
  <c r="J523" i="5"/>
  <c r="G523" i="5"/>
  <c r="AC522" i="5"/>
  <c r="N522" i="5"/>
  <c r="J522" i="5"/>
  <c r="G522" i="5"/>
  <c r="AC521" i="5"/>
  <c r="N521" i="5"/>
  <c r="J521" i="5"/>
  <c r="G521" i="5"/>
  <c r="AC520" i="5"/>
  <c r="N520" i="5"/>
  <c r="J520" i="5"/>
  <c r="G520" i="5"/>
  <c r="AC519" i="5"/>
  <c r="N519" i="5"/>
  <c r="J519" i="5"/>
  <c r="G519" i="5"/>
  <c r="AC518" i="5"/>
  <c r="N518" i="5"/>
  <c r="J518" i="5"/>
  <c r="G518" i="5"/>
  <c r="AC517" i="5"/>
  <c r="N517" i="5"/>
  <c r="J517" i="5"/>
  <c r="G517" i="5"/>
  <c r="AC516" i="5"/>
  <c r="N516" i="5"/>
  <c r="J516" i="5"/>
  <c r="G516" i="5"/>
  <c r="AC515" i="5"/>
  <c r="N515" i="5"/>
  <c r="J515" i="5"/>
  <c r="G515" i="5"/>
  <c r="AC514" i="5"/>
  <c r="N514" i="5"/>
  <c r="J514" i="5"/>
  <c r="G514" i="5"/>
  <c r="AC513" i="5"/>
  <c r="N513" i="5"/>
  <c r="J513" i="5"/>
  <c r="G513" i="5"/>
  <c r="AC512" i="5"/>
  <c r="N512" i="5"/>
  <c r="J512" i="5"/>
  <c r="G512" i="5"/>
  <c r="AC511" i="5"/>
  <c r="N511" i="5"/>
  <c r="J511" i="5"/>
  <c r="G511" i="5"/>
  <c r="AC510" i="5"/>
  <c r="N510" i="5"/>
  <c r="J510" i="5"/>
  <c r="G510" i="5"/>
  <c r="AC509" i="5"/>
  <c r="N509" i="5"/>
  <c r="J509" i="5"/>
  <c r="G509" i="5"/>
  <c r="AC508" i="5"/>
  <c r="N508" i="5"/>
  <c r="J508" i="5"/>
  <c r="G508" i="5"/>
  <c r="AC507" i="5"/>
  <c r="N507" i="5"/>
  <c r="J507" i="5"/>
  <c r="G507" i="5"/>
  <c r="AC506" i="5"/>
  <c r="N506" i="5"/>
  <c r="J506" i="5"/>
  <c r="G506" i="5"/>
  <c r="AC505" i="5"/>
  <c r="N505" i="5"/>
  <c r="J505" i="5"/>
  <c r="G505" i="5"/>
  <c r="AC504" i="5"/>
  <c r="N504" i="5"/>
  <c r="J504" i="5"/>
  <c r="G504" i="5"/>
  <c r="AC503" i="5"/>
  <c r="N503" i="5"/>
  <c r="J503" i="5"/>
  <c r="G503" i="5"/>
  <c r="AC502" i="5"/>
  <c r="N502" i="5"/>
  <c r="J502" i="5"/>
  <c r="G502" i="5"/>
  <c r="AC501" i="5"/>
  <c r="N501" i="5"/>
  <c r="J501" i="5"/>
  <c r="G501" i="5"/>
  <c r="AC500" i="5"/>
  <c r="N500" i="5"/>
  <c r="J500" i="5"/>
  <c r="G500" i="5"/>
  <c r="AC499" i="5"/>
  <c r="N499" i="5"/>
  <c r="J499" i="5"/>
  <c r="G499" i="5"/>
  <c r="AC498" i="5"/>
  <c r="N498" i="5"/>
  <c r="J498" i="5"/>
  <c r="G498" i="5"/>
  <c r="AC497" i="5"/>
  <c r="N497" i="5"/>
  <c r="J497" i="5"/>
  <c r="G497" i="5"/>
  <c r="AC496" i="5"/>
  <c r="N496" i="5"/>
  <c r="J496" i="5"/>
  <c r="G496" i="5"/>
  <c r="AC495" i="5"/>
  <c r="N495" i="5"/>
  <c r="J495" i="5"/>
  <c r="G495" i="5"/>
  <c r="AC494" i="5"/>
  <c r="N494" i="5"/>
  <c r="J494" i="5"/>
  <c r="G494" i="5"/>
  <c r="AC493" i="5"/>
  <c r="N493" i="5"/>
  <c r="J493" i="5"/>
  <c r="G493" i="5"/>
  <c r="AC492" i="5"/>
  <c r="N492" i="5"/>
  <c r="J492" i="5"/>
  <c r="G492" i="5"/>
  <c r="AC491" i="5"/>
  <c r="N491" i="5"/>
  <c r="J491" i="5"/>
  <c r="G491" i="5"/>
  <c r="AC490" i="5"/>
  <c r="N490" i="5"/>
  <c r="J490" i="5"/>
  <c r="G490" i="5"/>
  <c r="AC489" i="5"/>
  <c r="N489" i="5"/>
  <c r="J489" i="5"/>
  <c r="G489" i="5"/>
  <c r="AC488" i="5"/>
  <c r="N488" i="5"/>
  <c r="J488" i="5"/>
  <c r="G488" i="5"/>
  <c r="AC487" i="5"/>
  <c r="N487" i="5"/>
  <c r="J487" i="5"/>
  <c r="G487" i="5"/>
  <c r="AC486" i="5"/>
  <c r="N486" i="5"/>
  <c r="J486" i="5"/>
  <c r="G486" i="5"/>
  <c r="AC485" i="5"/>
  <c r="N485" i="5"/>
  <c r="J485" i="5"/>
  <c r="G485" i="5"/>
  <c r="AC484" i="5"/>
  <c r="N484" i="5"/>
  <c r="J484" i="5"/>
  <c r="G484" i="5"/>
  <c r="AC483" i="5"/>
  <c r="N483" i="5"/>
  <c r="J483" i="5"/>
  <c r="G483" i="5"/>
  <c r="AC482" i="5"/>
  <c r="N482" i="5"/>
  <c r="J482" i="5"/>
  <c r="G482" i="5"/>
  <c r="AC481" i="5"/>
  <c r="N481" i="5"/>
  <c r="J481" i="5"/>
  <c r="G481" i="5"/>
  <c r="AC480" i="5"/>
  <c r="N480" i="5"/>
  <c r="J480" i="5"/>
  <c r="G480" i="5"/>
  <c r="AC479" i="5"/>
  <c r="N479" i="5"/>
  <c r="J479" i="5"/>
  <c r="G479" i="5"/>
  <c r="AC478" i="5"/>
  <c r="N478" i="5"/>
  <c r="J478" i="5"/>
  <c r="G478" i="5"/>
  <c r="AC477" i="5"/>
  <c r="N477" i="5"/>
  <c r="J477" i="5"/>
  <c r="G477" i="5"/>
  <c r="AC476" i="5"/>
  <c r="N476" i="5"/>
  <c r="J476" i="5"/>
  <c r="G476" i="5"/>
  <c r="AC475" i="5"/>
  <c r="N475" i="5"/>
  <c r="J475" i="5"/>
  <c r="G475" i="5"/>
  <c r="AC474" i="5"/>
  <c r="N474" i="5"/>
  <c r="J474" i="5"/>
  <c r="G474" i="5"/>
  <c r="AC473" i="5"/>
  <c r="N473" i="5"/>
  <c r="J473" i="5"/>
  <c r="G473" i="5"/>
  <c r="AC472" i="5"/>
  <c r="N472" i="5"/>
  <c r="J472" i="5"/>
  <c r="G472" i="5"/>
  <c r="AC471" i="5"/>
  <c r="N471" i="5"/>
  <c r="J471" i="5"/>
  <c r="G471" i="5"/>
  <c r="AC470" i="5"/>
  <c r="N470" i="5"/>
  <c r="J470" i="5"/>
  <c r="G470" i="5"/>
  <c r="AC469" i="5"/>
  <c r="N469" i="5"/>
  <c r="J469" i="5"/>
  <c r="G469" i="5"/>
  <c r="AC468" i="5"/>
  <c r="N468" i="5"/>
  <c r="J468" i="5"/>
  <c r="G468" i="5"/>
  <c r="AC467" i="5"/>
  <c r="N467" i="5"/>
  <c r="J467" i="5"/>
  <c r="G467" i="5"/>
  <c r="AC466" i="5"/>
  <c r="N466" i="5"/>
  <c r="J466" i="5"/>
  <c r="G466" i="5"/>
  <c r="AC465" i="5"/>
  <c r="N465" i="5"/>
  <c r="J465" i="5"/>
  <c r="G465" i="5"/>
  <c r="AC464" i="5"/>
  <c r="N464" i="5"/>
  <c r="J464" i="5"/>
  <c r="G464" i="5"/>
  <c r="AC463" i="5"/>
  <c r="N463" i="5"/>
  <c r="J463" i="5"/>
  <c r="G463" i="5"/>
  <c r="AC462" i="5"/>
  <c r="N462" i="5"/>
  <c r="J462" i="5"/>
  <c r="G462" i="5"/>
  <c r="AC461" i="5"/>
  <c r="N461" i="5"/>
  <c r="J461" i="5"/>
  <c r="G461" i="5"/>
  <c r="AC460" i="5"/>
  <c r="N460" i="5"/>
  <c r="J460" i="5"/>
  <c r="G460" i="5"/>
  <c r="AC459" i="5"/>
  <c r="N459" i="5"/>
  <c r="J459" i="5"/>
  <c r="G459" i="5"/>
  <c r="AC458" i="5"/>
  <c r="N458" i="5"/>
  <c r="J458" i="5"/>
  <c r="G458" i="5"/>
  <c r="AC457" i="5"/>
  <c r="N457" i="5"/>
  <c r="J457" i="5"/>
  <c r="G457" i="5"/>
  <c r="AC456" i="5"/>
  <c r="N456" i="5"/>
  <c r="J456" i="5"/>
  <c r="G456" i="5"/>
  <c r="AC455" i="5"/>
  <c r="N455" i="5"/>
  <c r="J455" i="5"/>
  <c r="G455" i="5"/>
  <c r="AC454" i="5"/>
  <c r="N454" i="5"/>
  <c r="J454" i="5"/>
  <c r="G454" i="5"/>
  <c r="AC453" i="5"/>
  <c r="N453" i="5"/>
  <c r="J453" i="5"/>
  <c r="G453" i="5"/>
  <c r="AC452" i="5"/>
  <c r="N452" i="5"/>
  <c r="J452" i="5"/>
  <c r="G452" i="5"/>
  <c r="AC451" i="5"/>
  <c r="N451" i="5"/>
  <c r="J451" i="5"/>
  <c r="G451" i="5"/>
  <c r="AC450" i="5"/>
  <c r="N450" i="5"/>
  <c r="J450" i="5"/>
  <c r="G450" i="5"/>
  <c r="AC449" i="5"/>
  <c r="N449" i="5"/>
  <c r="J449" i="5"/>
  <c r="G449" i="5"/>
  <c r="AC448" i="5"/>
  <c r="N448" i="5"/>
  <c r="J448" i="5"/>
  <c r="G448" i="5"/>
  <c r="AC447" i="5"/>
  <c r="N447" i="5"/>
  <c r="J447" i="5"/>
  <c r="G447" i="5"/>
  <c r="AC446" i="5"/>
  <c r="N446" i="5"/>
  <c r="J446" i="5"/>
  <c r="G446" i="5"/>
  <c r="AC445" i="5"/>
  <c r="N445" i="5"/>
  <c r="J445" i="5"/>
  <c r="G445" i="5"/>
  <c r="AC444" i="5"/>
  <c r="N444" i="5"/>
  <c r="J444" i="5"/>
  <c r="G444" i="5"/>
  <c r="AC443" i="5"/>
  <c r="N443" i="5"/>
  <c r="J443" i="5"/>
  <c r="G443" i="5"/>
  <c r="AC442" i="5"/>
  <c r="N442" i="5"/>
  <c r="J442" i="5"/>
  <c r="G442" i="5"/>
  <c r="AC441" i="5"/>
  <c r="N441" i="5"/>
  <c r="J441" i="5"/>
  <c r="G441" i="5"/>
  <c r="AC440" i="5"/>
  <c r="N440" i="5"/>
  <c r="J440" i="5"/>
  <c r="G440" i="5"/>
  <c r="AC439" i="5"/>
  <c r="N439" i="5"/>
  <c r="J439" i="5"/>
  <c r="G439" i="5"/>
  <c r="AC438" i="5"/>
  <c r="N438" i="5"/>
  <c r="J438" i="5"/>
  <c r="G438" i="5"/>
  <c r="AC437" i="5"/>
  <c r="N437" i="5"/>
  <c r="J437" i="5"/>
  <c r="G437" i="5"/>
  <c r="AC436" i="5"/>
  <c r="N436" i="5"/>
  <c r="J436" i="5"/>
  <c r="G436" i="5"/>
  <c r="AC435" i="5"/>
  <c r="N435" i="5"/>
  <c r="J435" i="5"/>
  <c r="G435" i="5"/>
  <c r="AC434" i="5"/>
  <c r="N434" i="5"/>
  <c r="J434" i="5"/>
  <c r="G434" i="5"/>
  <c r="AC433" i="5"/>
  <c r="N433" i="5"/>
  <c r="J433" i="5"/>
  <c r="G433" i="5"/>
  <c r="AC432" i="5"/>
  <c r="N432" i="5"/>
  <c r="J432" i="5"/>
  <c r="G432" i="5"/>
  <c r="AC431" i="5"/>
  <c r="N431" i="5"/>
  <c r="J431" i="5"/>
  <c r="G431" i="5"/>
  <c r="AC430" i="5"/>
  <c r="N430" i="5"/>
  <c r="J430" i="5"/>
  <c r="G430" i="5"/>
  <c r="AC429" i="5"/>
  <c r="N429" i="5"/>
  <c r="J429" i="5"/>
  <c r="G429" i="5"/>
  <c r="AC428" i="5"/>
  <c r="N428" i="5"/>
  <c r="J428" i="5"/>
  <c r="G428" i="5"/>
  <c r="AC427" i="5"/>
  <c r="N427" i="5"/>
  <c r="J427" i="5"/>
  <c r="G427" i="5"/>
  <c r="AC426" i="5"/>
  <c r="N426" i="5"/>
  <c r="J426" i="5"/>
  <c r="G426" i="5"/>
  <c r="AC425" i="5"/>
  <c r="N425" i="5"/>
  <c r="J425" i="5"/>
  <c r="G425" i="5"/>
  <c r="AC424" i="5"/>
  <c r="N424" i="5"/>
  <c r="J424" i="5"/>
  <c r="G424" i="5"/>
  <c r="AC423" i="5"/>
  <c r="N423" i="5"/>
  <c r="J423" i="5"/>
  <c r="G423" i="5"/>
  <c r="AC422" i="5"/>
  <c r="N422" i="5"/>
  <c r="J422" i="5"/>
  <c r="G422" i="5"/>
  <c r="AC421" i="5"/>
  <c r="N421" i="5"/>
  <c r="J421" i="5"/>
  <c r="G421" i="5"/>
  <c r="AC420" i="5"/>
  <c r="N420" i="5"/>
  <c r="J420" i="5"/>
  <c r="G420" i="5"/>
  <c r="AC419" i="5"/>
  <c r="N419" i="5"/>
  <c r="J419" i="5"/>
  <c r="G419" i="5"/>
  <c r="AC418" i="5"/>
  <c r="N418" i="5"/>
  <c r="J418" i="5"/>
  <c r="G418" i="5"/>
  <c r="AC417" i="5"/>
  <c r="N417" i="5"/>
  <c r="J417" i="5"/>
  <c r="G417" i="5"/>
  <c r="AC416" i="5"/>
  <c r="N416" i="5"/>
  <c r="J416" i="5"/>
  <c r="G416" i="5"/>
  <c r="AC415" i="5"/>
  <c r="N415" i="5"/>
  <c r="J415" i="5"/>
  <c r="G415" i="5"/>
  <c r="AC414" i="5"/>
  <c r="N414" i="5"/>
  <c r="J414" i="5"/>
  <c r="G414" i="5"/>
  <c r="AC413" i="5"/>
  <c r="N413" i="5"/>
  <c r="J413" i="5"/>
  <c r="G413" i="5"/>
  <c r="AC412" i="5"/>
  <c r="N412" i="5"/>
  <c r="J412" i="5"/>
  <c r="G412" i="5"/>
  <c r="AC411" i="5"/>
  <c r="N411" i="5"/>
  <c r="J411" i="5"/>
  <c r="G411" i="5"/>
  <c r="AC410" i="5"/>
  <c r="N410" i="5"/>
  <c r="J410" i="5"/>
  <c r="G410" i="5"/>
  <c r="AC409" i="5"/>
  <c r="N409" i="5"/>
  <c r="J409" i="5"/>
  <c r="G409" i="5"/>
  <c r="AC408" i="5"/>
  <c r="N408" i="5"/>
  <c r="J408" i="5"/>
  <c r="G408" i="5"/>
  <c r="AC407" i="5"/>
  <c r="N407" i="5"/>
  <c r="J407" i="5"/>
  <c r="G407" i="5"/>
  <c r="AC406" i="5"/>
  <c r="N406" i="5"/>
  <c r="J406" i="5"/>
  <c r="G406" i="5"/>
  <c r="AC405" i="5"/>
  <c r="N405" i="5"/>
  <c r="J405" i="5"/>
  <c r="G405" i="5"/>
  <c r="AC404" i="5"/>
  <c r="N404" i="5"/>
  <c r="J404" i="5"/>
  <c r="G404" i="5"/>
  <c r="AC403" i="5"/>
  <c r="N403" i="5"/>
  <c r="J403" i="5"/>
  <c r="G403" i="5"/>
  <c r="AC402" i="5"/>
  <c r="N402" i="5"/>
  <c r="J402" i="5"/>
  <c r="G402" i="5"/>
  <c r="AC401" i="5"/>
  <c r="N401" i="5"/>
  <c r="J401" i="5"/>
  <c r="G401" i="5"/>
  <c r="AC400" i="5"/>
  <c r="N400" i="5"/>
  <c r="J400" i="5"/>
  <c r="G400" i="5"/>
  <c r="AC399" i="5"/>
  <c r="N399" i="5"/>
  <c r="J399" i="5"/>
  <c r="G399" i="5"/>
  <c r="AC398" i="5"/>
  <c r="N398" i="5"/>
  <c r="J398" i="5"/>
  <c r="G398" i="5"/>
  <c r="AC397" i="5"/>
  <c r="N397" i="5"/>
  <c r="J397" i="5"/>
  <c r="G397" i="5"/>
  <c r="AC396" i="5"/>
  <c r="N396" i="5"/>
  <c r="J396" i="5"/>
  <c r="G396" i="5"/>
  <c r="AC395" i="5"/>
  <c r="N395" i="5"/>
  <c r="J395" i="5"/>
  <c r="G395" i="5"/>
  <c r="AQ394" i="5"/>
  <c r="AC394" i="5"/>
  <c r="N394" i="5"/>
  <c r="J394" i="5"/>
  <c r="G394" i="5"/>
  <c r="AC393" i="5"/>
  <c r="N393" i="5"/>
  <c r="J393" i="5"/>
  <c r="G393" i="5"/>
  <c r="AC392" i="5"/>
  <c r="N392" i="5"/>
  <c r="J392" i="5"/>
  <c r="G392" i="5"/>
  <c r="AQ391" i="5"/>
  <c r="AC391" i="5"/>
  <c r="N391" i="5"/>
  <c r="J391" i="5"/>
  <c r="G391" i="5"/>
  <c r="AQ390" i="5"/>
  <c r="AC390" i="5"/>
  <c r="N390" i="5"/>
  <c r="J390" i="5"/>
  <c r="G390" i="5"/>
  <c r="AQ389" i="5"/>
  <c r="AC389" i="5"/>
  <c r="N389" i="5"/>
  <c r="J389" i="5"/>
  <c r="G389" i="5"/>
  <c r="AQ388" i="5"/>
  <c r="AC388" i="5"/>
  <c r="N388" i="5"/>
  <c r="J388" i="5"/>
  <c r="G388" i="5"/>
  <c r="AQ387" i="5"/>
  <c r="AC387" i="5"/>
  <c r="N387" i="5"/>
  <c r="J387" i="5"/>
  <c r="G387" i="5"/>
  <c r="AQ386" i="5"/>
  <c r="AC386" i="5"/>
  <c r="N386" i="5"/>
  <c r="J386" i="5"/>
  <c r="G386" i="5"/>
  <c r="AQ385" i="5"/>
  <c r="AC385" i="5"/>
  <c r="N385" i="5"/>
  <c r="J385" i="5"/>
  <c r="G385" i="5"/>
  <c r="AQ384" i="5"/>
  <c r="AC384" i="5"/>
  <c r="N384" i="5"/>
  <c r="J384" i="5"/>
  <c r="G384" i="5"/>
  <c r="AC383" i="5"/>
  <c r="N383" i="5"/>
  <c r="J383" i="5"/>
  <c r="G383" i="5"/>
  <c r="AQ382" i="5"/>
  <c r="AC382" i="5"/>
  <c r="N382" i="5"/>
  <c r="J382" i="5"/>
  <c r="G382" i="5"/>
  <c r="AQ381" i="5"/>
  <c r="AC381" i="5"/>
  <c r="N381" i="5"/>
  <c r="J381" i="5"/>
  <c r="G381" i="5"/>
  <c r="AQ380" i="5"/>
  <c r="AC380" i="5"/>
  <c r="N380" i="5"/>
  <c r="J380" i="5"/>
  <c r="G380" i="5"/>
  <c r="AC379" i="5"/>
  <c r="N379" i="5"/>
  <c r="J379" i="5"/>
  <c r="G379" i="5"/>
  <c r="AC378" i="5"/>
  <c r="N378" i="5"/>
  <c r="J378" i="5"/>
  <c r="G378" i="5"/>
  <c r="AC377" i="5"/>
  <c r="N377" i="5"/>
  <c r="J377" i="5"/>
  <c r="G377" i="5"/>
  <c r="AC376" i="5"/>
  <c r="N376" i="5"/>
  <c r="J376" i="5"/>
  <c r="G376" i="5"/>
  <c r="AC375" i="5"/>
  <c r="N375" i="5"/>
  <c r="J375" i="5"/>
  <c r="G375" i="5"/>
  <c r="AQ374" i="5"/>
  <c r="AC374" i="5"/>
  <c r="N374" i="5"/>
  <c r="J374" i="5"/>
  <c r="G374" i="5"/>
  <c r="AQ373" i="5"/>
  <c r="AC373" i="5"/>
  <c r="N373" i="5"/>
  <c r="J373" i="5"/>
  <c r="G373" i="5"/>
  <c r="AQ372" i="5"/>
  <c r="AC372" i="5"/>
  <c r="N372" i="5"/>
  <c r="J372" i="5"/>
  <c r="G372" i="5"/>
  <c r="AQ371" i="5"/>
  <c r="AC371" i="5"/>
  <c r="N371" i="5"/>
  <c r="J371" i="5"/>
  <c r="G371" i="5"/>
  <c r="AQ370" i="5"/>
  <c r="AC370" i="5"/>
  <c r="N370" i="5"/>
  <c r="J370" i="5"/>
  <c r="G370" i="5"/>
  <c r="AQ369" i="5"/>
  <c r="AC369" i="5"/>
  <c r="N369" i="5"/>
  <c r="J369" i="5"/>
  <c r="G369" i="5"/>
  <c r="AQ368" i="5"/>
  <c r="AC368" i="5"/>
  <c r="N368" i="5"/>
  <c r="J368" i="5"/>
  <c r="G368" i="5"/>
  <c r="AQ367" i="5"/>
  <c r="AC367" i="5"/>
  <c r="N367" i="5"/>
  <c r="J367" i="5"/>
  <c r="G367" i="5"/>
  <c r="AQ366" i="5"/>
  <c r="AC366" i="5"/>
  <c r="N366" i="5"/>
  <c r="J366" i="5"/>
  <c r="G366" i="5"/>
  <c r="AQ365" i="5"/>
  <c r="AC365" i="5"/>
  <c r="N365" i="5"/>
  <c r="J365" i="5"/>
  <c r="G365" i="5"/>
  <c r="AQ364" i="5"/>
  <c r="AC364" i="5"/>
  <c r="N364" i="5"/>
  <c r="J364" i="5"/>
  <c r="G364" i="5"/>
  <c r="AQ363" i="5"/>
  <c r="AC363" i="5"/>
  <c r="N363" i="5"/>
  <c r="J363" i="5"/>
  <c r="G363" i="5"/>
  <c r="AQ362" i="5"/>
  <c r="AC362" i="5"/>
  <c r="N362" i="5"/>
  <c r="J362" i="5"/>
  <c r="G362" i="5"/>
  <c r="AQ361" i="5"/>
  <c r="AC361" i="5"/>
  <c r="N361" i="5"/>
  <c r="J361" i="5"/>
  <c r="G361" i="5"/>
  <c r="AQ360" i="5"/>
  <c r="AC360" i="5"/>
  <c r="N360" i="5"/>
  <c r="J360" i="5"/>
  <c r="G360" i="5"/>
  <c r="AC359" i="5"/>
  <c r="N359" i="5"/>
  <c r="J359" i="5"/>
  <c r="G359" i="5"/>
  <c r="AQ358" i="5"/>
  <c r="AC358" i="5"/>
  <c r="N358" i="5"/>
  <c r="J358" i="5"/>
  <c r="G358" i="5"/>
  <c r="AQ357" i="5"/>
  <c r="AC357" i="5"/>
  <c r="N357" i="5"/>
  <c r="J357" i="5"/>
  <c r="G357" i="5"/>
  <c r="AC356" i="5"/>
  <c r="N356" i="5"/>
  <c r="J356" i="5"/>
  <c r="G356" i="5"/>
  <c r="AQ355" i="5"/>
  <c r="AC355" i="5"/>
  <c r="N355" i="5"/>
  <c r="J355" i="5"/>
  <c r="G355" i="5"/>
  <c r="AC354" i="5"/>
  <c r="N354" i="5"/>
  <c r="J354" i="5"/>
  <c r="G354" i="5"/>
  <c r="AQ353" i="5"/>
  <c r="AC353" i="5"/>
  <c r="N353" i="5"/>
  <c r="J353" i="5"/>
  <c r="G353" i="5"/>
  <c r="AQ352" i="5"/>
  <c r="AC352" i="5"/>
  <c r="N352" i="5"/>
  <c r="J352" i="5"/>
  <c r="G352" i="5"/>
  <c r="AQ351" i="5"/>
  <c r="AC351" i="5"/>
  <c r="N351" i="5"/>
  <c r="J351" i="5"/>
  <c r="G351" i="5"/>
  <c r="AQ350" i="5"/>
  <c r="AC350" i="5"/>
  <c r="N350" i="5"/>
  <c r="J350" i="5"/>
  <c r="G350" i="5"/>
  <c r="AQ349" i="5"/>
  <c r="AC349" i="5"/>
  <c r="N349" i="5"/>
  <c r="J349" i="5"/>
  <c r="G349" i="5"/>
  <c r="AQ348" i="5"/>
  <c r="AC348" i="5"/>
  <c r="N348" i="5"/>
  <c r="J348" i="5"/>
  <c r="G348" i="5"/>
  <c r="AC347" i="5"/>
  <c r="N347" i="5"/>
  <c r="J347" i="5"/>
  <c r="G347" i="5"/>
  <c r="AC346" i="5"/>
  <c r="N346" i="5"/>
  <c r="J346" i="5"/>
  <c r="G346" i="5"/>
  <c r="AQ345" i="5"/>
  <c r="AC345" i="5"/>
  <c r="N345" i="5"/>
  <c r="J345" i="5"/>
  <c r="G345" i="5"/>
  <c r="AC344" i="5"/>
  <c r="N344" i="5"/>
  <c r="J344" i="5"/>
  <c r="G344" i="5"/>
  <c r="AC343" i="5"/>
  <c r="N343" i="5"/>
  <c r="J343" i="5"/>
  <c r="G343" i="5"/>
  <c r="AC342" i="5"/>
  <c r="N342" i="5"/>
  <c r="J342" i="5"/>
  <c r="G342" i="5"/>
  <c r="AQ341" i="5"/>
  <c r="AC341" i="5"/>
  <c r="N341" i="5"/>
  <c r="J341" i="5"/>
  <c r="G341" i="5"/>
  <c r="AC340" i="5"/>
  <c r="N340" i="5"/>
  <c r="J340" i="5"/>
  <c r="G340" i="5"/>
  <c r="AC339" i="5"/>
  <c r="N339" i="5"/>
  <c r="J339" i="5"/>
  <c r="G339" i="5"/>
  <c r="AC338" i="5"/>
  <c r="N338" i="5"/>
  <c r="J338" i="5"/>
  <c r="G338" i="5"/>
  <c r="AQ337" i="5"/>
  <c r="AC337" i="5"/>
  <c r="N337" i="5"/>
  <c r="J337" i="5"/>
  <c r="G337" i="5"/>
  <c r="AC336" i="5"/>
  <c r="N336" i="5"/>
  <c r="J336" i="5"/>
  <c r="G336" i="5"/>
  <c r="AC335" i="5"/>
  <c r="N335" i="5"/>
  <c r="J335" i="5"/>
  <c r="G335" i="5"/>
  <c r="AQ334" i="5"/>
  <c r="AC334" i="5"/>
  <c r="N334" i="5"/>
  <c r="J334" i="5"/>
  <c r="G334" i="5"/>
  <c r="AC333" i="5"/>
  <c r="N333" i="5"/>
  <c r="J333" i="5"/>
  <c r="G333" i="5"/>
  <c r="AC332" i="5"/>
  <c r="N332" i="5"/>
  <c r="J332" i="5"/>
  <c r="G332" i="5"/>
  <c r="AC331" i="5"/>
  <c r="N331" i="5"/>
  <c r="J331" i="5"/>
  <c r="G331" i="5"/>
  <c r="AC330" i="5"/>
  <c r="N330" i="5"/>
  <c r="J330" i="5"/>
  <c r="G330" i="5"/>
  <c r="AQ329" i="5"/>
  <c r="AC329" i="5"/>
  <c r="N329" i="5"/>
  <c r="J329" i="5"/>
  <c r="G329" i="5"/>
  <c r="AC328" i="5"/>
  <c r="N328" i="5"/>
  <c r="J328" i="5"/>
  <c r="G328" i="5"/>
  <c r="AC327" i="5"/>
  <c r="N327" i="5"/>
  <c r="J327" i="5"/>
  <c r="G327" i="5"/>
  <c r="AC326" i="5"/>
  <c r="N326" i="5"/>
  <c r="J326" i="5"/>
  <c r="G326" i="5"/>
  <c r="AC325" i="5"/>
  <c r="N325" i="5"/>
  <c r="J325" i="5"/>
  <c r="G325" i="5"/>
  <c r="AC324" i="5"/>
  <c r="N324" i="5"/>
  <c r="J324" i="5"/>
  <c r="G324" i="5"/>
  <c r="AQ323" i="5"/>
  <c r="AC323" i="5"/>
  <c r="N323" i="5"/>
  <c r="J323" i="5"/>
  <c r="G323" i="5"/>
  <c r="AQ322" i="5"/>
  <c r="AC322" i="5"/>
  <c r="N322" i="5"/>
  <c r="J322" i="5"/>
  <c r="G322" i="5"/>
  <c r="AQ321" i="5"/>
  <c r="AC321" i="5"/>
  <c r="N321" i="5"/>
  <c r="J321" i="5"/>
  <c r="G321" i="5"/>
  <c r="AC320" i="5"/>
  <c r="N320" i="5"/>
  <c r="J320" i="5"/>
  <c r="G320" i="5"/>
  <c r="AC319" i="5"/>
  <c r="N319" i="5"/>
  <c r="J319" i="5"/>
  <c r="G319" i="5"/>
  <c r="AC318" i="5"/>
  <c r="N318" i="5"/>
  <c r="J318" i="5"/>
  <c r="G318" i="5"/>
  <c r="AC317" i="5"/>
  <c r="N317" i="5"/>
  <c r="J317" i="5"/>
  <c r="G317" i="5"/>
  <c r="AQ316" i="5"/>
  <c r="AC316" i="5"/>
  <c r="N316" i="5"/>
  <c r="J316" i="5"/>
  <c r="G316" i="5"/>
  <c r="AC315" i="5"/>
  <c r="N315" i="5"/>
  <c r="J315" i="5"/>
  <c r="G315" i="5"/>
  <c r="AQ314" i="5"/>
  <c r="AC314" i="5"/>
  <c r="N314" i="5"/>
  <c r="J314" i="5"/>
  <c r="G314" i="5"/>
  <c r="AQ313" i="5"/>
  <c r="AC313" i="5"/>
  <c r="N313" i="5"/>
  <c r="J313" i="5"/>
  <c r="G313" i="5"/>
  <c r="AQ312" i="5"/>
  <c r="AC312" i="5"/>
  <c r="N312" i="5"/>
  <c r="J312" i="5"/>
  <c r="G312" i="5"/>
  <c r="AC311" i="5"/>
  <c r="N311" i="5"/>
  <c r="J311" i="5"/>
  <c r="G311" i="5"/>
  <c r="AC310" i="5"/>
  <c r="N310" i="5"/>
  <c r="J310" i="5"/>
  <c r="G310" i="5"/>
  <c r="AC309" i="5"/>
  <c r="N309" i="5"/>
  <c r="J309" i="5"/>
  <c r="G309" i="5"/>
  <c r="AC308" i="5"/>
  <c r="N308" i="5"/>
  <c r="J308" i="5"/>
  <c r="G308" i="5"/>
  <c r="AC307" i="5"/>
  <c r="N307" i="5"/>
  <c r="J307" i="5"/>
  <c r="G307" i="5"/>
  <c r="AC306" i="5"/>
  <c r="N306" i="5"/>
  <c r="J306" i="5"/>
  <c r="G306" i="5"/>
  <c r="AC305" i="5"/>
  <c r="N305" i="5"/>
  <c r="J305" i="5"/>
  <c r="G305" i="5"/>
  <c r="AC304" i="5"/>
  <c r="N304" i="5"/>
  <c r="J304" i="5"/>
  <c r="G304" i="5"/>
  <c r="AC303" i="5"/>
  <c r="N303" i="5"/>
  <c r="J303" i="5"/>
  <c r="G303" i="5"/>
  <c r="AQ302" i="5"/>
  <c r="AC302" i="5"/>
  <c r="N302" i="5"/>
  <c r="J302" i="5"/>
  <c r="G302" i="5"/>
  <c r="AQ301" i="5"/>
  <c r="AC301" i="5"/>
  <c r="N301" i="5"/>
  <c r="J301" i="5"/>
  <c r="G301" i="5"/>
  <c r="AQ300" i="5"/>
  <c r="AC300" i="5"/>
  <c r="N300" i="5"/>
  <c r="J300" i="5"/>
  <c r="G300" i="5"/>
  <c r="AQ299" i="5"/>
  <c r="AC299" i="5"/>
  <c r="N299" i="5"/>
  <c r="J299" i="5"/>
  <c r="G299" i="5"/>
  <c r="AQ298" i="5"/>
  <c r="AC298" i="5"/>
  <c r="N298" i="5"/>
  <c r="J298" i="5"/>
  <c r="G298" i="5"/>
  <c r="AQ297" i="5"/>
  <c r="AC297" i="5"/>
  <c r="N297" i="5"/>
  <c r="J297" i="5"/>
  <c r="G297" i="5"/>
  <c r="AC296" i="5"/>
  <c r="N296" i="5"/>
  <c r="J296" i="5"/>
  <c r="G296" i="5"/>
  <c r="AC295" i="5"/>
  <c r="N295" i="5"/>
  <c r="J295" i="5"/>
  <c r="G295" i="5"/>
  <c r="AQ294" i="5"/>
  <c r="AC294" i="5"/>
  <c r="N294" i="5"/>
  <c r="J294" i="5"/>
  <c r="G294" i="5"/>
  <c r="AC293" i="5"/>
  <c r="N293" i="5"/>
  <c r="J293" i="5"/>
  <c r="G293" i="5"/>
  <c r="AQ292" i="5"/>
  <c r="AC292" i="5"/>
  <c r="N292" i="5"/>
  <c r="J292" i="5"/>
  <c r="G292" i="5"/>
  <c r="AQ291" i="5"/>
  <c r="AC291" i="5"/>
  <c r="N291" i="5"/>
  <c r="J291" i="5"/>
  <c r="G291" i="5"/>
  <c r="AC290" i="5"/>
  <c r="N290" i="5"/>
  <c r="J290" i="5"/>
  <c r="G290" i="5"/>
  <c r="AC289" i="5"/>
  <c r="N289" i="5"/>
  <c r="J289" i="5"/>
  <c r="G289" i="5"/>
  <c r="AC288" i="5"/>
  <c r="N288" i="5"/>
  <c r="J288" i="5"/>
  <c r="G288" i="5"/>
  <c r="AC287" i="5"/>
  <c r="N287" i="5"/>
  <c r="J287" i="5"/>
  <c r="G287" i="5"/>
  <c r="AC286" i="5"/>
  <c r="N286" i="5"/>
  <c r="J286" i="5"/>
  <c r="G286" i="5"/>
  <c r="AC285" i="5"/>
  <c r="N285" i="5"/>
  <c r="J285" i="5"/>
  <c r="G285" i="5"/>
  <c r="AC284" i="5"/>
  <c r="N284" i="5"/>
  <c r="J284" i="5"/>
  <c r="G284" i="5"/>
  <c r="AC283" i="5"/>
  <c r="N283" i="5"/>
  <c r="J283" i="5"/>
  <c r="G283" i="5"/>
  <c r="AC282" i="5"/>
  <c r="N282" i="5"/>
  <c r="J282" i="5"/>
  <c r="G282" i="5"/>
  <c r="AC281" i="5"/>
  <c r="N281" i="5"/>
  <c r="J281" i="5"/>
  <c r="G281" i="5"/>
  <c r="AC280" i="5"/>
  <c r="N280" i="5"/>
  <c r="J280" i="5"/>
  <c r="G280" i="5"/>
  <c r="AC279" i="5"/>
  <c r="N279" i="5"/>
  <c r="J279" i="5"/>
  <c r="G279" i="5"/>
  <c r="AC278" i="5"/>
  <c r="N278" i="5"/>
  <c r="J278" i="5"/>
  <c r="G278" i="5"/>
  <c r="AC277" i="5"/>
  <c r="N277" i="5"/>
  <c r="J277" i="5"/>
  <c r="G277" i="5"/>
  <c r="AC276" i="5"/>
  <c r="N276" i="5"/>
  <c r="J276" i="5"/>
  <c r="G276" i="5"/>
  <c r="AC275" i="5"/>
  <c r="N275" i="5"/>
  <c r="J275" i="5"/>
  <c r="G275" i="5"/>
  <c r="AC274" i="5"/>
  <c r="N274" i="5"/>
  <c r="J274" i="5"/>
  <c r="G274" i="5"/>
  <c r="AC273" i="5"/>
  <c r="N273" i="5"/>
  <c r="J273" i="5"/>
  <c r="G273" i="5"/>
  <c r="AC272" i="5"/>
  <c r="N272" i="5"/>
  <c r="J272" i="5"/>
  <c r="G272" i="5"/>
  <c r="AC271" i="5"/>
  <c r="N271" i="5"/>
  <c r="J271" i="5"/>
  <c r="G271" i="5"/>
  <c r="AC270" i="5"/>
  <c r="N270" i="5"/>
  <c r="J270" i="5"/>
  <c r="G270" i="5"/>
  <c r="AC269" i="5"/>
  <c r="N269" i="5"/>
  <c r="J269" i="5"/>
  <c r="G269" i="5"/>
  <c r="AC268" i="5"/>
  <c r="N268" i="5"/>
  <c r="J268" i="5"/>
  <c r="G268" i="5"/>
  <c r="AC267" i="5"/>
  <c r="N267" i="5"/>
  <c r="J267" i="5"/>
  <c r="G267" i="5"/>
  <c r="AC266" i="5"/>
  <c r="N266" i="5"/>
  <c r="J266" i="5"/>
  <c r="G266" i="5"/>
  <c r="AC265" i="5"/>
  <c r="N265" i="5"/>
  <c r="J265" i="5"/>
  <c r="G265" i="5"/>
  <c r="AC264" i="5"/>
  <c r="N264" i="5"/>
  <c r="J264" i="5"/>
  <c r="G264" i="5"/>
  <c r="AC263" i="5"/>
  <c r="N263" i="5"/>
  <c r="J263" i="5"/>
  <c r="G263" i="5"/>
  <c r="AC262" i="5"/>
  <c r="N262" i="5"/>
  <c r="J262" i="5"/>
  <c r="G262" i="5"/>
  <c r="AC261" i="5"/>
  <c r="N261" i="5"/>
  <c r="J261" i="5"/>
  <c r="G261" i="5"/>
  <c r="AC260" i="5"/>
  <c r="N260" i="5"/>
  <c r="J260" i="5"/>
  <c r="G260" i="5"/>
  <c r="AC259" i="5"/>
  <c r="N259" i="5"/>
  <c r="J259" i="5"/>
  <c r="G259" i="5"/>
  <c r="AC258" i="5"/>
  <c r="N258" i="5"/>
  <c r="J258" i="5"/>
  <c r="G258" i="5"/>
  <c r="AC257" i="5"/>
  <c r="N257" i="5"/>
  <c r="J257" i="5"/>
  <c r="G257" i="5"/>
  <c r="AC256" i="5"/>
  <c r="N256" i="5"/>
  <c r="J256" i="5"/>
  <c r="G256" i="5"/>
  <c r="AC255" i="5"/>
  <c r="N255" i="5"/>
  <c r="J255" i="5"/>
  <c r="G255" i="5"/>
  <c r="AC254" i="5"/>
  <c r="N254" i="5"/>
  <c r="J254" i="5"/>
  <c r="G254" i="5"/>
  <c r="AC253" i="5"/>
  <c r="N253" i="5"/>
  <c r="J253" i="5"/>
  <c r="G253" i="5"/>
  <c r="AC252" i="5"/>
  <c r="N252" i="5"/>
  <c r="J252" i="5"/>
  <c r="G252" i="5"/>
  <c r="AC251" i="5"/>
  <c r="N251" i="5"/>
  <c r="J251" i="5"/>
  <c r="G251" i="5"/>
  <c r="AC250" i="5"/>
  <c r="N250" i="5"/>
  <c r="J250" i="5"/>
  <c r="G250" i="5"/>
  <c r="AC249" i="5"/>
  <c r="N249" i="5"/>
  <c r="J249" i="5"/>
  <c r="G249" i="5"/>
  <c r="AC248" i="5"/>
  <c r="N248" i="5"/>
  <c r="J248" i="5"/>
  <c r="G248" i="5"/>
  <c r="AC247" i="5"/>
  <c r="N247" i="5"/>
  <c r="J247" i="5"/>
  <c r="G247" i="5"/>
  <c r="AC246" i="5"/>
  <c r="N246" i="5"/>
  <c r="J246" i="5"/>
  <c r="G246" i="5"/>
  <c r="AC245" i="5"/>
  <c r="N245" i="5"/>
  <c r="J245" i="5"/>
  <c r="G245" i="5"/>
  <c r="AC244" i="5"/>
  <c r="N244" i="5"/>
  <c r="J244" i="5"/>
  <c r="G244" i="5"/>
  <c r="AC243" i="5"/>
  <c r="N243" i="5"/>
  <c r="J243" i="5"/>
  <c r="G243" i="5"/>
  <c r="AC242" i="5"/>
  <c r="N242" i="5"/>
  <c r="J242" i="5"/>
  <c r="G242" i="5"/>
  <c r="AC241" i="5"/>
  <c r="N241" i="5"/>
  <c r="J241" i="5"/>
  <c r="G241" i="5"/>
  <c r="AC240" i="5"/>
  <c r="N240" i="5"/>
  <c r="J240" i="5"/>
  <c r="G240" i="5"/>
  <c r="AC239" i="5"/>
  <c r="N239" i="5"/>
  <c r="J239" i="5"/>
  <c r="G239" i="5"/>
  <c r="AC238" i="5"/>
  <c r="N238" i="5"/>
  <c r="J238" i="5"/>
  <c r="G238" i="5"/>
  <c r="AC237" i="5"/>
  <c r="N237" i="5"/>
  <c r="J237" i="5"/>
  <c r="G237" i="5"/>
  <c r="AC236" i="5"/>
  <c r="N236" i="5"/>
  <c r="J236" i="5"/>
  <c r="G236" i="5"/>
  <c r="AC235" i="5"/>
  <c r="N235" i="5"/>
  <c r="J235" i="5"/>
  <c r="G235" i="5"/>
  <c r="AC234" i="5"/>
  <c r="N234" i="5"/>
  <c r="J234" i="5"/>
  <c r="G234" i="5"/>
  <c r="AC233" i="5"/>
  <c r="N233" i="5"/>
  <c r="J233" i="5"/>
  <c r="G233" i="5"/>
  <c r="AC232" i="5"/>
  <c r="N232" i="5"/>
  <c r="J232" i="5"/>
  <c r="G232" i="5"/>
  <c r="AC231" i="5"/>
  <c r="N231" i="5"/>
  <c r="J231" i="5"/>
  <c r="G231" i="5"/>
  <c r="AC230" i="5"/>
  <c r="N230" i="5"/>
  <c r="J230" i="5"/>
  <c r="G230" i="5"/>
  <c r="AC229" i="5"/>
  <c r="N229" i="5"/>
  <c r="J229" i="5"/>
  <c r="G229" i="5"/>
  <c r="AC228" i="5"/>
  <c r="N228" i="5"/>
  <c r="J228" i="5"/>
  <c r="G228" i="5"/>
  <c r="AC227" i="5"/>
  <c r="N227" i="5"/>
  <c r="J227" i="5"/>
  <c r="G227" i="5"/>
  <c r="AC226" i="5"/>
  <c r="N226" i="5"/>
  <c r="J226" i="5"/>
  <c r="G226" i="5"/>
  <c r="AC225" i="5"/>
  <c r="N225" i="5"/>
  <c r="J225" i="5"/>
  <c r="G225" i="5"/>
  <c r="AC224" i="5"/>
  <c r="N224" i="5"/>
  <c r="J224" i="5"/>
  <c r="G224" i="5"/>
  <c r="AC223" i="5"/>
  <c r="N223" i="5"/>
  <c r="J223" i="5"/>
  <c r="G223" i="5"/>
  <c r="AC222" i="5"/>
  <c r="N222" i="5"/>
  <c r="J222" i="5"/>
  <c r="G222" i="5"/>
  <c r="AC221" i="5"/>
  <c r="N221" i="5"/>
  <c r="J221" i="5"/>
  <c r="G221" i="5"/>
  <c r="AC220" i="5"/>
  <c r="N220" i="5"/>
  <c r="J220" i="5"/>
  <c r="G220" i="5"/>
  <c r="AC219" i="5"/>
  <c r="N219" i="5"/>
  <c r="J219" i="5"/>
  <c r="G219" i="5"/>
  <c r="AC218" i="5"/>
  <c r="N218" i="5"/>
  <c r="J218" i="5"/>
  <c r="G218" i="5"/>
  <c r="AC217" i="5"/>
  <c r="N217" i="5"/>
  <c r="J217" i="5"/>
  <c r="G217" i="5"/>
  <c r="AC216" i="5"/>
  <c r="N216" i="5"/>
  <c r="J216" i="5"/>
  <c r="G216" i="5"/>
  <c r="AC215" i="5"/>
  <c r="N215" i="5"/>
  <c r="J215" i="5"/>
  <c r="G215" i="5"/>
  <c r="AC214" i="5"/>
  <c r="N214" i="5"/>
  <c r="J214" i="5"/>
  <c r="G214" i="5"/>
  <c r="AC213" i="5"/>
  <c r="N213" i="5"/>
  <c r="J213" i="5"/>
  <c r="G213" i="5"/>
  <c r="AC212" i="5"/>
  <c r="N212" i="5"/>
  <c r="J212" i="5"/>
  <c r="G212" i="5"/>
  <c r="AC211" i="5"/>
  <c r="N211" i="5"/>
  <c r="J211" i="5"/>
  <c r="G211" i="5"/>
  <c r="AC210" i="5"/>
  <c r="N210" i="5"/>
  <c r="J210" i="5"/>
  <c r="G210" i="5"/>
  <c r="AC209" i="5"/>
  <c r="N209" i="5"/>
  <c r="J209" i="5"/>
  <c r="G209" i="5"/>
  <c r="AC208" i="5"/>
  <c r="N208" i="5"/>
  <c r="J208" i="5"/>
  <c r="G208" i="5"/>
  <c r="AC207" i="5"/>
  <c r="N207" i="5"/>
  <c r="J207" i="5"/>
  <c r="G207" i="5"/>
  <c r="AC206" i="5"/>
  <c r="N206" i="5"/>
  <c r="J206" i="5"/>
  <c r="G206" i="5"/>
  <c r="AC205" i="5"/>
  <c r="N205" i="5"/>
  <c r="J205" i="5"/>
  <c r="G205" i="5"/>
  <c r="AC204" i="5"/>
  <c r="N204" i="5"/>
  <c r="J204" i="5"/>
  <c r="G204" i="5"/>
  <c r="AC203" i="5"/>
  <c r="N203" i="5"/>
  <c r="J203" i="5"/>
  <c r="G203" i="5"/>
  <c r="AC202" i="5"/>
  <c r="N202" i="5"/>
  <c r="J202" i="5"/>
  <c r="G202" i="5"/>
  <c r="AC201" i="5"/>
  <c r="N201" i="5"/>
  <c r="J201" i="5"/>
  <c r="G201" i="5"/>
  <c r="AC200" i="5"/>
  <c r="N200" i="5"/>
  <c r="J200" i="5"/>
  <c r="G200" i="5"/>
  <c r="AC199" i="5"/>
  <c r="N199" i="5"/>
  <c r="J199" i="5"/>
  <c r="G199" i="5"/>
  <c r="AC198" i="5"/>
  <c r="N198" i="5"/>
  <c r="J198" i="5"/>
  <c r="G198" i="5"/>
  <c r="AC197" i="5"/>
  <c r="N197" i="5"/>
  <c r="J197" i="5"/>
  <c r="G197" i="5"/>
  <c r="AC196" i="5"/>
  <c r="N196" i="5"/>
  <c r="J196" i="5"/>
  <c r="G196" i="5"/>
  <c r="AC195" i="5"/>
  <c r="N195" i="5"/>
  <c r="J195" i="5"/>
  <c r="G195" i="5"/>
  <c r="AC194" i="5"/>
  <c r="N194" i="5"/>
  <c r="J194" i="5"/>
  <c r="G194" i="5"/>
  <c r="AC193" i="5"/>
  <c r="N193" i="5"/>
  <c r="J193" i="5"/>
  <c r="G193" i="5"/>
  <c r="AC192" i="5"/>
  <c r="N192" i="5"/>
  <c r="J192" i="5"/>
  <c r="G192" i="5"/>
  <c r="AC191" i="5"/>
  <c r="N191" i="5"/>
  <c r="J191" i="5"/>
  <c r="G191" i="5"/>
  <c r="AC190" i="5"/>
  <c r="N190" i="5"/>
  <c r="J190" i="5"/>
  <c r="G190" i="5"/>
  <c r="AC189" i="5"/>
  <c r="N189" i="5"/>
  <c r="J189" i="5"/>
  <c r="G189" i="5"/>
  <c r="AC188" i="5"/>
  <c r="N188" i="5"/>
  <c r="J188" i="5"/>
  <c r="G188" i="5"/>
  <c r="AC187" i="5"/>
  <c r="N187" i="5"/>
  <c r="J187" i="5"/>
  <c r="G187" i="5"/>
  <c r="AC186" i="5"/>
  <c r="N186" i="5"/>
  <c r="J186" i="5"/>
  <c r="G186" i="5"/>
  <c r="AC185" i="5"/>
  <c r="N185" i="5"/>
  <c r="J185" i="5"/>
  <c r="G185" i="5"/>
  <c r="AC184" i="5"/>
  <c r="N184" i="5"/>
  <c r="J184" i="5"/>
  <c r="G184" i="5"/>
  <c r="AC183" i="5"/>
  <c r="N183" i="5"/>
  <c r="J183" i="5"/>
  <c r="G183" i="5"/>
  <c r="AC182" i="5"/>
  <c r="N182" i="5"/>
  <c r="J182" i="5"/>
  <c r="G182" i="5"/>
  <c r="AC181" i="5"/>
  <c r="N181" i="5"/>
  <c r="J181" i="5"/>
  <c r="G181" i="5"/>
  <c r="AC180" i="5"/>
  <c r="N180" i="5"/>
  <c r="J180" i="5"/>
  <c r="G180" i="5"/>
  <c r="AC179" i="5"/>
  <c r="N179" i="5"/>
  <c r="J179" i="5"/>
  <c r="G179" i="5"/>
  <c r="AC178" i="5"/>
  <c r="N178" i="5"/>
  <c r="J178" i="5"/>
  <c r="G178" i="5"/>
  <c r="AC177" i="5"/>
  <c r="N177" i="5"/>
  <c r="J177" i="5"/>
  <c r="G177" i="5"/>
  <c r="AC176" i="5"/>
  <c r="N176" i="5"/>
  <c r="J176" i="5"/>
  <c r="G176" i="5"/>
  <c r="AC175" i="5"/>
  <c r="N175" i="5"/>
  <c r="J175" i="5"/>
  <c r="G175" i="5"/>
  <c r="AC174" i="5"/>
  <c r="N174" i="5"/>
  <c r="J174" i="5"/>
  <c r="G174" i="5"/>
  <c r="AC173" i="5"/>
  <c r="N173" i="5"/>
  <c r="J173" i="5"/>
  <c r="G173" i="5"/>
  <c r="AC172" i="5"/>
  <c r="N172" i="5"/>
  <c r="J172" i="5"/>
  <c r="G172" i="5"/>
  <c r="AC171" i="5"/>
  <c r="N171" i="5"/>
  <c r="J171" i="5"/>
  <c r="G171" i="5"/>
  <c r="AC170" i="5"/>
  <c r="N170" i="5"/>
  <c r="J170" i="5"/>
  <c r="G170" i="5"/>
  <c r="AC169" i="5"/>
  <c r="N169" i="5"/>
  <c r="J169" i="5"/>
  <c r="G169" i="5"/>
  <c r="AC168" i="5"/>
  <c r="N168" i="5"/>
  <c r="J168" i="5"/>
  <c r="G168" i="5"/>
  <c r="AC167" i="5"/>
  <c r="N167" i="5"/>
  <c r="J167" i="5"/>
  <c r="G167" i="5"/>
  <c r="AC166" i="5"/>
  <c r="N166" i="5"/>
  <c r="J166" i="5"/>
  <c r="G166" i="5"/>
  <c r="AC165" i="5"/>
  <c r="N165" i="5"/>
  <c r="J165" i="5"/>
  <c r="G165" i="5"/>
  <c r="AC164" i="5"/>
  <c r="N164" i="5"/>
  <c r="J164" i="5"/>
  <c r="G164" i="5"/>
  <c r="AC163" i="5"/>
  <c r="N163" i="5"/>
  <c r="J163" i="5"/>
  <c r="G163" i="5"/>
  <c r="AC162" i="5"/>
  <c r="N162" i="5"/>
  <c r="J162" i="5"/>
  <c r="G162" i="5"/>
  <c r="AC161" i="5"/>
  <c r="N161" i="5"/>
  <c r="J161" i="5"/>
  <c r="G161" i="5"/>
  <c r="AC160" i="5"/>
  <c r="N160" i="5"/>
  <c r="J160" i="5"/>
  <c r="G160" i="5"/>
  <c r="AC159" i="5"/>
  <c r="N159" i="5"/>
  <c r="J159" i="5"/>
  <c r="G159" i="5"/>
  <c r="AC158" i="5"/>
  <c r="N158" i="5"/>
  <c r="J158" i="5"/>
  <c r="G158" i="5"/>
  <c r="AC157" i="5"/>
  <c r="N157" i="5"/>
  <c r="J157" i="5"/>
  <c r="G157" i="5"/>
  <c r="AC156" i="5"/>
  <c r="N156" i="5"/>
  <c r="J156" i="5"/>
  <c r="G156" i="5"/>
  <c r="AC155" i="5"/>
  <c r="N155" i="5"/>
  <c r="J155" i="5"/>
  <c r="G155" i="5"/>
  <c r="AC154" i="5"/>
  <c r="N154" i="5"/>
  <c r="J154" i="5"/>
  <c r="G154" i="5"/>
  <c r="AC153" i="5"/>
  <c r="N153" i="5"/>
  <c r="J153" i="5"/>
  <c r="G153" i="5"/>
  <c r="AC152" i="5"/>
  <c r="N152" i="5"/>
  <c r="J152" i="5"/>
  <c r="G152" i="5"/>
  <c r="AC151" i="5"/>
  <c r="N151" i="5"/>
  <c r="J151" i="5"/>
  <c r="G151" i="5"/>
  <c r="AC150" i="5"/>
  <c r="N150" i="5"/>
  <c r="J150" i="5"/>
  <c r="G150" i="5"/>
  <c r="AC149" i="5"/>
  <c r="N149" i="5"/>
  <c r="J149" i="5"/>
  <c r="G149" i="5"/>
  <c r="AC148" i="5"/>
  <c r="N148" i="5"/>
  <c r="J148" i="5"/>
  <c r="G148" i="5"/>
  <c r="AC147" i="5"/>
  <c r="N147" i="5"/>
  <c r="J147" i="5"/>
  <c r="G147" i="5"/>
  <c r="AC146" i="5"/>
  <c r="N146" i="5"/>
  <c r="J146" i="5"/>
  <c r="G146" i="5"/>
  <c r="AC145" i="5"/>
  <c r="N145" i="5"/>
  <c r="J145" i="5"/>
  <c r="G145" i="5"/>
  <c r="AC144" i="5"/>
  <c r="N144" i="5"/>
  <c r="J144" i="5"/>
  <c r="G144" i="5"/>
  <c r="AC143" i="5"/>
  <c r="N143" i="5"/>
  <c r="J143" i="5"/>
  <c r="G143" i="5"/>
  <c r="AC142" i="5"/>
  <c r="N142" i="5"/>
  <c r="J142" i="5"/>
  <c r="G142" i="5"/>
  <c r="AC141" i="5"/>
  <c r="N141" i="5"/>
  <c r="J141" i="5"/>
  <c r="G141" i="5"/>
  <c r="AC140" i="5"/>
  <c r="N140" i="5"/>
  <c r="J140" i="5"/>
  <c r="G140" i="5"/>
  <c r="AC139" i="5"/>
  <c r="N139" i="5"/>
  <c r="J139" i="5"/>
  <c r="G139" i="5"/>
  <c r="AC138" i="5"/>
  <c r="N138" i="5"/>
  <c r="J138" i="5"/>
  <c r="G138" i="5"/>
  <c r="AC137" i="5"/>
  <c r="N137" i="5"/>
  <c r="J137" i="5"/>
  <c r="G137" i="5"/>
  <c r="AC136" i="5"/>
  <c r="N136" i="5"/>
  <c r="J136" i="5"/>
  <c r="G136" i="5"/>
  <c r="AC135" i="5"/>
  <c r="N135" i="5"/>
  <c r="J135" i="5"/>
  <c r="G135" i="5"/>
  <c r="AC134" i="5"/>
  <c r="N134" i="5"/>
  <c r="J134" i="5"/>
  <c r="G134" i="5"/>
  <c r="AC133" i="5"/>
  <c r="N133" i="5"/>
  <c r="J133" i="5"/>
  <c r="G133" i="5"/>
  <c r="AC132" i="5"/>
  <c r="N132" i="5"/>
  <c r="J132" i="5"/>
  <c r="G132" i="5"/>
  <c r="AC131" i="5"/>
  <c r="N131" i="5"/>
  <c r="J131" i="5"/>
  <c r="G131" i="5"/>
  <c r="AC130" i="5"/>
  <c r="N130" i="5"/>
  <c r="J130" i="5"/>
  <c r="G130" i="5"/>
  <c r="AC129" i="5"/>
  <c r="N129" i="5"/>
  <c r="J129" i="5"/>
  <c r="G129" i="5"/>
  <c r="AC128" i="5"/>
  <c r="N128" i="5"/>
  <c r="J128" i="5"/>
  <c r="G128" i="5"/>
  <c r="AC127" i="5"/>
  <c r="N127" i="5"/>
  <c r="J127" i="5"/>
  <c r="G127" i="5"/>
  <c r="AC126" i="5"/>
  <c r="N126" i="5"/>
  <c r="J126" i="5"/>
  <c r="G126" i="5"/>
  <c r="AC125" i="5"/>
  <c r="N125" i="5"/>
  <c r="J125" i="5"/>
  <c r="G125" i="5"/>
  <c r="AC124" i="5"/>
  <c r="N124" i="5"/>
  <c r="J124" i="5"/>
  <c r="G124" i="5"/>
  <c r="AC123" i="5"/>
  <c r="N123" i="5"/>
  <c r="J123" i="5"/>
  <c r="G123" i="5"/>
  <c r="AC122" i="5"/>
  <c r="N122" i="5"/>
  <c r="J122" i="5"/>
  <c r="G122" i="5"/>
  <c r="AC121" i="5"/>
  <c r="N121" i="5"/>
  <c r="J121" i="5"/>
  <c r="G121" i="5"/>
  <c r="AC120" i="5"/>
  <c r="N120" i="5"/>
  <c r="J120" i="5"/>
  <c r="G120" i="5"/>
  <c r="AC119" i="5"/>
  <c r="N119" i="5"/>
  <c r="J119" i="5"/>
  <c r="G119" i="5"/>
  <c r="AC118" i="5"/>
  <c r="N118" i="5"/>
  <c r="J118" i="5"/>
  <c r="G118" i="5"/>
  <c r="AC117" i="5"/>
  <c r="N117" i="5"/>
  <c r="J117" i="5"/>
  <c r="G117" i="5"/>
  <c r="AC116" i="5"/>
  <c r="N116" i="5"/>
  <c r="J116" i="5"/>
  <c r="G116" i="5"/>
  <c r="AC115" i="5"/>
  <c r="N115" i="5"/>
  <c r="J115" i="5"/>
  <c r="G115" i="5"/>
  <c r="AC114" i="5"/>
  <c r="N114" i="5"/>
  <c r="J114" i="5"/>
  <c r="G114" i="5"/>
  <c r="AC113" i="5"/>
  <c r="N113" i="5"/>
  <c r="J113" i="5"/>
  <c r="G113" i="5"/>
  <c r="AC112" i="5"/>
  <c r="N112" i="5"/>
  <c r="J112" i="5"/>
  <c r="G112" i="5"/>
  <c r="AC111" i="5"/>
  <c r="N111" i="5"/>
  <c r="J111" i="5"/>
  <c r="G111" i="5"/>
  <c r="AC110" i="5"/>
  <c r="N110" i="5"/>
  <c r="J110" i="5"/>
  <c r="G110" i="5"/>
  <c r="AC109" i="5"/>
  <c r="N109" i="5"/>
  <c r="J109" i="5"/>
  <c r="G109" i="5"/>
  <c r="AC108" i="5"/>
  <c r="N108" i="5"/>
  <c r="J108" i="5"/>
  <c r="G108" i="5"/>
  <c r="AC107" i="5"/>
  <c r="N107" i="5"/>
  <c r="J107" i="5"/>
  <c r="G107" i="5"/>
  <c r="AC106" i="5"/>
  <c r="N106" i="5"/>
  <c r="J106" i="5"/>
  <c r="G106" i="5"/>
  <c r="AC105" i="5"/>
  <c r="N105" i="5"/>
  <c r="J105" i="5"/>
  <c r="G105" i="5"/>
  <c r="AC104" i="5"/>
  <c r="N104" i="5"/>
  <c r="J104" i="5"/>
  <c r="G104" i="5"/>
  <c r="AC103" i="5"/>
  <c r="N103" i="5"/>
  <c r="J103" i="5"/>
  <c r="G103" i="5"/>
  <c r="AC102" i="5"/>
  <c r="N102" i="5"/>
  <c r="J102" i="5"/>
  <c r="G102" i="5"/>
  <c r="AC101" i="5"/>
  <c r="N101" i="5"/>
  <c r="J101" i="5"/>
  <c r="G101" i="5"/>
  <c r="AC100" i="5"/>
  <c r="N100" i="5"/>
  <c r="J100" i="5"/>
  <c r="G100" i="5"/>
  <c r="AC99" i="5"/>
  <c r="N99" i="5"/>
  <c r="J99" i="5"/>
  <c r="G99" i="5"/>
  <c r="AC98" i="5"/>
  <c r="N98" i="5"/>
  <c r="J98" i="5"/>
  <c r="G98" i="5"/>
  <c r="AC97" i="5"/>
  <c r="N97" i="5"/>
  <c r="J97" i="5"/>
  <c r="G97" i="5"/>
  <c r="AC96" i="5"/>
  <c r="N96" i="5"/>
  <c r="J96" i="5"/>
  <c r="G96" i="5"/>
  <c r="AC95" i="5"/>
  <c r="N95" i="5"/>
  <c r="J95" i="5"/>
  <c r="G95" i="5"/>
  <c r="AC94" i="5"/>
  <c r="N94" i="5"/>
  <c r="J94" i="5"/>
  <c r="G94" i="5"/>
  <c r="AC93" i="5"/>
  <c r="N93" i="5"/>
  <c r="J93" i="5"/>
  <c r="G93" i="5"/>
  <c r="AC92" i="5"/>
  <c r="N92" i="5"/>
  <c r="J92" i="5"/>
  <c r="G92" i="5"/>
  <c r="AC91" i="5"/>
  <c r="N91" i="5"/>
  <c r="J91" i="5"/>
  <c r="G91" i="5"/>
  <c r="AC90" i="5"/>
  <c r="N90" i="5"/>
  <c r="J90" i="5"/>
  <c r="G90" i="5"/>
  <c r="AC89" i="5"/>
  <c r="N89" i="5"/>
  <c r="J89" i="5"/>
  <c r="G89" i="5"/>
  <c r="AC88" i="5"/>
  <c r="N88" i="5"/>
  <c r="J88" i="5"/>
  <c r="G88" i="5"/>
  <c r="AC87" i="5"/>
  <c r="N87" i="5"/>
  <c r="J87" i="5"/>
  <c r="G87" i="5"/>
  <c r="AC86" i="5"/>
  <c r="N86" i="5"/>
  <c r="J86" i="5"/>
  <c r="G86" i="5"/>
  <c r="AC85" i="5"/>
  <c r="N85" i="5"/>
  <c r="J85" i="5"/>
  <c r="G85" i="5"/>
  <c r="AC84" i="5"/>
  <c r="N84" i="5"/>
  <c r="J84" i="5"/>
  <c r="G84" i="5"/>
  <c r="AC83" i="5"/>
  <c r="N83" i="5"/>
  <c r="J83" i="5"/>
  <c r="G83" i="5"/>
  <c r="AC82" i="5"/>
  <c r="N82" i="5"/>
  <c r="J82" i="5"/>
  <c r="G82" i="5"/>
  <c r="AC81" i="5"/>
  <c r="N81" i="5"/>
  <c r="J81" i="5"/>
  <c r="G81" i="5"/>
  <c r="AC80" i="5"/>
  <c r="N80" i="5"/>
  <c r="J80" i="5"/>
  <c r="G80" i="5"/>
  <c r="AC79" i="5"/>
  <c r="N79" i="5"/>
  <c r="J79" i="5"/>
  <c r="G79" i="5"/>
  <c r="AC78" i="5"/>
  <c r="N78" i="5"/>
  <c r="J78" i="5"/>
  <c r="G78" i="5"/>
  <c r="AC77" i="5"/>
  <c r="N77" i="5"/>
  <c r="J77" i="5"/>
  <c r="G77" i="5"/>
  <c r="AC76" i="5"/>
  <c r="N76" i="5"/>
  <c r="J76" i="5"/>
  <c r="G76" i="5"/>
  <c r="AC75" i="5"/>
  <c r="N75" i="5"/>
  <c r="J75" i="5"/>
  <c r="G75" i="5"/>
  <c r="AC74" i="5"/>
  <c r="N74" i="5"/>
  <c r="J74" i="5"/>
  <c r="G74" i="5"/>
  <c r="AC73" i="5"/>
  <c r="N73" i="5"/>
  <c r="J73" i="5"/>
  <c r="G73" i="5"/>
  <c r="AC72" i="5"/>
  <c r="N72" i="5"/>
  <c r="J72" i="5"/>
  <c r="G72" i="5"/>
  <c r="AC71" i="5"/>
  <c r="N71" i="5"/>
  <c r="J71" i="5"/>
  <c r="G71" i="5"/>
  <c r="AC70" i="5"/>
  <c r="N70" i="5"/>
  <c r="J70" i="5"/>
  <c r="G70" i="5"/>
  <c r="AC69" i="5"/>
  <c r="N69" i="5"/>
  <c r="J69" i="5"/>
  <c r="G69" i="5"/>
  <c r="AC68" i="5"/>
  <c r="N68" i="5"/>
  <c r="J68" i="5"/>
  <c r="G68" i="5"/>
  <c r="AC67" i="5"/>
  <c r="N67" i="5"/>
  <c r="J67" i="5"/>
  <c r="G67" i="5"/>
  <c r="AC66" i="5"/>
  <c r="N66" i="5"/>
  <c r="J66" i="5"/>
  <c r="G66" i="5"/>
  <c r="AC65" i="5"/>
  <c r="N65" i="5"/>
  <c r="J65" i="5"/>
  <c r="G65" i="5"/>
  <c r="AC64" i="5"/>
  <c r="N64" i="5"/>
  <c r="J64" i="5"/>
  <c r="G64" i="5"/>
  <c r="AC63" i="5"/>
  <c r="N63" i="5"/>
  <c r="J63" i="5"/>
  <c r="G63" i="5"/>
  <c r="AC62" i="5"/>
  <c r="N62" i="5"/>
  <c r="J62" i="5"/>
  <c r="G62" i="5"/>
  <c r="AC61" i="5"/>
  <c r="N61" i="5"/>
  <c r="J61" i="5"/>
  <c r="G61" i="5"/>
  <c r="AC60" i="5"/>
  <c r="N60" i="5"/>
  <c r="J60" i="5"/>
  <c r="G60" i="5"/>
  <c r="AC59" i="5"/>
  <c r="N59" i="5"/>
  <c r="J59" i="5"/>
  <c r="G59" i="5"/>
  <c r="AC58" i="5"/>
  <c r="N58" i="5"/>
  <c r="J58" i="5"/>
  <c r="G58" i="5"/>
  <c r="AC57" i="5"/>
  <c r="N57" i="5"/>
  <c r="J57" i="5"/>
  <c r="G57" i="5"/>
  <c r="AC56" i="5"/>
  <c r="N56" i="5"/>
  <c r="J56" i="5"/>
  <c r="G56" i="5"/>
  <c r="AC55" i="5"/>
  <c r="N55" i="5"/>
  <c r="J55" i="5"/>
  <c r="G55" i="5"/>
  <c r="AC54" i="5"/>
  <c r="N54" i="5"/>
  <c r="J54" i="5"/>
  <c r="G54" i="5"/>
  <c r="AC53" i="5"/>
  <c r="N53" i="5"/>
  <c r="J53" i="5"/>
  <c r="G53" i="5"/>
  <c r="AC52" i="5"/>
  <c r="N52" i="5"/>
  <c r="J52" i="5"/>
  <c r="G52" i="5"/>
  <c r="AC51" i="5"/>
  <c r="N51" i="5"/>
  <c r="J51" i="5"/>
  <c r="G51" i="5"/>
  <c r="AC50" i="5"/>
  <c r="N50" i="5"/>
  <c r="J50" i="5"/>
  <c r="G50" i="5"/>
  <c r="AC49" i="5"/>
  <c r="N49" i="5"/>
  <c r="J49" i="5"/>
  <c r="G49" i="5"/>
  <c r="AC48" i="5"/>
  <c r="N48" i="5"/>
  <c r="J48" i="5"/>
  <c r="G48" i="5"/>
  <c r="AC47" i="5"/>
  <c r="N47" i="5"/>
  <c r="J47" i="5"/>
  <c r="G47" i="5"/>
  <c r="AC46" i="5"/>
  <c r="N46" i="5"/>
  <c r="J46" i="5"/>
  <c r="G46" i="5"/>
  <c r="AC45" i="5"/>
  <c r="N45" i="5"/>
  <c r="J45" i="5"/>
  <c r="G45" i="5"/>
  <c r="AC44" i="5"/>
  <c r="N44" i="5"/>
  <c r="J44" i="5"/>
  <c r="G44" i="5"/>
  <c r="AC43" i="5"/>
  <c r="N43" i="5"/>
  <c r="J43" i="5"/>
  <c r="G43" i="5"/>
  <c r="AC42" i="5"/>
  <c r="N42" i="5"/>
  <c r="J42" i="5"/>
  <c r="G42" i="5"/>
  <c r="AC41" i="5"/>
  <c r="N41" i="5"/>
  <c r="J41" i="5"/>
  <c r="G41" i="5"/>
  <c r="AC40" i="5"/>
  <c r="N40" i="5"/>
  <c r="J40" i="5"/>
  <c r="G40" i="5"/>
  <c r="AC39" i="5"/>
  <c r="N39" i="5"/>
  <c r="J39" i="5"/>
  <c r="G39" i="5"/>
  <c r="AC38" i="5"/>
  <c r="N38" i="5"/>
  <c r="J38" i="5"/>
  <c r="G38" i="5"/>
  <c r="AC37" i="5"/>
  <c r="N37" i="5"/>
  <c r="J37" i="5"/>
  <c r="G37" i="5"/>
  <c r="AC36" i="5"/>
  <c r="N36" i="5"/>
  <c r="J36" i="5"/>
  <c r="G36" i="5"/>
  <c r="AC35" i="5"/>
  <c r="N35" i="5"/>
  <c r="J35" i="5"/>
  <c r="G35" i="5"/>
  <c r="AC34" i="5"/>
  <c r="N34" i="5"/>
  <c r="J34" i="5"/>
  <c r="G34" i="5"/>
  <c r="AC33" i="5"/>
  <c r="N33" i="5"/>
  <c r="J33" i="5"/>
  <c r="G33" i="5"/>
  <c r="AC32" i="5"/>
  <c r="N32" i="5"/>
  <c r="J32" i="5"/>
  <c r="G32" i="5"/>
  <c r="AC31" i="5"/>
  <c r="N31" i="5"/>
  <c r="J31" i="5"/>
  <c r="G31" i="5"/>
  <c r="AC30" i="5"/>
  <c r="N30" i="5"/>
  <c r="J30" i="5"/>
  <c r="G30" i="5"/>
  <c r="AC29" i="5"/>
  <c r="N29" i="5"/>
  <c r="J29" i="5"/>
  <c r="G29" i="5"/>
  <c r="AC28" i="5"/>
  <c r="N28" i="5"/>
  <c r="J28" i="5"/>
  <c r="G28" i="5"/>
  <c r="AC27" i="5"/>
  <c r="N27" i="5"/>
  <c r="J27" i="5"/>
  <c r="G27" i="5"/>
  <c r="AC26" i="5"/>
  <c r="N26" i="5"/>
  <c r="J26" i="5"/>
  <c r="G26" i="5"/>
  <c r="AC25" i="5"/>
  <c r="N25" i="5"/>
  <c r="J25" i="5"/>
  <c r="G25" i="5"/>
  <c r="AC24" i="5"/>
  <c r="N24" i="5"/>
  <c r="J24" i="5"/>
  <c r="G24" i="5"/>
  <c r="AC23" i="5"/>
  <c r="N23" i="5"/>
  <c r="J23" i="5"/>
  <c r="G23" i="5"/>
  <c r="AC22" i="5"/>
  <c r="N22" i="5"/>
  <c r="J22" i="5"/>
  <c r="G22" i="5"/>
  <c r="AC21" i="5"/>
  <c r="N21" i="5"/>
  <c r="J21" i="5"/>
  <c r="G21" i="5"/>
  <c r="AC20" i="5"/>
  <c r="N20" i="5"/>
  <c r="J20" i="5"/>
  <c r="G20" i="5"/>
  <c r="AC19" i="5"/>
  <c r="N19" i="5"/>
  <c r="J19" i="5"/>
  <c r="G19" i="5"/>
  <c r="AC18" i="5"/>
  <c r="N18" i="5"/>
  <c r="J18" i="5"/>
  <c r="G18" i="5"/>
  <c r="AC17" i="5"/>
  <c r="N17" i="5"/>
  <c r="J17" i="5"/>
  <c r="G17" i="5"/>
  <c r="AC16" i="5"/>
  <c r="N16" i="5"/>
  <c r="J16" i="5"/>
  <c r="G16" i="5"/>
  <c r="AC15" i="5"/>
  <c r="N15" i="5"/>
  <c r="J15" i="5"/>
  <c r="G15" i="5"/>
  <c r="AC14" i="5"/>
  <c r="N14" i="5"/>
  <c r="J14" i="5"/>
  <c r="G14" i="5"/>
  <c r="AC13" i="5"/>
  <c r="N13" i="5"/>
  <c r="J13" i="5"/>
  <c r="G13" i="5"/>
  <c r="AC12" i="5"/>
  <c r="N12" i="5"/>
  <c r="J12" i="5"/>
  <c r="G12" i="5"/>
  <c r="AC11" i="5"/>
  <c r="N11" i="5"/>
  <c r="J11" i="5"/>
  <c r="G11" i="5"/>
  <c r="AC10" i="5"/>
  <c r="N10" i="5"/>
  <c r="J10" i="5"/>
  <c r="G10" i="5"/>
  <c r="AC9" i="5"/>
  <c r="N9" i="5"/>
  <c r="J9" i="5"/>
  <c r="G9" i="5"/>
  <c r="AC8" i="5"/>
  <c r="N8" i="5"/>
  <c r="J8" i="5"/>
  <c r="G8" i="5"/>
  <c r="AC7" i="5"/>
  <c r="N7" i="5"/>
  <c r="J7" i="5"/>
  <c r="G7" i="5"/>
  <c r="AC6" i="5"/>
  <c r="N6" i="5"/>
  <c r="J6" i="5"/>
  <c r="G6" i="5"/>
  <c r="AC5" i="5"/>
  <c r="N5" i="5"/>
  <c r="J5" i="5"/>
  <c r="G5" i="5"/>
  <c r="AC4" i="5"/>
  <c r="N4" i="5"/>
  <c r="J4" i="5"/>
  <c r="G4" i="5"/>
  <c r="AC3" i="5"/>
  <c r="N3" i="5"/>
  <c r="J3" i="5"/>
  <c r="G3" i="5"/>
  <c r="AC2" i="5"/>
  <c r="N2" i="5"/>
  <c r="J2" i="5"/>
  <c r="G2" i="5"/>
  <c r="B4" i="1" l="1"/>
  <c r="B5" i="1"/>
  <c r="B3" i="1"/>
  <c r="W3" i="1"/>
  <c r="Y3" i="1"/>
  <c r="AA3" i="1"/>
  <c r="W4" i="1"/>
  <c r="Y4" i="1"/>
  <c r="AA4" i="1"/>
  <c r="W5" i="1"/>
  <c r="Y5" i="1"/>
  <c r="AA5" i="1"/>
  <c r="X3" i="1"/>
  <c r="AB3" i="1"/>
  <c r="Z4" i="1"/>
  <c r="X5" i="1"/>
  <c r="AB5" i="1"/>
  <c r="AA2" i="1"/>
  <c r="Y2" i="1"/>
  <c r="W2" i="1"/>
  <c r="S4" i="1"/>
  <c r="S2" i="1"/>
  <c r="Z3" i="1"/>
  <c r="AB4" i="1"/>
  <c r="AB2" i="1"/>
  <c r="X2" i="1"/>
  <c r="S5" i="1"/>
  <c r="K3" i="1"/>
  <c r="K5" i="1"/>
  <c r="H3" i="1"/>
  <c r="H5" i="1"/>
  <c r="G3" i="1"/>
  <c r="G5" i="1"/>
  <c r="X4" i="1"/>
  <c r="Z5" i="1"/>
  <c r="Z2" i="1"/>
  <c r="S3" i="1"/>
  <c r="K4" i="1"/>
  <c r="K2" i="1"/>
  <c r="G4" i="1"/>
  <c r="G2" i="1"/>
  <c r="H4" i="1"/>
  <c r="H2" i="1"/>
  <c r="B2" i="1"/>
  <c r="E2" i="2"/>
  <c r="D2" i="2"/>
</calcChain>
</file>

<file path=xl/sharedStrings.xml><?xml version="1.0" encoding="utf-8"?>
<sst xmlns="http://schemas.openxmlformats.org/spreadsheetml/2006/main" count="38221" uniqueCount="14766">
  <si>
    <t>품목별 주문번호</t>
  </si>
  <si>
    <t>주문일시</t>
  </si>
  <si>
    <t>수령인</t>
  </si>
  <si>
    <t>수령인 우편번호(해외)</t>
  </si>
  <si>
    <t>수령인 주소(전체)</t>
  </si>
  <si>
    <t>시/군/도시</t>
  </si>
  <si>
    <t>주/도</t>
  </si>
  <si>
    <t>수령인 핸드폰</t>
  </si>
  <si>
    <t>수령인 전화번호</t>
  </si>
  <si>
    <t>배송국가</t>
  </si>
  <si>
    <t>상품코드</t>
  </si>
  <si>
    <t>영문상품명</t>
  </si>
  <si>
    <t>주문상품명(기본)</t>
  </si>
  <si>
    <t>주문상품명</t>
  </si>
  <si>
    <t>상품가격</t>
  </si>
  <si>
    <t>HSCODE</t>
  </si>
  <si>
    <t>중량</t>
  </si>
  <si>
    <t>총 결제금액</t>
  </si>
  <si>
    <t>총중량</t>
  </si>
  <si>
    <t>희망배송일</t>
  </si>
  <si>
    <t>수령자명(발음기호)</t>
  </si>
  <si>
    <t>주문자 이메일</t>
  </si>
  <si>
    <t>상품명(영문몰 쇼핑몰)</t>
  </si>
  <si>
    <t>상품소재(영문몰 쇼핑몰)</t>
  </si>
  <si>
    <t>상품위치코드</t>
    <phoneticPr fontId="3" type="noConversion"/>
  </si>
  <si>
    <t>바코드</t>
    <phoneticPr fontId="3" type="noConversion"/>
  </si>
  <si>
    <t>품목별 주문번호</t>
    <phoneticPr fontId="3" type="noConversion"/>
  </si>
  <si>
    <t>상품품목코드</t>
    <phoneticPr fontId="2" type="noConversion"/>
  </si>
  <si>
    <t>주문번호</t>
    <phoneticPr fontId="3" type="noConversion"/>
  </si>
  <si>
    <t>주문번호</t>
    <phoneticPr fontId="2" type="noConversion"/>
  </si>
  <si>
    <t>자사 상품명</t>
    <phoneticPr fontId="3" type="noConversion"/>
  </si>
  <si>
    <t>자사 품목명</t>
    <phoneticPr fontId="3" type="noConversion"/>
  </si>
  <si>
    <t>희망배송업체/방식</t>
  </si>
  <si>
    <t>수량</t>
    <phoneticPr fontId="2" type="noConversion"/>
  </si>
  <si>
    <t>합포번호</t>
    <phoneticPr fontId="3" type="noConversion"/>
  </si>
  <si>
    <t>신분증ID</t>
    <phoneticPr fontId="2" type="noConversion"/>
  </si>
  <si>
    <t>mnmm17ssc21_7</t>
  </si>
  <si>
    <t>pearl gold chain black case</t>
  </si>
  <si>
    <t>YP18SPTS02IV</t>
  </si>
  <si>
    <t>y point T-shirts_ivory</t>
  </si>
  <si>
    <t>YP18SPTS02BK</t>
  </si>
  <si>
    <t>y point T-shirts_black</t>
  </si>
  <si>
    <t>mnmm16ssc05_7</t>
  </si>
  <si>
    <t>control case</t>
  </si>
  <si>
    <t>UNISEX OVERSIZED DAMBORU T-SHIRT atb148u
Purple</t>
  </si>
  <si>
    <t>mnmm17ss2e05</t>
  </si>
  <si>
    <t>window marble stand earring</t>
  </si>
  <si>
    <t>BS17SS-TS04YLF</t>
  </si>
  <si>
    <t>OFF SHOULDER T YELLOW</t>
  </si>
  <si>
    <t>mnmm16ssc07_7p</t>
  </si>
  <si>
    <t>marble case</t>
  </si>
  <si>
    <t>SDY-16SS-T01PK</t>
  </si>
  <si>
    <t>Salon T</t>
  </si>
  <si>
    <t>JG-USAR122542703SV</t>
  </si>
  <si>
    <t>S73TS51BL</t>
  </si>
  <si>
    <t>17 S/T CROP TS</t>
  </si>
  <si>
    <t>JG-USAE1242A139BK</t>
  </si>
  <si>
    <t>JG-USAE1227A212GD</t>
  </si>
  <si>
    <t>atm17fo002bk</t>
  </si>
  <si>
    <t>Print Cotton Jacket</t>
  </si>
  <si>
    <t>JG-USAE1227A187BL</t>
  </si>
  <si>
    <t>JG-USAE1232A194BK</t>
  </si>
  <si>
    <t>M17FWER002GD</t>
  </si>
  <si>
    <t>Shining star earrings</t>
  </si>
  <si>
    <t>1EDNSTDSCRBL_28</t>
  </si>
  <si>
    <t>Saint DS Blue / Newcrop</t>
  </si>
  <si>
    <t>ARS00485_2</t>
  </si>
  <si>
    <t>Leto BROWN ARS00485_2</t>
  </si>
  <si>
    <t>MB7STS807BK</t>
  </si>
  <si>
    <t>Side Band T-shirt(BLACK)</t>
  </si>
  <si>
    <t>Z165AP519M82F</t>
  </si>
  <si>
    <t>Z165AP800M36F</t>
  </si>
  <si>
    <t>Z165AP502M44F</t>
  </si>
  <si>
    <t>V17SUTS04BLF</t>
  </si>
  <si>
    <t>RE TP T-SHIRT(BLUE)</t>
  </si>
  <si>
    <t>atb124BKS</t>
  </si>
  <si>
    <t>UNISEX ANDERSSON VINTAGE COTTON T-SHIRT  atb124u</t>
  </si>
  <si>
    <t>atb113mRDM</t>
  </si>
  <si>
    <t>CALIFORNIA ALOHA SHIRT 
atb113m</t>
  </si>
  <si>
    <t>JG-USAB12202214SV</t>
  </si>
  <si>
    <t>JG-USAE1225A214GD</t>
  </si>
  <si>
    <t>atb149uBKL</t>
  </si>
  <si>
    <t>UNISEX INSTANT CRUSH HOODIE atb149u(Black)</t>
  </si>
  <si>
    <t>aaa042uBRE</t>
  </si>
  <si>
    <t>UNISEX NEW GLOSS BASEBALL CAP 
aaa042u</t>
  </si>
  <si>
    <r>
      <t>日期</t>
    </r>
    <r>
      <rPr>
        <b/>
        <sz val="10"/>
        <rFont val="맑은 고딕"/>
        <family val="3"/>
        <charset val="129"/>
        <scheme val="minor"/>
      </rPr>
      <t>주문날짜</t>
    </r>
    <phoneticPr fontId="42" type="noConversion"/>
  </si>
  <si>
    <r>
      <t>店铺</t>
    </r>
    <r>
      <rPr>
        <b/>
        <sz val="10"/>
        <rFont val="맑은 고딕"/>
        <family val="3"/>
        <charset val="129"/>
        <scheme val="minor"/>
      </rPr>
      <t>매장</t>
    </r>
    <phoneticPr fontId="43" type="noConversion"/>
  </si>
  <si>
    <r>
      <t>订单编号</t>
    </r>
    <r>
      <rPr>
        <b/>
        <sz val="10"/>
        <rFont val="맑은 고딕"/>
        <family val="3"/>
        <charset val="129"/>
        <scheme val="minor"/>
      </rPr>
      <t>주문번호</t>
    </r>
    <phoneticPr fontId="43" type="noConversion"/>
  </si>
  <si>
    <r>
      <t>会员名</t>
    </r>
    <r>
      <rPr>
        <b/>
        <sz val="10"/>
        <rFont val="맑은 고딕"/>
        <family val="3"/>
        <charset val="129"/>
        <scheme val="minor"/>
      </rPr>
      <t>고객</t>
    </r>
    <r>
      <rPr>
        <b/>
        <sz val="10"/>
        <rFont val="맑은 고딕"/>
        <family val="3"/>
        <charset val="134"/>
        <scheme val="minor"/>
      </rPr>
      <t>ID</t>
    </r>
    <phoneticPr fontId="44" type="noConversion"/>
  </si>
  <si>
    <r>
      <t>付款时间</t>
    </r>
    <r>
      <rPr>
        <b/>
        <sz val="10"/>
        <rFont val="맑은 고딕"/>
        <family val="3"/>
        <charset val="129"/>
        <scheme val="minor"/>
      </rPr>
      <t>결제시간</t>
    </r>
    <phoneticPr fontId="42" type="noConversion"/>
  </si>
  <si>
    <r>
      <t>收货人</t>
    </r>
    <r>
      <rPr>
        <b/>
        <sz val="10"/>
        <rFont val="맑은 고딕"/>
        <family val="3"/>
        <charset val="129"/>
        <scheme val="minor"/>
      </rPr>
      <t>수취인</t>
    </r>
    <r>
      <rPr>
        <b/>
        <sz val="10"/>
        <rFont val="맑은 고딕"/>
        <family val="3"/>
        <charset val="134"/>
        <scheme val="minor"/>
      </rPr>
      <t xml:space="preserve"> </t>
    </r>
    <phoneticPr fontId="42" type="noConversion"/>
  </si>
  <si>
    <r>
      <t>手机号</t>
    </r>
    <r>
      <rPr>
        <b/>
        <sz val="10"/>
        <rFont val="맑은 고딕"/>
        <family val="3"/>
        <charset val="129"/>
        <scheme val="minor"/>
      </rPr>
      <t>핸드폰번호</t>
    </r>
    <phoneticPr fontId="42" type="noConversion"/>
  </si>
  <si>
    <r>
      <t>邮编</t>
    </r>
    <r>
      <rPr>
        <b/>
        <sz val="10"/>
        <rFont val="맑은 고딕"/>
        <family val="3"/>
        <charset val="129"/>
        <scheme val="minor"/>
      </rPr>
      <t>우편번호</t>
    </r>
    <phoneticPr fontId="43" type="noConversion"/>
  </si>
  <si>
    <r>
      <t>收货信息</t>
    </r>
    <r>
      <rPr>
        <b/>
        <sz val="10"/>
        <rFont val="맑은 고딕"/>
        <family val="3"/>
        <charset val="129"/>
        <scheme val="minor"/>
      </rPr>
      <t>수취정보</t>
    </r>
    <phoneticPr fontId="44" type="noConversion"/>
  </si>
  <si>
    <t>SKU</t>
    <phoneticPr fontId="44" type="noConversion"/>
  </si>
  <si>
    <r>
      <t>商品名</t>
    </r>
    <r>
      <rPr>
        <b/>
        <sz val="10"/>
        <rFont val="맑은 고딕"/>
        <family val="3"/>
        <charset val="129"/>
        <scheme val="minor"/>
      </rPr>
      <t>상품명</t>
    </r>
    <phoneticPr fontId="43" type="noConversion"/>
  </si>
  <si>
    <r>
      <t xml:space="preserve">商品单价 </t>
    </r>
    <r>
      <rPr>
        <b/>
        <sz val="10"/>
        <rFont val="맑은 고딕"/>
        <family val="3"/>
        <charset val="129"/>
        <scheme val="minor"/>
      </rPr>
      <t>단가</t>
    </r>
    <phoneticPr fontId="43" type="noConversion"/>
  </si>
  <si>
    <r>
      <t>USD</t>
    </r>
    <r>
      <rPr>
        <b/>
        <sz val="10"/>
        <rFont val="맑은 고딕"/>
        <family val="3"/>
        <charset val="129"/>
        <scheme val="minor"/>
      </rPr>
      <t>가격</t>
    </r>
    <phoneticPr fontId="43" type="noConversion"/>
  </si>
  <si>
    <r>
      <t>件数</t>
    </r>
    <r>
      <rPr>
        <b/>
        <sz val="10"/>
        <rFont val="맑은 고딕"/>
        <family val="3"/>
        <charset val="129"/>
        <scheme val="minor"/>
      </rPr>
      <t>개수</t>
    </r>
    <phoneticPr fontId="44" type="noConversion"/>
  </si>
  <si>
    <r>
      <t>快递名称</t>
    </r>
    <r>
      <rPr>
        <b/>
        <sz val="10"/>
        <rFont val="맑은 고딕"/>
        <family val="3"/>
        <charset val="129"/>
        <scheme val="minor"/>
      </rPr>
      <t>물류회사</t>
    </r>
    <phoneticPr fontId="44" type="noConversion"/>
  </si>
  <si>
    <r>
      <t>运单号</t>
    </r>
    <r>
      <rPr>
        <b/>
        <sz val="10"/>
        <rFont val="맑은 고딕"/>
        <family val="3"/>
        <charset val="129"/>
        <scheme val="minor"/>
      </rPr>
      <t>송장번호</t>
    </r>
    <phoneticPr fontId="44" type="noConversion"/>
  </si>
  <si>
    <t>品牌브랜드</t>
  </si>
  <si>
    <t>买家留言</t>
    <phoneticPr fontId="43" type="noConversion"/>
  </si>
  <si>
    <r>
      <t>审核时间</t>
    </r>
    <r>
      <rPr>
        <b/>
        <sz val="10"/>
        <rFont val="맑은 고딕"/>
        <family val="3"/>
        <charset val="129"/>
        <scheme val="minor"/>
      </rPr>
      <t>등록시간</t>
    </r>
    <phoneticPr fontId="43" type="noConversion"/>
  </si>
  <si>
    <r>
      <t>发货时间</t>
    </r>
    <r>
      <rPr>
        <b/>
        <sz val="10"/>
        <rFont val="맑은 고딕"/>
        <family val="3"/>
        <charset val="129"/>
        <scheme val="minor"/>
      </rPr>
      <t>발송시간</t>
    </r>
    <phoneticPr fontId="43" type="noConversion"/>
  </si>
  <si>
    <r>
      <t>备注</t>
    </r>
    <r>
      <rPr>
        <b/>
        <sz val="10"/>
        <rFont val="맑은 고딕"/>
        <family val="3"/>
        <charset val="129"/>
        <scheme val="minor"/>
      </rPr>
      <t>비고</t>
    </r>
    <phoneticPr fontId="43" type="noConversion"/>
  </si>
  <si>
    <t>MIDNIGHT MOMENT</t>
  </si>
  <si>
    <t>YUPPE</t>
  </si>
  <si>
    <t>ANDERSSON BELL</t>
  </si>
  <si>
    <t>BIBYSEOB</t>
  </si>
  <si>
    <t>J.GRACELET</t>
  </si>
  <si>
    <t>SALAD BOWLS</t>
  </si>
  <si>
    <t>AT THE MOMENT</t>
  </si>
  <si>
    <t>M.M.D</t>
  </si>
  <si>
    <t>ALICE MARTHA</t>
  </si>
  <si>
    <t>MAIN BOOTH</t>
  </si>
  <si>
    <t>ZANIMAL</t>
  </si>
  <si>
    <t>LUV IS TRUE</t>
  </si>
  <si>
    <t>공급처분류</t>
  </si>
  <si>
    <t>상품공급처명</t>
  </si>
  <si>
    <t>상품분류</t>
  </si>
  <si>
    <t>상품등록일자</t>
  </si>
  <si>
    <t>바코드번호</t>
  </si>
  <si>
    <t>바코드번호(서식)</t>
  </si>
  <si>
    <t>바코드번호2</t>
  </si>
  <si>
    <t>상품명</t>
  </si>
  <si>
    <t>상품명(서식)</t>
  </si>
  <si>
    <t>대표판매가</t>
  </si>
  <si>
    <t>대표공급가</t>
  </si>
  <si>
    <t>시중가</t>
  </si>
  <si>
    <t>사입상품명</t>
  </si>
  <si>
    <t>옵션정보일련번호</t>
  </si>
  <si>
    <t>옵션코드</t>
  </si>
  <si>
    <t>사입옵션명</t>
  </si>
  <si>
    <t>옵션내용</t>
  </si>
  <si>
    <t>인쇄용상품명</t>
  </si>
  <si>
    <t>현재재고</t>
  </si>
  <si>
    <t>안정재고</t>
  </si>
  <si>
    <t>원가</t>
  </si>
  <si>
    <t>재고금액</t>
  </si>
  <si>
    <t>품절여부</t>
  </si>
  <si>
    <t>품절일자</t>
  </si>
  <si>
    <t>판매여부</t>
  </si>
  <si>
    <t>관리등급</t>
  </si>
  <si>
    <t>판매단가</t>
  </si>
  <si>
    <t>상품위치</t>
  </si>
  <si>
    <t>비고</t>
  </si>
  <si>
    <t>상품설명</t>
  </si>
  <si>
    <t>상품메모1</t>
  </si>
  <si>
    <t>상품메모2</t>
  </si>
  <si>
    <t>상품메모3</t>
  </si>
  <si>
    <t>상품메모4</t>
  </si>
  <si>
    <t>상품메모5</t>
  </si>
  <si>
    <t>상품메모6</t>
  </si>
  <si>
    <t>상품메모7</t>
  </si>
  <si>
    <t>상품메모8</t>
  </si>
  <si>
    <t>상품메모9</t>
  </si>
  <si>
    <t>상품메모10</t>
  </si>
  <si>
    <t>대표이미지주소</t>
  </si>
  <si>
    <t>이전위치</t>
  </si>
  <si>
    <t>위치작업일시</t>
  </si>
  <si>
    <t>미발송주문수</t>
  </si>
  <si>
    <t>여분수량</t>
  </si>
  <si>
    <t>2018-03-28 오후 12:59:00</t>
  </si>
  <si>
    <t>3-181322101525305</t>
  </si>
  <si>
    <t>yuppe denim pants</t>
  </si>
  <si>
    <t>YP18SPPT01DEM</t>
  </si>
  <si>
    <t>denim/M</t>
  </si>
  <si>
    <t>yuppe denim pants[denim/M]</t>
  </si>
  <si>
    <t>미품절</t>
  </si>
  <si>
    <t>판매</t>
  </si>
  <si>
    <t>일반관리</t>
  </si>
  <si>
    <t>3-181322101525303</t>
  </si>
  <si>
    <t>YP18SPPT01DES</t>
  </si>
  <si>
    <t>denim/S</t>
  </si>
  <si>
    <t>yuppe denim pants[denim/S]</t>
  </si>
  <si>
    <t>3-181312100169204</t>
  </si>
  <si>
    <t>yuppe cotton pants_ivory</t>
  </si>
  <si>
    <t>YP18SPPT01IVM</t>
  </si>
  <si>
    <t>ivory/M</t>
  </si>
  <si>
    <t>yuppe cotton pants_ivory[ivory/M]</t>
  </si>
  <si>
    <t>3-181312100169320</t>
  </si>
  <si>
    <t>YP18SPPT01IVS</t>
  </si>
  <si>
    <t>ivory/S</t>
  </si>
  <si>
    <t>yuppe cotton pants_ivory[ivory/S]</t>
  </si>
  <si>
    <t>3-181312100199204</t>
  </si>
  <si>
    <t>yuppe cotton pants_black</t>
  </si>
  <si>
    <t>YP18SPPT01BKM</t>
  </si>
  <si>
    <t>black/M</t>
  </si>
  <si>
    <t>yuppe cotton pants_black[black/M]</t>
  </si>
  <si>
    <t>3-181312100199320</t>
  </si>
  <si>
    <t>YP18SPPT01BKS</t>
  </si>
  <si>
    <t>black/S</t>
  </si>
  <si>
    <t>yuppe cotton pants_black[black/S]</t>
  </si>
  <si>
    <t>3-181332101599320</t>
  </si>
  <si>
    <t>belt wrap skirt_black</t>
  </si>
  <si>
    <t>YP18SPSK02BK</t>
  </si>
  <si>
    <t>black/FREE</t>
  </si>
  <si>
    <t>belt wrap skirt_black[black/FREE]</t>
  </si>
  <si>
    <t>3-181332101574320</t>
  </si>
  <si>
    <t>belt wrap skirt_beige</t>
  </si>
  <si>
    <t>YP18SPSK02BE</t>
  </si>
  <si>
    <t>beige/FREE</t>
  </si>
  <si>
    <t>belt wrap skirt_beige[beige/FREE]</t>
  </si>
  <si>
    <t>3-181332100425320</t>
  </si>
  <si>
    <t>denim stirpe skirt_skyblue</t>
  </si>
  <si>
    <t>YP18SPSK01SK</t>
  </si>
  <si>
    <t>skyblue/FREE</t>
  </si>
  <si>
    <t>denim stirpe skirt_skyblue[skyblue/FREE]</t>
  </si>
  <si>
    <t>3-181332100430320</t>
  </si>
  <si>
    <t>denim stirpe skirt_navy</t>
  </si>
  <si>
    <t>YP18SPSK01NY</t>
  </si>
  <si>
    <t>navy/FREE</t>
  </si>
  <si>
    <t>denim stirpe skirt_navy[navy/FREE]</t>
  </si>
  <si>
    <t>3-181222102991208</t>
  </si>
  <si>
    <t>neck point T-shirts_white</t>
  </si>
  <si>
    <t>YP18SPTS01WH</t>
  </si>
  <si>
    <t>white/FREE</t>
  </si>
  <si>
    <t>neck point T-shirts_white[white/FREE]</t>
  </si>
  <si>
    <t>3-181222102930208</t>
  </si>
  <si>
    <t>neck point T-shirts_navy</t>
  </si>
  <si>
    <t>YP18SPTS01NY</t>
  </si>
  <si>
    <t>neck point T-shirts_navy[navy/FREE]</t>
  </si>
  <si>
    <t>3-181212101491208</t>
  </si>
  <si>
    <t>sailor button shirts_white</t>
  </si>
  <si>
    <t>YP18SPSH06WH</t>
  </si>
  <si>
    <t>sailor button shirts_white[white/FREE]</t>
  </si>
  <si>
    <t>3-181212101401208</t>
  </si>
  <si>
    <t>sailor button shirts_pink</t>
  </si>
  <si>
    <t>YP18SPSH06PK</t>
  </si>
  <si>
    <t>pink/FREE</t>
  </si>
  <si>
    <t>sailor button shirts_pink[pink/FREE]</t>
  </si>
  <si>
    <t>3-181212101391208</t>
  </si>
  <si>
    <t>wave stripe shirts_white</t>
  </si>
  <si>
    <t>YP18SPSH05WH</t>
  </si>
  <si>
    <t>wave stripe shirts_white[white/FREE]</t>
  </si>
  <si>
    <t>3-181212101325208</t>
  </si>
  <si>
    <t>wave stripe shirts_blue</t>
  </si>
  <si>
    <t>YP18SPSH05BL</t>
  </si>
  <si>
    <t>blue/FREE</t>
  </si>
  <si>
    <t>wave stripe shirts_blue[blue/FREE]</t>
  </si>
  <si>
    <t>3-181212101223108</t>
  </si>
  <si>
    <t>color shirring shirts_skyblue</t>
  </si>
  <si>
    <t>YP18SPSH04SK</t>
  </si>
  <si>
    <t>color shirring shirts_skyblue[skyblue/FREE]</t>
  </si>
  <si>
    <t>3-181212101299108</t>
  </si>
  <si>
    <t>color shirring shirts_black</t>
  </si>
  <si>
    <t>YP18SPSH04BK</t>
  </si>
  <si>
    <t>color shirring shirts_black[black/FREE]</t>
  </si>
  <si>
    <t>3-181212101191208</t>
  </si>
  <si>
    <t>collar point shirts_white</t>
  </si>
  <si>
    <t>YP18SPSH03WH</t>
  </si>
  <si>
    <t>collar point shirts_white[white/FREE]</t>
  </si>
  <si>
    <t>3-181212101101208</t>
  </si>
  <si>
    <t>collar point shirts_pink</t>
  </si>
  <si>
    <t>YP18SPSH03PK</t>
  </si>
  <si>
    <t>collar point shirts_pink[pink/FREE]</t>
  </si>
  <si>
    <t>3-181212101065208</t>
  </si>
  <si>
    <t>flare shirts_yellow</t>
  </si>
  <si>
    <t>YP18SPSH02YE</t>
  </si>
  <si>
    <t>yellow/FREE</t>
  </si>
  <si>
    <t>flare shirts_yellow[yellow/FREE]</t>
  </si>
  <si>
    <t>3-181212101001208</t>
  </si>
  <si>
    <t>flare shirts_pink</t>
  </si>
  <si>
    <t>YP18SPSH02PK</t>
  </si>
  <si>
    <t>flare shirts_pink[pink/FREE]</t>
  </si>
  <si>
    <t>3-181212100923208</t>
  </si>
  <si>
    <t>zip up shirts_skyblue</t>
  </si>
  <si>
    <t>YP18SPSH01SK</t>
  </si>
  <si>
    <t>zip up shirts_skyblue[skyblue/FREE]</t>
  </si>
  <si>
    <t>3-181212100999208</t>
  </si>
  <si>
    <t>zip up shirts_black</t>
  </si>
  <si>
    <t>YP18SPSH01BK</t>
  </si>
  <si>
    <t>zip up shirts_black[black/FREE]</t>
  </si>
  <si>
    <t>3-181252102162208</t>
  </si>
  <si>
    <t>waist shirring onepiece_orange</t>
  </si>
  <si>
    <t>YP18SPOP01OR</t>
  </si>
  <si>
    <t>orange/FREE</t>
  </si>
  <si>
    <t>waist shirring onepiece_orange[orange/FREE]</t>
  </si>
  <si>
    <t>3-181252102103208</t>
  </si>
  <si>
    <t>waist shirring onepiece_light purple</t>
  </si>
  <si>
    <t>YP18SPOP01PU</t>
  </si>
  <si>
    <t>light purple/FREE</t>
  </si>
  <si>
    <t>waist shirring onepiece_light purple[light purple/FREE]</t>
  </si>
  <si>
    <t>3-181132100518208</t>
  </si>
  <si>
    <t>frill cardigan_navy</t>
  </si>
  <si>
    <t>YP18SPKT01NY</t>
  </si>
  <si>
    <t>frill cardigan_navy[navy/FREE]</t>
  </si>
  <si>
    <t>3-181132100566208</t>
  </si>
  <si>
    <t>frill cardigan_dark pink</t>
  </si>
  <si>
    <t>YP18SPKT01PK</t>
  </si>
  <si>
    <t>dark pink/FREE</t>
  </si>
  <si>
    <t>frill cardigan_dark pink[dark pink/FREE]</t>
  </si>
  <si>
    <t>3-181112100690208</t>
  </si>
  <si>
    <t>frill trench coat_light grey</t>
  </si>
  <si>
    <t>YP18SPCT01GR</t>
  </si>
  <si>
    <t>light grey/FREE</t>
  </si>
  <si>
    <t>frill trench coat_light grey[light grey/FREE]</t>
  </si>
  <si>
    <t>3-181112100674208</t>
  </si>
  <si>
    <t>frill trench coat_beige</t>
  </si>
  <si>
    <t>YP18SPCT01BE</t>
  </si>
  <si>
    <t>frill trench coat_beige[beige/FREE]</t>
  </si>
  <si>
    <t>2-000000012117</t>
  </si>
  <si>
    <t>Becky Pink ARS00574_PK</t>
  </si>
  <si>
    <t>ARS00574_PK</t>
  </si>
  <si>
    <t>Pink/ONE SIZE(Free)</t>
  </si>
  <si>
    <t>Becky Pink ARS00574_PK[Pink/ONE SIZE(Free)]</t>
  </si>
  <si>
    <t>2-000000012124</t>
  </si>
  <si>
    <t>Becky Burgundy ARS00574_BU</t>
  </si>
  <si>
    <t>ARS00574_BU</t>
  </si>
  <si>
    <t>Burgundy/ONE SIZE(Free)</t>
  </si>
  <si>
    <t>Becky Burgundy ARS00574_BU[Burgundy/ONE SIZE(Free)]</t>
  </si>
  <si>
    <t>2-000000012254</t>
  </si>
  <si>
    <t>Kassia Red KDK00576_RD</t>
  </si>
  <si>
    <t>KDK00576_RD</t>
  </si>
  <si>
    <t>Red/ONE SIZE(Free)</t>
  </si>
  <si>
    <t>Kassia Red KDK00576_RD[Red/ONE SIZE(Free)]</t>
  </si>
  <si>
    <t>2-000000012230</t>
  </si>
  <si>
    <t>Kassia Light Purple KDK00576_LP</t>
  </si>
  <si>
    <t>KDK00576_LP</t>
  </si>
  <si>
    <t>Light Purple/ONE SIZE(Free)</t>
  </si>
  <si>
    <t>Kassia Light Purple KDK00576_LP[Light Purple/ONE SIZE(Free)]</t>
  </si>
  <si>
    <t>2-000000012247</t>
  </si>
  <si>
    <t>Kassia Ivory KDK00576_IV</t>
  </si>
  <si>
    <t>KDK00576_IV</t>
  </si>
  <si>
    <t>Ivory/ONE SIZE(Free)</t>
  </si>
  <si>
    <t>Kassia Ivory KDK00576_IV[Ivory/ONE SIZE(Free)]</t>
  </si>
  <si>
    <t>2-000000012223</t>
  </si>
  <si>
    <t>Kassia Indy Pink KDK00576_IP</t>
  </si>
  <si>
    <t>KDK00576_IP</t>
  </si>
  <si>
    <t>Indy Pink/ONE SIZE(Free)</t>
  </si>
  <si>
    <t>Kassia Indy Pink KDK00576_IP[Indy Pink/ONE SIZE(Free)]</t>
  </si>
  <si>
    <t>2-000000012216</t>
  </si>
  <si>
    <t>Kassia Black KDK00576_BK</t>
  </si>
  <si>
    <t>KDK00576_BK</t>
  </si>
  <si>
    <t>Black/ONE SIZE(Free)</t>
  </si>
  <si>
    <t>Kassia Black KDK00576_BK[Black/ONE SIZE(Free)]</t>
  </si>
  <si>
    <t>2-000000012209</t>
  </si>
  <si>
    <t>Lottie Purple DSS00575_PP</t>
  </si>
  <si>
    <t>DSS00575_PP</t>
  </si>
  <si>
    <t>Purple/ONE SIZE(Free)</t>
  </si>
  <si>
    <t>Lottie Purple DSS00575_PP[Purple/ONE SIZE(Free)]</t>
  </si>
  <si>
    <t>2-000000012179</t>
  </si>
  <si>
    <t>Lottie Mustard DSS00575_MU</t>
  </si>
  <si>
    <t>DSS00575_MU</t>
  </si>
  <si>
    <t>Mustard/ONE SIZE(Free)</t>
  </si>
  <si>
    <t>Lottie Mustard DSS00575_MU[Mustard/ONE SIZE(Free)]</t>
  </si>
  <si>
    <t>2-000000012193</t>
  </si>
  <si>
    <t>Lottie Ivory DSS00575_IV</t>
  </si>
  <si>
    <t>DSS00575_IV</t>
  </si>
  <si>
    <t>Lottie Ivory DSS00575_IV[Ivory/ONE SIZE(Free)]</t>
  </si>
  <si>
    <t>2-000000012162</t>
  </si>
  <si>
    <t>Lottie Black DSS00575_BK</t>
  </si>
  <si>
    <t>DSS00575_BK</t>
  </si>
  <si>
    <t>Lottie Black DSS00575_BK[Black/ONE SIZE(Free)]</t>
  </si>
  <si>
    <t>2-000000012186</t>
  </si>
  <si>
    <t>Lottie Beige DSS00575_BG</t>
  </si>
  <si>
    <t>DSS00575_BG</t>
  </si>
  <si>
    <t>Beige/ONE SIZE(Free)</t>
  </si>
  <si>
    <t>Lottie Beige DSS00575_BG[Beige/ONE SIZE(Free)]</t>
  </si>
  <si>
    <t>2-000000012094</t>
  </si>
  <si>
    <t>Demilune Light Gray PHK00573_LG</t>
  </si>
  <si>
    <t>PHK00573_LG</t>
  </si>
  <si>
    <t>Light Gray/ONE SIZE(Free)</t>
  </si>
  <si>
    <t>Demilune Light Gray PHK00573_LG[Light Gray/ONE SIZE(Free)]</t>
  </si>
  <si>
    <t>2-000000012087</t>
  </si>
  <si>
    <t>Demilune Indy Pink PHK00573_IP</t>
  </si>
  <si>
    <t>PHK00573_IP</t>
  </si>
  <si>
    <t>Demilune Indy Pink PHK00573_IP[Indy Pink/ONE SIZE(Free)]</t>
  </si>
  <si>
    <t>2-000000012070</t>
  </si>
  <si>
    <t>Demilune Brown PHK00573_BR</t>
  </si>
  <si>
    <t>PHK00573_BR</t>
  </si>
  <si>
    <t>Brown/ONE SIZE(Free)</t>
  </si>
  <si>
    <t>Demilune Brown PHK00573_BR[Brown/ONE SIZE(Free)]</t>
  </si>
  <si>
    <t>2-000000012063</t>
  </si>
  <si>
    <t>Demilune Black PHK00573_BK</t>
  </si>
  <si>
    <t>PHK00573_BK</t>
  </si>
  <si>
    <t>Demilune Black PHK00573_BK[Black/ONE SIZE(Free)]</t>
  </si>
  <si>
    <t>2-000000012100</t>
  </si>
  <si>
    <t>Demilune Beige PHK00573_BG</t>
  </si>
  <si>
    <t>PHK00573_BG</t>
  </si>
  <si>
    <t>Demilune Beige PHK00573_BG[Beige/ONE SIZE(Free)]</t>
  </si>
  <si>
    <t>2-000000011998</t>
  </si>
  <si>
    <t>Matilda Black KDK00571_BK</t>
  </si>
  <si>
    <t>KDK00571_BK</t>
  </si>
  <si>
    <t>Matilda Black KDK00571_BK[Black/ONE SIZE(Free)]</t>
  </si>
  <si>
    <t>2-000000012032</t>
  </si>
  <si>
    <t>Joy Light Gray KJS00572_LG</t>
  </si>
  <si>
    <t>KJS00572_LG</t>
  </si>
  <si>
    <t>Joy Light Gray KJS00572_LG[Light Gray/ONE SIZE(Free)]</t>
  </si>
  <si>
    <t>2-000000012056</t>
  </si>
  <si>
    <t>Joy Khaki KJS00572_KK</t>
  </si>
  <si>
    <t>KJS00572_KK</t>
  </si>
  <si>
    <t>Khaki/ONE SIZE(Free)</t>
  </si>
  <si>
    <t>Joy Khaki KJS00572_KK[Khaki/ONE SIZE(Free)]</t>
  </si>
  <si>
    <t>2-000000012025</t>
  </si>
  <si>
    <t>Joy Ivory KJS00572_IV</t>
  </si>
  <si>
    <t>KJS00572_IV</t>
  </si>
  <si>
    <t>Joy Ivory KJS00572_IV[Ivory/ONE SIZE(Free)]</t>
  </si>
  <si>
    <t>2-000000012018</t>
  </si>
  <si>
    <t>Joy Indy Pink KJS00572_IP</t>
  </si>
  <si>
    <t>KJS00572_IP</t>
  </si>
  <si>
    <t>Joy Indy Pink KJS00572_IP[Indy Pink/ONE SIZE(Free)]</t>
  </si>
  <si>
    <t>2-000000012049</t>
  </si>
  <si>
    <t>Joy Brown KJS00572_BR</t>
  </si>
  <si>
    <t>KJS00572_BR</t>
  </si>
  <si>
    <t>Joy Brown KJS00572_BR[Brown/ONE SIZE(Free)]</t>
  </si>
  <si>
    <t>2-000000012001</t>
  </si>
  <si>
    <t>Joy Black KJS00572_BK</t>
  </si>
  <si>
    <t>KJS00572_BK</t>
  </si>
  <si>
    <t>Joy Black KJS00572_BK[Black/ONE SIZE(Free)]</t>
  </si>
  <si>
    <t>2-000000009667</t>
  </si>
  <si>
    <t>Mardi Pink KDK00545_PK</t>
  </si>
  <si>
    <t>KDK00545_PK</t>
  </si>
  <si>
    <t>Mardi Pink KDK00545_PK[Pink/ONE SIZE(Free)]</t>
  </si>
  <si>
    <t>2-000000009636</t>
  </si>
  <si>
    <t>Mardi Mustard KDK00545_MU</t>
  </si>
  <si>
    <t>KDK00545_MU</t>
  </si>
  <si>
    <t>Mardi Mustard KDK00545_MU[Mustard/ONE SIZE(Free)]</t>
  </si>
  <si>
    <t>2-000000009643</t>
  </si>
  <si>
    <t>Mardi Brown KDK00545_BR</t>
  </si>
  <si>
    <t>KDK00545_BR</t>
  </si>
  <si>
    <t>Mardi Brown KDK00545_BR[Brown/ONE SIZE(Free)]</t>
  </si>
  <si>
    <t>2-000000009650</t>
  </si>
  <si>
    <t>Mardi Blue KDK00545_BL</t>
  </si>
  <si>
    <t>KDK00545_BL</t>
  </si>
  <si>
    <t>Blue/ONE SIZE(Free)</t>
  </si>
  <si>
    <t>Mardi Blue KDK00545_BL[Blue/ONE SIZE(Free)]</t>
  </si>
  <si>
    <t>2-000000009629</t>
  </si>
  <si>
    <t>Mardi Black KDK00545_BK</t>
  </si>
  <si>
    <t>KDK00545_BK</t>
  </si>
  <si>
    <t>Mardi Black KDK00545_BK[Black/ONE SIZE(Free)]</t>
  </si>
  <si>
    <t>2-000000009674</t>
  </si>
  <si>
    <t>Mardi Beige KDK00545_BG</t>
  </si>
  <si>
    <t>KDK00545_BG</t>
  </si>
  <si>
    <t>Mardi Beige KDK00545_BG[Beige/ONE SIZE(Free)]</t>
  </si>
  <si>
    <t>2-000000009421</t>
  </si>
  <si>
    <t>Joanna SkyBlue ARS00540_SB</t>
  </si>
  <si>
    <t>ARS00540_SB</t>
  </si>
  <si>
    <t>SkyBlue/ONE SIZE(Free)</t>
  </si>
  <si>
    <t>Joanna SkyBlue ARS00540_SB[SkyBlue/ONE SIZE(Free)]</t>
  </si>
  <si>
    <t>2-000000009438</t>
  </si>
  <si>
    <t>Joanna Ivory ARS00540_IV</t>
  </si>
  <si>
    <t>ARS00540_IV</t>
  </si>
  <si>
    <t>Joanna Ivory ARS00540_IV[Ivory/ONE SIZE(Free)]</t>
  </si>
  <si>
    <t>2-000000009414</t>
  </si>
  <si>
    <t>Joanna Brown ARS00540_BR</t>
  </si>
  <si>
    <t>ARS00540_BR</t>
  </si>
  <si>
    <t>Joanna Brown ARS00540_BR[Brown/ONE SIZE(Free)]</t>
  </si>
  <si>
    <t>2-000000009445</t>
  </si>
  <si>
    <t>Joanna Black ARS00540_BK</t>
  </si>
  <si>
    <t>ARS00540_BK</t>
  </si>
  <si>
    <t>Joanna Black ARS00540_BK[Black/ONE SIZE(Free)]</t>
  </si>
  <si>
    <t>2-000000009452</t>
  </si>
  <si>
    <t>Joanna Beige ARS00540_BG</t>
  </si>
  <si>
    <t>ARS00540_BG</t>
  </si>
  <si>
    <t>Joanna Beige ARS00540_BG[Beige/ONE SIZE(Free)]</t>
  </si>
  <si>
    <t>2-000000009568</t>
  </si>
  <si>
    <t>Adela Ivory NGI00542_IV</t>
  </si>
  <si>
    <t>NGI00542_IV</t>
  </si>
  <si>
    <t>Adela Ivory NGI00542_IV[Ivory/ONE SIZE(Free)]</t>
  </si>
  <si>
    <t>2-000000009537</t>
  </si>
  <si>
    <t>Adela Brown NGI00542_BR</t>
  </si>
  <si>
    <t>NGI00542_BR</t>
  </si>
  <si>
    <t>Adela Brown NGI00542_BR[Brown/ONE SIZE(Free)]</t>
  </si>
  <si>
    <t>2-000000009551</t>
  </si>
  <si>
    <t>Adela Blue NGI00542_BL</t>
  </si>
  <si>
    <t>NGI00542_BL</t>
  </si>
  <si>
    <t>Adela Blue NGI00542_BL[Blue/ONE SIZE(Free)]</t>
  </si>
  <si>
    <t>2-000000009520</t>
  </si>
  <si>
    <t>Adela Black NGI00542_BK</t>
  </si>
  <si>
    <t>NGI00542_BK</t>
  </si>
  <si>
    <t>Adela Black NGI00542_BK[Black/ONE SIZE(Free)]</t>
  </si>
  <si>
    <t>2-000000009544</t>
  </si>
  <si>
    <t>Adela Beige NGI00542_BG</t>
  </si>
  <si>
    <t>NGI00542_BG</t>
  </si>
  <si>
    <t>Adela Beige NGI00542_BG[Beige/ONE SIZE(Free)]</t>
  </si>
  <si>
    <t>A-17S2TBU144OGXL</t>
  </si>
  <si>
    <t>UNISEX ALIVE STRIPE T-SHIRT atb144u(Orange)</t>
  </si>
  <si>
    <t>atb144uOGXL</t>
  </si>
  <si>
    <t>Orange/XL</t>
  </si>
  <si>
    <t>UNISEX ALIVE STRIPE T-SHIRT atb144u(Orange)[Orange/XL]</t>
  </si>
  <si>
    <t>A-17S2TBU144OGL</t>
  </si>
  <si>
    <t>atb144uOGL</t>
  </si>
  <si>
    <t>Orange/L</t>
  </si>
  <si>
    <t>UNISEX ALIVE STRIPE T-SHIRT atb144u(Orange)[Orange/L]</t>
  </si>
  <si>
    <t>A-17S2TBU144OGM</t>
  </si>
  <si>
    <t>atb144uOGM</t>
  </si>
  <si>
    <t>Orange/M</t>
  </si>
  <si>
    <t>UNISEX ALIVE STRIPE T-SHIRT atb144u(Orange)[Orange/M]</t>
  </si>
  <si>
    <t>A-17S2TBU144OGS</t>
  </si>
  <si>
    <t>atb144uOGS</t>
  </si>
  <si>
    <t>Orange/S</t>
  </si>
  <si>
    <t>UNISEX ALIVE STRIPE T-SHIRT atb144u(Orange)[Orange/S]</t>
  </si>
  <si>
    <t>A-17S2TBU144OGXS</t>
  </si>
  <si>
    <t>atb144uOGXS</t>
  </si>
  <si>
    <t>Orange/XS</t>
  </si>
  <si>
    <t>UNISEX ALIVE STRIPE T-SHIRT atb144u(Orange)[Orange/XS]</t>
  </si>
  <si>
    <t>OHL</t>
  </si>
  <si>
    <t>2018-03-27 오전 11:40:00</t>
  </si>
  <si>
    <t>O-L18SPOP04MBFH</t>
  </si>
  <si>
    <t>OL18SPOP04MBFH</t>
  </si>
  <si>
    <t>POINT CUFFS V NECK DRESS_MINT BLUE</t>
  </si>
  <si>
    <t>MINT BLUE</t>
  </si>
  <si>
    <t>POINT CUFFS V NECK DRESS_MINT BLUE[MINT BLUE]</t>
  </si>
  <si>
    <t>O-L18SPOP01PKFH</t>
  </si>
  <si>
    <t>OL18SPOP01PKFH</t>
  </si>
  <si>
    <t>SMOCKING SLEEVE PLEATS DERSS_LIGHT PINK</t>
  </si>
  <si>
    <t>LIGHT PINK</t>
  </si>
  <si>
    <t>SMOCKING SLEEVE PLEATS DERSS_LIGHT PINK[LIGHT PINK]</t>
  </si>
  <si>
    <t>O-L18SPOP02BGFH</t>
  </si>
  <si>
    <t>OL18SPOP02BGFH</t>
  </si>
  <si>
    <t>SMOCKING PLEATS MINI DRESS_BLUSH GREEN</t>
  </si>
  <si>
    <t>BLUSH GREEN</t>
  </si>
  <si>
    <t>SMOCKING PLEATS MINI DRESS_BLUSH GREEN[BLUSH GREEN]</t>
  </si>
  <si>
    <t>O-L18SPOP04YEFH</t>
  </si>
  <si>
    <t>OL18SPOP04YEFH</t>
  </si>
  <si>
    <t>POINT CUFFS V NECK DRESS_YELLOW</t>
  </si>
  <si>
    <t>YELLOW</t>
  </si>
  <si>
    <t>POINT CUFFS V NECK DRESS_YELLOW[YELLOW]</t>
  </si>
  <si>
    <t>O-L18SPOP01SBFH</t>
  </si>
  <si>
    <t>OL18SPOP01SBFH</t>
  </si>
  <si>
    <t>SMOCKING SLEEVE PLEATS DRESS_SKY BLUE</t>
  </si>
  <si>
    <t>SKY BLUE</t>
  </si>
  <si>
    <t>SMOCKING SLEEVE PLEATS DRESS_SKY BLUE[SKY BLUE]</t>
  </si>
  <si>
    <t>O-L18SPBL01RPFH</t>
  </si>
  <si>
    <t>OL18SPBL01RPFH</t>
  </si>
  <si>
    <t>STRING POINT PRILL BLOUSE_ROSE PINK</t>
  </si>
  <si>
    <t>ROSE PINK</t>
  </si>
  <si>
    <t>STRING POINT PRILL BLOUSE_ROSE PINK[ROSE PINK]</t>
  </si>
  <si>
    <t>O-L18SPOT01YEFH</t>
  </si>
  <si>
    <t>OL18SPOT01YEFH</t>
  </si>
  <si>
    <t>INVERTED PLEATS SLEEVE TRENCH COAT_ YELLOW</t>
  </si>
  <si>
    <t>INVERTED PLEATS SLEEVE TRENCH COAT_ YELLOW[YELLOW]</t>
  </si>
  <si>
    <t>O-L18SPOT01MTFH</t>
  </si>
  <si>
    <t>OL18SPOT01MTFH</t>
  </si>
  <si>
    <t>INVERTED PLEATS SLEEVE TRENCH COAT_ MINT BLUE</t>
  </si>
  <si>
    <t>INVERTED PLEATS SLEEVE TRENCH COAT_ MINT BLUE[MINT BLUE]</t>
  </si>
  <si>
    <t>O-L18SPAC01LDFS</t>
  </si>
  <si>
    <t>OL18SPAC01LDFS</t>
  </si>
  <si>
    <t>18 spring bracelet</t>
  </si>
  <si>
    <t>???( ????)</t>
  </si>
  <si>
    <t>18 spring bracelet[???( ????)]</t>
  </si>
  <si>
    <t>O-L17WTBL02NYFH</t>
  </si>
  <si>
    <t>OL17WTBL02NYFH</t>
  </si>
  <si>
    <t>DAISY DOT PRINT SHIRRING BLOUSE_NAVY</t>
  </si>
  <si>
    <t>NAVY</t>
  </si>
  <si>
    <t>DAISY DOT PRINT SHIRRING BLOUSE_NAVY[NAVY]</t>
  </si>
  <si>
    <t>O-L17WTBL02RDFH</t>
  </si>
  <si>
    <t>OL17WTBL02RDFH</t>
  </si>
  <si>
    <t>DAISY DOT PRINT SHIRRING BLOUSE_RED</t>
  </si>
  <si>
    <t>BOOUSE_RED</t>
  </si>
  <si>
    <t>DAISY DOT PRINT SHIRRING BLOUSE_RED[BOOUSE_RED]</t>
  </si>
  <si>
    <t>O-L17WTOP01RDSH</t>
  </si>
  <si>
    <t>OL17WTOP01RDSH</t>
  </si>
  <si>
    <t>DAISY DOT PRINT CORSET BELT DRESS_RED/S</t>
  </si>
  <si>
    <t>RED/S</t>
  </si>
  <si>
    <t>DAISY DOT PRINT CORSET BELT DRESS_RED/S[RED/S]</t>
  </si>
  <si>
    <t>O-L17WTOP01RDMH</t>
  </si>
  <si>
    <t>OL17WTOP01RDMH</t>
  </si>
  <si>
    <t>DAISY DOT PRINT CORSET BELT DRESS_RED/M</t>
  </si>
  <si>
    <t>RED/M</t>
  </si>
  <si>
    <t>DAISY DOT PRINT CORSET BELT DRESS_RED/M[RED/M]</t>
  </si>
  <si>
    <t>O-L17WTOP01NYSH</t>
  </si>
  <si>
    <t>OL17WTOP01NYSH</t>
  </si>
  <si>
    <t>DAISY DOT PRINT CORSET BELT DRESS_NAVY/S</t>
  </si>
  <si>
    <t>NAVY/S</t>
  </si>
  <si>
    <t>DAISY DOT PRINT CORSET BELT DRESS_NAVY/S[NAVY/S]</t>
  </si>
  <si>
    <t>O-L17WTOP01NYMH</t>
  </si>
  <si>
    <t>OL17WTOP01NYMH</t>
  </si>
  <si>
    <t>DAISY DOT PRINT CORSET BELT DRESS_NAVY/M</t>
  </si>
  <si>
    <t>NAVY/M</t>
  </si>
  <si>
    <t>DAISY DOT PRINT CORSET BELT DRESS_NAVY/M[NAVY/M]</t>
  </si>
  <si>
    <t>O-LX1ST17OP01PLFH</t>
  </si>
  <si>
    <t>OLX1ST17OP01PLFH</t>
  </si>
  <si>
    <t>COLOR POINT SHIRNING DRESS_PURPLE</t>
  </si>
  <si>
    <t>PURPLE</t>
  </si>
  <si>
    <t>COLOR POINT SHIRNING DRESS_PURPLE[PURPLE]</t>
  </si>
  <si>
    <t>O-LX1ST17OP01BKFH</t>
  </si>
  <si>
    <t>OLX1ST17OP01BKFH</t>
  </si>
  <si>
    <t>COLOR POINT SHIRNING DRESS_BLACK</t>
  </si>
  <si>
    <t>BLACK</t>
  </si>
  <si>
    <t>COLOR POINT SHIRNING DRESS_BLACK[BLACK]</t>
  </si>
  <si>
    <t>O-L16SPJK01NYMH</t>
  </si>
  <si>
    <t>OL16SPJK01NYMH</t>
  </si>
  <si>
    <t>CHECK SUIT SINGLE JACKET_navy/M</t>
  </si>
  <si>
    <t>navy/M</t>
  </si>
  <si>
    <t>CHECK SUIT SINGLE JACKET_navy/M[navy/M]</t>
  </si>
  <si>
    <t>O-L17WTOP02OBFH</t>
  </si>
  <si>
    <t>OL17WTOP02OBFH</t>
  </si>
  <si>
    <t>SHINING VELVET MINI DRESS_OCEAN BLUE</t>
  </si>
  <si>
    <t>OCEAN BLUE</t>
  </si>
  <si>
    <t>SHINING VELVET MINI DRESS_OCEAN BLUE[OCEAN BLUE]</t>
  </si>
  <si>
    <t>O-L17WTOP02BKFH</t>
  </si>
  <si>
    <t>OL17WTOP02BKFH</t>
  </si>
  <si>
    <t>SHINING VELVET MINI DRESS_BLACK</t>
  </si>
  <si>
    <t>BLACk</t>
  </si>
  <si>
    <t>SHINING VELVET MINI DRESS_BLACK[BLACk]</t>
  </si>
  <si>
    <t>O-L17WTOP04BKMH</t>
  </si>
  <si>
    <t>OL17WTOP04BKMH</t>
  </si>
  <si>
    <t>TUCK POINT LINE DRESS_BLACK/M</t>
  </si>
  <si>
    <t>BLACK/M</t>
  </si>
  <si>
    <t>TUCK POINT LINE DRESS_BLACK/M[BLACK/M]</t>
  </si>
  <si>
    <t>O-L17WTOP04BKSH</t>
  </si>
  <si>
    <t>OL17WTOP04BKSH</t>
  </si>
  <si>
    <t>TUCK POINT LINE DRESS_BLACK/S</t>
  </si>
  <si>
    <t>BLACK/S</t>
  </si>
  <si>
    <t>TUCK POINT LINE DRESS_BLACK/S[BLACK/S]</t>
  </si>
  <si>
    <t>O-L17WTOP04RPMH</t>
  </si>
  <si>
    <t>OL17WTOP04RPMH</t>
  </si>
  <si>
    <t>TUCK POINT LINE DRESS_ROSE PINK/M</t>
  </si>
  <si>
    <t>ROSE PINK/M</t>
  </si>
  <si>
    <t>TUCK POINT LINE DRESS_ROSE PINK/M[ROSE PINK/M]</t>
  </si>
  <si>
    <t>O-L17WTOP04RPSH</t>
  </si>
  <si>
    <t>OL17WTOP04RPSH</t>
  </si>
  <si>
    <t>TUCK POINT LINE DRESS_ROSE PINK/S</t>
  </si>
  <si>
    <t>ROSE PINK/S</t>
  </si>
  <si>
    <t>TUCK POINT LINE DRESS_ROSE PINK/S[ROSE PINK/S]</t>
  </si>
  <si>
    <t>O-L17WTOT02OCFH</t>
  </si>
  <si>
    <t>OL17WTOT02OCFH</t>
  </si>
  <si>
    <t>DOUBLE BOTTON COAT_ORANGE CAMEL</t>
  </si>
  <si>
    <t>FREE</t>
  </si>
  <si>
    <t>DOUBLE BOTTON COAT_ORANGE CAMEL[FREE]</t>
  </si>
  <si>
    <t>O-L17WTOT02CHFH</t>
  </si>
  <si>
    <t>OL17WTOT02CHFH</t>
  </si>
  <si>
    <t>DOUBLE BOTTON COAT_CHOCOLATE</t>
  </si>
  <si>
    <t>DOUBLE BOTTON COAT_CHOCOLATE[FREE]</t>
  </si>
  <si>
    <t>O-L17WTOT01BGMH</t>
  </si>
  <si>
    <t>OL17WTOT01BGMH</t>
  </si>
  <si>
    <t>PUFF SLEEVES  VOLUME LINE  COAT_BLUISH GREEN</t>
  </si>
  <si>
    <t>BLUISH GREEN/M</t>
  </si>
  <si>
    <t>PUFF SLEEVES  VOLUME LINE  COAT_BLUISH GREEN[BLUISH GREEN/M]</t>
  </si>
  <si>
    <t>O-L17WTOT01BGSH</t>
  </si>
  <si>
    <t>OL17WTOT01BGSH</t>
  </si>
  <si>
    <t>BLUISH GREEN/S</t>
  </si>
  <si>
    <t>PUFF SLEEVES  VOLUME LINE  COAT_BLUISH GREEN[BLUISH GREEN/S]</t>
  </si>
  <si>
    <t>O-L17WTOT01BEMH</t>
  </si>
  <si>
    <t>OL17WTOT01BEMH</t>
  </si>
  <si>
    <t>PUFF SLEEVES  VOLUME LINE  COAT_BEIGE/M</t>
  </si>
  <si>
    <t>BEIGE/M</t>
  </si>
  <si>
    <t>PUFF SLEEVES  VOLUME LINE  COAT_BEIGE/M[BEIGE/M]</t>
  </si>
  <si>
    <t>O-L17WTOT01BESH</t>
  </si>
  <si>
    <t>OL17WTOT01BESH</t>
  </si>
  <si>
    <t>PUFF SLEEVES  VOLUME LINE  COAT _BEIGE/S</t>
  </si>
  <si>
    <t>BEIGE/S</t>
  </si>
  <si>
    <t>PUFF SLEEVES  VOLUME LINE  COAT _BEIGE/S[BEIGE/S]</t>
  </si>
  <si>
    <t>O-L17WTOT01RDMH</t>
  </si>
  <si>
    <t>OL17WTOT01RDMH</t>
  </si>
  <si>
    <t>PUFF SLEEVES  VOLUME LINE  COAT _RED/M</t>
  </si>
  <si>
    <t>PUFF SLEEVES  VOLUME LINE  COAT _RED/M[RED/M]</t>
  </si>
  <si>
    <t>O-L17WTOT01RDSH</t>
  </si>
  <si>
    <t>OL17WTOT01RDSH</t>
  </si>
  <si>
    <t>PUFF SLEEVES  VOLUME LINE  COAT _RED/S</t>
  </si>
  <si>
    <t>PUFF SLEEVES  VOLUME LINE  COAT _RED/S[RED/S]</t>
  </si>
  <si>
    <t>O-L17WTOT01DPMH</t>
  </si>
  <si>
    <t>OL17WTOT01DPMH</t>
  </si>
  <si>
    <t>PUFF SLEEVES  VOLUME LINE  COAT _DEEP PINK/M</t>
  </si>
  <si>
    <t>DEEP PINK/M</t>
  </si>
  <si>
    <t>PUFF SLEEVES  VOLUME LINE  COAT _DEEP PINK/M[DEEP PINK/M]</t>
  </si>
  <si>
    <t>O-L17WTOT01DPSH</t>
  </si>
  <si>
    <t>OL17WTOT01DPSH</t>
  </si>
  <si>
    <t>PUFF SLEEVES  VOLUME LINE  COAT_ DEEP PINK/S</t>
  </si>
  <si>
    <t xml:space="preserve"> DEEP PINK/S</t>
  </si>
  <si>
    <t>PUFF SLEEVES  VOLUME LINE  COAT_ DEEP PINK/S[ DEEP PINK/S]</t>
  </si>
  <si>
    <t>O-L17WTSKS01BNFH</t>
  </si>
  <si>
    <t>OL17WTSKS01BNFH</t>
  </si>
  <si>
    <t>DAISY PATTERN COLOR MIX SOCKS_BRAUN</t>
  </si>
  <si>
    <t>BRAUN</t>
  </si>
  <si>
    <t>DAISY PATTERN COLOR MIX SOCKS_BRAUN[BRAUN]</t>
  </si>
  <si>
    <t>O-L17WTSKS01NYFH</t>
  </si>
  <si>
    <t>OL17WTSKS01NYFH</t>
  </si>
  <si>
    <t>DAISY PATTERN COLOR MIX SOCKS_NAVY</t>
  </si>
  <si>
    <t>DAISY PATTERN COLOR MIX SOCKS_NAVY[NAVY]</t>
  </si>
  <si>
    <t>O-L17WTSKT01DBSH</t>
  </si>
  <si>
    <t>OL17WTSKT01DBSH</t>
  </si>
  <si>
    <t>MERMAID CHECK SLIT SKIRT  DARK BLUE/S</t>
  </si>
  <si>
    <t xml:space="preserve"> DARK BLUE/S</t>
  </si>
  <si>
    <t>MERMAID CHECK SLIT SKIRT  DARK BLUE/S[ DARK BLUE/S]</t>
  </si>
  <si>
    <t>O-L17WTSKT01DBMH</t>
  </si>
  <si>
    <t>OL17WTSKT01DBMH</t>
  </si>
  <si>
    <t>MERMAID CHECK SLIT SKIRT  DARK BLUE/M</t>
  </si>
  <si>
    <t>DARK BLUM/M</t>
  </si>
  <si>
    <t>MERMAID CHECK SLIT SKIRT  DARK BLUE/M[DARK BLUM/M]</t>
  </si>
  <si>
    <t>O-L17WTSKT01DGMH</t>
  </si>
  <si>
    <t>OL17WTSKT01DGMH</t>
  </si>
  <si>
    <t>MERMAID CHECK SLIT SKIRT  DARK GREEN/M</t>
  </si>
  <si>
    <t>DARK GREEN/M</t>
  </si>
  <si>
    <t>MERMAID CHECK SLIT SKIRT  DARK GREEN/M[DARK GREEN/M]</t>
  </si>
  <si>
    <t>O-L17WTSKT01DGSH</t>
  </si>
  <si>
    <t>OL17WTSKT01DGSH</t>
  </si>
  <si>
    <t>MERMAID CHECK SLIT SKIRT  DARK GREEN/S</t>
  </si>
  <si>
    <t>DARK GREEN/S</t>
  </si>
  <si>
    <t>MERMAID CHECK SLIT SKIRT  DARK GREEN/S[DARK GREEN/S]</t>
  </si>
  <si>
    <t>O-L17WTSKT02PCMH</t>
  </si>
  <si>
    <t>OL17WTSKT02PCMH</t>
  </si>
  <si>
    <t>VELVET POINT MINI SKIRT CHECKED/M</t>
  </si>
  <si>
    <t>CHECKED/M</t>
  </si>
  <si>
    <t>VELVET POINT MINI SKIRT CHECKED/M[CHECKED/M]</t>
  </si>
  <si>
    <t>O-L17WTSKT02PCSH</t>
  </si>
  <si>
    <t>OL17WTSKT02PCSH</t>
  </si>
  <si>
    <t>VELVET POINT MINI SKIRT  CHECKED/S</t>
  </si>
  <si>
    <t>CHECKED/S</t>
  </si>
  <si>
    <t>VELVET POINT MINI SKIRT  CHECKED/S[CHECKED/S]</t>
  </si>
  <si>
    <t>O-L17WTSKT02RDMH</t>
  </si>
  <si>
    <t>OL17WTSKT02RDMH</t>
  </si>
  <si>
    <t>VELVET POINT MINI SKIRT RED/M</t>
  </si>
  <si>
    <t>VELVET POINT MINI SKIRT RED/M[RED/M]</t>
  </si>
  <si>
    <t>O-L17WTSKT02RDSH</t>
  </si>
  <si>
    <t>OL17WTSKT02RDSH</t>
  </si>
  <si>
    <t>VELVET POINT MINI SKIRT  RED/S</t>
  </si>
  <si>
    <t>VELVET POINT MINI SKIRT  RED/S[RED/S]</t>
  </si>
  <si>
    <t>O-L17FLBL02MUFH</t>
  </si>
  <si>
    <t>OL17FLBL02MUFH</t>
  </si>
  <si>
    <t>POINT SLEEVES BASIC BLOUSE_MUSTARD</t>
  </si>
  <si>
    <t xml:space="preserve"> BLOUSE_MUSTARD</t>
  </si>
  <si>
    <t>POINT SLEEVES BASIC BLOUSE_MUSTARD[ BLOUSE_MUSTARD]</t>
  </si>
  <si>
    <t>O-L15WTOT01LVFH</t>
  </si>
  <si>
    <t>OL15WTOT01LVFH</t>
  </si>
  <si>
    <t>DROP SHOULDER WOOL COAT_LIGHT VIOLET</t>
  </si>
  <si>
    <t>LIGHT VIOLET</t>
  </si>
  <si>
    <t>DROP SHOULDER WOOL COAT_LIGHT VIOLET[LIGHT VIOLET]</t>
  </si>
  <si>
    <t>O-L17FLOP02OBMH</t>
  </si>
  <si>
    <t>OL17FLOP02OBMH</t>
  </si>
  <si>
    <t>PUFF SHOULDER BUTTON LACE DRESS_ORANGE BROWN/M</t>
  </si>
  <si>
    <t>ORANGE BROWN/M</t>
  </si>
  <si>
    <t>PUFF SHOULDER BUTTON LACE DRESS_ORANGE BROWN/M[ORANGE BROWN/M]</t>
  </si>
  <si>
    <t>O-L17FLOP02OBSH</t>
  </si>
  <si>
    <t>OL17FLOP02OBSH</t>
  </si>
  <si>
    <t>PUFF SHOULDER BUTTON LACE DRESS_ORANGE BROWN/S</t>
  </si>
  <si>
    <t>ORANGE BROWN/S</t>
  </si>
  <si>
    <t>PUFF SHOULDER BUTTON LACE DRESS_ORANGE BROWN/S[ORANGE BROWN/S]</t>
  </si>
  <si>
    <t>O-L17FLOP02RPFH</t>
  </si>
  <si>
    <t>OL17FLOP02RPFH</t>
  </si>
  <si>
    <t>FLOWR LACE ALL PLEATS DRESS_ROSE PINK</t>
  </si>
  <si>
    <t>FLOWR LACE ALL PLEATS DRESS_ROSE PINK[ROSE PINK]</t>
  </si>
  <si>
    <t>O-L17FLJK01BRFH</t>
  </si>
  <si>
    <t>OL17FLJK01BRFH</t>
  </si>
  <si>
    <t>STRAIGHT FIT CHECK JACKET_BROWN WITH 3COLORS</t>
  </si>
  <si>
    <t>BROWN WITH 3COLORS</t>
  </si>
  <si>
    <t>STRAIGHT FIT CHECK JACKET_BROWN WITH 3COLORS[BROWN WITH 3COLORS]</t>
  </si>
  <si>
    <t>O-L17FLOP02BGSH</t>
  </si>
  <si>
    <t>OL17FLOP02BGSH</t>
  </si>
  <si>
    <t>PUFF SHOULDER BUTTON LACE DRESS_BLUISH GREEN/S</t>
  </si>
  <si>
    <t>PUFF SHOULDER BUTTON LACE DRESS_BLUISH GREEN/S[BLUISH GREEN/S]</t>
  </si>
  <si>
    <t>O-L17FLOP02BGMH</t>
  </si>
  <si>
    <t>OL17FLOP02BGMH</t>
  </si>
  <si>
    <t>PUFF SHOULDER BUTTON LACE DRESS_BLUISH GREEN/M</t>
  </si>
  <si>
    <t>PUFF SHOULDER BUTTON LACE DRESS_BLUISH GREEN/M[BLUISH GREEN/M]</t>
  </si>
  <si>
    <t>O-L17FLBL02OCFH</t>
  </si>
  <si>
    <t>OL17FLBL02OCFH</t>
  </si>
  <si>
    <t>POINT SLEEVES BASIC BLOUSE_OCEAN</t>
  </si>
  <si>
    <t>OCEAN</t>
  </si>
  <si>
    <t>POINT SLEEVES BASIC BLOUSE_OCEAN[OCEAN]</t>
  </si>
  <si>
    <t>O-L17FLBL02PLFH</t>
  </si>
  <si>
    <t>OL17FLBL02PLFH</t>
  </si>
  <si>
    <t>POINT SLEEVES BASIC BLOUSE_PLUM</t>
  </si>
  <si>
    <t>PLUM</t>
  </si>
  <si>
    <t>POINT SLEEVES BASIC BLOUSE_PLUM[PLUM]</t>
  </si>
  <si>
    <t>O-L17FLSKT01BGMH</t>
  </si>
  <si>
    <t>OL17FLSKT01BGMH</t>
  </si>
  <si>
    <t>FLOWER DOT LACE MERMAID SKIRT_BLUSISH GREEN/M</t>
  </si>
  <si>
    <t>BLUSISH GREEN/M</t>
  </si>
  <si>
    <t>FLOWER DOT LACE MERMAID SKIRT_BLUSISH GREEN/M[BLUSISH GREEN/M]</t>
  </si>
  <si>
    <t>O-L17FLSKT01BGSH</t>
  </si>
  <si>
    <t>OL17FLSKT01BGSH</t>
  </si>
  <si>
    <t>FLOWER DOT LACE MERMAID SKIRT_BLUISH GREEN/S</t>
  </si>
  <si>
    <t>FLOWER DOT LACE MERMAID SKIRT_BLUISH GREEN/S[BLUISH GREEN/S]</t>
  </si>
  <si>
    <t>O-L17FLSKT01BLSH</t>
  </si>
  <si>
    <t>OL17FLSKT01BLSH</t>
  </si>
  <si>
    <t>FLOWER DOT LACE MERMAID SKIRT_BLACK/S</t>
  </si>
  <si>
    <t>FLOWER DOT LACE MERMAID SKIRT_BLACK/S[BLACK/S]</t>
  </si>
  <si>
    <t>O-L17FLSKT01BLMH</t>
  </si>
  <si>
    <t>OL17FLSKT01BLMH</t>
  </si>
  <si>
    <t>FLOWER DOT LACE MERMAID SKIRT_BLACK/M</t>
  </si>
  <si>
    <t>FLOWER DOT LACE MERMAID SKIRT_BLACK/M[BLACK/M]</t>
  </si>
  <si>
    <t>O-L17FLJK01PLFH</t>
  </si>
  <si>
    <t>OL17FLJK01PLFH</t>
  </si>
  <si>
    <t>STRAGHT FIT SOLID JACKET_PLUM</t>
  </si>
  <si>
    <t>STRAGHT FIT SOLID JACKET_PLUM[PLUM]</t>
  </si>
  <si>
    <t>O-L17FLOP01IPFH</t>
  </si>
  <si>
    <t>OL17FLOP01IPFH</t>
  </si>
  <si>
    <t>INVERTED PLEAT SLEEVE ROBE DRESS INDAN PINK</t>
  </si>
  <si>
    <t xml:space="preserve"> INDAN PINK</t>
  </si>
  <si>
    <t>INVERTED PLEAT SLEEVE ROBE DRESS INDAN PINK[ INDAN PINK]</t>
  </si>
  <si>
    <t>O-L17FLOP01BGFH</t>
  </si>
  <si>
    <t>OL17FLOP01BGFH</t>
  </si>
  <si>
    <t>INVERTED PLEAT SLEEVE ROBE DRESS BLUISH GREEN</t>
  </si>
  <si>
    <t xml:space="preserve"> BLUISH GREEN</t>
  </si>
  <si>
    <t>INVERTED PLEAT SLEEVE ROBE DRESS BLUISH GREEN[ BLUISH GREEN]</t>
  </si>
  <si>
    <t>O-L17FLOP01DRFH</t>
  </si>
  <si>
    <t>OL17FLOP01DRFH</t>
  </si>
  <si>
    <t>INVERTED PLEAT SLEEVE ROBE DRESS DEEP RED</t>
  </si>
  <si>
    <t>DEEP RED</t>
  </si>
  <si>
    <t>INVERTED PLEAT SLEEVE ROBE DRESS DEEP RED[DEEP RED]</t>
  </si>
  <si>
    <t>O-L17FLAC01LDFS</t>
  </si>
  <si>
    <t>OL17FLAC01LDFS</t>
  </si>
  <si>
    <t>17 FALL OHL NECKLACE</t>
  </si>
  <si>
    <t>????</t>
  </si>
  <si>
    <t>17 FALL OHL NECKLACE[????]</t>
  </si>
  <si>
    <t>O-L17FLBL01GPFH</t>
  </si>
  <si>
    <t>OL17FLBL01GPFH</t>
  </si>
  <si>
    <t>CREOSS RUFFLE V NECK BLOUSE_GRAPE PINK</t>
  </si>
  <si>
    <t>GRAPE PINK</t>
  </si>
  <si>
    <t>CREOSS RUFFLE V NECK BLOUSE_GRAPE PINK[GRAPE PINK]</t>
  </si>
  <si>
    <t>O-L17FLBL01SPFH</t>
  </si>
  <si>
    <t>OL17FLBL01SPFH</t>
  </si>
  <si>
    <t>CROSS RUFFLE V NECK BLOUSE_SKIN PINK</t>
  </si>
  <si>
    <t>SKIN PINK</t>
  </si>
  <si>
    <t>CROSS RUFFLE V NECK BLOUSE_SKIN PINK[SKIN PINK]</t>
  </si>
  <si>
    <t>O-L17SSAC07LDFS</t>
  </si>
  <si>
    <t>OL17SSAC07LDFS</t>
  </si>
  <si>
    <t>SHINING MOMENT I PHONE CASE_F</t>
  </si>
  <si>
    <t>SHINING MOMENT I PHONE CASE_F[????]</t>
  </si>
  <si>
    <t>O-L17SSAC06LDFS</t>
  </si>
  <si>
    <t>OL17SSAC06LDFS</t>
  </si>
  <si>
    <t>SHINING MOMENT I PHONE CASE_E</t>
  </si>
  <si>
    <t>SHINING MOMENT I PHONE CASE_E[????]</t>
  </si>
  <si>
    <t>O-L17SSAC05LDFS</t>
  </si>
  <si>
    <t>OL17SSAC05LDFS</t>
  </si>
  <si>
    <t>SHINING MOMENT I PHONE CASE_D</t>
  </si>
  <si>
    <t>SHINING MOMENT I PHONE CASE_D[????]</t>
  </si>
  <si>
    <t>O-L17SSAC04LDFS</t>
  </si>
  <si>
    <t>OL17SSAC04LDFS</t>
  </si>
  <si>
    <t>SHINING MOMENT I PHONE CASE_C</t>
  </si>
  <si>
    <t>SHINING MOMENT I PHONE CASE_C[????]</t>
  </si>
  <si>
    <t>O-L17SSAC03LDFS</t>
  </si>
  <si>
    <t>OL17SSAC03LDFS</t>
  </si>
  <si>
    <t>SHINING MOMENT I PHONE CASE_B</t>
  </si>
  <si>
    <t>SHINING MOMENT I PHONE CASE_B[????]</t>
  </si>
  <si>
    <t>O-L17SSAC02LDFS</t>
  </si>
  <si>
    <t>OL17SSAC02LDFS</t>
  </si>
  <si>
    <t>SHINING MOMENT I PHONE CASE_A</t>
  </si>
  <si>
    <t>SHINING MOMENT I PHONE CASE_A[????]</t>
  </si>
  <si>
    <t>O-L17SSAC01LDFS</t>
  </si>
  <si>
    <t>OL17SSAC01LDFS</t>
  </si>
  <si>
    <t>17SS SCARF</t>
  </si>
  <si>
    <t>17SS SCARF[????]</t>
  </si>
  <si>
    <t>O-L17SMOP05NYFH</t>
  </si>
  <si>
    <t>OL17SMOP05NYFH</t>
  </si>
  <si>
    <t>BACK POINT FLOWER ROBE DRESS_NAVY</t>
  </si>
  <si>
    <t>BACK POINT FLOWER ROBE DRESS_NAVY[NAVY]</t>
  </si>
  <si>
    <t>O-L17SMOP05PPFH</t>
  </si>
  <si>
    <t>OL17SMOP05PPFH</t>
  </si>
  <si>
    <t>BACK POINT FLOWER ROBE DRESS_PEACH PINK</t>
  </si>
  <si>
    <t>PEACH PINK</t>
  </si>
  <si>
    <t>BACK POINT FLOWER ROBE DRESS_PEACH PINK[PEACH PINK]</t>
  </si>
  <si>
    <t>O-L17SMPT01WHMH</t>
  </si>
  <si>
    <t>OL17SMPT01WHMH</t>
  </si>
  <si>
    <t>POINT TAPE PLEATS SHORTS_WHITE</t>
  </si>
  <si>
    <t>WHITE,M</t>
  </si>
  <si>
    <t>POINT TAPE PLEATS SHORTS_WHITE[WHITE,M]</t>
  </si>
  <si>
    <t>O-L17SMPT01WHSH</t>
  </si>
  <si>
    <t>OL17SMPT01WHSH</t>
  </si>
  <si>
    <t>WHITE,S</t>
  </si>
  <si>
    <t>POINT TAPE PLEATS SHORTS_WHITE[WHITE,S]</t>
  </si>
  <si>
    <t>O-L17SMPT01NYMH</t>
  </si>
  <si>
    <t>OL17SMPT01NYMH</t>
  </si>
  <si>
    <t>POINT TAPE PLEATS SHORTS_NAVY</t>
  </si>
  <si>
    <t>NAVY,M</t>
  </si>
  <si>
    <t>POINT TAPE PLEATS SHORTS_NAVY[NAVY,M]</t>
  </si>
  <si>
    <t>O-L17SMPT01NYSH</t>
  </si>
  <si>
    <t>OL17SMPT01NYSH</t>
  </si>
  <si>
    <t>NAVY,S</t>
  </si>
  <si>
    <t>POINT TAPE PLEATS SHORTS_NAVY[NAVY,S]</t>
  </si>
  <si>
    <t>O-L17SMSK02GRMH</t>
  </si>
  <si>
    <t>OL17SMSK02GRMH</t>
  </si>
  <si>
    <t>POINT STRIPES LACE SKIRT_GREEN</t>
  </si>
  <si>
    <t>GREEN,M</t>
  </si>
  <si>
    <t>POINT STRIPES LACE SKIRT_GREEN[GREEN,M]</t>
  </si>
  <si>
    <t>O-L17SMSK02GRSH</t>
  </si>
  <si>
    <t>OL17SMSK02GRSH</t>
  </si>
  <si>
    <t>GREEN,S</t>
  </si>
  <si>
    <t>POINT STRIPES LACE SKIRT_GREEN[GREEN,S]</t>
  </si>
  <si>
    <t>O-L17SMOP02GRMH</t>
  </si>
  <si>
    <t>OL17SMOP02GRMH</t>
  </si>
  <si>
    <t>SQUARE NECK LACE DRESS_GREEN</t>
  </si>
  <si>
    <t>SQUARE NECK LACE DRESS_GREEN[GREEN,M]</t>
  </si>
  <si>
    <t>O-L17SMOP02GRSH</t>
  </si>
  <si>
    <t>OL17SMOP02GRSH</t>
  </si>
  <si>
    <t>SQUARE NECK LACE DRESS_GREEN[GREEN,S]</t>
  </si>
  <si>
    <t>O-L17SMOP02YEMH</t>
  </si>
  <si>
    <t>OL17SMOP02YEMH</t>
  </si>
  <si>
    <t>SQUARE NECK LACE DRESS_YELLOW</t>
  </si>
  <si>
    <t>YELLOW,M</t>
  </si>
  <si>
    <t>SQUARE NECK LACE DRESS_YELLOW[YELLOW,M]</t>
  </si>
  <si>
    <t>O-L17SMOP02YESH</t>
  </si>
  <si>
    <t>OL17SMOP02YESH</t>
  </si>
  <si>
    <t>YELLOW,S</t>
  </si>
  <si>
    <t>SQUARE NECK LACE DRESS_YELLOW[YELLOW,S]</t>
  </si>
  <si>
    <t>O-L17SMOP04WBFH</t>
  </si>
  <si>
    <t>OL17SMOP04WBFH</t>
  </si>
  <si>
    <t>CROSS SHORTS SLEEVE ROBE DRESS_WHITE BLUE STRIPE</t>
  </si>
  <si>
    <t>WHITE BLUE STRIPE</t>
  </si>
  <si>
    <t>CROSS SHORTS SLEEVE ROBE DRESS_WHITE BLUE STRIPE[WHITE BLUE STRIPE]</t>
  </si>
  <si>
    <t>O-L17SMOP04SBFH</t>
  </si>
  <si>
    <t>OL17SMOP04SBFH</t>
  </si>
  <si>
    <t>CROSS SHORTS SLEEVE ROBE DRESS_SKY BLUE</t>
  </si>
  <si>
    <t>CROSS SHORTS SLEEVE ROBE DRESS_SKY BLUE[SKY BLUE]</t>
  </si>
  <si>
    <t>O-L17SMOP03YEFH</t>
  </si>
  <si>
    <t>OL17SMOP03YEFH</t>
  </si>
  <si>
    <t>COMBI COLLAR MINI DRESS_YELLOW</t>
  </si>
  <si>
    <t>COMBI COLLAR MINI DRESS_YELLOW[YELLOW]</t>
  </si>
  <si>
    <t>O-L17SMOP03CBFH</t>
  </si>
  <si>
    <t>OL17SMOP03CBFH</t>
  </si>
  <si>
    <t>COMBI COLLAR MINI DRESS_COBALT BLUE</t>
  </si>
  <si>
    <t>COBALT BLUE</t>
  </si>
  <si>
    <t>COMBI COLLAR MINI DRESS_COBALT BLUE[COBALT BLUE]</t>
  </si>
  <si>
    <t>O-L17SMBL04PPFH</t>
  </si>
  <si>
    <t>OL17SMBL04PPFH</t>
  </si>
  <si>
    <t>SHOULDER PUFF SHINING  TOP_PEACH PINK</t>
  </si>
  <si>
    <t>SHOULDER PUFF SHINING  TOP_PEACH PINK[PEACH PINK]</t>
  </si>
  <si>
    <t>O-L17SMBL04WHFH</t>
  </si>
  <si>
    <t>OL17SMBL04WHFH</t>
  </si>
  <si>
    <t>SHOULDER PUFF SPANGLE  TOP_WHITE</t>
  </si>
  <si>
    <t>WHITE</t>
  </si>
  <si>
    <t>SHOULDER PUFF SPANGLE  TOP_WHITE[WHITE]</t>
  </si>
  <si>
    <t>O-L17SMBL02SBFH</t>
  </si>
  <si>
    <t>OL17SMBL02SBFH</t>
  </si>
  <si>
    <t>SQUARE NECK OFF SHOULDER TOP_SKYBLUE</t>
  </si>
  <si>
    <t>SKYBLUE</t>
  </si>
  <si>
    <t>SQUARE NECK OFF SHOULDER TOP_SKYBLUE[SKYBLUE]</t>
  </si>
  <si>
    <t>O-L17SMBL03NYFH</t>
  </si>
  <si>
    <t>OL17SMBL03NYFH</t>
  </si>
  <si>
    <t>POINT TAPE OFF SHOULDER TOP_NAVY</t>
  </si>
  <si>
    <t>POINT TAPE OFF SHOULDER TOP_NAVY[NAVY]</t>
  </si>
  <si>
    <t>O-L17SMBL03WHFH</t>
  </si>
  <si>
    <t>OL17SMBL03WHFH</t>
  </si>
  <si>
    <t>POINT TAPE OFF SHOULDER TOP_WHITE</t>
  </si>
  <si>
    <t>POINT TAPE OFF SHOULDER TOP_WHITE[WHITE]</t>
  </si>
  <si>
    <t>O-L17SMBL02YEFH</t>
  </si>
  <si>
    <t>OL17SMBL02YEFH</t>
  </si>
  <si>
    <t>SQUARE NECK OFF SHOULDER TOP_YELLOW</t>
  </si>
  <si>
    <t>SQUARE NECK OFF SHOULDER TOP_YELLOW[YELLOW]</t>
  </si>
  <si>
    <t>O-L17SMBL02MBFH</t>
  </si>
  <si>
    <t>OL17SMBL02MBFH</t>
  </si>
  <si>
    <t>SQUARE NECK OFF SHOULDER TOP_MINT BLUE</t>
  </si>
  <si>
    <t>SQUARE NECK OFF SHOULDER TOP_MINT BLUE[MINT BLUE]</t>
  </si>
  <si>
    <t>O-L17SMBL01SPFH</t>
  </si>
  <si>
    <t>OL17SMBL01SPFH</t>
  </si>
  <si>
    <t>CANCAN PRILL OFF SHOULDER TOP_SALMON PINK</t>
  </si>
  <si>
    <t>SALMON PINK</t>
  </si>
  <si>
    <t>CANCAN PRILL OFF SHOULDER TOP_SALMON PINK[SALMON PINK]</t>
  </si>
  <si>
    <t>O-L17SMBL01SBFH</t>
  </si>
  <si>
    <t>OL17SMBL01SBFH</t>
  </si>
  <si>
    <t>CANCAN PRILL OFF SHOULDER TOP_SKY BLUE</t>
  </si>
  <si>
    <t>CANCAN PRILL OFF SHOULDER TOP_SKY BLUE[SKY BLUE]</t>
  </si>
  <si>
    <t>O-L17SMOP01SBFH</t>
  </si>
  <si>
    <t>OL17SMOP01SBFH</t>
  </si>
  <si>
    <t>STRIPE LINE PLEAT SLIP DRESS_SKY BLUE</t>
  </si>
  <si>
    <t>STRIPE LINE PLEAT SLIP DRESS_SKY BLUE[SKY BLUE]</t>
  </si>
  <si>
    <t>O-L17SMOP01BPFH</t>
  </si>
  <si>
    <t>OL17SMOP01BPFH</t>
  </si>
  <si>
    <t>STRIPE LINE PLEAT SLIP DRESS_BLUSH PINK</t>
  </si>
  <si>
    <t>BLUSH PINK</t>
  </si>
  <si>
    <t>STRIPE LINE PLEAT SLIP DRESS_BLUSH PINK[BLUSH PINK]</t>
  </si>
  <si>
    <t>O-L17SPSK02VIMH</t>
  </si>
  <si>
    <t>OL17SPSK02VIMH</t>
  </si>
  <si>
    <t>SHINING VELVET WAVE SKIRT_DEEP BLUE</t>
  </si>
  <si>
    <t>DEEP BLUE, M</t>
  </si>
  <si>
    <t>SHINING VELVET WAVE SKIRT_DEEP BLUE[DEEP BLUE, M]</t>
  </si>
  <si>
    <t>O-L17SPAC01LBFS</t>
  </si>
  <si>
    <t>OL17SPAC01LBFS</t>
  </si>
  <si>
    <t>SMOKY QUARTZ</t>
  </si>
  <si>
    <t>BLUE</t>
  </si>
  <si>
    <t>SMOKY QUARTZ[BLUE]</t>
  </si>
  <si>
    <t>O-L17SPAC01BLFS</t>
  </si>
  <si>
    <t>OL17SPAC01BLFS</t>
  </si>
  <si>
    <t>MOON STONE</t>
  </si>
  <si>
    <t>LIGHT BLUE</t>
  </si>
  <si>
    <t>MOON STONE[LIGHT BLUE]</t>
  </si>
  <si>
    <t>O-L17SPPT02DBMH</t>
  </si>
  <si>
    <t>OL17SPPT02DBMH</t>
  </si>
  <si>
    <t>POINT STITCH  DENIM PANTS</t>
  </si>
  <si>
    <t>POINT STITCH  DENIM PANTS[DEEP BLUE, M]</t>
  </si>
  <si>
    <t>O-L17SPPT02DBSH</t>
  </si>
  <si>
    <t>OL17SPPT02DBSH</t>
  </si>
  <si>
    <t>DEEP BLUE, S</t>
  </si>
  <si>
    <t>POINT STITCH  DENIM PANTS[DEEP BLUE, S]</t>
  </si>
  <si>
    <t>O-L17SPSK02VISH</t>
  </si>
  <si>
    <t>OL17SPSK02VISH</t>
  </si>
  <si>
    <t>SHINING VELVET WAVE SKIRT</t>
  </si>
  <si>
    <t>SHINING VELVET WAVE SKIRT[DEEP BLUE, S]</t>
  </si>
  <si>
    <t>O-L17SPOP05WHFH</t>
  </si>
  <si>
    <t>OL17SPOP05WHFH</t>
  </si>
  <si>
    <t>UNBALANCE PLEATS MAXI FROWER DRESS</t>
  </si>
  <si>
    <t>UNBALANCE PLEATS MAXI FROWER DRESS[WHITE]</t>
  </si>
  <si>
    <t>O-L17SPOP04IPFH</t>
  </si>
  <si>
    <t>OL17SPOP04IPFH</t>
  </si>
  <si>
    <t>UNBALANCE PLEATS MAXI FROWER DRESS[LIGHT PINK]</t>
  </si>
  <si>
    <t>O-L17SPOP03GWFH</t>
  </si>
  <si>
    <t>OL17SPOP03GWFH</t>
  </si>
  <si>
    <t>UNBALANCE PLEATS MAXI DRESS</t>
  </si>
  <si>
    <t>GOLD WHITE</t>
  </si>
  <si>
    <t>UNBALANCE PLEATS MAXI DRESS[GOLD WHITE]</t>
  </si>
  <si>
    <t>O-L17SPOP02MUFH</t>
  </si>
  <si>
    <t>OL17SPOP02MUFH</t>
  </si>
  <si>
    <t>PLEATS POINT MINI HEART DRESS</t>
  </si>
  <si>
    <t>PLEATS POINT MINI HEART DRESS[YELLOW]</t>
  </si>
  <si>
    <t>O-L17SPOP01LPFH</t>
  </si>
  <si>
    <t>OL17SPOP01LPFH</t>
  </si>
  <si>
    <t>LILAC</t>
  </si>
  <si>
    <t>PLEATS POINT MINI HEART DRESS[LILAC]</t>
  </si>
  <si>
    <t>O-L17SPKN01LPFK</t>
  </si>
  <si>
    <t>OL17SPKN01LPFK</t>
  </si>
  <si>
    <t>COLOR POINT M LINE KNIT</t>
  </si>
  <si>
    <t>COLOR POINT M LINE KNIT[LILAC]</t>
  </si>
  <si>
    <t>O-L17SPBL04IPFH</t>
  </si>
  <si>
    <t>OL17SPBL04IPFH</t>
  </si>
  <si>
    <t>PLEATS CUFFS PIPING LINE FLOWER BLOUSE</t>
  </si>
  <si>
    <t>PLEATS CUFFS PIPING LINE FLOWER BLOUSE[LIGHT PINK]</t>
  </si>
  <si>
    <t>O-L17SPBL03WHFH</t>
  </si>
  <si>
    <t>OL17SPBL03WHFH</t>
  </si>
  <si>
    <t>PLEATS CUFFS PIPING LINE FLOWER BLOUSE[WHITE]</t>
  </si>
  <si>
    <t>O-L17SPBL02LPFH</t>
  </si>
  <si>
    <t>OL17SPBL02LPFH</t>
  </si>
  <si>
    <t>PLEATS CUFFS PIPING LINE BLOUSE</t>
  </si>
  <si>
    <t>PLEATS CUFFS PIPING LINE BLOUSE[LILAC]</t>
  </si>
  <si>
    <t>O-L17SPBL01GWFH</t>
  </si>
  <si>
    <t>OL17SPBL01GWFH</t>
  </si>
  <si>
    <t>PLEATS CUFFS PIPING LINE BLOUSE[GOLD WHITE]</t>
  </si>
  <si>
    <t>O-L17SPSK01MUMH</t>
  </si>
  <si>
    <t>OL17SPSK01MUMH</t>
  </si>
  <si>
    <t>CHECK TWO BUTTON MINI SKIRT</t>
  </si>
  <si>
    <t>YELLOW, M</t>
  </si>
  <si>
    <t>CHECK TWO BUTTON MINI SKIRT[YELLOW, M]</t>
  </si>
  <si>
    <t>O-L17SPSK01MUSH</t>
  </si>
  <si>
    <t>OL17SPSK01MUSH</t>
  </si>
  <si>
    <t>YELLOW, S</t>
  </si>
  <si>
    <t>CHECK TWO BUTTON MINI SKIRT[YELLOW, S]</t>
  </si>
  <si>
    <t>O-L17SPJK02MUFH</t>
  </si>
  <si>
    <t>OL17SPJK02MUFH</t>
  </si>
  <si>
    <t>POINT CUFFS CHECK SHORT JACKET</t>
  </si>
  <si>
    <t>POINT CUFFS CHECK SHORT JACKET[YELLOW]</t>
  </si>
  <si>
    <t>O-L17SPPT01BLMH</t>
  </si>
  <si>
    <t>OL17SPPT01BLMH</t>
  </si>
  <si>
    <t>CHECK TWO TUCK SHORT</t>
  </si>
  <si>
    <t>BLUE, M</t>
  </si>
  <si>
    <t>CHECK TWO TUCK SHORT[BLUE, M]</t>
  </si>
  <si>
    <t>O-L17SPPT01BLSH</t>
  </si>
  <si>
    <t>OL17SPPT01BLSH</t>
  </si>
  <si>
    <t>BLUE, S</t>
  </si>
  <si>
    <t>CHECK TWO TUCK SHORT[BLUE, S]</t>
  </si>
  <si>
    <t>O-L17SPJK01BLFH</t>
  </si>
  <si>
    <t>OL17SPJK01BLFH</t>
  </si>
  <si>
    <t>POINT TAPE CHECK SUIT JACKET</t>
  </si>
  <si>
    <t>POINT TAPE CHECK SUIT JACKET[BLUE]</t>
  </si>
  <si>
    <t>O-L16WTAC01GNFS</t>
  </si>
  <si>
    <t>OL16WTAC01GNFS</t>
  </si>
  <si>
    <t>OL16WTAC01GNFS[????]</t>
  </si>
  <si>
    <t>O-L16WTAC01NYFS</t>
  </si>
  <si>
    <t>OL16WTAC01NYFS</t>
  </si>
  <si>
    <t>OL16WTAC01NYFS[????]</t>
  </si>
  <si>
    <t>O-L16WTOT01DGFH</t>
  </si>
  <si>
    <t>OL16WTOT01DGFH</t>
  </si>
  <si>
    <t>POINT POPPY BELT WOOL COAT</t>
  </si>
  <si>
    <t>DEEP GREEN</t>
  </si>
  <si>
    <t>POINT POPPY BELT WOOL COAT[DEEP GREEN]</t>
  </si>
  <si>
    <t>O-L16WTOT01OBFH</t>
  </si>
  <si>
    <t>OL16WTOT01OBFH</t>
  </si>
  <si>
    <t>ORANGE BROWN</t>
  </si>
  <si>
    <t>POINT POPPY BELT WOOL COAT[ORANGE BROWN]</t>
  </si>
  <si>
    <t>O-L16WTOT01BKFH</t>
  </si>
  <si>
    <t>OL16WTOT01BKFH</t>
  </si>
  <si>
    <t>POINT POPPY BELT WOOL COAT[BLACK]</t>
  </si>
  <si>
    <t>O-L16WTPT01BKMH</t>
  </si>
  <si>
    <t>OL16WTPT01BKMH</t>
  </si>
  <si>
    <t>SLIM BOOTS CUT BLACK DENIM</t>
  </si>
  <si>
    <t>BLACK -MEDIUM</t>
  </si>
  <si>
    <t>SLIM BOOTS CUT BLACK DENIM[BLACK -MEDIUM]</t>
  </si>
  <si>
    <t>O-L16WTPT01BKSH</t>
  </si>
  <si>
    <t>OL16WTPT01BKSH</t>
  </si>
  <si>
    <t>BLACK - SMALL</t>
  </si>
  <si>
    <t>SLIM BOOTS CUT BLACK DENIM[BLACK - SMALL]</t>
  </si>
  <si>
    <t>O-L16WTSK01DGMH</t>
  </si>
  <si>
    <t>OL16WTSK01DGMH</t>
  </si>
  <si>
    <t>WOOL TWEED H LINE SLIT SKIRT</t>
  </si>
  <si>
    <t>DEEP GREEN - MEDIUM</t>
  </si>
  <si>
    <t>WOOL TWEED H LINE SLIT SKIRT[DEEP GREEN - MEDIUM]</t>
  </si>
  <si>
    <t>O-L16WTSK01DGSH</t>
  </si>
  <si>
    <t>OL16WTSK01DGSH</t>
  </si>
  <si>
    <t>DEEP GREEN - SMALL</t>
  </si>
  <si>
    <t>WOOL TWEED H LINE SLIT SKIRT[DEEP GREEN - SMALL]</t>
  </si>
  <si>
    <t>O-L16WTSK02NYFR</t>
  </si>
  <si>
    <t>OL16WTSK02NYFR</t>
  </si>
  <si>
    <t>HERRINGBONE VELVET LONG SKIRT</t>
  </si>
  <si>
    <t>HERRINGBONE VELVET LONG SKIRT[NAVY]</t>
  </si>
  <si>
    <t>O-L16WTSK02DGFR</t>
  </si>
  <si>
    <t>OL16WTSK02DGFR</t>
  </si>
  <si>
    <t>HERRINGBONE VELVET LONG SKIRT[DEEP GREEN]</t>
  </si>
  <si>
    <t>O-L16WTSK02BKFR</t>
  </si>
  <si>
    <t>OL16WTSK02BKFR</t>
  </si>
  <si>
    <t>HERRINGBONE VELVET LONG SKIRT[BLACK]</t>
  </si>
  <si>
    <t>O-L16WTBL02NYFH</t>
  </si>
  <si>
    <t>OL16WTBL02NYFH</t>
  </si>
  <si>
    <t>TWIST VELVET PUFF SLEEVE BLOUSE</t>
  </si>
  <si>
    <t>TWIST VELVET PUFF SLEEVE BLOUSE[NAVY]</t>
  </si>
  <si>
    <t>O-L16WTBL02IPFH</t>
  </si>
  <si>
    <t>OL16WTBL02IPFH</t>
  </si>
  <si>
    <t>INDIAN PINK</t>
  </si>
  <si>
    <t>TWIST VELVET PUFF SLEEVE BLOUSE[INDIAN PINK]</t>
  </si>
  <si>
    <t>O-L16WTBL01NYFH</t>
  </si>
  <si>
    <t>OL16WTBL01NYFH</t>
  </si>
  <si>
    <t>POPPY PATTERN PEPLUM BLOUSE</t>
  </si>
  <si>
    <t>POPPY PATTERN PEPLUM BLOUSE[NAVY]</t>
  </si>
  <si>
    <t>O-L16WTBL01DGFH</t>
  </si>
  <si>
    <t>OL16WTBL01DGFH</t>
  </si>
  <si>
    <t>POPPY PATTERN PEPLUM BLOUSE[DEEP GREEN]</t>
  </si>
  <si>
    <t>O-L16WTOP01BDFH</t>
  </si>
  <si>
    <t>OL16WTOP01BDFH</t>
  </si>
  <si>
    <t>WOOL TWEED MINI DRESS</t>
  </si>
  <si>
    <t>BURGUNDY</t>
  </si>
  <si>
    <t>WOOL TWEED MINI DRESS[BURGUNDY]</t>
  </si>
  <si>
    <t>O-L16WTOP01GMFH</t>
  </si>
  <si>
    <t>OL16WTOP01GMFH</t>
  </si>
  <si>
    <t>GREEN MINT</t>
  </si>
  <si>
    <t>WOOL TWEED MINI DRESS[GREEN MINT]</t>
  </si>
  <si>
    <t>O-L16WTOP02NYFH</t>
  </si>
  <si>
    <t>OL16WTOP02NYFH</t>
  </si>
  <si>
    <t>POPPY PATTERN MAXI DRESS</t>
  </si>
  <si>
    <t>POPPY PATTERN MAXI DRESS[NAVY]</t>
  </si>
  <si>
    <t>O-L16WTOP02DGFH</t>
  </si>
  <si>
    <t>OL16WTOP02DGFH</t>
  </si>
  <si>
    <t>POPPY PATTERN MAXI DRESS[DEEP GREEN]</t>
  </si>
  <si>
    <t>O-L16WTKN01IPFK</t>
  </si>
  <si>
    <t>OL16WTKN01IPFK</t>
  </si>
  <si>
    <t>BACK POINT POPPY ANGORA KNIT</t>
  </si>
  <si>
    <t>BACK POINT POPPY ANGORA KNIT[INDIAN PINK]</t>
  </si>
  <si>
    <t>O-L16WTKN01DGFK</t>
  </si>
  <si>
    <t>OL16WTKN01DGFK</t>
  </si>
  <si>
    <t>BACK POINT POPPY ANGORA KNIT[DEEP GREEN]</t>
  </si>
  <si>
    <t>O-L16WTBL02SBFK</t>
  </si>
  <si>
    <t>OL16WTBL02SBFK</t>
  </si>
  <si>
    <t>POPPY POINT ANGORA LONG SLEEVE KNIT</t>
  </si>
  <si>
    <t>POPPY POINT ANGORA LONG SLEEVE KNIT[SKY BLUE]</t>
  </si>
  <si>
    <t>O-L16WTBL02GMFK</t>
  </si>
  <si>
    <t>OL16WTBL02GMFK</t>
  </si>
  <si>
    <t>DEEP GREEN MINT</t>
  </si>
  <si>
    <t>POPPY POINT ANGORA LONG SLEEVE KNIT[DEEP GREEN MINT]</t>
  </si>
  <si>
    <t>O-L16WTKN03KKFK</t>
  </si>
  <si>
    <t>OL16WTKN03KKFK</t>
  </si>
  <si>
    <t>WOOL ANGORA LONG KNIT</t>
  </si>
  <si>
    <t>KAKKI</t>
  </si>
  <si>
    <t>WOOL ANGORA LONG KNIT[KAKKI]</t>
  </si>
  <si>
    <t>O-L16FLAC01SLFH</t>
  </si>
  <si>
    <t>OL16FLAC01SLFH</t>
  </si>
  <si>
    <t>OL16FLAC01SLFH[????]</t>
  </si>
  <si>
    <t>O-L16FLOT02NYFH</t>
  </si>
  <si>
    <t>OL16FLOT02NYFH</t>
  </si>
  <si>
    <t>SILVER LETTERING SINGLE JACKET</t>
  </si>
  <si>
    <t>SILVER LETTERING SINGLE JACKET[NAVY]</t>
  </si>
  <si>
    <t>O-L16FLPT02BLMH</t>
  </si>
  <si>
    <t>OL16FLPT02BLMH</t>
  </si>
  <si>
    <t>UNBALANCE HAM-LINE DENIM PANTS</t>
  </si>
  <si>
    <t>UNBALANCE HAM-LINE DENIM PANTS[BLUE, M]</t>
  </si>
  <si>
    <t>O-L16FLPT02BLSH</t>
  </si>
  <si>
    <t>OL16FLPT02BLSH</t>
  </si>
  <si>
    <t>UNBALANCE HAM-LINE DENIM PANTS[BLUE, S]</t>
  </si>
  <si>
    <t>O-L16FLPT01BKMH</t>
  </si>
  <si>
    <t>OL16FLPT01BKMH</t>
  </si>
  <si>
    <t>UNBALANCE HAM-LINE SLACKS</t>
  </si>
  <si>
    <t>BLACK, M</t>
  </si>
  <si>
    <t>UNBALANCE HAM-LINE SLACKS[BLACK, M]</t>
  </si>
  <si>
    <t>O-L16FLPT01BKSH</t>
  </si>
  <si>
    <t>OL16FLPT01BKSH</t>
  </si>
  <si>
    <t>BLACK, S</t>
  </si>
  <si>
    <t>UNBALANCE HAM-LINE SLACKS[BLACK, S]</t>
  </si>
  <si>
    <t>O-L16FLSK02NYMH</t>
  </si>
  <si>
    <t>OL16FLSK02NYMH</t>
  </si>
  <si>
    <t>PIN STRIPE MERMAID SKIRT</t>
  </si>
  <si>
    <t>NAVY, M</t>
  </si>
  <si>
    <t>PIN STRIPE MERMAID SKIRT[NAVY, M]</t>
  </si>
  <si>
    <t>O-L16FLSK02NYSH</t>
  </si>
  <si>
    <t>OL16FLSK02NYSH</t>
  </si>
  <si>
    <t>NAVY, S</t>
  </si>
  <si>
    <t>PIN STRIPE MERMAID SKIRT[NAVY, S]</t>
  </si>
  <si>
    <t>O-L16FLSK01BGMH</t>
  </si>
  <si>
    <t>OL16FLSK01BGMH</t>
  </si>
  <si>
    <t>FLOWER LACE MERMAID  SKIRT</t>
  </si>
  <si>
    <t>BLUISH GREEN, M</t>
  </si>
  <si>
    <t>FLOWER LACE MERMAID  SKIRT[BLUISH GREEN, M]</t>
  </si>
  <si>
    <t>O-L16FLSK01BGSH</t>
  </si>
  <si>
    <t>OL16FLSK01BGSH</t>
  </si>
  <si>
    <t>BLUISH GREEN, S</t>
  </si>
  <si>
    <t>FLOWER LACE MERMAID  SKIRT[BLUISH GREEN, S]</t>
  </si>
  <si>
    <t>O-L16FLOT03PKFH</t>
  </si>
  <si>
    <t>OL16FLOT03PKFH</t>
  </si>
  <si>
    <t>FLOWER CUFFS DOUBLE TRENCH COAT</t>
  </si>
  <si>
    <t>FLOWER CUFFS DOUBLE TRENCH COAT[INDIAN PINK]</t>
  </si>
  <si>
    <t>O-L16FLOT01BKFH</t>
  </si>
  <si>
    <t>OL16FLOT01BKFH</t>
  </si>
  <si>
    <t>GOLD LETTERING SINGLE JACKET</t>
  </si>
  <si>
    <t>GOLD LETTERING SINGLE JACKET[BLACK]</t>
  </si>
  <si>
    <t>O-L16FLOP02BKFH</t>
  </si>
  <si>
    <t>OL16FLOP02BKFH</t>
  </si>
  <si>
    <t>ALL PLEATS LACE DRESS</t>
  </si>
  <si>
    <t>ALL PLEATS LACE DRESS[BLACK]</t>
  </si>
  <si>
    <t>O-L16FLOP01PKFH</t>
  </si>
  <si>
    <t>OL16FLOP01PKFH</t>
  </si>
  <si>
    <t>POINT LACE MAXI DRESS</t>
  </si>
  <si>
    <t>POINT LACE MAXI DRESS[INDIAN PINK]</t>
  </si>
  <si>
    <t>O-L16FLKN03OBFH</t>
  </si>
  <si>
    <t>OL16FLKN03OBFH</t>
  </si>
  <si>
    <t>MERMAID MAXI KNIT SKIRT</t>
  </si>
  <si>
    <t>MERMAID MAXI KNIT SKIRT[ORANGE BROWN]</t>
  </si>
  <si>
    <t>O-L16FLKN02OBFH</t>
  </si>
  <si>
    <t>OL16FLKN02OBFH</t>
  </si>
  <si>
    <t>POINT NECKLINE PULLOVER KNIT</t>
  </si>
  <si>
    <t>POINT NECKLINE PULLOVER KNIT[ORANGE BROWN]</t>
  </si>
  <si>
    <t>O-L16FLKN01OBFH</t>
  </si>
  <si>
    <t>OL16FLKN01OBFH</t>
  </si>
  <si>
    <t>COLOR POINT LINE RAGLAN SLEEVES KNIT</t>
  </si>
  <si>
    <t>COLOR POINT LINE RAGLAN SLEEVES KNIT[ORANGE BROWN]</t>
  </si>
  <si>
    <t>O-L16FLKN01SBFH</t>
  </si>
  <si>
    <t>OL16FLKN01SBFH</t>
  </si>
  <si>
    <t>COLOR POINT LINE RAGLAN SLEEVES KNIT[SKY BLUE]</t>
  </si>
  <si>
    <t>O-L16FLBL02BGFH</t>
  </si>
  <si>
    <t>OL16FLBL02BGFH</t>
  </si>
  <si>
    <t>PIPING LINE BLOUSE</t>
  </si>
  <si>
    <t>BLUISH GREEN</t>
  </si>
  <si>
    <t>PIPING LINE BLOUSE[BLUISH GREEN]</t>
  </si>
  <si>
    <t>O-L16FLBL02PKFH</t>
  </si>
  <si>
    <t>OL16FLBL02PKFH</t>
  </si>
  <si>
    <t>PIPING LINE BLOUSE[LIGHT PINK]</t>
  </si>
  <si>
    <t>O-L16FLBL01NYFH</t>
  </si>
  <si>
    <t>OL16FLBL01NYFH</t>
  </si>
  <si>
    <t>BACK POINT FLOWER BLOUSE</t>
  </si>
  <si>
    <t>BACK POINT FLOWER BLOUSE[NAVY]</t>
  </si>
  <si>
    <t>O-L16FLBL01PKFH</t>
  </si>
  <si>
    <t>OL16FLBL01PKFH</t>
  </si>
  <si>
    <t>BACK POINT FLOWER BLOUSE[ROSE PINK]</t>
  </si>
  <si>
    <t>O-L16SPSK01NYSH</t>
  </si>
  <si>
    <t>OL16SPSK01NYSH</t>
  </si>
  <si>
    <t>OHL_16SP_SKT_01_S</t>
  </si>
  <si>
    <t>OL16SPSK01NYSH[NAVY,S]</t>
  </si>
  <si>
    <t>O-LX1STOP02NYFH</t>
  </si>
  <si>
    <t>OLX1STOP02NYFH</t>
  </si>
  <si>
    <t>ALL PLEATS OFF SHOULDER DRESS_NAVY</t>
  </si>
  <si>
    <t>OHLX1ST_OPS_02_2</t>
  </si>
  <si>
    <t>NAVY,FREE</t>
  </si>
  <si>
    <t>ALL PLEATS OFF SHOULDER DRESS_NAVY[NAVY,FREE]</t>
  </si>
  <si>
    <t>O-LX1STOP02MSFH</t>
  </si>
  <si>
    <t>OLX1STOP02MSFH</t>
  </si>
  <si>
    <t>ALL PLEATS OFF SHOULDER DRESS_MUSTARD</t>
  </si>
  <si>
    <t>OHLX1ST_OPS_02_1</t>
  </si>
  <si>
    <t>MUSTARD,FREE</t>
  </si>
  <si>
    <t>ALL PLEATS OFF SHOULDER DRESS_MUSTARD[MUSTARD,FREE]</t>
  </si>
  <si>
    <t>O-LX1STBL02NYFH</t>
  </si>
  <si>
    <t>OLX1STBL02NYFH</t>
  </si>
  <si>
    <t>CHIFFON PLEATS OFF SHOULDER TOP_NAVY</t>
  </si>
  <si>
    <t>OHLX1ST_BL_02_2</t>
  </si>
  <si>
    <t>CHIFFON PLEATS OFF SHOULDER TOP_NAVY[NAVY,FREE]</t>
  </si>
  <si>
    <t>O-LX1STBL02WHFH</t>
  </si>
  <si>
    <t>OLX1STBL02WHFH</t>
  </si>
  <si>
    <t>CHIFFON PLEATS OFF SHOULDER TOP_WHITE</t>
  </si>
  <si>
    <t>OHLX1ST_BL_02_1</t>
  </si>
  <si>
    <t>WHITE,FREE</t>
  </si>
  <si>
    <t>CHIFFON PLEATS OFF SHOULDER TOP_WHITE[WHITE,FREE]</t>
  </si>
  <si>
    <t>O-LX1STOP01WHFH</t>
  </si>
  <si>
    <t>OLX1STOP01WHFH</t>
  </si>
  <si>
    <t>SEMI OFF SHOULDER LONG BLOUSE_WHITE PIN STRIPE</t>
  </si>
  <si>
    <t>OHLX1ST_OPS_01</t>
  </si>
  <si>
    <t>WHITE PIN STRIPE,FREE</t>
  </si>
  <si>
    <t>SEMI OFF SHOULDER LONG BLOUSE_WHITE PIN STRIPE[WHITE PIN STRIPE,FREE]</t>
  </si>
  <si>
    <t>O-LX1STBL01NYFH</t>
  </si>
  <si>
    <t>OLX1STBL01NYFH</t>
  </si>
  <si>
    <t>SEMI OFF SHOULDER COTTON BLOUSE_NAVY</t>
  </si>
  <si>
    <t>OHLX1ST_BL_01_2</t>
  </si>
  <si>
    <t>SEMI OFF SHOULDER COTTON BLOUSE_NAVY[NAVY,FREE]</t>
  </si>
  <si>
    <t>O-LX1STBL01WHFH</t>
  </si>
  <si>
    <t>OLX1STBL01WHFH</t>
  </si>
  <si>
    <t>SEMI OFF SHOULDER COTTON BLOUSE_WHITE</t>
  </si>
  <si>
    <t>OHLX1ST_BL_01_1</t>
  </si>
  <si>
    <t>SEMI OFF SHOULDER COTTON BLOUSE_WHITE[WHITE,FREE]</t>
  </si>
  <si>
    <t>O-L16SMPT01NYMH</t>
  </si>
  <si>
    <t>OL16SMPT01NYMH</t>
  </si>
  <si>
    <t>SIDE PLEATS SHORT</t>
  </si>
  <si>
    <t>OHL_16SUM_PT_01_2_M</t>
  </si>
  <si>
    <t>SIDE PLEATS SHORT[NAVY,M]</t>
  </si>
  <si>
    <t>O-L16SMPT01NYSH</t>
  </si>
  <si>
    <t>OL16SMPT01NYSH</t>
  </si>
  <si>
    <t>OHL_16SUM_PT_01_2_S</t>
  </si>
  <si>
    <t>SIDE PLEATS SHORT[NAVY,S]</t>
  </si>
  <si>
    <t>O-L16SMPT01WHMH</t>
  </si>
  <si>
    <t>OL16SMPT01WHMH</t>
  </si>
  <si>
    <t>OHL_16SUM_PT_01_1_M</t>
  </si>
  <si>
    <t>SIDE PLEATS SHORT[WHITE,M]</t>
  </si>
  <si>
    <t>O-L16SMPT01WHSH</t>
  </si>
  <si>
    <t>OL16SMPT01WHSH</t>
  </si>
  <si>
    <t>OHL_16SUM_PT_01_1_S</t>
  </si>
  <si>
    <t>SIDE PLEATS SHORT[WHITE,S]</t>
  </si>
  <si>
    <t>O-L16SMTP02WHFH</t>
  </si>
  <si>
    <t>OL16SMTP02WHFH</t>
  </si>
  <si>
    <t>SHINING SPANGLE TOP</t>
  </si>
  <si>
    <t>OHL_16SUM_TOP_02</t>
  </si>
  <si>
    <t>SHINING SPANGLE TOP[WHITE,FREE]</t>
  </si>
  <si>
    <t>O-L16SMOP02BGFH</t>
  </si>
  <si>
    <t>OL16SMOP02BGFH</t>
  </si>
  <si>
    <t>POINT SLEEVES LONG BLOUSE DRESS</t>
  </si>
  <si>
    <t>OHL_16SUM_OPS_02_2</t>
  </si>
  <si>
    <t>POINT SLEEVES LONG BLOUSE DRESS[BLUISH GREEN]</t>
  </si>
  <si>
    <t>O-L16SMOP02SBFH</t>
  </si>
  <si>
    <t>OL16SMOP02SBFH</t>
  </si>
  <si>
    <t>OHL_16SUM_OPS_02_1</t>
  </si>
  <si>
    <t>SKY BLUE,FREE</t>
  </si>
  <si>
    <t>POINT SLEEVES LONG BLOUSE DRESS[SKY BLUE,FREE]</t>
  </si>
  <si>
    <t>O-L16SMBL03MSFH</t>
  </si>
  <si>
    <t>OL16SMBL03MSFH</t>
  </si>
  <si>
    <t>PLEATS SLEEVES OFF SHOULDER BLOUSE</t>
  </si>
  <si>
    <t>OHL_16SUM_BL_03_2</t>
  </si>
  <si>
    <t>PLEATS SLEEVES OFF SHOULDER BLOUSE[MUSTARD,FREE]</t>
  </si>
  <si>
    <t>O-L16SMBL03SBFH</t>
  </si>
  <si>
    <t>OL16SMBL03SBFH</t>
  </si>
  <si>
    <t>OHL_16SUM_BL_03_1</t>
  </si>
  <si>
    <t>PLEATS SLEEVES OFF SHOULDER BLOUSE[SKY BLUE,FREE]</t>
  </si>
  <si>
    <t>O-L16SMOP01SBFH</t>
  </si>
  <si>
    <t>OL16SMOP01SBFH</t>
  </si>
  <si>
    <t>PLEATS COLOR POINT SLIP DRESS</t>
  </si>
  <si>
    <t>OHL_16SUM_OPS_01_2</t>
  </si>
  <si>
    <t>PLEATS COLOR POINT SLIP DRESS[SKY BLUE,FREE]</t>
  </si>
  <si>
    <t>O-L16SMOP01PKFH</t>
  </si>
  <si>
    <t>OL16SMOP01PKFH</t>
  </si>
  <si>
    <t>OHL_16SUM_OPS_01_1</t>
  </si>
  <si>
    <t>BLUSH PINK,FREE</t>
  </si>
  <si>
    <t>PLEATS COLOR POINT SLIP DRESS[BLUSH PINK,FREE]</t>
  </si>
  <si>
    <t>O-L16SMBL02PKFH</t>
  </si>
  <si>
    <t>OL16SMBL02PKFH</t>
  </si>
  <si>
    <t>ORGANZA SEE-THROUGH BLOUSE</t>
  </si>
  <si>
    <t>OHL_16SUM_BL_02</t>
  </si>
  <si>
    <t>LIGHT PINK,FREE</t>
  </si>
  <si>
    <t>ORGANZA SEE-THROUGH BLOUSE[LIGHT PINK,FREE]</t>
  </si>
  <si>
    <t>O-L16SMSK01WHMH</t>
  </si>
  <si>
    <t>OL16SMSK01WHMH</t>
  </si>
  <si>
    <t>SHINING SEE-THROUGH SPANGLE SKIRT</t>
  </si>
  <si>
    <t>OHL_16SUM_SKT_01_M</t>
  </si>
  <si>
    <t>SHINING SEE-THROUGH SPANGLE SKIRT[WHITE,M]</t>
  </si>
  <si>
    <t>O-L16SMSK01WHSH</t>
  </si>
  <si>
    <t>OL16SMSK01WHSH</t>
  </si>
  <si>
    <t>OHL_16SUM_SKT_01_S</t>
  </si>
  <si>
    <t>SHINING SEE-THROUGH SPANGLE SKIRT[WHITE,S]</t>
  </si>
  <si>
    <t>O-L16SMBL01BGFH</t>
  </si>
  <si>
    <t>OL16SMBL01BGFH</t>
  </si>
  <si>
    <t>PLEATS SLEEVES OPENING BLOUSE</t>
  </si>
  <si>
    <t>OHL_16SUM_BL_01_3</t>
  </si>
  <si>
    <t>BLUISH GREEN,FREE</t>
  </si>
  <si>
    <t>PLEATS SLEEVES OPENING BLOUSE[BLUISH GREEN,FREE]</t>
  </si>
  <si>
    <t>O-L16SMBL01PKFH</t>
  </si>
  <si>
    <t>OL16SMBL01PKFH</t>
  </si>
  <si>
    <t>OHL_16SUM_BL_01_2</t>
  </si>
  <si>
    <t>PLEATS SLEEVES OPENING BLOUSE[BLUSH PINK,FREE]</t>
  </si>
  <si>
    <t>O-L16SMBL01WHFH</t>
  </si>
  <si>
    <t>OL16SMBL01WHFH</t>
  </si>
  <si>
    <t>OHL_16SUM_BL_01_1</t>
  </si>
  <si>
    <t>PLEATS SLEEVES OPENING BLOUSE[WHITE,FREE]</t>
  </si>
  <si>
    <t>O-L16SMTP03NYFH</t>
  </si>
  <si>
    <t>OL16SMTP03NYFH</t>
  </si>
  <si>
    <t>BACK PLEATS SLEEVES OPENING TOP</t>
  </si>
  <si>
    <t>OHL_16SUM_TOP_03_2</t>
  </si>
  <si>
    <t>NAVY,free</t>
  </si>
  <si>
    <t>BACK PLEATS SLEEVES OPENING TOP[NAVY,free]</t>
  </si>
  <si>
    <t>O-L16SMTP03WHFH</t>
  </si>
  <si>
    <t>OL16SMTP03WHFH</t>
  </si>
  <si>
    <t>OHL_16SUM_TOP_03_1</t>
  </si>
  <si>
    <t>WHITE,free</t>
  </si>
  <si>
    <t>BACK PLEATS SLEEVES OPENING TOP[WHITE,free]</t>
  </si>
  <si>
    <t>O-L16SMTP01LBFR</t>
  </si>
  <si>
    <t>OL16SMTP01LBFR</t>
  </si>
  <si>
    <t>OHL_16SUM_TOP_01</t>
  </si>
  <si>
    <t>LIGHT BLUE-GREEN,FREE</t>
  </si>
  <si>
    <t>OHL_16SUM_TOP_01[LIGHT BLUE-GREEN,FREE]</t>
  </si>
  <si>
    <t>O-L16SMPT02LBMR</t>
  </si>
  <si>
    <t>OL16SMPT02LBMR</t>
  </si>
  <si>
    <t>OHL_16SUM_PT_02</t>
  </si>
  <si>
    <t>OHL_16SUM_PT_01_M</t>
  </si>
  <si>
    <t>LIGHT BLUE,M</t>
  </si>
  <si>
    <t>OHL_16SUM_PT_02[LIGHT BLUE,M]</t>
  </si>
  <si>
    <t>O-L16SMPT02LBSR</t>
  </si>
  <si>
    <t>OL16SMPT02LBSR</t>
  </si>
  <si>
    <t>OHL_16SUM_PT_02_S</t>
  </si>
  <si>
    <t>LIGHT BLUE,S</t>
  </si>
  <si>
    <t>OHL_16SUM_PT_02[LIGHT BLUE,S]</t>
  </si>
  <si>
    <t>O-L16SMOP03BGFH</t>
  </si>
  <si>
    <t>OL16SMOP03BGFH</t>
  </si>
  <si>
    <t>POINT LACE PLEATS DRESS</t>
  </si>
  <si>
    <t>OHL_16SUM_OPS_03</t>
  </si>
  <si>
    <t>POINT LACE PLEATS DRESS[BLUISH GREEN,FREE]</t>
  </si>
  <si>
    <t>O-L16SPOP01MSFH</t>
  </si>
  <si>
    <t>OL16SPOP01MSFH</t>
  </si>
  <si>
    <t>OHL_16SP_OPS_01</t>
  </si>
  <si>
    <t>mustard,FREE</t>
  </si>
  <si>
    <t>POINT LACE PLEATS DRESS[mustard,FREE]</t>
  </si>
  <si>
    <t>O-L16SPPT02BLMR</t>
  </si>
  <si>
    <t>OL16SPPT02BLMR</t>
  </si>
  <si>
    <t>DENIM BOOTCUT PANTS</t>
  </si>
  <si>
    <t>OHL_16SP_PT_02_M</t>
  </si>
  <si>
    <t>blue,M</t>
  </si>
  <si>
    <t>DENIM BOOTCUT PANTS[blue,M]</t>
  </si>
  <si>
    <t>O-L16SPPT02BLSR</t>
  </si>
  <si>
    <t>OL16SPPT02BLSR</t>
  </si>
  <si>
    <t>OHL_16SP_PT_02_S</t>
  </si>
  <si>
    <t>blue,S</t>
  </si>
  <si>
    <t>DENIM BOOTCUT PANTS[blue,S]</t>
  </si>
  <si>
    <t>O-L16SPSK03IVMH</t>
  </si>
  <si>
    <t>OL16SPSK03IVMH</t>
  </si>
  <si>
    <t>POINT TAPE MERMAID SKIRT</t>
  </si>
  <si>
    <t>OHL_16SP_SKT_03_M</t>
  </si>
  <si>
    <t>ivory,M</t>
  </si>
  <si>
    <t>POINT TAPE MERMAID SKIRT[ivory,M]</t>
  </si>
  <si>
    <t>O-L16SPSK03IVSH</t>
  </si>
  <si>
    <t>OL16SPSK03IVSH</t>
  </si>
  <si>
    <t>OHL_16SP_SKT_03_S</t>
  </si>
  <si>
    <t>ivory,S</t>
  </si>
  <si>
    <t>POINT TAPE MERMAID SKIRT[ivory,S]</t>
  </si>
  <si>
    <t>O-L16SPSK02SBMH</t>
  </si>
  <si>
    <t>OL16SPSK02SBMH</t>
  </si>
  <si>
    <t>OHL_16SP_SKT_02_M</t>
  </si>
  <si>
    <t>sky blue,M</t>
  </si>
  <si>
    <t>POINT TAPE MERMAID SKIRT[sky blue,M]</t>
  </si>
  <si>
    <t>O-L16SPSK01NYMH</t>
  </si>
  <si>
    <t>OL16SPSK01NYMH</t>
  </si>
  <si>
    <t>POINT STRIPES LACE SKIRT</t>
  </si>
  <si>
    <t>OHL_16SP_SKT_01_M</t>
  </si>
  <si>
    <t>navy,M</t>
  </si>
  <si>
    <t>POINT STRIPES LACE SKIRT[navy,M]</t>
  </si>
  <si>
    <t>O-L16SPKN02BKFK</t>
  </si>
  <si>
    <t>OL16SPKN02BKFK</t>
  </si>
  <si>
    <t>POINT STRIPE KNIT</t>
  </si>
  <si>
    <t>OHL_16SP_KNT_02</t>
  </si>
  <si>
    <t>black,FREE</t>
  </si>
  <si>
    <t>POINT STRIPE KNIT[black,FREE]</t>
  </si>
  <si>
    <t>O-L16SPKN01WHFK</t>
  </si>
  <si>
    <t>OL16SPKN01WHFK</t>
  </si>
  <si>
    <t>OHL_16SP_KNT_01</t>
  </si>
  <si>
    <t>white,FREE</t>
  </si>
  <si>
    <t>POINT STRIPE KNIT[white,FREE]</t>
  </si>
  <si>
    <t>O-L16SPBL03MSFH</t>
  </si>
  <si>
    <t>OL16SPBL03MSFH</t>
  </si>
  <si>
    <t>POINT SLEEVE BLOUSE</t>
  </si>
  <si>
    <t>OHL_16SP_BL_03</t>
  </si>
  <si>
    <t>POINT SLEEVE BLOUSE[mustard,FREE]</t>
  </si>
  <si>
    <t>O-L16SPBL02PKFH</t>
  </si>
  <si>
    <t>OL16SPBL02PKFH</t>
  </si>
  <si>
    <t>OHL_16SP_BL_02</t>
  </si>
  <si>
    <t>indian pink,FREE</t>
  </si>
  <si>
    <t>POINT SLEEVE BLOUSE[indian pink,FREE]</t>
  </si>
  <si>
    <t>O-L16SPBL01SBFH</t>
  </si>
  <si>
    <t>OL16SPBL01SBFH</t>
  </si>
  <si>
    <t>OHL_16SP_BL_01</t>
  </si>
  <si>
    <t>sky blue,FREE</t>
  </si>
  <si>
    <t>POINT SLEEVE BLOUSE[sky blue,FREE]</t>
  </si>
  <si>
    <t>O-L16SPTP01GDFR</t>
  </si>
  <si>
    <t>OL16SPTP01GDFR</t>
  </si>
  <si>
    <t>GLITTER PEPLUM BUSTIER</t>
  </si>
  <si>
    <t>OHL_16SP_TOP_01</t>
  </si>
  <si>
    <t>gold,FREE</t>
  </si>
  <si>
    <t>GLITTER PEPLUM BUSTIER[gold,FREE]</t>
  </si>
  <si>
    <t>O-L16SPJK02MSFH</t>
  </si>
  <si>
    <t>OL16SPJK02MSFH</t>
  </si>
  <si>
    <t>FLOWER CUFFS SHORT JACKET</t>
  </si>
  <si>
    <t>OHL_16SP_JK_02</t>
  </si>
  <si>
    <t>FLOWER CUFFS SHORT JACKET[mustard,FREE]</t>
  </si>
  <si>
    <t>O-L16SPPT01NYMH</t>
  </si>
  <si>
    <t>OL16SPPT01NYMH</t>
  </si>
  <si>
    <t>CHECK SUIT SIDE PLEATS SHORTS</t>
  </si>
  <si>
    <t>OHL_16SP_PT_01_M</t>
  </si>
  <si>
    <t>CHECK SUIT SIDE PLEATS SHORTS[navy,M]</t>
  </si>
  <si>
    <t>2018-03-26 오후 7:49:00</t>
  </si>
  <si>
    <t>3-176212108301208</t>
  </si>
  <si>
    <t>RTR CHECK RIBBON</t>
  </si>
  <si>
    <t>S72BL01PK</t>
  </si>
  <si>
    <t>PINK/F</t>
  </si>
  <si>
    <t>RTR CHECK RIBBON[PINK/F]</t>
  </si>
  <si>
    <t>http://</t>
  </si>
  <si>
    <t>2018-03-27 오전 11:59:00</t>
  </si>
  <si>
    <t>2018-03-26 오후 7:48:00</t>
  </si>
  <si>
    <t>J-GUSAE1225A214GD</t>
  </si>
  <si>
    <t>GD</t>
  </si>
  <si>
    <t>JG-USAE1225A214GD[GD]</t>
  </si>
  <si>
    <t>2018-03-27 오후 3:32:00</t>
  </si>
  <si>
    <t>자사</t>
  </si>
  <si>
    <t>2018-03-26 오후 4:42:00</t>
  </si>
  <si>
    <t>A-0001</t>
  </si>
  <si>
    <t>A0001</t>
  </si>
  <si>
    <t>단일상품</t>
  </si>
  <si>
    <t>A0001[단일상품]</t>
  </si>
  <si>
    <t>EYEYE</t>
  </si>
  <si>
    <t>2018-03-26 오전 11:52:00</t>
  </si>
  <si>
    <t>E-EOG1DPR03W0B3M</t>
  </si>
  <si>
    <t>FOREVERYOUNG DESTROY DENIM PANTS</t>
  </si>
  <si>
    <t>EEOG1DPR03W_LBM</t>
  </si>
  <si>
    <t>L/BLUE/M</t>
  </si>
  <si>
    <t>FOREVERYOUNG DESTROY DENIM PANTS[L/BLUE/M]</t>
  </si>
  <si>
    <t>E-EOG1DPR03W0B3S</t>
  </si>
  <si>
    <t>EEOG1DPR03W_LBS</t>
  </si>
  <si>
    <t>L/BLUE/S</t>
  </si>
  <si>
    <t>FOREVERYOUNG DESTROY DENIM PANTS[L/BLUE/S]</t>
  </si>
  <si>
    <t>2018-03-23 오후 7:27:00</t>
  </si>
  <si>
    <t>S-72OPS05PK</t>
  </si>
  <si>
    <t>3N OFF OPS</t>
  </si>
  <si>
    <t>S72OPS05PK</t>
  </si>
  <si>
    <t>3N OFF OPS[PINK/F]</t>
  </si>
  <si>
    <t>S-72OPS05NV</t>
  </si>
  <si>
    <t>S72OPS05NV</t>
  </si>
  <si>
    <t>NAVY/F</t>
  </si>
  <si>
    <t>3N OFF OPS[NAVY/F]</t>
  </si>
  <si>
    <t>2018-03-23 오후 7:19:00</t>
  </si>
  <si>
    <t>J-GUSAE1227A143RD</t>
  </si>
  <si>
    <t>JG-USAE1227A143RD</t>
  </si>
  <si>
    <t>RD</t>
  </si>
  <si>
    <t>JG-USAE1227A143RD[RD]</t>
  </si>
  <si>
    <t>J-GUSAE1235A124BK</t>
  </si>
  <si>
    <t>JG-USAE1235A124BK</t>
  </si>
  <si>
    <t>BK</t>
  </si>
  <si>
    <t>JG-USAE1235A124BK[BK]</t>
  </si>
  <si>
    <t>J-GUSAE1232A194BK</t>
  </si>
  <si>
    <t>JG-USAE1232A194BK[BK]</t>
  </si>
  <si>
    <t>2018-03-23 오후 7:18:00</t>
  </si>
  <si>
    <t>J-GUSAE1227A187BL</t>
  </si>
  <si>
    <t>BL</t>
  </si>
  <si>
    <t>JG-USAE1227A187BL[BL]</t>
  </si>
  <si>
    <t>J-GUSAE1227A212GD</t>
  </si>
  <si>
    <t>JG-USAE1227A212GD[GD]</t>
  </si>
  <si>
    <t>2018-03-23 오후 7:15:00</t>
  </si>
  <si>
    <t>A-17S2TBU144BLXL</t>
  </si>
  <si>
    <t>UNISEX ALIVE STRIPE T-SHIRT atb144u(Blue)</t>
  </si>
  <si>
    <t>atb144uBLXL</t>
  </si>
  <si>
    <t>Blue/XL</t>
  </si>
  <si>
    <t>UNISEX ALIVE STRIPE T-SHIRT atb144u(Blue)[Blue/XL]</t>
  </si>
  <si>
    <t>A-17S2TBU144BLL</t>
  </si>
  <si>
    <t>atb144uBLL</t>
  </si>
  <si>
    <t>Blue/L</t>
  </si>
  <si>
    <t>UNISEX ALIVE STRIPE T-SHIRT atb144u(Blue)[Blue/L]</t>
  </si>
  <si>
    <t>A-17S2TBU144BLM</t>
  </si>
  <si>
    <t>atb144uBLM</t>
  </si>
  <si>
    <t>Blue/M</t>
  </si>
  <si>
    <t>UNISEX ALIVE STRIPE T-SHIRT atb144u(Blue)[Blue/M]</t>
  </si>
  <si>
    <t>A-17S2TBU144BLS</t>
  </si>
  <si>
    <t>atb144uBLS</t>
  </si>
  <si>
    <t>Blue/S</t>
  </si>
  <si>
    <t>UNISEX ALIVE STRIPE T-SHIRT atb144u(Blue)[Blue/S]</t>
  </si>
  <si>
    <t>A-17S2TBU144BLXS</t>
  </si>
  <si>
    <t>atb144uBLXS</t>
  </si>
  <si>
    <t>Blue/XS</t>
  </si>
  <si>
    <t>UNISEX ALIVE STRIPE T-SHIRT atb144u(Blue)[Blue/XS]</t>
  </si>
  <si>
    <t>2018-03-23 오후 7:12:00</t>
  </si>
  <si>
    <t>A-17S2TBU144BKL</t>
  </si>
  <si>
    <t>UNISEX ALIVE STRIPE T-SHIRT atb144u(Black)</t>
  </si>
  <si>
    <t>atb144uBKL</t>
  </si>
  <si>
    <t>Black/L</t>
  </si>
  <si>
    <t>UNISEX ALIVE STRIPE T-SHIRT atb144u(Black)[Black/L]</t>
  </si>
  <si>
    <t>A-17S2TBU144BKM</t>
  </si>
  <si>
    <t>atb144uBKM</t>
  </si>
  <si>
    <t>Black/M</t>
  </si>
  <si>
    <t>UNISEX ALIVE STRIPE T-SHIRT atb144u(Black)[Black/M]</t>
  </si>
  <si>
    <t>A-17S2TBU144BKS</t>
  </si>
  <si>
    <t>atb144uBKS</t>
  </si>
  <si>
    <t>Black/S</t>
  </si>
  <si>
    <t>UNISEX ALIVE STRIPE T-SHIRT atb144u(Black)[Black/S]</t>
  </si>
  <si>
    <t>A-17S2TBU144BKXS</t>
  </si>
  <si>
    <t>atb144uBKXS</t>
  </si>
  <si>
    <t>Black/XS</t>
  </si>
  <si>
    <t>UNISEX ALIVE STRIPE T-SHIRT atb144u(Black)[Black/XS]</t>
  </si>
  <si>
    <t>2018-03-22 오전 11:36:00</t>
  </si>
  <si>
    <t>Z-175TS301M19F</t>
  </si>
  <si>
    <t>Buddy Bear Hoody</t>
  </si>
  <si>
    <t>Z175TS301M19F</t>
  </si>
  <si>
    <t>Black/Free</t>
  </si>
  <si>
    <t>Buddy Bear Hoody[Black/Free]</t>
  </si>
  <si>
    <t>2018-03-23 오후 3:48:00</t>
  </si>
  <si>
    <t>Z-175TS300M19F</t>
  </si>
  <si>
    <t>Neukolln Hoody</t>
  </si>
  <si>
    <t>Z175TS300M19F</t>
  </si>
  <si>
    <t>Neukolln Hoody[Black/Free]</t>
  </si>
  <si>
    <t>Z-175TS200M19F</t>
  </si>
  <si>
    <t>Check Point Charlie Sweat Shirts</t>
  </si>
  <si>
    <t>Z175TS200M19F</t>
  </si>
  <si>
    <t>Check Point Charlie Sweat Shirts[Black/Free]</t>
  </si>
  <si>
    <t>Z-175TS011M25MBXL</t>
  </si>
  <si>
    <t>Z175TS011M25MBXL</t>
  </si>
  <si>
    <t>BERLIN ITALIC TEE MARINE   BLUE</t>
  </si>
  <si>
    <t>MARINE BLUE/XL</t>
  </si>
  <si>
    <t>BERLIN ITALIC TEE MARINE   BLUE[MARINE BLUE/XL]</t>
  </si>
  <si>
    <t>Z-165AP500M19F</t>
  </si>
  <si>
    <t>Z165AP500M19F</t>
  </si>
  <si>
    <t>Z165AP500M19F[Black/Free]</t>
  </si>
  <si>
    <t>2018-03-23 오후 3:47:00</t>
  </si>
  <si>
    <t>Z-165AP521M33F</t>
  </si>
  <si>
    <t>Z165AP521M33F</t>
  </si>
  <si>
    <t>Dark Pink/Free</t>
  </si>
  <si>
    <t>Z165AP521M33F[Dark Pink/Free]</t>
  </si>
  <si>
    <t>Z-165AP525M00F</t>
  </si>
  <si>
    <t>Z165AP525M00F</t>
  </si>
  <si>
    <t>White/Free</t>
  </si>
  <si>
    <t>Z165AP525M00F[White/Free]</t>
  </si>
  <si>
    <t>Z-165AP704M90F</t>
  </si>
  <si>
    <t>Z165AP704M90F</t>
  </si>
  <si>
    <t>Vintage/Free</t>
  </si>
  <si>
    <t>Z165AP704M90F[Vintage/Free]</t>
  </si>
  <si>
    <t>Z-165AP501M36F</t>
  </si>
  <si>
    <t>Z165AP501M36F</t>
  </si>
  <si>
    <t>Red/Free</t>
  </si>
  <si>
    <t>Z165AP501M36F[Red/Free]</t>
  </si>
  <si>
    <t>Z-175AP508M21F</t>
  </si>
  <si>
    <t>Z175AP508M21F</t>
  </si>
  <si>
    <t>Blue/Free</t>
  </si>
  <si>
    <t>Z175AP508M21F[Blue/Free]</t>
  </si>
  <si>
    <t>Z-175AP507M46F</t>
  </si>
  <si>
    <t>Z175AP507M46F</t>
  </si>
  <si>
    <t>Yellow/Free</t>
  </si>
  <si>
    <t>Z175AP507M46F[Yellow/Free]</t>
  </si>
  <si>
    <t>Z-175AP506M33F</t>
  </si>
  <si>
    <t>Z175AP506M33F</t>
  </si>
  <si>
    <t>HotPink/Free</t>
  </si>
  <si>
    <t>Z175AP506M33F[HotPink/Free]</t>
  </si>
  <si>
    <t>Z-175AP505M08F</t>
  </si>
  <si>
    <t>Z175AP505M08F</t>
  </si>
  <si>
    <t>DarkNavy/Free</t>
  </si>
  <si>
    <t>Z175AP505M08F[DarkNavy/Free]</t>
  </si>
  <si>
    <t>Z-175AP503M31F</t>
  </si>
  <si>
    <t>Z175AP503M31F</t>
  </si>
  <si>
    <t>Pink/Free</t>
  </si>
  <si>
    <t>Z175AP503M31F[Pink/Free]</t>
  </si>
  <si>
    <t>Z-175AP502M51F</t>
  </si>
  <si>
    <t>Z175AP502M51F</t>
  </si>
  <si>
    <t>Green/Free</t>
  </si>
  <si>
    <t>Z175AP502M51F[Green/Free]</t>
  </si>
  <si>
    <t>Z-175AP501M36F</t>
  </si>
  <si>
    <t>Z175AP501M36F</t>
  </si>
  <si>
    <t>Z175AP501M36F[Red/Free]</t>
  </si>
  <si>
    <t>Z-175AP500M06F</t>
  </si>
  <si>
    <t>Z175AP500M06F</t>
  </si>
  <si>
    <t>Navy/Free</t>
  </si>
  <si>
    <t>Z175AP500M06F[Navy/Free]</t>
  </si>
  <si>
    <t>Z-165AP711M59F</t>
  </si>
  <si>
    <t>Z165AP711M59F</t>
  </si>
  <si>
    <t>Hunter/Free</t>
  </si>
  <si>
    <t>Z165AP711M59F[Hunter/Free]</t>
  </si>
  <si>
    <t>Z-165AP710M14F</t>
  </si>
  <si>
    <t>Z165AP710M14F</t>
  </si>
  <si>
    <t>DarkGrey/Free</t>
  </si>
  <si>
    <t>Z165AP710M14F[DarkGrey/Free]</t>
  </si>
  <si>
    <t>Z-165AP709M19F</t>
  </si>
  <si>
    <t>Z165AP709M19F</t>
  </si>
  <si>
    <t>Z165AP709M19F[Black/Free]</t>
  </si>
  <si>
    <t>Z-165AP713M10F</t>
  </si>
  <si>
    <t>Z165AP713M10F</t>
  </si>
  <si>
    <t>Stone/Free</t>
  </si>
  <si>
    <t>Z165AP713M10F[Stone/Free]</t>
  </si>
  <si>
    <t>Z-165AP712M19F</t>
  </si>
  <si>
    <t>Z165AP712M19F</t>
  </si>
  <si>
    <t>Z165AP712M19F[Black/Free]</t>
  </si>
  <si>
    <t>Z-165AP708M09F</t>
  </si>
  <si>
    <t>Z165AP708M09F</t>
  </si>
  <si>
    <t>BlackStripe/Free</t>
  </si>
  <si>
    <t>Z165AP708M09F[BlackStripe/Free]</t>
  </si>
  <si>
    <t>Z-165AP707M09F</t>
  </si>
  <si>
    <t>Z165AP707M09F</t>
  </si>
  <si>
    <t>WhiteCheck/Free</t>
  </si>
  <si>
    <t>Z165AP707M09F[WhiteCheck/Free]</t>
  </si>
  <si>
    <t>Z-165AP715M15F</t>
  </si>
  <si>
    <t>Z165AP715M15F</t>
  </si>
  <si>
    <t>Charcoal/Free</t>
  </si>
  <si>
    <t>Z165AP715M15F[Charcoal/Free]</t>
  </si>
  <si>
    <t>Z-165AP714M08F</t>
  </si>
  <si>
    <t>Z165AP714M08F</t>
  </si>
  <si>
    <t>Z165AP714M08F[DarkNavy/Free]</t>
  </si>
  <si>
    <t>Z-165AP805M33F</t>
  </si>
  <si>
    <t>Z165AP805M33F</t>
  </si>
  <si>
    <t>DarkPeach/Free</t>
  </si>
  <si>
    <t>Z165AP805M33F[DarkPeach/Free]</t>
  </si>
  <si>
    <t>Z-165AP804M08F</t>
  </si>
  <si>
    <t>Z165AP804M08F</t>
  </si>
  <si>
    <t>Z165AP804M08F[DarkNavy/Free]</t>
  </si>
  <si>
    <t>Z-165AP906M41F</t>
  </si>
  <si>
    <t>Z165AP906M41F</t>
  </si>
  <si>
    <t>Orange/Free</t>
  </si>
  <si>
    <t>Z165AP906M41F[Orange/Free]</t>
  </si>
  <si>
    <t>Z-165AP905M26F</t>
  </si>
  <si>
    <t>Z165AP905M26F</t>
  </si>
  <si>
    <t>CobaltBlue/Free</t>
  </si>
  <si>
    <t>Z165AP905M26F[CobaltBlue/Free]</t>
  </si>
  <si>
    <t>Z-165AP904M66F</t>
  </si>
  <si>
    <t>Z165AP904M66F</t>
  </si>
  <si>
    <t>Burgundy/Free</t>
  </si>
  <si>
    <t>Z165AP904M66F[Burgundy/Free]</t>
  </si>
  <si>
    <t>Z-165AP903M15F</t>
  </si>
  <si>
    <t>Z165AP903M15F</t>
  </si>
  <si>
    <t>Z165AP903M15F[Charcoal/Free]</t>
  </si>
  <si>
    <t>Z-165AP902M19F</t>
  </si>
  <si>
    <t>Z165AP902M19F</t>
  </si>
  <si>
    <t>Z165AP902M19F[Black/Free]</t>
  </si>
  <si>
    <t>Z-165AP901M01F</t>
  </si>
  <si>
    <t>Z165AP901M01F</t>
  </si>
  <si>
    <t>OffWhite/Free</t>
  </si>
  <si>
    <t>Z165AP901M01F[OffWhite/Free]</t>
  </si>
  <si>
    <t>Z-165AP900M08F</t>
  </si>
  <si>
    <t>Z165AP900M08F</t>
  </si>
  <si>
    <t>Z165AP900M08F[DarkNavy/Free]</t>
  </si>
  <si>
    <t>Z-165AP603M09F</t>
  </si>
  <si>
    <t>Z165AP603M09F</t>
  </si>
  <si>
    <t>CamoBlue/Free</t>
  </si>
  <si>
    <t>Z165AP603M09F[CamoBlue/Free]</t>
  </si>
  <si>
    <t>Z-165AP602M56F</t>
  </si>
  <si>
    <t>Z165AP602M56F</t>
  </si>
  <si>
    <t>Khaki/Free</t>
  </si>
  <si>
    <t>Z165AP602M56F[Khaki/Free]</t>
  </si>
  <si>
    <t>Z-165AP601M14F</t>
  </si>
  <si>
    <t>Z165AP601M14F</t>
  </si>
  <si>
    <t>Z165AP601M14F[DarkGrey/Free]</t>
  </si>
  <si>
    <t>Z-165AP600M19F</t>
  </si>
  <si>
    <t>Z165AP600M19F</t>
  </si>
  <si>
    <t>Z165AP600M19F[Black/Free]</t>
  </si>
  <si>
    <t>Z-165AP517M58F</t>
  </si>
  <si>
    <t>Z165AP517M58F</t>
  </si>
  <si>
    <t>DarkKhaki/Free</t>
  </si>
  <si>
    <t>Z165AP517M58F[DarkKhaki/Free]</t>
  </si>
  <si>
    <t>Z-165AP516M00F</t>
  </si>
  <si>
    <t>Z165AP516M00F</t>
  </si>
  <si>
    <t>Z165AP516M00F[White/Free]</t>
  </si>
  <si>
    <t>Z-165AP522M55F</t>
  </si>
  <si>
    <t>Z165AP522M55F</t>
  </si>
  <si>
    <t>LightKhaki/Free</t>
  </si>
  <si>
    <t>Z165AP522M55F[LightKhaki/Free]</t>
  </si>
  <si>
    <t>Z-165AP520M43F</t>
  </si>
  <si>
    <t>Z165AP520M43F</t>
  </si>
  <si>
    <t>Z165AP520M43F[Burgundy/Free]</t>
  </si>
  <si>
    <t>Z-165AP519M82F</t>
  </si>
  <si>
    <t>LightBeige/Free</t>
  </si>
  <si>
    <t>Z165AP519M82F[LightBeige/Free]</t>
  </si>
  <si>
    <t>Z-165AP518M08F</t>
  </si>
  <si>
    <t>Z165AP518M08F</t>
  </si>
  <si>
    <t>Z165AP518M08F[DarkNavy/Free]</t>
  </si>
  <si>
    <t>Z-165AP413M97F</t>
  </si>
  <si>
    <t>Z165AP413M97F</t>
  </si>
  <si>
    <t>JetBlack/Free</t>
  </si>
  <si>
    <t>Z165AP413M97F[JetBlack/Free]</t>
  </si>
  <si>
    <t>Z-165AP412M85F</t>
  </si>
  <si>
    <t>Z165AP412M85F</t>
  </si>
  <si>
    <t>DarkBeige/Free</t>
  </si>
  <si>
    <t>Z165AP412M85F[DarkBeige/Free]</t>
  </si>
  <si>
    <t>Z-165AP411M36F</t>
  </si>
  <si>
    <t>Z165AP411M36F</t>
  </si>
  <si>
    <t>Z165AP411M36F[Red/Free]</t>
  </si>
  <si>
    <t>Z-165AP410M06F</t>
  </si>
  <si>
    <t>Z165AP410M06F</t>
  </si>
  <si>
    <t>Z165AP410M06F[Navy/Free]</t>
  </si>
  <si>
    <t>Z-165AP409M09F</t>
  </si>
  <si>
    <t>Z165AP409M09F</t>
  </si>
  <si>
    <t>Mosaic/Free</t>
  </si>
  <si>
    <t>Z165AP409M09F[Mosaic/Free]</t>
  </si>
  <si>
    <t>Z-165AP408M09F</t>
  </si>
  <si>
    <t>Z165AP408M09F</t>
  </si>
  <si>
    <t>Money/Free</t>
  </si>
  <si>
    <t>Z165AP408M09F[Money/Free]</t>
  </si>
  <si>
    <t>Z-165AP407M09F</t>
  </si>
  <si>
    <t>Z165AP407M09F</t>
  </si>
  <si>
    <t>Universe/Free</t>
  </si>
  <si>
    <t>Z165AP407M09F[Universe/Free]</t>
  </si>
  <si>
    <t>Z-165AP406M09F</t>
  </si>
  <si>
    <t>Z165AP406M09F</t>
  </si>
  <si>
    <t>CamoGrey/Free</t>
  </si>
  <si>
    <t>Z165AP406M09F[CamoGrey/Free]</t>
  </si>
  <si>
    <t>Z-165AP405M27F</t>
  </si>
  <si>
    <t>Z165AP405M27F</t>
  </si>
  <si>
    <t>RoyalBlue/Free</t>
  </si>
  <si>
    <t>Z165AP405M27F[RoyalBlue/Free]</t>
  </si>
  <si>
    <t>Z-165AP404M54F</t>
  </si>
  <si>
    <t>Z165AP404M54F</t>
  </si>
  <si>
    <t>OliveKhaki/Free</t>
  </si>
  <si>
    <t>Z165AP404M54F[OliveKhaki/Free]</t>
  </si>
  <si>
    <t>Z-165AP403M03F</t>
  </si>
  <si>
    <t>Z165AP403M03F</t>
  </si>
  <si>
    <t>Mint/Free</t>
  </si>
  <si>
    <t>Z165AP403M03F[Mint/Free]</t>
  </si>
  <si>
    <t>Z-165AP402M35F</t>
  </si>
  <si>
    <t>Z165AP402M35F</t>
  </si>
  <si>
    <t>IndianPink/Free</t>
  </si>
  <si>
    <t>Z165AP402M35F[IndianPink/Free]</t>
  </si>
  <si>
    <t>Z-165AP401M92F</t>
  </si>
  <si>
    <t>Z165AP401M92F</t>
  </si>
  <si>
    <t>LightIndigo/Free</t>
  </si>
  <si>
    <t>Z165AP401M92F[LightIndigo/Free]</t>
  </si>
  <si>
    <t>Z-165AP400M93F</t>
  </si>
  <si>
    <t>Z165AP400M93F</t>
  </si>
  <si>
    <t>Indigo/Free</t>
  </si>
  <si>
    <t>Z165AP400M93F[Indigo/Free]</t>
  </si>
  <si>
    <t>Z-165AP803M51F</t>
  </si>
  <si>
    <t>Z165AP803M51F</t>
  </si>
  <si>
    <t>Z165AP803M51F[Green/Free]</t>
  </si>
  <si>
    <t>Z-165AP802M41F</t>
  </si>
  <si>
    <t>Z165AP802M41F</t>
  </si>
  <si>
    <t>Z165AP802M41F[Orange/Free]</t>
  </si>
  <si>
    <t>Z-165AP801M25F</t>
  </si>
  <si>
    <t>Z165AP801M25F</t>
  </si>
  <si>
    <t>AquaBlue/Free</t>
  </si>
  <si>
    <t>Z165AP801M25F[AquaBlue/Free]</t>
  </si>
  <si>
    <t>Z-165AP800M36F</t>
  </si>
  <si>
    <t>Z165AP800M36F[Red/Free]</t>
  </si>
  <si>
    <t>Z-165AP706M99F</t>
  </si>
  <si>
    <t>Z165AP706M99F</t>
  </si>
  <si>
    <t>Camo/Free</t>
  </si>
  <si>
    <t>Z165AP706M99F[Camo/Free]</t>
  </si>
  <si>
    <t>Z-165AP703M81F</t>
  </si>
  <si>
    <t>Z165AP703M81F</t>
  </si>
  <si>
    <t>Sand/Free</t>
  </si>
  <si>
    <t>Z165AP703M81F[Sand/Free]</t>
  </si>
  <si>
    <t>Z-165AP702M06F</t>
  </si>
  <si>
    <t>Z165AP702M06F</t>
  </si>
  <si>
    <t>Z165AP702M06F[Navy/Free]</t>
  </si>
  <si>
    <t>Z-165AP700M93F</t>
  </si>
  <si>
    <t>Z165AP700M93F</t>
  </si>
  <si>
    <t>Z165AP700M93F[Indigo/Free]</t>
  </si>
  <si>
    <t>Z-165AP514M36F</t>
  </si>
  <si>
    <t>Z165AP514M36F</t>
  </si>
  <si>
    <t>Z165AP514M36F[Red/Free]</t>
  </si>
  <si>
    <t>Z-165AP513M51F</t>
  </si>
  <si>
    <t>Z165AP513M51F</t>
  </si>
  <si>
    <t>Z165AP513M51F[Green/Free]</t>
  </si>
  <si>
    <t>Z-165AP512M82F</t>
  </si>
  <si>
    <t>Z165AP512M82F</t>
  </si>
  <si>
    <t>Z165AP512M82F[LightBeige/Free]</t>
  </si>
  <si>
    <t>Z-165AP511M21F</t>
  </si>
  <si>
    <t>Z165AP511M21F</t>
  </si>
  <si>
    <t>Z165AP511M21F[Blue/Free]</t>
  </si>
  <si>
    <t>Z-165AP510M06F</t>
  </si>
  <si>
    <t>Z165AP510M06F</t>
  </si>
  <si>
    <t>Z165AP510M06F[Navy/Free]</t>
  </si>
  <si>
    <t>Z-165AP509M00F</t>
  </si>
  <si>
    <t>Z165AP509M00F</t>
  </si>
  <si>
    <t>Z165AP509M00F[White/Free]</t>
  </si>
  <si>
    <t>Z-165AP508M31F</t>
  </si>
  <si>
    <t>Z165AP508M31F</t>
  </si>
  <si>
    <t>Z165AP508M31F[Pink/Free]</t>
  </si>
  <si>
    <t>Z-165AP507M15F</t>
  </si>
  <si>
    <t>Z165AP507M15F</t>
  </si>
  <si>
    <t>CharcoalGrey/Free</t>
  </si>
  <si>
    <t>Z165AP507M15F[CharcoalGrey/Free]</t>
  </si>
  <si>
    <t>Z-165AP506M19F</t>
  </si>
  <si>
    <t>Z165AP506M19F</t>
  </si>
  <si>
    <t>Z165AP506M19F[Black/Free]</t>
  </si>
  <si>
    <t>Z-165AP505M69F</t>
  </si>
  <si>
    <t>Z165AP505M69F</t>
  </si>
  <si>
    <t>Purple/Free</t>
  </si>
  <si>
    <t>Z165AP505M69F[Purple/Free]</t>
  </si>
  <si>
    <t>Z-165AP504M50F</t>
  </si>
  <si>
    <t>Z165AP504M50F</t>
  </si>
  <si>
    <t>LightGreen/Free</t>
  </si>
  <si>
    <t>Z165AP504M50F[LightGreen/Free]</t>
  </si>
  <si>
    <t>Z-165AP503M30F</t>
  </si>
  <si>
    <t>Z165AP503M30F</t>
  </si>
  <si>
    <t>LightPink/Free</t>
  </si>
  <si>
    <t>Z165AP503M30F[LightPink/Free]</t>
  </si>
  <si>
    <t>Z-165AP502M44F</t>
  </si>
  <si>
    <t>LemonYellow/Free</t>
  </si>
  <si>
    <t>Z165AP502M44F[LemonYellow/Free]</t>
  </si>
  <si>
    <t>3-181522100174120</t>
  </si>
  <si>
    <t>frill bucket hat_beige</t>
  </si>
  <si>
    <t>YP18SPHT01BE</t>
  </si>
  <si>
    <t>frill bucket hat_beige[beige/FREE]</t>
  </si>
  <si>
    <t>3-181222100699208</t>
  </si>
  <si>
    <t>y point T-shirts_black[black/FREE]</t>
  </si>
  <si>
    <t>3-181222100669208</t>
  </si>
  <si>
    <t>ivory/FREE</t>
  </si>
  <si>
    <t>y point T-shirts_ivory[ivory/FREE]</t>
  </si>
  <si>
    <t>3-181522100199120</t>
  </si>
  <si>
    <t>frill bucket hat_black</t>
  </si>
  <si>
    <t>YP18SPHT01BK</t>
  </si>
  <si>
    <t>frill bucket hat_black[black/FREE]</t>
  </si>
  <si>
    <t>3-181222100630208</t>
  </si>
  <si>
    <t>y point T-shirts_navy</t>
  </si>
  <si>
    <t>YP18SPTS02NY</t>
  </si>
  <si>
    <t>y point T-shirts_navy[navy/FREE]</t>
  </si>
  <si>
    <t>Y-P17SUSH05BL</t>
  </si>
  <si>
    <t>YP17SUSH05BL</t>
  </si>
  <si>
    <t>frill stripe shirts</t>
  </si>
  <si>
    <t>frill stripe shirts[blue/FREE]</t>
  </si>
  <si>
    <t>Y-P17SUSH05WH</t>
  </si>
  <si>
    <t>YP17SUSH05WH</t>
  </si>
  <si>
    <t>frill stripe shirts[white/FREE]</t>
  </si>
  <si>
    <t>Y-P17SUTS05BK</t>
  </si>
  <si>
    <t>YP17SUTS05BK</t>
  </si>
  <si>
    <t>well done T-shirts</t>
  </si>
  <si>
    <t>blakc/FREE</t>
  </si>
  <si>
    <t>well done T-shirts[blakc/FREE]</t>
  </si>
  <si>
    <t>Y-P17SUOP06PK</t>
  </si>
  <si>
    <t>YP17SUOP06PK</t>
  </si>
  <si>
    <t>frill button onepiece</t>
  </si>
  <si>
    <t>frill button onepiece[pink/FREE]</t>
  </si>
  <si>
    <t>Y-P17SUOP06BK</t>
  </si>
  <si>
    <t>YP17SUOP06BK</t>
  </si>
  <si>
    <t>frill button onepiece[black/FREE]</t>
  </si>
  <si>
    <t>Y-P17SUOP04PK</t>
  </si>
  <si>
    <t>YP17SUOP04PK</t>
  </si>
  <si>
    <t>two frill onepiece</t>
  </si>
  <si>
    <t>two frill onepiece[pink/FREE]</t>
  </si>
  <si>
    <t>Y-P17SUOP04WH</t>
  </si>
  <si>
    <t>YP17SUOP04WH</t>
  </si>
  <si>
    <t>two frill onepiece[white/FREE]</t>
  </si>
  <si>
    <t>Y-P17SUOP03PK</t>
  </si>
  <si>
    <t>YP17SUOP03PK</t>
  </si>
  <si>
    <t>button onepiece</t>
  </si>
  <si>
    <t>button onepiece[pink/FREE]</t>
  </si>
  <si>
    <t>Y-P17SUOP02WH</t>
  </si>
  <si>
    <t>YP17SUOP02WH</t>
  </si>
  <si>
    <t>mid-line onepiece</t>
  </si>
  <si>
    <t>mid-line onepiece[white/FREE]</t>
  </si>
  <si>
    <t>Y-P17SUOP02NA</t>
  </si>
  <si>
    <t>YP17SUOP02NA</t>
  </si>
  <si>
    <t>mid-line onepiece[navy/FREE]</t>
  </si>
  <si>
    <t>Y-P17SUOP01NA</t>
  </si>
  <si>
    <t>YP17SUOP01NA</t>
  </si>
  <si>
    <t>white frill onepiece</t>
  </si>
  <si>
    <t>white frill onepiece[navy/FREE]</t>
  </si>
  <si>
    <t>Y-P17SUOP01BE</t>
  </si>
  <si>
    <t>YP17SUOP01BE</t>
  </si>
  <si>
    <t>white frill onepiece[beige/FREE]</t>
  </si>
  <si>
    <t>Y-P17SUSK02NA</t>
  </si>
  <si>
    <t>YP17SUSK02NA</t>
  </si>
  <si>
    <t>coloring skirt</t>
  </si>
  <si>
    <t>coloring skirt[navy/FREE]</t>
  </si>
  <si>
    <t>Y-P17SUSK01WH</t>
  </si>
  <si>
    <t>YP17SUSK01WH</t>
  </si>
  <si>
    <t>N frill skirt</t>
  </si>
  <si>
    <t>N frill skirt[white/FREE]</t>
  </si>
  <si>
    <t>Y-P17SUSK01PK</t>
  </si>
  <si>
    <t>YP17SUSK01PK</t>
  </si>
  <si>
    <t>N frill skirt[pink/FREE]</t>
  </si>
  <si>
    <t>Y-P17SUPT01NA</t>
  </si>
  <si>
    <t>YP17SUPT01NA</t>
  </si>
  <si>
    <t>string pants</t>
  </si>
  <si>
    <t>string pants[navy/FREE]</t>
  </si>
  <si>
    <t>Y-P17SUPT01BK</t>
  </si>
  <si>
    <t>YP17SUPT01BK</t>
  </si>
  <si>
    <t>string pants[black/FREE]</t>
  </si>
  <si>
    <t>Y-P17SUSH04BE</t>
  </si>
  <si>
    <t>YP17SUSH04BE</t>
  </si>
  <si>
    <t>white frill shirts</t>
  </si>
  <si>
    <t>white frill shirts[beige/FREE]</t>
  </si>
  <si>
    <t>Y-P17SUSH04NA</t>
  </si>
  <si>
    <t>YP17SUSH04NA</t>
  </si>
  <si>
    <t>white frill shirts[navy/FREE]</t>
  </si>
  <si>
    <t>Y-P17SUSH03WH</t>
  </si>
  <si>
    <t>YP17SUSH03WH</t>
  </si>
  <si>
    <t>lace shirts</t>
  </si>
  <si>
    <t>lace shirts[white/FREE]</t>
  </si>
  <si>
    <t>Y-P17SUSH03NA</t>
  </si>
  <si>
    <t>YP17SUSH03NA</t>
  </si>
  <si>
    <t>lace shirts[navy/FREE]</t>
  </si>
  <si>
    <t>Y-P17SUSH02SK</t>
  </si>
  <si>
    <t>YP17SUSH02SK</t>
  </si>
  <si>
    <t>square shirts</t>
  </si>
  <si>
    <t>square shirts[skyblue/FREE]</t>
  </si>
  <si>
    <t>Y-P17SUSH02WH</t>
  </si>
  <si>
    <t>YP17SUSH02WH</t>
  </si>
  <si>
    <t>square shirts[white/FREE]</t>
  </si>
  <si>
    <t>Y-P17SUSH01SK</t>
  </si>
  <si>
    <t>YP17SUSH01SK</t>
  </si>
  <si>
    <t>diagonal shirts</t>
  </si>
  <si>
    <t>diagonal shirts[skyblue/FREE]</t>
  </si>
  <si>
    <t>Y-P17SUSH01WH</t>
  </si>
  <si>
    <t>YP17SUSH01WH</t>
  </si>
  <si>
    <t>diagonal shirts[white/FREE]</t>
  </si>
  <si>
    <t>Y-P17SUTS04BE</t>
  </si>
  <si>
    <t>YP17SUTS04BE</t>
  </si>
  <si>
    <t>frill collar T-shirts</t>
  </si>
  <si>
    <t>frill collar T-shirts[beige/FREE]</t>
  </si>
  <si>
    <t>Y-P17SUTS03PK</t>
  </si>
  <si>
    <t>YP17SUTS03PK</t>
  </si>
  <si>
    <t>circle stripe  T-shirts</t>
  </si>
  <si>
    <t>circle stripe  T-shirts[pink/FREE]</t>
  </si>
  <si>
    <t>Y-P17SUTS02BK</t>
  </si>
  <si>
    <t>YP17SUTS02BK</t>
  </si>
  <si>
    <t>y frill T-shirt</t>
  </si>
  <si>
    <t>y frill T-shirt[black/FREE]</t>
  </si>
  <si>
    <t>Y-P17SUTS01BR</t>
  </si>
  <si>
    <t>YP17SUTS01BR</t>
  </si>
  <si>
    <t>yuppe T-shirts</t>
  </si>
  <si>
    <t>brown/FREE</t>
  </si>
  <si>
    <t>yuppe T-shirts[brown/FREE]</t>
  </si>
  <si>
    <t>Y-P17WTPT01GR</t>
  </si>
  <si>
    <t>YP17WTPT01GR</t>
  </si>
  <si>
    <t>Warm pants_grey</t>
  </si>
  <si>
    <t>grey/FREE</t>
  </si>
  <si>
    <t>Warm pants_grey[grey/FREE]</t>
  </si>
  <si>
    <t>Y-P17WTPT01BK</t>
  </si>
  <si>
    <t>YP17WTPT01BK</t>
  </si>
  <si>
    <t>Warm pants_black</t>
  </si>
  <si>
    <t>Warm pants_black[black/FREE]</t>
  </si>
  <si>
    <t>Y-P17WTSK02GR</t>
  </si>
  <si>
    <t>YP17WTSK02GR</t>
  </si>
  <si>
    <t>Check mermaid skirt_grey</t>
  </si>
  <si>
    <t>Check mermaid skirt_grey[grey/FREE]</t>
  </si>
  <si>
    <t>Y-P17WTSK02RD</t>
  </si>
  <si>
    <t>YP17WTSK02RD</t>
  </si>
  <si>
    <t>Check mermaid skirt_red</t>
  </si>
  <si>
    <t>red/FREE</t>
  </si>
  <si>
    <t>Check mermaid skirt_red[red/FREE]</t>
  </si>
  <si>
    <t>Y-P17WTSK01BK</t>
  </si>
  <si>
    <t>YP17WTSK01BK</t>
  </si>
  <si>
    <t>Wave skirt_black</t>
  </si>
  <si>
    <t>Wave skirt_black[black/FREE]</t>
  </si>
  <si>
    <t>Y-P17WTSK01PK</t>
  </si>
  <si>
    <t>YP17WTSK01PK</t>
  </si>
  <si>
    <t>Wave skirt_pink</t>
  </si>
  <si>
    <t>Wave skirt_pink[pink/FREE]</t>
  </si>
  <si>
    <t>Y-P17WTPD01BK</t>
  </si>
  <si>
    <t>YP17WTPD01BK</t>
  </si>
  <si>
    <t>Fur padding_black</t>
  </si>
  <si>
    <t>Fur padding_black[black/FREE]</t>
  </si>
  <si>
    <t>Y-P17WTPD01BE</t>
  </si>
  <si>
    <t>YP17WTPD01BE</t>
  </si>
  <si>
    <t>Fur padding_beige</t>
  </si>
  <si>
    <t>Fur padding_beige[beige/FREE]</t>
  </si>
  <si>
    <t>Y-P17WTCT03GR</t>
  </si>
  <si>
    <t>YP17WTCT03GR</t>
  </si>
  <si>
    <t>Check long coat_grey</t>
  </si>
  <si>
    <t>Check long coat_grey[grey/FREE]</t>
  </si>
  <si>
    <t>Y-P17WTCT02GR</t>
  </si>
  <si>
    <t>YP17WTCT02GR</t>
  </si>
  <si>
    <t>Half double coat_grey</t>
  </si>
  <si>
    <t>Half double coat_grey[grey/FREE]</t>
  </si>
  <si>
    <t>Y-P17WTCT02BE</t>
  </si>
  <si>
    <t>YP17WTCT02BE</t>
  </si>
  <si>
    <t>Half double coat_beige</t>
  </si>
  <si>
    <t>Half double coat_beige[beige/FREE]</t>
  </si>
  <si>
    <t>Y-P17WTCT01GR</t>
  </si>
  <si>
    <t>YP17WTCT01GR</t>
  </si>
  <si>
    <t>Hidden button coat_green</t>
  </si>
  <si>
    <t>green/FREE</t>
  </si>
  <si>
    <t>Hidden button coat_green[green/FREE]</t>
  </si>
  <si>
    <t>Y-P17WTCT01BK</t>
  </si>
  <si>
    <t>YP17WTCT01BK</t>
  </si>
  <si>
    <t>Hidden button coat_black</t>
  </si>
  <si>
    <t>Hidden button coat_black[black/FREE]</t>
  </si>
  <si>
    <t>Y-P17WTOP01BK</t>
  </si>
  <si>
    <t>YP17WTOP01BK</t>
  </si>
  <si>
    <t>V frill onepiece_black</t>
  </si>
  <si>
    <t>V frill onepiece_black[black/FREE]</t>
  </si>
  <si>
    <t>Y-P17WTOP01PK</t>
  </si>
  <si>
    <t>YP17WTOP01PK</t>
  </si>
  <si>
    <t>V frill onepiece_pink</t>
  </si>
  <si>
    <t>V frill onepiece_pink[pink/FREE]</t>
  </si>
  <si>
    <t>Y-P17WTKT02KH</t>
  </si>
  <si>
    <t>YP17WTKT02KH</t>
  </si>
  <si>
    <t>Twist knit_khaki</t>
  </si>
  <si>
    <t>khaki/FREE</t>
  </si>
  <si>
    <t>Twist knit_khaki[khaki/FREE]</t>
  </si>
  <si>
    <t>Y-P17WTKT02SK</t>
  </si>
  <si>
    <t>YP17WTKT02SK</t>
  </si>
  <si>
    <t>Twist knit_skyblue</t>
  </si>
  <si>
    <t>Twist knit_skyblue[skyblue/FREE]</t>
  </si>
  <si>
    <t>3-174232101969208</t>
  </si>
  <si>
    <t>Stripe flare knit_ivory</t>
  </si>
  <si>
    <t>YP17WTKT01IV</t>
  </si>
  <si>
    <t>Stripe flare knit_ivory[ivory/FREE]</t>
  </si>
  <si>
    <t>3-174232101918208</t>
  </si>
  <si>
    <t>Stripe flare knit_navy</t>
  </si>
  <si>
    <t>YP17WTKT01NA</t>
  </si>
  <si>
    <t>Stripe flare knit_navy[navy/FREE]</t>
  </si>
  <si>
    <t>3-174212101323208</t>
  </si>
  <si>
    <t>Tie shirts_skyblue</t>
  </si>
  <si>
    <t>YP17WTSH01SK</t>
  </si>
  <si>
    <t>Tie shirts_skyblue[skyblue/FREE]</t>
  </si>
  <si>
    <t>Y-P17WTSH01WH</t>
  </si>
  <si>
    <t>YP17WTSH01WH</t>
  </si>
  <si>
    <t>Tie shirts_white</t>
  </si>
  <si>
    <t>Tie shirts_white[white/FREE]</t>
  </si>
  <si>
    <t>Y-P17WTTS04NA</t>
  </si>
  <si>
    <t>YP17WTTS04NA</t>
  </si>
  <si>
    <t>Y rib hoodie_navy</t>
  </si>
  <si>
    <t>Y rib hoodie_navy[navy/FREE]</t>
  </si>
  <si>
    <t>Y-P17WTTS04GR</t>
  </si>
  <si>
    <t>YP17WTTS04GR</t>
  </si>
  <si>
    <t>Y rib hoodie_green</t>
  </si>
  <si>
    <t>Y rib hoodie_green[green/FREE]</t>
  </si>
  <si>
    <t>Y-P17WTTS03BK</t>
  </si>
  <si>
    <t>YP17WTTS03BK</t>
  </si>
  <si>
    <t>Cross rib mtm_black</t>
  </si>
  <si>
    <t>Cross rib mtm_black[black/FREE]</t>
  </si>
  <si>
    <t>Y-P17WTTS03WH</t>
  </si>
  <si>
    <t>YP17WTTS03WH</t>
  </si>
  <si>
    <t>Cross rib mtm_white</t>
  </si>
  <si>
    <t>Cross rib mtm_white[white/FREE]</t>
  </si>
  <si>
    <t>Y-P17WTTS02GR</t>
  </si>
  <si>
    <t>YP17WTTS02GR</t>
  </si>
  <si>
    <t>Open Raglan mtm_grey</t>
  </si>
  <si>
    <t>Open Raglan mtm_grey[grey/FREE]</t>
  </si>
  <si>
    <t>Y-P17WTTS02BR</t>
  </si>
  <si>
    <t>YP17WTTS02BR</t>
  </si>
  <si>
    <t>Open Raglan mtm_brown</t>
  </si>
  <si>
    <t>Open Raglan mtm_brown[brown/FREE]</t>
  </si>
  <si>
    <t>Y-P17WTTS01CH</t>
  </si>
  <si>
    <t>YP17WTTS01CH</t>
  </si>
  <si>
    <t>Frill Turtleneck T_charcoal</t>
  </si>
  <si>
    <t>charcoal/FREE</t>
  </si>
  <si>
    <t>Frill Turtleneck T_charcoal[charcoal/FREE]</t>
  </si>
  <si>
    <t>Y-P17WTTS01BK</t>
  </si>
  <si>
    <t>YP17WTTS01BK</t>
  </si>
  <si>
    <t>Frill Turtleneck T_black</t>
  </si>
  <si>
    <t>Frill Turtleneck T_black[black/FREE]</t>
  </si>
  <si>
    <t>3-177512200374120</t>
  </si>
  <si>
    <t>ribbon canvasbag</t>
  </si>
  <si>
    <t>YP17FABG01BE</t>
  </si>
  <si>
    <t>BEIGE/FREE</t>
  </si>
  <si>
    <t>ribbon canvasbag[BEIGE/FREE]</t>
  </si>
  <si>
    <t>3-177512200399120</t>
  </si>
  <si>
    <t>YP17FABG01BK</t>
  </si>
  <si>
    <t>BLACK/FREE</t>
  </si>
  <si>
    <t>ribbon canvasbag[BLACK/FREE]</t>
  </si>
  <si>
    <t>3-173312100130320</t>
  </si>
  <si>
    <t>frill pants</t>
  </si>
  <si>
    <t>YP17FAPT01NY</t>
  </si>
  <si>
    <t>NAVY/FREE</t>
  </si>
  <si>
    <t>frill pants[NAVY/FREE]</t>
  </si>
  <si>
    <t>3-173312100199320</t>
  </si>
  <si>
    <t>YP17FAPT01BK</t>
  </si>
  <si>
    <t>frill pants[BLACK/FREE]</t>
  </si>
  <si>
    <t>3-177332105675320</t>
  </si>
  <si>
    <t>ribbon string skirt</t>
  </si>
  <si>
    <t>YP17FASK02BR</t>
  </si>
  <si>
    <t>BROWN/FREE</t>
  </si>
  <si>
    <t>ribbon string skirt[BROWN/FREE]</t>
  </si>
  <si>
    <t>3-177332105699320</t>
  </si>
  <si>
    <t>YP17FASK02BK</t>
  </si>
  <si>
    <t>ribbon string skirt[BLACK/FREE]</t>
  </si>
  <si>
    <t>3-177332105730320</t>
  </si>
  <si>
    <t>triangle skirt</t>
  </si>
  <si>
    <t>YP17FASK01NY</t>
  </si>
  <si>
    <t>triangle skirt[NAVY/FREE]</t>
  </si>
  <si>
    <t>3-177332105799320</t>
  </si>
  <si>
    <t>YP17FASK01BK</t>
  </si>
  <si>
    <t>triangle skirt[BLACK/FREE]</t>
  </si>
  <si>
    <t>3-177252105130208</t>
  </si>
  <si>
    <t>shirring onepiece</t>
  </si>
  <si>
    <t>YP17FAOP01NY</t>
  </si>
  <si>
    <t>shirring onepiece[NAVY/FREE]</t>
  </si>
  <si>
    <t>3-177252105199208</t>
  </si>
  <si>
    <t>YP17FAOP01BK</t>
  </si>
  <si>
    <t>shirring onepiece[BLACK/FREE]</t>
  </si>
  <si>
    <t>3-177132102675208</t>
  </si>
  <si>
    <t>check jacket</t>
  </si>
  <si>
    <t>YP17FAJK02BR</t>
  </si>
  <si>
    <t>check jacket[BROWN/FREE]</t>
  </si>
  <si>
    <t>3-177132102318208</t>
  </si>
  <si>
    <t>shirring jacket</t>
  </si>
  <si>
    <t>YP17FAJK01NY</t>
  </si>
  <si>
    <t>DARK NAVY/FREE</t>
  </si>
  <si>
    <t>shirring jacket[DARK NAVY/FREE]</t>
  </si>
  <si>
    <t>3-177212104530208</t>
  </si>
  <si>
    <t>check ribbon shirts</t>
  </si>
  <si>
    <t>YP17FASH05NY</t>
  </si>
  <si>
    <t>check ribbon shirts[NAVY/FREE]</t>
  </si>
  <si>
    <t>3-177212104599208</t>
  </si>
  <si>
    <t>YP17FASH05BK</t>
  </si>
  <si>
    <t>check ribbon shirts[BLACK/FREE]</t>
  </si>
  <si>
    <t>3-173242100330208</t>
  </si>
  <si>
    <t>V frill blouse</t>
  </si>
  <si>
    <t>YP17FASH04NY</t>
  </si>
  <si>
    <t>V frill blouse[NAVY/FREE]</t>
  </si>
  <si>
    <t>3-173242100374208</t>
  </si>
  <si>
    <t>YP17FASH04BE</t>
  </si>
  <si>
    <t>V frill blouse[BEIGE/FREE]</t>
  </si>
  <si>
    <t>3-177212104430208</t>
  </si>
  <si>
    <t>neck frill blouse</t>
  </si>
  <si>
    <t>YP17FASH03NY</t>
  </si>
  <si>
    <t>neck frill blouse[NAVY/FREE]</t>
  </si>
  <si>
    <t>3-177212104491208</t>
  </si>
  <si>
    <t>YP17FASH03WH</t>
  </si>
  <si>
    <t>WHITE/FREE</t>
  </si>
  <si>
    <t>neck frill blouse[WHITE/FREE]</t>
  </si>
  <si>
    <t>3-177212104391208</t>
  </si>
  <si>
    <t>cuff stripe shirts</t>
  </si>
  <si>
    <t>YP17FASH02WH</t>
  </si>
  <si>
    <t>cuff stripe shirts[WHITE/FREE]</t>
  </si>
  <si>
    <t>3-177212104325208</t>
  </si>
  <si>
    <t>YP17FASH02BL</t>
  </si>
  <si>
    <t>BLUE/FREE</t>
  </si>
  <si>
    <t>cuff stripe shirts[BLUE/FREE]</t>
  </si>
  <si>
    <t>3-173212101191208</t>
  </si>
  <si>
    <t>two flare blouse</t>
  </si>
  <si>
    <t>YP17FASH01WH</t>
  </si>
  <si>
    <t>two flare blouse[WHITE/FREE]</t>
  </si>
  <si>
    <t>3-173212101130208</t>
  </si>
  <si>
    <t>YP17FASH01NY</t>
  </si>
  <si>
    <t>two flare blouse[NAVY/FREE]</t>
  </si>
  <si>
    <t>3-177222106395208</t>
  </si>
  <si>
    <t>white golgi T-shirts</t>
  </si>
  <si>
    <t>YP17FATS03GR</t>
  </si>
  <si>
    <t>GREY/FREE</t>
  </si>
  <si>
    <t>white golgi T-shirts[GREY/FREE]</t>
  </si>
  <si>
    <t>3-177222106330208</t>
  </si>
  <si>
    <t>YP17FATS03NY</t>
  </si>
  <si>
    <t>white golgi T-shirts[NAVY/FREE]</t>
  </si>
  <si>
    <t>3-177232103295208</t>
  </si>
  <si>
    <t>Y raglan mtm</t>
  </si>
  <si>
    <t>YP17FATS02GR</t>
  </si>
  <si>
    <t>Y raglan mtm[GREY/FREE]</t>
  </si>
  <si>
    <t>3-177232103299208</t>
  </si>
  <si>
    <t>YP17FATS02BK</t>
  </si>
  <si>
    <t>Y raglan mtm[BLACK/FREE]</t>
  </si>
  <si>
    <t>3-177222106291208</t>
  </si>
  <si>
    <t>V frill T-shirts</t>
  </si>
  <si>
    <t>YP17FATS01WH</t>
  </si>
  <si>
    <t>V frill T-shirts[WHITE/FREE]</t>
  </si>
  <si>
    <t>3-177222106230208</t>
  </si>
  <si>
    <t>YP17FATS01NY</t>
  </si>
  <si>
    <t>V frill T-shirts[NAVY/FREE]</t>
  </si>
  <si>
    <t>VIK</t>
  </si>
  <si>
    <t>1-7030803</t>
  </si>
  <si>
    <t>SS17_VIK-Clutch-B5-2_Pink</t>
  </si>
  <si>
    <t>Pink/30x24</t>
  </si>
  <si>
    <t>SS17_VIK-Clutch-B5-2_Pink[Pink/30x24]</t>
  </si>
  <si>
    <t>1-7030804</t>
  </si>
  <si>
    <t>SS17_VIK-Clutch-B13_gray</t>
  </si>
  <si>
    <t>Gray/30x24</t>
  </si>
  <si>
    <t>SS17_VIK-Clutch-B13_gray[Gray/30x24]</t>
  </si>
  <si>
    <t>1-7030805</t>
  </si>
  <si>
    <t>SS17_VIK-Clutch-B15_gray</t>
  </si>
  <si>
    <t>grey/30x24</t>
  </si>
  <si>
    <t>SS17_VIK-Clutch-B15_gray[grey/30x24]</t>
  </si>
  <si>
    <t>1-7030802</t>
  </si>
  <si>
    <t>SS17_VIK-Clutch-B4 Yellow</t>
  </si>
  <si>
    <t>YELLOW/30x24</t>
  </si>
  <si>
    <t>SS17_VIK-Clutch-B4 Yellow[YELLOW/30x24]</t>
  </si>
  <si>
    <t>1-7030801</t>
  </si>
  <si>
    <t>SS17_VIK-Clutch-B3 Blue</t>
  </si>
  <si>
    <t>Blue/30x24</t>
  </si>
  <si>
    <t>SS17_VIK-Clutch-B3 Blue[Blue/30x24]</t>
  </si>
  <si>
    <t>1-0020401</t>
  </si>
  <si>
    <t>SS17_VIK-Knit_MTM_21_Pink</t>
  </si>
  <si>
    <t>Pink/free</t>
  </si>
  <si>
    <t>SS17_VIK-Knit_MTM_21_Pink[Pink/free]</t>
  </si>
  <si>
    <t>1-2010406</t>
  </si>
  <si>
    <t>SS17_VIK_MTM-19 White</t>
  </si>
  <si>
    <t>White/free</t>
  </si>
  <si>
    <t>SS17_VIK_MTM-19 White[White/free]</t>
  </si>
  <si>
    <t>1-2010401</t>
  </si>
  <si>
    <t>SS17_VIK_MTM-11_Brown</t>
  </si>
  <si>
    <t>Brown/free</t>
  </si>
  <si>
    <t>SS17_VIK_MTM-11_Brown[Brown/free]</t>
  </si>
  <si>
    <t>1-2010408</t>
  </si>
  <si>
    <t>SS17_VIK_MTM-07_Brown</t>
  </si>
  <si>
    <t>SS17_VIK_MTM-07_Brown[Brown/free]</t>
  </si>
  <si>
    <t>1-2010407</t>
  </si>
  <si>
    <t>SS17_VIK_MTM-07_Navy</t>
  </si>
  <si>
    <t>Navy/free</t>
  </si>
  <si>
    <t>SS17_VIK_MTM-07_Navy[Navy/free]</t>
  </si>
  <si>
    <t>1-2010410</t>
  </si>
  <si>
    <t>SS17_VIK_MTM-06_White</t>
  </si>
  <si>
    <t>SS17_VIK_MTM-06_White[White/free]</t>
  </si>
  <si>
    <t>1-2010409</t>
  </si>
  <si>
    <t>SS17_VIK_Hood-MTM-02_White</t>
  </si>
  <si>
    <t>SS17_VIK_Hood-MTM-02_White[White/free]</t>
  </si>
  <si>
    <t>1-0051307</t>
  </si>
  <si>
    <t>SS17_Vik_JP_03_GN</t>
  </si>
  <si>
    <t>Green/free</t>
  </si>
  <si>
    <t>SS17_Vik_JP_03_GN[Green/free]</t>
  </si>
  <si>
    <t>1-0051308</t>
  </si>
  <si>
    <t>SS17_Vik_JP_03_BK</t>
  </si>
  <si>
    <t>Black/free</t>
  </si>
  <si>
    <t>SS17_Vik_JP_03_BK[Black/free]</t>
  </si>
  <si>
    <t>1-0051305</t>
  </si>
  <si>
    <t>SS17_Vik_JP_02_Navy</t>
  </si>
  <si>
    <t>SS17_Vik_JP_02_Navy[Navy/free]</t>
  </si>
  <si>
    <t>1-0051306</t>
  </si>
  <si>
    <t>SS17_Vik_JP_02_Pink</t>
  </si>
  <si>
    <t>SS17_Vik_JP_02_Pink[Pink/free]</t>
  </si>
  <si>
    <t>1-0051304</t>
  </si>
  <si>
    <t>SS17_Vik_JP_01-Pink</t>
  </si>
  <si>
    <t>SS17_Vik_JP_01-Pink[Pink/free]</t>
  </si>
  <si>
    <t>1-0051303</t>
  </si>
  <si>
    <t>SS17_Vik_JP_01_Navy</t>
  </si>
  <si>
    <t>SS17_Vik_JP_01_Navy[Navy/free]</t>
  </si>
  <si>
    <t>1-0051302</t>
  </si>
  <si>
    <t>SS17_VIK_VV_JP01_Wine</t>
  </si>
  <si>
    <t>Wine/free</t>
  </si>
  <si>
    <t>SS17_VIK_VV_JP01_Wine[Wine/free]</t>
  </si>
  <si>
    <t>1-0051301</t>
  </si>
  <si>
    <t>SS17_VIK_VV_JP01_Navy</t>
  </si>
  <si>
    <t>SS17_VIK_VV_JP01_Navy[Navy/free]</t>
  </si>
  <si>
    <t>1-2010404</t>
  </si>
  <si>
    <t>SS17_VIK-MTM-15_YELLOW</t>
  </si>
  <si>
    <t>YELLOW/free</t>
  </si>
  <si>
    <t>SS17_VIK-MTM-15_YELLOW[YELLOW/free]</t>
  </si>
  <si>
    <t>1-2010405</t>
  </si>
  <si>
    <t>SS17_VIK_MTM-19 BlacK</t>
  </si>
  <si>
    <t>black/free</t>
  </si>
  <si>
    <t>SS17_VIK_MTM-19 BlacK[black/free]</t>
  </si>
  <si>
    <t>1-2010403</t>
  </si>
  <si>
    <t>SS17_VIK_MTM-14_Green</t>
  </si>
  <si>
    <t>Green/Pink/free</t>
  </si>
  <si>
    <t>SS17_VIK_MTM-14_Green[Green/Pink/free]</t>
  </si>
  <si>
    <t>1-2010402</t>
  </si>
  <si>
    <t>SS17_VIK_MTM-11_Pink</t>
  </si>
  <si>
    <t>SS17_VIK_MTM-11_Pink[Pink/free]</t>
  </si>
  <si>
    <t>VEMVER</t>
  </si>
  <si>
    <t>V-V17FWSK01NA</t>
  </si>
  <si>
    <t>VV17FWSK01NA</t>
  </si>
  <si>
    <t>POCKET POINT WRAP MINI SKIRT</t>
  </si>
  <si>
    <t>POCKET POINT WRAP MINI SKIRT[NAVY/FREE]</t>
  </si>
  <si>
    <t>V-V17FWSK01BR</t>
  </si>
  <si>
    <t>VV17FWSK01BR</t>
  </si>
  <si>
    <t>POCKET POINT WRAP MINI SKIRT[BROWN/FREE]</t>
  </si>
  <si>
    <t>V-V17FWOP04BK</t>
  </si>
  <si>
    <t>VV17FWOP04BK</t>
  </si>
  <si>
    <t>BLACK CHECK ONEPIECE</t>
  </si>
  <si>
    <t>BLACK CHECK ONEPIECE[BLACK/FREE]</t>
  </si>
  <si>
    <t>V-V17FWOP03RD</t>
  </si>
  <si>
    <t>VV17FWOP03RD</t>
  </si>
  <si>
    <t>DOT POINT WRAP JUMPSUIT</t>
  </si>
  <si>
    <t>RED/FREE</t>
  </si>
  <si>
    <t>DOT POINT WRAP JUMPSUIT[RED/FREE]</t>
  </si>
  <si>
    <t>V-V17FWOP03NA</t>
  </si>
  <si>
    <t>VV17FWOP03NA</t>
  </si>
  <si>
    <t>DOT POINT WRAP JUMPSUIT[NAVY/FREE]</t>
  </si>
  <si>
    <t>V-V17FWOP01NAS</t>
  </si>
  <si>
    <t>VV17FWOP01NAS</t>
  </si>
  <si>
    <t>RUFFLE POINT SLEEVES CHECK WRAP ONEPIECE</t>
  </si>
  <si>
    <t>RUFFLE POINT SLEEVES CHECK WRAP ONEPIECE[NAVY/S]</t>
  </si>
  <si>
    <t>V-V17FWOP01NAM</t>
  </si>
  <si>
    <t>VV17FWOP01NAM</t>
  </si>
  <si>
    <t>RUFFLE POINT SLEEVES CHECK WRAP ONEPIECE[NAVY/M]</t>
  </si>
  <si>
    <t>V-V17FWOP01BKM</t>
  </si>
  <si>
    <t>VV17FWOP01BKM</t>
  </si>
  <si>
    <t>RUFFLE POINT SLEEVES WRAP ONEPIECE</t>
  </si>
  <si>
    <t>RUFFLE POINT SLEEVES WRAP ONEPIECE[BLACK/M]</t>
  </si>
  <si>
    <t>V-V17FWOP01BKS</t>
  </si>
  <si>
    <t>VV17FWOP01BKS</t>
  </si>
  <si>
    <t>RUFFLE POINT SLEEVES WRAP ONEPIECE[BLACK/S]</t>
  </si>
  <si>
    <t>V-V17FWST02NA</t>
  </si>
  <si>
    <t>VV17FWST02NA</t>
  </si>
  <si>
    <t>DRAPE PLACKET CHECK LONG SHIRTS</t>
  </si>
  <si>
    <t>DRAPE PLACKET CHECK LONG SHIRTS[NAVY/FREE]</t>
  </si>
  <si>
    <t>V-V17FWST01SB</t>
  </si>
  <si>
    <t>VV17FWST01SB</t>
  </si>
  <si>
    <t>DRAPE PLACKET STRIPE SHIRTS</t>
  </si>
  <si>
    <t>SKY BLUE/FREE</t>
  </si>
  <si>
    <t>DRAPE PLACKET STRIPE SHIRTS[SKY BLUE/FREE]</t>
  </si>
  <si>
    <t>V-V17FWST01MT</t>
  </si>
  <si>
    <t>VV17FWST01MT</t>
  </si>
  <si>
    <t>DRAPE PLACKET SHIRTS</t>
  </si>
  <si>
    <t>MINT/FREE</t>
  </si>
  <si>
    <t>DRAPE PLACKET SHIRTS[MINT/FREE]</t>
  </si>
  <si>
    <t>V-V17FWBL01RD</t>
  </si>
  <si>
    <t>VV17FWBL01RD</t>
  </si>
  <si>
    <t>NECK STRAP CHECK BLOUSE</t>
  </si>
  <si>
    <t>NECK STRAP CHECK BLOUSE[RED/FREE]</t>
  </si>
  <si>
    <t>V-V17FWBL01BK</t>
  </si>
  <si>
    <t>VV17FWBL01BK</t>
  </si>
  <si>
    <t>NECK STRAP PRINTED BLOUSE</t>
  </si>
  <si>
    <t>NECK STRAP PRINTED BLOUSE[BLACK/FREE]</t>
  </si>
  <si>
    <t>V-V17FWTOP04RD</t>
  </si>
  <si>
    <t>VV17FWTOP04RD</t>
  </si>
  <si>
    <t>SPANGLE PULLOVER HOODY</t>
  </si>
  <si>
    <t>SPANGLE PULLOVER HOODY[RED/FREE]</t>
  </si>
  <si>
    <t>V-V17FWTOP04IV</t>
  </si>
  <si>
    <t>VV17FWTOP04IV</t>
  </si>
  <si>
    <t>IVORY/FREE</t>
  </si>
  <si>
    <t>SPANGLE PULLOVER HOODY[IVORY/FREE]</t>
  </si>
  <si>
    <t>V-V17FWTOP03NA</t>
  </si>
  <si>
    <t>VV17FWTOP03NA</t>
  </si>
  <si>
    <t>SPANGLE SWEATSHIRT</t>
  </si>
  <si>
    <t>SPANGLE SWEATSHIRT[NAVY/FREE]</t>
  </si>
  <si>
    <t>V-V17FWTOP03GR</t>
  </si>
  <si>
    <t>VV17FWTOP03GR</t>
  </si>
  <si>
    <t>GRAY/FREE</t>
  </si>
  <si>
    <t>SPANGLE SWEATSHIRT[GRAY/FREE]</t>
  </si>
  <si>
    <t>V-V17FWTOP01MU</t>
  </si>
  <si>
    <t>VV17FWTOP01MU</t>
  </si>
  <si>
    <t>NECK STRAP SLEEVES TOP</t>
  </si>
  <si>
    <t>MUSTARD/FREE</t>
  </si>
  <si>
    <t>NECK STRAP SLEEVES TOP[MUSTARD/FREE]</t>
  </si>
  <si>
    <t>V-V17FWTOP01IV</t>
  </si>
  <si>
    <t>VV17FWTOP01IV</t>
  </si>
  <si>
    <t>NECK STRAP SLEEVES TOP[IVORY/FREE]</t>
  </si>
  <si>
    <t>V-V17SMOP02RD</t>
  </si>
  <si>
    <t>VV17SMOP02RD</t>
  </si>
  <si>
    <t>RUFFLE POINT PRINTED WRAP ONEPIECE</t>
  </si>
  <si>
    <t xml:space="preserve">
RED/FREE</t>
  </si>
  <si>
    <t>RUFFLE POINT PRINTED WRAP ONEPIECE[
RED/FREE]</t>
  </si>
  <si>
    <t>V-V17SMTOP03PK</t>
  </si>
  <si>
    <t>VV17SMTOP03PK</t>
  </si>
  <si>
    <t>STRIPE HALF SLEEVES</t>
  </si>
  <si>
    <t xml:space="preserve">
PINK/FREE</t>
  </si>
  <si>
    <t>STRIPE HALF SLEEVES[
PINK/FREE]</t>
  </si>
  <si>
    <t>V-V16SMPT01BL</t>
  </si>
  <si>
    <t>VV16SMPT01BL</t>
  </si>
  <si>
    <t>WRAP DETAIL DENIM SHORTS</t>
  </si>
  <si>
    <t>WRAP DETAIL DENIM SHORTS[BLUE/FREE]</t>
  </si>
  <si>
    <t>V-V16SMPT01WH</t>
  </si>
  <si>
    <t>VV16SMPT01WH</t>
  </si>
  <si>
    <t>WRAP DETAIL STRIPE SHORTS</t>
  </si>
  <si>
    <t>WRAP DETAIL STRIPE SHORTS[WHITE/FREE]</t>
  </si>
  <si>
    <t>V-V16SMSK04BL</t>
  </si>
  <si>
    <t>VV16SMSK04BL</t>
  </si>
  <si>
    <t>UNBALANCE DENIM BLOCKING SKIRT</t>
  </si>
  <si>
    <t>UNBALANCE DENIM BLOCKING SKIRT[BLUE/FREE]</t>
  </si>
  <si>
    <t>V-V16SMOP05NA</t>
  </si>
  <si>
    <t>VV16SMOP05NA</t>
  </si>
  <si>
    <t>TIM LONG ONEPIECE</t>
  </si>
  <si>
    <t>TIM LONG ONEPIECE[NAVY/FREE]</t>
  </si>
  <si>
    <t>V-V16SMOP04BL</t>
  </si>
  <si>
    <t>VV16SMOP04BL</t>
  </si>
  <si>
    <t>UNBALANCE DENIM BLOCKING ONEPIECE</t>
  </si>
  <si>
    <t>UNBALANCE DENIM BLOCKING ONEPIECE[BLUE/FREE]</t>
  </si>
  <si>
    <t>V-V16SMOP03NA</t>
  </si>
  <si>
    <t>VV16SMOP03NA</t>
  </si>
  <si>
    <t>SHOULDER CUT ONEPIECE</t>
  </si>
  <si>
    <t>SHOULDER CUT ONEPIECE[NAVY/FREE]</t>
  </si>
  <si>
    <t>V-V16SMOP02WH</t>
  </si>
  <si>
    <t>VV16SMOP02WH</t>
  </si>
  <si>
    <t>SHIRRING STRIPE ONEPIECE</t>
  </si>
  <si>
    <t>SHIRRING STRIPE ONEPIECE[WHITE/FREE]</t>
  </si>
  <si>
    <t>V-V16SMOP01NA</t>
  </si>
  <si>
    <t>VV16SMOP01NA</t>
  </si>
  <si>
    <t>STRAP DETAIL STRIPE ONEPIECE</t>
  </si>
  <si>
    <t>STRAP DETAIL STRIPE ONEPIECE[NAVY/FREE]</t>
  </si>
  <si>
    <t>V-V16SMST02WH</t>
  </si>
  <si>
    <t>VV16SMST02WH</t>
  </si>
  <si>
    <t>SHOULDER TIM STRIPE BLOUSE</t>
  </si>
  <si>
    <t>SHOULDER TIM STRIPE BLOUSE[WHITE/FREE]</t>
  </si>
  <si>
    <t>V-V16SMST02BL</t>
  </si>
  <si>
    <t>VV16SMST02BL</t>
  </si>
  <si>
    <t>SHOULDER TIM BLOUSE</t>
  </si>
  <si>
    <t>SHOULDER TIM BLOUSE[BLUE/FREE]</t>
  </si>
  <si>
    <t>V-V16SMST01SB</t>
  </si>
  <si>
    <t>VV16SMST01SB</t>
  </si>
  <si>
    <t>UNBALANCE STRIPE BLOUSE</t>
  </si>
  <si>
    <t>UNBALANCE STRIPE BLOUSE[SKY BLUE/FREE]</t>
  </si>
  <si>
    <t>V-V16SMTOP04WH</t>
  </si>
  <si>
    <t>VV16SMTOP04WH</t>
  </si>
  <si>
    <t>UNBALANCE LONG HALF SLEEVES</t>
  </si>
  <si>
    <t>UNBALANCE LONG HALF SLEEVES[WHITE/FREE]</t>
  </si>
  <si>
    <t>V-V16SMTOP03WH</t>
  </si>
  <si>
    <t>VV16SMTOP03WH</t>
  </si>
  <si>
    <t>UNBALANCE HALF SLEEVES</t>
  </si>
  <si>
    <t>UNBALANCE HALF SLEEVES[WHITE/FREE]</t>
  </si>
  <si>
    <t>V-V16SMTOP03BK</t>
  </si>
  <si>
    <t>VV16SMTOP03BK</t>
  </si>
  <si>
    <t>UNBALANCE HALF SLEEVES[BLACK/FREE]</t>
  </si>
  <si>
    <t>V-V16SMTOP02NA</t>
  </si>
  <si>
    <t>VV16SMTOP02NA</t>
  </si>
  <si>
    <t>SHOULDER CUT STRIPE TOP</t>
  </si>
  <si>
    <t>SHOULDER CUT STRIPE TOP[NAVY/FREE]</t>
  </si>
  <si>
    <t>V-V16SMTOP02PK</t>
  </si>
  <si>
    <t>VV16SMTOP02PK</t>
  </si>
  <si>
    <t>SHOULDER CUT TOP</t>
  </si>
  <si>
    <t>PINK/FREE</t>
  </si>
  <si>
    <t>SHOULDER CUT TOP[PINK/FREE]</t>
  </si>
  <si>
    <t>V-V16SMTOP01SB</t>
  </si>
  <si>
    <t>VV16SMTOP01SB</t>
  </si>
  <si>
    <t>BACK PLACKET HALF SLEEVES</t>
  </si>
  <si>
    <t>BACK PLACKET HALF SLEEVES[BLUE/FREE]</t>
  </si>
  <si>
    <t>V-V16SMTOP01PK</t>
  </si>
  <si>
    <t>VV16SMTOP01PK</t>
  </si>
  <si>
    <t>BACK PLACKET HALF SLEEVES[PINK/FREE]</t>
  </si>
  <si>
    <t>V-V16SSSK05BL</t>
  </si>
  <si>
    <t>VV16SSSK05BL</t>
  </si>
  <si>
    <t>UNBALANCE DENIM SKIRT</t>
  </si>
  <si>
    <t>UNBALANCE DENIM SKIRT[BLUE/FREE]</t>
  </si>
  <si>
    <t>V-V16SSSK04BK</t>
  </si>
  <si>
    <t>VV16SSSK04BK</t>
  </si>
  <si>
    <t>SLIT POINT SKIRT</t>
  </si>
  <si>
    <t>SLIT POINT SKIRT[BLACK/FREE]</t>
  </si>
  <si>
    <t>V-V16SSSK03BL</t>
  </si>
  <si>
    <t>VV16SSSK03BL</t>
  </si>
  <si>
    <t>FRONT SLIT DENIM MIDI SKIRT</t>
  </si>
  <si>
    <t>FRONT SLIT DENIM MIDI SKIRT[BLUE/FREE]</t>
  </si>
  <si>
    <t>V-V16SSSK01BK</t>
  </si>
  <si>
    <t>VV16SSSK01BK</t>
  </si>
  <si>
    <t>FRONT POINT STRIPE SKIRT</t>
  </si>
  <si>
    <t>FRONT POINT STRIPE SKIRT[BLACK/FREE]</t>
  </si>
  <si>
    <t>V-V16SSST01PK</t>
  </si>
  <si>
    <t>VV16SSST01PK</t>
  </si>
  <si>
    <t>PINK TWO WAY SHIRTS</t>
  </si>
  <si>
    <t>PINK TWO WAY SHIRTS[PINK/FREE]</t>
  </si>
  <si>
    <t>V-V16SSOP01NAM</t>
  </si>
  <si>
    <t>VV16SSOP01NAM</t>
  </si>
  <si>
    <t>SLIT STRIPE ONE-PIECE</t>
  </si>
  <si>
    <t>SLIT STRIPE ONE-PIECE[NAVY/M]</t>
  </si>
  <si>
    <t>V-V16SSOP01NAS</t>
  </si>
  <si>
    <t>VV16SSOP01NAS</t>
  </si>
  <si>
    <t>SLIT STRIPE ONE-PIECE[NAVY/S]</t>
  </si>
  <si>
    <t>V-V16SSTOP11PK</t>
  </si>
  <si>
    <t>VV16SSTOP11PK</t>
  </si>
  <si>
    <t>COOL KIDS HALF SLEEVES TOP</t>
  </si>
  <si>
    <t>COOL KIDS HALF SLEEVES TOP[PINK/FREE]</t>
  </si>
  <si>
    <t>V-V16SSTOP11SB</t>
  </si>
  <si>
    <t>VV16SSTOP11SB</t>
  </si>
  <si>
    <t>COOL KIDS HALF SLEEVES TOP[SKY BLUE/FREE]</t>
  </si>
  <si>
    <t>V-V16SSTOP11WH</t>
  </si>
  <si>
    <t>VV16SSTOP11WH</t>
  </si>
  <si>
    <t>COOL KIDS HALF SLEEVES TOP[WHITE/FREE]</t>
  </si>
  <si>
    <t>V-V16SSTOP06WH</t>
  </si>
  <si>
    <t>VV16SSTOP06WH</t>
  </si>
  <si>
    <t>OVERSIZE RAGLAN TOP</t>
  </si>
  <si>
    <t>OVERSIZE RAGLAN TOP[WHITE/FREE]</t>
  </si>
  <si>
    <t>V-V17SPSK02BL</t>
  </si>
  <si>
    <t>VV17SPSK02BL</t>
  </si>
  <si>
    <t>BUTTON POINT DENIM MERMAID SKIRT</t>
  </si>
  <si>
    <t>BUTTON POINT DENIM MERMAID SKIRT[BLUE/FREE]</t>
  </si>
  <si>
    <t>V-V17SPSK02CA</t>
  </si>
  <si>
    <t>VV17SPSK02CA</t>
  </si>
  <si>
    <t>BUTTON POINT CHECK MERMAID SKIRT</t>
  </si>
  <si>
    <t>CAMEL/FREE</t>
  </si>
  <si>
    <t>BUTTON POINT CHECK MERMAID SKIRT[CAMEL/FREE]</t>
  </si>
  <si>
    <t>V-V17SPSK01BL</t>
  </si>
  <si>
    <t>VV17SPSK01BL</t>
  </si>
  <si>
    <t>BUTTON POINT DENIM WRAP MINI SKIRT</t>
  </si>
  <si>
    <t>BUTTON POINT DENIM WRAP MINI SKIRT[BLUE/FREE]</t>
  </si>
  <si>
    <t>V-V17SPSK01GN</t>
  </si>
  <si>
    <t>VV17SPSK01GN</t>
  </si>
  <si>
    <t>BUTTON POINT CHECK WRAP MINI SKIRT</t>
  </si>
  <si>
    <t>GREEN/FREE</t>
  </si>
  <si>
    <t>BUTTON POINT CHECK WRAP MINI SKIRT[GREEN/FREE]</t>
  </si>
  <si>
    <t>V-V17SPOP03BK</t>
  </si>
  <si>
    <t>VV17SPOP03BK</t>
  </si>
  <si>
    <t>RUFFLE POINT HALF SLEEVE ONEPIECE</t>
  </si>
  <si>
    <t>RUFFLE POINT HALF SLEEVE ONEPIECE[BLACK/FREE]</t>
  </si>
  <si>
    <t>V-V17SPOP02GR</t>
  </si>
  <si>
    <t>VV17SPOP02GR</t>
  </si>
  <si>
    <t>RUFFLE CHECK ONEPIECE</t>
  </si>
  <si>
    <t>RUFFLE CHECK ONEPIECE[GRAY/FREE]</t>
  </si>
  <si>
    <t>V-V17FWOP02ML</t>
  </si>
  <si>
    <t>VV17FWOP02ML</t>
  </si>
  <si>
    <t>NECK POINT BELL SLEEVE CHECK ONEPIECE</t>
  </si>
  <si>
    <t>MULTI/FREE</t>
  </si>
  <si>
    <t>NECK POINT BELL SLEEVE CHECK ONEPIECE[MULTI/FREE]</t>
  </si>
  <si>
    <t>V-V17FWOP02BL</t>
  </si>
  <si>
    <t>VV17FWOP02BL</t>
  </si>
  <si>
    <t>NECK POINT BELL SLEEVE CHECK ONEPIECE[BLUE/FREE]</t>
  </si>
  <si>
    <t>V-V17SPOP01GN</t>
  </si>
  <si>
    <t>VV17SPOP01GN</t>
  </si>
  <si>
    <t>NECK POINT BELL SLEEVE CHECK ONEPIECE[GREEN/FREE]</t>
  </si>
  <si>
    <t>V-V17SPST02SB</t>
  </si>
  <si>
    <t>VV17SPST02SB</t>
  </si>
  <si>
    <t>NOTCHED COLLAR BELL SLEEVE SHIRTS</t>
  </si>
  <si>
    <t>NOTCHED COLLAR BELL SLEEVE SHIRTS[SKY BLUE/FREE]</t>
  </si>
  <si>
    <t>V-V17SPST01WH</t>
  </si>
  <si>
    <t>VV17SPST01WH</t>
  </si>
  <si>
    <t>BUTTON POINT WHTE SHIRTS</t>
  </si>
  <si>
    <t>BUTTON POINT WHTE SHIRTS[WHITE/FREE]</t>
  </si>
  <si>
    <t>V-V17SPST01SB</t>
  </si>
  <si>
    <t>VV17SPST01SB</t>
  </si>
  <si>
    <t>BUTTON POINT STRIPE SHIRTS</t>
  </si>
  <si>
    <t>BUTTON POINT STRIPE SHIRTS[SKY BLUE/FREE]</t>
  </si>
  <si>
    <t>V-V17SPBL04NA</t>
  </si>
  <si>
    <t>VV17SPBL04NA</t>
  </si>
  <si>
    <t>V-NECK BLOUSE</t>
  </si>
  <si>
    <t>V-NECK BLOUSE[NAVY/FREE]</t>
  </si>
  <si>
    <t>V-V17SPBL03SB</t>
  </si>
  <si>
    <t>VV17SPBL03SB</t>
  </si>
  <si>
    <t>RUFFLE POINT SHOULDER TIM BLOUSE</t>
  </si>
  <si>
    <t>RUFFLE POINT SHOULDER TIM BLOUSE[SKY BLUE/FREE]</t>
  </si>
  <si>
    <t>V-V17SPBL02WH</t>
  </si>
  <si>
    <t>VV17SPBL02WH</t>
  </si>
  <si>
    <t>RUFFLE POINT CHECK BLOUSE</t>
  </si>
  <si>
    <t>RUFFLE POINT CHECK BLOUSE[WHITE/FREE]</t>
  </si>
  <si>
    <t>V-V17SPBL02BL</t>
  </si>
  <si>
    <t>VV17SPBL02BL</t>
  </si>
  <si>
    <t>RUFFLE POINT CHECK BLOUSE[BLUE/FREE]</t>
  </si>
  <si>
    <t>V-V17SPBL01PK</t>
  </si>
  <si>
    <t>VV17SPBL01PK</t>
  </si>
  <si>
    <t>NECK POINT HALF SLEEVE BLOUSE</t>
  </si>
  <si>
    <t>NECK POINT HALF SLEEVE BLOUSE[PINK/FREE]</t>
  </si>
  <si>
    <t>V-V17SPBL01BK</t>
  </si>
  <si>
    <t>VV17SPBL01BK</t>
  </si>
  <si>
    <t>NECK POINT HALF SLEEVE BLOUSE[BLACK/FREE]</t>
  </si>
  <si>
    <t>V-V17SPTOP07YL</t>
  </si>
  <si>
    <t>VV17SPTOP07YL</t>
  </si>
  <si>
    <t>RUFFLE V-NECK STRIPE T-SHIRTS</t>
  </si>
  <si>
    <t>YELLOW/FREE</t>
  </si>
  <si>
    <t>RUFFLE V-NECK STRIPE T-SHIRTS[YELLOW/FREE]</t>
  </si>
  <si>
    <t>V-V17SPTOP07NA</t>
  </si>
  <si>
    <t>VV17SPTOP07NA</t>
  </si>
  <si>
    <t>RUFFLE V-NECK STRIPE T-SHIRTS[NAVY/FREE]</t>
  </si>
  <si>
    <t>V-V17SPTOP06WH</t>
  </si>
  <si>
    <t>VV17SPTOP06WH</t>
  </si>
  <si>
    <t>RUFFLE POINT HALF SLEEVES</t>
  </si>
  <si>
    <t>RUFFLE POINT HALF SLEEVES[WHITE/FREE]</t>
  </si>
  <si>
    <t>V-V17SPTOP06BK</t>
  </si>
  <si>
    <t>VV17SPTOP06BK</t>
  </si>
  <si>
    <t>RUFFLE POINT HALF SLEEVES[BLACK/FREE]</t>
  </si>
  <si>
    <t>V-V17SPTOP05WH</t>
  </si>
  <si>
    <t>VV17SPTOP05WH</t>
  </si>
  <si>
    <t>RUFFLE NECK T-SHIRTS</t>
  </si>
  <si>
    <t>RUFFLE NECK T-SHIRTS[WHITE/FREE]</t>
  </si>
  <si>
    <t>V-V17SPTOP05BK</t>
  </si>
  <si>
    <t>VV17SPTOP05BK</t>
  </si>
  <si>
    <t>RUFFLE NECK T-SHIRTS[BLACK/FREE]</t>
  </si>
  <si>
    <t>V-V17SPTOP04GR</t>
  </si>
  <si>
    <t>VV17SPTOP04GR</t>
  </si>
  <si>
    <t>RUFFLE NECK HALF SLEEVES</t>
  </si>
  <si>
    <t>RUFFLE NECK HALF SLEEVES[GRAY/FREE]</t>
  </si>
  <si>
    <t>V-V17SPTOP04CC</t>
  </si>
  <si>
    <t>VV17SPTOP04CC</t>
  </si>
  <si>
    <t>CHARCOAL/FREE</t>
  </si>
  <si>
    <t>RUFFLE NECK HALF SLEEVES[CHARCOAL/FREE]</t>
  </si>
  <si>
    <t>V-V17SPTOP03WH</t>
  </si>
  <si>
    <t>VV17SPTOP03WH</t>
  </si>
  <si>
    <t>LACE BLOCKING SWEATSHIRT</t>
  </si>
  <si>
    <t>LACE BLOCKING SWEATSHIRT[WHITE/FREE]</t>
  </si>
  <si>
    <t>V-V17SPTOP03BK</t>
  </si>
  <si>
    <t>VV17SPTOP03BK</t>
  </si>
  <si>
    <t>LACE BLOCKING SWEATSHIRT[BLACK/FREE]</t>
  </si>
  <si>
    <t>V-V17SPTOP02NA</t>
  </si>
  <si>
    <t>VV17SPTOP02NA</t>
  </si>
  <si>
    <t>EYELET POINT BELL SLEEVE T-SHIRTS</t>
  </si>
  <si>
    <t>EYELET POINT BELL SLEEVE T-SHIRTS[NAVY/FREE]</t>
  </si>
  <si>
    <t>V-V17SPTOP01NA</t>
  </si>
  <si>
    <t>VV17SPTOP01NA</t>
  </si>
  <si>
    <t>BELL SLEEVE STRIPE T-SHIRTS</t>
  </si>
  <si>
    <t>BELL SLEEVE STRIPE T-SHIRTS[NAVY/FREE]</t>
  </si>
  <si>
    <t>V-V16WTSK01NA</t>
  </si>
  <si>
    <t>VV16WTSK01NA</t>
  </si>
  <si>
    <t>WRAP DETAIL CHECK MINI SKIRT_NA</t>
  </si>
  <si>
    <t>WRAP DETAIL CHECK MINI SKIRT_NA[NAVY/FREE]</t>
  </si>
  <si>
    <t>V-V16WTSK01GR</t>
  </si>
  <si>
    <t>VV16WTSK01GR</t>
  </si>
  <si>
    <t>WRAP DETAIL CHECK MINI SKIRT_GR</t>
  </si>
  <si>
    <t>WRAP DETAIL CHECK MINI SKIRT_GR[GRAY/FREE]</t>
  </si>
  <si>
    <t>V-V16WTOP02GR</t>
  </si>
  <si>
    <t>VV16WTOP02GR</t>
  </si>
  <si>
    <t>WRAP DETAIL CHECK OVERALL_GR</t>
  </si>
  <si>
    <t>WRAP DETAIL CHECK OVERALL_GR[GRAY/FREE]</t>
  </si>
  <si>
    <t>V-V16WTOP01GR</t>
  </si>
  <si>
    <t>VV16WTOP01GR</t>
  </si>
  <si>
    <t>SPLIT DETAIL GLEN CHECK ONEPIECE_GR</t>
  </si>
  <si>
    <t>GRAY CONTRAST: CHARCOAL/FREE</t>
  </si>
  <si>
    <t>SPLIT DETAIL GLEN CHECK ONEPIECE_GR[GRAY CONTRAST: CHARCOAL/FREE]</t>
  </si>
  <si>
    <t>V-V16WTOP01BL</t>
  </si>
  <si>
    <t>VV16WTOP01BL</t>
  </si>
  <si>
    <t>SPLIT DETAIL GLEN CHECK ONEPIECE_BL</t>
  </si>
  <si>
    <t>BLUE CONTRAST: CHARCOAL/FREE</t>
  </si>
  <si>
    <t>SPLIT DETAIL GLEN CHECK ONEPIECE_BL[BLUE CONTRAST: CHARCOAL/FREE]</t>
  </si>
  <si>
    <t>V-V16WTTOP08BI</t>
  </si>
  <si>
    <t>VELVET POINT SWEATSHIRTS_BI</t>
  </si>
  <si>
    <t>VV16WTTOP08BI</t>
  </si>
  <si>
    <t>BEIGE CONTRAST: IVORY/FREE</t>
  </si>
  <si>
    <t>VELVET POINT SWEATSHIRTS_BI[BEIGE CONTRAST: IVORY/FREE]</t>
  </si>
  <si>
    <t>V-V16WTTOP7IV</t>
  </si>
  <si>
    <t>VV16WTTOP7IV</t>
  </si>
  <si>
    <t>UNBALANCE MOCK NECK KNIT_IV</t>
  </si>
  <si>
    <t>UNBALANCE MOCK NECK KNIT_IV[IVORY/FREE]</t>
  </si>
  <si>
    <t>V-V16WTTOP07CC</t>
  </si>
  <si>
    <t>VV16WTTOP07CC</t>
  </si>
  <si>
    <t>UNBALANCE MOCK NECK KNIT_CC</t>
  </si>
  <si>
    <t>UNBALANCE MOCK NECK KNIT_CC[CHARCOAL/FREE]</t>
  </si>
  <si>
    <t>V-V16WTTOP06PK</t>
  </si>
  <si>
    <t>VV16WTTOP06PK</t>
  </si>
  <si>
    <t>TWO TONE HALF TURTLE NECK KNIT_PK</t>
  </si>
  <si>
    <t>GRAY CONTRAST: PINK/FREE</t>
  </si>
  <si>
    <t>TWO TONE HALF TURTLE NECK KNIT_PK[GRAY CONTRAST: PINK/FREE]</t>
  </si>
  <si>
    <t>V-V16WTTOP06BK</t>
  </si>
  <si>
    <t>VV16WTTOP06BK</t>
  </si>
  <si>
    <t>TWO TONE HALF TURTLE NECK KNIT_BK</t>
  </si>
  <si>
    <t>BLACK CONTRAST: BLACK/FREE</t>
  </si>
  <si>
    <t>TWO TONE HALF TURTLE NECK KNIT_BK[BLACK CONTRAST: BLACK/FREE]</t>
  </si>
  <si>
    <t>V-V16WTTOP04CC</t>
  </si>
  <si>
    <t>VV16WTTOP04CC</t>
  </si>
  <si>
    <t>SIDE ZIP UP TURTLE NECK SWEATSHIRTS_CC</t>
  </si>
  <si>
    <t>SIDE ZIP UP TURTLE NECK SWEATSHIRTS_CC[CHARCOAL/FREE]</t>
  </si>
  <si>
    <t>V-V16WTTOP04BK</t>
  </si>
  <si>
    <t>VV16WTTOP04BK</t>
  </si>
  <si>
    <t>SIDE ZIP UP TURTLE NECK SWEATSHIRTS_BK</t>
  </si>
  <si>
    <t>SIDE ZIP UP TURTLE NECK SWEATSHIRTS_BK[BLACK/FREE]</t>
  </si>
  <si>
    <t>V-V16WTTOP01NA</t>
  </si>
  <si>
    <t>VV16WTTOP01NA</t>
  </si>
  <si>
    <t>CHECK CROP TOP_NA</t>
  </si>
  <si>
    <t>NAVY CONTRAST: BLACK/FREE</t>
  </si>
  <si>
    <t>CHECK CROP TOP_NA[NAVY CONTRAST: BLACK/FREE]</t>
  </si>
  <si>
    <t>V-V16FWTOP01GR</t>
  </si>
  <si>
    <t>BAND POINT TOP</t>
  </si>
  <si>
    <t>VV16FWTOP01GR</t>
  </si>
  <si>
    <t>GRAY</t>
  </si>
  <si>
    <t>BAND POINT TOP[GRAY]</t>
  </si>
  <si>
    <t>V-V16FWTOP01NA</t>
  </si>
  <si>
    <t>VV16FWTOP01NA</t>
  </si>
  <si>
    <t>BAND POINT TOP[NAVY]</t>
  </si>
  <si>
    <t>V-V16FWSK04NA</t>
  </si>
  <si>
    <t>VV16FWSK04NA</t>
  </si>
  <si>
    <t>CHECK PLEATS MIDI SKIRT</t>
  </si>
  <si>
    <t>CHECK PLEATS MIDI SKIRT[NAVY]</t>
  </si>
  <si>
    <t>V-V16FWTOP05PK</t>
  </si>
  <si>
    <t>VV16FWTOP05PK</t>
  </si>
  <si>
    <t>VELVET BLOCKING SWEATSHIRT</t>
  </si>
  <si>
    <t>PINK</t>
  </si>
  <si>
    <t>VELVET BLOCKING SWEATSHIRT[PINK]</t>
  </si>
  <si>
    <t>V-V16FWTOP05SB</t>
  </si>
  <si>
    <t>VV16FWTOP05SB</t>
  </si>
  <si>
    <t>VELVET BLOCKING SWEATSHIRT[SKY BLUE]</t>
  </si>
  <si>
    <t>V-V16FWTOP04NA</t>
  </si>
  <si>
    <t>STUD POINT SWEATSHIRT</t>
  </si>
  <si>
    <t>VV16FWTOP04NA</t>
  </si>
  <si>
    <t>STUD POINT SWEATSHIRT[NAVY]</t>
  </si>
  <si>
    <t>V-V16FWTOP04BK</t>
  </si>
  <si>
    <t>VV16FWTOP04BK</t>
  </si>
  <si>
    <t>STUD POINT SWEATSHIRT[BLACK]</t>
  </si>
  <si>
    <t>V-V16FWSK03BL</t>
  </si>
  <si>
    <t>PLEATS FLARE DENIM SKIRT</t>
  </si>
  <si>
    <t>VV16FWSK03BL</t>
  </si>
  <si>
    <t>PLEATS FLARE DENIM SKIRT[BLUE]</t>
  </si>
  <si>
    <t>V-V16FWSK02NA</t>
  </si>
  <si>
    <t>VV16FWSK02NA</t>
  </si>
  <si>
    <t>STRIPE BLOCKING SKIRT_NA</t>
  </si>
  <si>
    <t>STRIPE BLOCKING SKIRT_NA[NAVY]</t>
  </si>
  <si>
    <t>V-V16FWSK01NA</t>
  </si>
  <si>
    <t>TIM POINT CHECK SKIRT</t>
  </si>
  <si>
    <t>VV16FWSK01NA</t>
  </si>
  <si>
    <t>TIM POINT CHECK SKIRT[NAVY]</t>
  </si>
  <si>
    <t>V-V16FWOP02NA</t>
  </si>
  <si>
    <t>VV16FWOP02NA</t>
  </si>
  <si>
    <t>STRIPE BLOCKING ONEPIECE</t>
  </si>
  <si>
    <t>STRIPE BLOCKING ONEPIECE[NAVY]</t>
  </si>
  <si>
    <t>V-V16FWOP01NA</t>
  </si>
  <si>
    <t>TIM POINT CHECK ONEPIECE</t>
  </si>
  <si>
    <t>VV16FWOP01NA</t>
  </si>
  <si>
    <t>TIM POINT CHECK ONEPIECE[NAVY]</t>
  </si>
  <si>
    <t>V-V16FWTOP02BK</t>
  </si>
  <si>
    <t>VV16FWTOP02BK</t>
  </si>
  <si>
    <t>CUFFS POINT TOP</t>
  </si>
  <si>
    <t>CUFFS POINT TOP[BLACK]</t>
  </si>
  <si>
    <t>V-V16FWTOP02GR</t>
  </si>
  <si>
    <t>VV16FWTOP02GR</t>
  </si>
  <si>
    <t>CUFFS POINT TOP[GRAY]</t>
  </si>
  <si>
    <t>Salon de YOHN</t>
  </si>
  <si>
    <t>S-DY16WT02NV</t>
  </si>
  <si>
    <t>SDY16WT02NV</t>
  </si>
  <si>
    <t>High Neck Stripe T_Navy</t>
  </si>
  <si>
    <t>SDY-16W-T02NV</t>
  </si>
  <si>
    <t>Navy</t>
  </si>
  <si>
    <t>High Neck Stripe T_Navy[Navy]</t>
  </si>
  <si>
    <t>S-DY17VCPT01ST</t>
  </si>
  <si>
    <t>SDY17VCPT01ST</t>
  </si>
  <si>
    <t>Stripe Short Pants</t>
  </si>
  <si>
    <t>SDY-17VC-PT01ST</t>
  </si>
  <si>
    <t>Blue Stripe</t>
  </si>
  <si>
    <t>Stripe Short Pants[Blue Stripe]</t>
  </si>
  <si>
    <t>S-DY17WACC06BK</t>
  </si>
  <si>
    <t>SDY17WACC06BK</t>
  </si>
  <si>
    <t>News Boy Hat</t>
  </si>
  <si>
    <t>SDY-17W-ACC06BK</t>
  </si>
  <si>
    <t>News Boy Hat[BLACK/FREE]</t>
  </si>
  <si>
    <t>S-DY17WACC05DG</t>
  </si>
  <si>
    <t>SDY17WACC05DG</t>
  </si>
  <si>
    <t>Color Block Fox Fur Muffler</t>
  </si>
  <si>
    <t>SDY-17W-ACC05DG</t>
  </si>
  <si>
    <t>Color Block Fox Fur Muffler[DARK NAVY/FREE]</t>
  </si>
  <si>
    <t>S-DY17WACC05DN</t>
  </si>
  <si>
    <t>SDY17WACC05DN</t>
  </si>
  <si>
    <t>SDY-17W-ACC05DN</t>
  </si>
  <si>
    <t>DARK GREY/FREE</t>
  </si>
  <si>
    <t>Color Block Fox Fur Muffler[DARK GREY/FREE]</t>
  </si>
  <si>
    <t>S-DY17WACC04DG</t>
  </si>
  <si>
    <t>SDY17WACC04DG</t>
  </si>
  <si>
    <t>Fox Fur Muffler</t>
  </si>
  <si>
    <t>SDY-17W-ACC04DG</t>
  </si>
  <si>
    <t>Fox Fur Muffler[DARK NAVY/FREE]</t>
  </si>
  <si>
    <t>S-DY17WACC04DN</t>
  </si>
  <si>
    <t>SDY17WACC04DN</t>
  </si>
  <si>
    <t>SDY-17W-ACC04DN</t>
  </si>
  <si>
    <t>Fox Fur Muffler[DARK GREY/FREE]</t>
  </si>
  <si>
    <t>S-DY17WACC03BK</t>
  </si>
  <si>
    <t>SDY17WACC03BK</t>
  </si>
  <si>
    <t>Check Muffler</t>
  </si>
  <si>
    <t>SDY-17W-ACC03BK</t>
  </si>
  <si>
    <t>Check Muffler[BLACK/FREE]</t>
  </si>
  <si>
    <t>S-DY17WACC03BR</t>
  </si>
  <si>
    <t>SDY17WACC03BR</t>
  </si>
  <si>
    <t>SDY-17W-ACC03BR</t>
  </si>
  <si>
    <t>Check Muffler[BROWN/FREE]</t>
  </si>
  <si>
    <t>S-DY17WACC02PK</t>
  </si>
  <si>
    <t>SDY17WACC02PK</t>
  </si>
  <si>
    <t>Wool Muffler</t>
  </si>
  <si>
    <t>SDY-17W-ACC02PK</t>
  </si>
  <si>
    <t>Wool Muffler[CAMEL/FREE]</t>
  </si>
  <si>
    <t>S-DY17WACC02BL</t>
  </si>
  <si>
    <t>SDY17WACC02BL</t>
  </si>
  <si>
    <t>SDY-17W-ACC02BL</t>
  </si>
  <si>
    <t>Wool Muffler[BLUE/FREE]</t>
  </si>
  <si>
    <t>S-DY17WACC02CA</t>
  </si>
  <si>
    <t>SDY17WACC02CA</t>
  </si>
  <si>
    <t>SDY-17W-ACC02CA</t>
  </si>
  <si>
    <t>Wool Muffler[PINK/FREE]</t>
  </si>
  <si>
    <t>S-DY17WACC01BK</t>
  </si>
  <si>
    <t>SDY17WACC01BK</t>
  </si>
  <si>
    <t>Basic Wool Muffler</t>
  </si>
  <si>
    <t>SDY-17W-ACC01BK</t>
  </si>
  <si>
    <t>Basic Wool Muffler[BLACK/FREE]</t>
  </si>
  <si>
    <t>S-DY17WACC01GR</t>
  </si>
  <si>
    <t>SDY17WACC01GR</t>
  </si>
  <si>
    <t>SDY-17W-ACC01GR</t>
  </si>
  <si>
    <t>Basic Wool Muffler[DARK GREY/FREE]</t>
  </si>
  <si>
    <t>S-DY17WACC01BG2</t>
  </si>
  <si>
    <t>SDY17WACC01BG2</t>
  </si>
  <si>
    <t>SDY-17W-ACC01BG2</t>
  </si>
  <si>
    <t>BEIGE GREY/FREE</t>
  </si>
  <si>
    <t>Basic Wool Muffler[BEIGE GREY/FREE]</t>
  </si>
  <si>
    <t>S-DY17WACC01BG</t>
  </si>
  <si>
    <t>SDY17WACC01BG</t>
  </si>
  <si>
    <t>SDY-17W-ACC01BG</t>
  </si>
  <si>
    <t>Basic Wool Muffler[BEIGE/FREE]</t>
  </si>
  <si>
    <t>S-DY17WCT03BR</t>
  </si>
  <si>
    <t>SDY17WCT03BR</t>
  </si>
  <si>
    <t>Check Double Wool Coat</t>
  </si>
  <si>
    <t>SDY-17W-CT03BR</t>
  </si>
  <si>
    <t>Check Double Wool Coat[BROWN/FREE]</t>
  </si>
  <si>
    <t>S-DY17WCT02NV</t>
  </si>
  <si>
    <t>Navy Double Wool Coat</t>
  </si>
  <si>
    <t>SDY-17W-CT02NV</t>
  </si>
  <si>
    <t>Navy Double Wool Coat[NAVY/FREE]</t>
  </si>
  <si>
    <t>S-DY17WCT01BK</t>
  </si>
  <si>
    <t>SDY17WCT01BK</t>
  </si>
  <si>
    <t>High Neck Wool Coat</t>
  </si>
  <si>
    <t>SDY-17W-CT01BK</t>
  </si>
  <si>
    <t>High Neck Wool Coat[BLACK/FREE]</t>
  </si>
  <si>
    <t>S-DY17WSK03BK</t>
  </si>
  <si>
    <t>SDY17WSK03BK</t>
  </si>
  <si>
    <t>Buntto Stitching Skirt</t>
  </si>
  <si>
    <t>SDY-17W-SK03BK</t>
  </si>
  <si>
    <t>Buntto Stitching Skirt[BLACK/FREE]</t>
  </si>
  <si>
    <t>S-DY17WSK03NV</t>
  </si>
  <si>
    <t>SDY17WSK03NV</t>
  </si>
  <si>
    <t>SDY-17W-SK03NV</t>
  </si>
  <si>
    <t>Buntto Stitching Skirt[NAVY/FREE]</t>
  </si>
  <si>
    <t>S-DY17WSK03KB</t>
  </si>
  <si>
    <t>SDY17WSK03KB</t>
  </si>
  <si>
    <t>SDY-17W-SK03KB</t>
  </si>
  <si>
    <t>KHAKI BROWN/FREE</t>
  </si>
  <si>
    <t>Buntto Stitching Skirt[KHAKI BROWN/FREE]</t>
  </si>
  <si>
    <t>S-DY17WSK03IV</t>
  </si>
  <si>
    <t>SDY17WSK03IV</t>
  </si>
  <si>
    <t>SDY-17W-SK03IV</t>
  </si>
  <si>
    <t>Buntto Stitching Skirt[IVORY/FREE]</t>
  </si>
  <si>
    <t>S-DY17WSK01BK</t>
  </si>
  <si>
    <t>SDY17WSK01BK</t>
  </si>
  <si>
    <t>Belted Check Wrap Skirt</t>
  </si>
  <si>
    <t>SDY-17W-SK01BK</t>
  </si>
  <si>
    <t>Belted Check Wrap Skirt[BLACK/FREE]</t>
  </si>
  <si>
    <t>S-DY17WSK01BR</t>
  </si>
  <si>
    <t>SDY-17W-SK01BR</t>
  </si>
  <si>
    <t>Belted Check Wrap Skirt[BROWN/FREE]</t>
  </si>
  <si>
    <t>S-DY17WDR04BR</t>
  </si>
  <si>
    <t>SDY17WDR04BR</t>
  </si>
  <si>
    <t>Belted Check Dress</t>
  </si>
  <si>
    <t>SDY-17W-DR04BR</t>
  </si>
  <si>
    <t>Belted Check Dress[BROWN/FREE]</t>
  </si>
  <si>
    <t>S-DY17WDR03BK</t>
  </si>
  <si>
    <t>SDY17WDR03BK</t>
  </si>
  <si>
    <t>Long Wrap Dress</t>
  </si>
  <si>
    <t>SDY-17W-DR03BK</t>
  </si>
  <si>
    <t>Long Wrap Dress[BLACK/FREE]</t>
  </si>
  <si>
    <t>S-DY17WDR03NV</t>
  </si>
  <si>
    <t>SDY17WDR03NV</t>
  </si>
  <si>
    <t>SDY-17W-DR03NV</t>
  </si>
  <si>
    <t>Long Wrap Dress[NAVY/FREE]</t>
  </si>
  <si>
    <t>S-DY17WDR02BR</t>
  </si>
  <si>
    <t>SDY17WDR02BR</t>
  </si>
  <si>
    <t>Shirring Dress_Brown</t>
  </si>
  <si>
    <t>SDY-17W-DR02BR</t>
  </si>
  <si>
    <t>Shirring Dress_Brown[BROWN/FREE]</t>
  </si>
  <si>
    <t>S-DY17WDR01NV</t>
  </si>
  <si>
    <t>SDY17WDR01NV</t>
  </si>
  <si>
    <t>Shirring Dress_Dots</t>
  </si>
  <si>
    <t>SDY-17W-DR01NV</t>
  </si>
  <si>
    <t>Shirring Dress_Dots[NAVY/FREE]</t>
  </si>
  <si>
    <t>S-DY17WT08RD</t>
  </si>
  <si>
    <t>SDY17WT08RD</t>
  </si>
  <si>
    <t>Check Shirt</t>
  </si>
  <si>
    <t>SDY-17W-T08RD</t>
  </si>
  <si>
    <t>Check Shirt[RED/FREE]</t>
  </si>
  <si>
    <t>S-DY17WT08WH</t>
  </si>
  <si>
    <t>SDY17WT08WH</t>
  </si>
  <si>
    <t>SDY-17W-T08WH</t>
  </si>
  <si>
    <t>Check Shirt[WHITE/FREE]</t>
  </si>
  <si>
    <t>S-DY17WT06BR</t>
  </si>
  <si>
    <t>SDY17WT06BR</t>
  </si>
  <si>
    <t>Do Not Disturb MTM (기모)_Brown</t>
  </si>
  <si>
    <t>SDY-17W-T06BR</t>
  </si>
  <si>
    <t>Do Not Disturb MTM (기모)_Brown[BROWN/FREE]</t>
  </si>
  <si>
    <t>S-DY17WT06PK</t>
  </si>
  <si>
    <t>SDY17WT06PK</t>
  </si>
  <si>
    <t>Do Not Disturb MTM (기모)_Pink</t>
  </si>
  <si>
    <t>SDY-17W-T06PK</t>
  </si>
  <si>
    <t>Do Not Disturb MTM (기모)_Pink[PINK/FREE]</t>
  </si>
  <si>
    <t>S-DY17WT05GR</t>
  </si>
  <si>
    <t>SDY17WT05GR</t>
  </si>
  <si>
    <t>Room Service MTM (기모)_Grey</t>
  </si>
  <si>
    <t>SDY-17W-T05GR</t>
  </si>
  <si>
    <t>Room Service MTM (기모)_Grey[GREY/FREE]</t>
  </si>
  <si>
    <t>S-DY17WT05BG</t>
  </si>
  <si>
    <t>SDY17WT05BG</t>
  </si>
  <si>
    <t>Room Service MTM (기모)_Beige</t>
  </si>
  <si>
    <t>SDY-17W-T05BG</t>
  </si>
  <si>
    <t>Room Service MTM (기모)_Beige[BEIGE/FREE]</t>
  </si>
  <si>
    <t>S-DY17WT05OR</t>
  </si>
  <si>
    <t>SDY17WT05OR</t>
  </si>
  <si>
    <t>Room Service MTM (기모)_Orange</t>
  </si>
  <si>
    <t>SDY-17W-T05OR</t>
  </si>
  <si>
    <t>ORANGE/FREE</t>
  </si>
  <si>
    <t>Room Service MTM (기모)_Orange[ORANGE/FREE]</t>
  </si>
  <si>
    <t>S-DY17WT04WH</t>
  </si>
  <si>
    <t>SDY17WT04WH</t>
  </si>
  <si>
    <t>Basic Boxy T</t>
  </si>
  <si>
    <t>SDY-17W-T04WH</t>
  </si>
  <si>
    <t>Basic Boxy T[WHITE/FREE]</t>
  </si>
  <si>
    <t>S-DY17WT02BK</t>
  </si>
  <si>
    <t>SDY17WT02BK</t>
  </si>
  <si>
    <t>Basic Polar Knit</t>
  </si>
  <si>
    <t>SDY-17W-T02BK</t>
  </si>
  <si>
    <t>Basic Polar Knit[BLACK/FREE]</t>
  </si>
  <si>
    <t>S-DY17WT02PP</t>
  </si>
  <si>
    <t>SDY17WT02PP</t>
  </si>
  <si>
    <t>SDY-17W-T02PP</t>
  </si>
  <si>
    <t>PURPLE/FREE</t>
  </si>
  <si>
    <t>Basic Polar Knit[PURPLE/FREE]</t>
  </si>
  <si>
    <t>S-DY17WT02IV</t>
  </si>
  <si>
    <t>SDY17WT02IV</t>
  </si>
  <si>
    <t>SDY-17W-T02IV</t>
  </si>
  <si>
    <t>Basic Polar Knit[IVORY/FREE]</t>
  </si>
  <si>
    <t>S-DY17WT01GR</t>
  </si>
  <si>
    <t>SDY17WT01GR</t>
  </si>
  <si>
    <t xml:space="preserve">  Basic T (기모)</t>
  </si>
  <si>
    <t>SDY-17W-T01GR</t>
  </si>
  <si>
    <t xml:space="preserve">  Basic T (기모)[GREY/FREE]</t>
  </si>
  <si>
    <t>S-DY17WT01BG</t>
  </si>
  <si>
    <t>SDY17WT01BG</t>
  </si>
  <si>
    <t>SDY-17W-T01BG</t>
  </si>
  <si>
    <t xml:space="preserve">  Basic T (기모)[BEIGE/FREE]</t>
  </si>
  <si>
    <t>S-DY17WT01RB</t>
  </si>
  <si>
    <t>SDY17WT01RB</t>
  </si>
  <si>
    <t>SDY-17W-T01RB</t>
  </si>
  <si>
    <t>RED BROWN/FREE</t>
  </si>
  <si>
    <t xml:space="preserve">  Basic T (기모)[RED BROWN/FREE]</t>
  </si>
  <si>
    <t>S-DY17VCTO06NV</t>
  </si>
  <si>
    <t>SDY17VCTO06NV</t>
  </si>
  <si>
    <t>Back Slit T-Shirt</t>
  </si>
  <si>
    <t>SDY-17VC-TO06NV</t>
  </si>
  <si>
    <t>NV</t>
  </si>
  <si>
    <t>Back Slit T-Shirt[NV]</t>
  </si>
  <si>
    <t>S-DY17FW020NV</t>
  </si>
  <si>
    <t>SDY17FW020NV</t>
  </si>
  <si>
    <t>Boucle Jacket</t>
  </si>
  <si>
    <t>SDY-17FW-020NV</t>
  </si>
  <si>
    <t>Navy/FREE</t>
  </si>
  <si>
    <t>Boucle Jacket[Navy/FREE]</t>
  </si>
  <si>
    <t>S-DY17FW019OR</t>
  </si>
  <si>
    <t>SDY17FW019OR</t>
  </si>
  <si>
    <t>Glen Check Jacket</t>
  </si>
  <si>
    <t>SDY-17FW-019OR</t>
  </si>
  <si>
    <t>Orange/FREE</t>
  </si>
  <si>
    <t>Glen Check Jacket[Orange/FREE]</t>
  </si>
  <si>
    <t>S-DY17FW019RD</t>
  </si>
  <si>
    <t>SDY17FW019RD</t>
  </si>
  <si>
    <t>SDY-17FW-019RD</t>
  </si>
  <si>
    <t>Red/FREE</t>
  </si>
  <si>
    <t>Glen Check Jacket[Red/FREE]</t>
  </si>
  <si>
    <t>S-DY17FW018BKM</t>
  </si>
  <si>
    <t>SDY17FW018BKM</t>
  </si>
  <si>
    <t>Spangle Mermaid Skirt</t>
  </si>
  <si>
    <t>SDY-17FW-018BKM</t>
  </si>
  <si>
    <t>Spangle Mermaid Skirt[Black/M]</t>
  </si>
  <si>
    <t>S-DY17FW018BKS</t>
  </si>
  <si>
    <t>SDY17FW018BKS</t>
  </si>
  <si>
    <t>SDY-17FW-018BKS</t>
  </si>
  <si>
    <t>Spangle Mermaid Skirt[Black/S]</t>
  </si>
  <si>
    <t>S-DY17FW017NV</t>
  </si>
  <si>
    <t>SDY17FW017NV</t>
  </si>
  <si>
    <t>Boucle Skirt</t>
  </si>
  <si>
    <t>SDY-17FW-017NV</t>
  </si>
  <si>
    <t>Boucle Skirt[Navy/FREE]</t>
  </si>
  <si>
    <t>S-DY17FW016OR</t>
  </si>
  <si>
    <t>SDY17FW016OR</t>
  </si>
  <si>
    <t>Glen Check Skirt</t>
  </si>
  <si>
    <t>SDY-17FW-016OR</t>
  </si>
  <si>
    <t>Glen Check Skirt[Orange/FREE]</t>
  </si>
  <si>
    <t>S-DY17FW016RD</t>
  </si>
  <si>
    <t>SDY17FW016RD</t>
  </si>
  <si>
    <t>SDY-17FW-016RD</t>
  </si>
  <si>
    <t>Glen Check Skirt[Red/FREE]</t>
  </si>
  <si>
    <t>S-DY17FW015GR</t>
  </si>
  <si>
    <t>SDY17FW015GR</t>
  </si>
  <si>
    <t>Check Dress</t>
  </si>
  <si>
    <t>SDY-17FW-015GR</t>
  </si>
  <si>
    <t>Green/FREE</t>
  </si>
  <si>
    <t>Check Dress[Green/FREE]</t>
  </si>
  <si>
    <t>S-DY17FW014BK</t>
  </si>
  <si>
    <t>SDY17FW014BK</t>
  </si>
  <si>
    <t>Gold Star Velvet Dress</t>
  </si>
  <si>
    <t>SDY-17FW-014BK</t>
  </si>
  <si>
    <t>Black/FREE</t>
  </si>
  <si>
    <t>Gold Star Velvet Dress[Black/FREE]</t>
  </si>
  <si>
    <t>S-DY17FW013NV</t>
  </si>
  <si>
    <t>SDY17FW013NV</t>
  </si>
  <si>
    <t>Wrap Shirt Dress</t>
  </si>
  <si>
    <t>SDY-17FW-013NV</t>
  </si>
  <si>
    <t>Wrap Shirt Dress[Navy/FREE]</t>
  </si>
  <si>
    <t>S-DY17FW013WT</t>
  </si>
  <si>
    <t>SDY17FW013WT</t>
  </si>
  <si>
    <t>SDY-17FW-013WT</t>
  </si>
  <si>
    <t>White/FREE</t>
  </si>
  <si>
    <t>Wrap Shirt Dress[White/FREE]</t>
  </si>
  <si>
    <t>S-DY17FW012NV</t>
  </si>
  <si>
    <t>SDY17FW012NV</t>
  </si>
  <si>
    <t>Navy Wrap Shirt</t>
  </si>
  <si>
    <t>SDY-17FW-012NV</t>
  </si>
  <si>
    <t>Navy Wrap Shirt[Navy/FREE]</t>
  </si>
  <si>
    <t>S-DY17FW011ST</t>
  </si>
  <si>
    <t>SDY17FW011ST</t>
  </si>
  <si>
    <t>Stripe Wrap Shirt</t>
  </si>
  <si>
    <t>SDY-17FW-011ST</t>
  </si>
  <si>
    <t>Stripe/FREE</t>
  </si>
  <si>
    <t>Stripe Wrap Shirt[Stripe/FREE]</t>
  </si>
  <si>
    <t>S-DY17FW010WT</t>
  </si>
  <si>
    <t>SDY17FW010WT</t>
  </si>
  <si>
    <t>White Wrap Shirt</t>
  </si>
  <si>
    <t>SDY-17FW-010WT</t>
  </si>
  <si>
    <t>White Wrap Shirt[White/FREE]</t>
  </si>
  <si>
    <t>S-DY17FW009RD</t>
  </si>
  <si>
    <t>SDY17FW009RD</t>
  </si>
  <si>
    <t>Check Ruffle Blouse</t>
  </si>
  <si>
    <t>SDY-17FW-009RD</t>
  </si>
  <si>
    <t>Check Ruffle Blouse[Red/FREE]</t>
  </si>
  <si>
    <t>S-DY17FW008BK</t>
  </si>
  <si>
    <t>SDY17FW008BK</t>
  </si>
  <si>
    <t>Star Sign Ruffle Blouse</t>
  </si>
  <si>
    <t>SDY-17FW-008BK</t>
  </si>
  <si>
    <t>Star Sign Ruffle Blouse[Black/FREE]</t>
  </si>
  <si>
    <t>S-DY17FW006BGD</t>
  </si>
  <si>
    <t>SDY17FW006BGD</t>
  </si>
  <si>
    <t>Etoiles Hoodie_Burgundy</t>
  </si>
  <si>
    <t>SDY-17FW-006BGD</t>
  </si>
  <si>
    <t>Burgundy/FREE</t>
  </si>
  <si>
    <t>Etoiles Hoodie_Burgundy[Burgundy/FREE]</t>
  </si>
  <si>
    <t>S-DY17FW006BL</t>
  </si>
  <si>
    <t>SDY17FW006BL</t>
  </si>
  <si>
    <t>Etoiles Hoodie_Blue</t>
  </si>
  <si>
    <t>SDY-17FW-006BL</t>
  </si>
  <si>
    <t>Blue/FREE</t>
  </si>
  <si>
    <t>Etoiles Hoodie_Blue[Blue/FREE]</t>
  </si>
  <si>
    <t>S-DY17FW005NV</t>
  </si>
  <si>
    <t>SDY17FW005NV</t>
  </si>
  <si>
    <t>Cuffs Long Sweatshirt</t>
  </si>
  <si>
    <t>SDY-17FW-005NV</t>
  </si>
  <si>
    <t>Cuffs Long Sweatshirt[Navy/FREE]</t>
  </si>
  <si>
    <t>S-DY17FW004BK</t>
  </si>
  <si>
    <t>SDY17FW004BK</t>
  </si>
  <si>
    <t>Off Sholder Knit Top</t>
  </si>
  <si>
    <t>SDY-17FW-004BK</t>
  </si>
  <si>
    <t>Off Sholder Knit Top[Black/FREE]</t>
  </si>
  <si>
    <t>S-DY17FW021GR</t>
  </si>
  <si>
    <t>SDY17FW021GR</t>
  </si>
  <si>
    <t>Stripe Cuffs T</t>
  </si>
  <si>
    <t>SDY-17FW-021GR</t>
  </si>
  <si>
    <t>Stripe Cuffs T[Green/FREE]</t>
  </si>
  <si>
    <t>S-DY17FW021NV</t>
  </si>
  <si>
    <t>SDY17FW021NV</t>
  </si>
  <si>
    <t>SDY-17FW-021NV</t>
  </si>
  <si>
    <t>Stripe Cuffs T[Navy/FREE]</t>
  </si>
  <si>
    <t>S-DY17FW003BK</t>
  </si>
  <si>
    <t>SDY17FW003BK</t>
  </si>
  <si>
    <t>Basic Cuffs T</t>
  </si>
  <si>
    <t>SDY-17FW-003BK</t>
  </si>
  <si>
    <t>Basic Cuffs T[Black/FREE]</t>
  </si>
  <si>
    <t>S-DY17FW003BE</t>
  </si>
  <si>
    <t>SDY17FW003BE</t>
  </si>
  <si>
    <t>SDY-17FW-003BE</t>
  </si>
  <si>
    <t>Beige/FREE</t>
  </si>
  <si>
    <t>Basic Cuffs T[Beige/FREE]</t>
  </si>
  <si>
    <t>S-DY17FW002NV</t>
  </si>
  <si>
    <t>SDY17FW002NV</t>
  </si>
  <si>
    <t>Basic Knit Top</t>
  </si>
  <si>
    <t>SDY-17FW-002NV</t>
  </si>
  <si>
    <t>Basic Knit Top[Navy/FREE]</t>
  </si>
  <si>
    <t>S-DY17FW002CA</t>
  </si>
  <si>
    <t>SDY17FW002CA</t>
  </si>
  <si>
    <t>SDY-17FW-002CA</t>
  </si>
  <si>
    <t>Camel/FREE</t>
  </si>
  <si>
    <t>Basic Knit Top[Camel/FREE]</t>
  </si>
  <si>
    <t>S-DY17FW002IV</t>
  </si>
  <si>
    <t>SDY17FW002IV</t>
  </si>
  <si>
    <t>SDY-17FW-002IV</t>
  </si>
  <si>
    <t>Ivory/FREE</t>
  </si>
  <si>
    <t>Basic Knit Top[Ivory/FREE]</t>
  </si>
  <si>
    <t>S-DY17FW001IV</t>
  </si>
  <si>
    <t>SDY17FW001IV</t>
  </si>
  <si>
    <t>Romantic Lace T</t>
  </si>
  <si>
    <t>SDY-17FW-001IV</t>
  </si>
  <si>
    <t>Romantic Lace T[Ivory/FREE]</t>
  </si>
  <si>
    <t>S-DY16WT03BK</t>
  </si>
  <si>
    <t>SDY16WT03BK</t>
  </si>
  <si>
    <t>Velvet Scarf Knit Vest_Black</t>
  </si>
  <si>
    <t>SDY-16W-T03BK</t>
  </si>
  <si>
    <t>Velvet Scarf Knit Vest_Black[Black/FREE]</t>
  </si>
  <si>
    <t>S-DY17VCDR04WH</t>
  </si>
  <si>
    <t>SDY17VCDR04WH</t>
  </si>
  <si>
    <t>Sleeveless Dress_White</t>
  </si>
  <si>
    <t>SDY-17VC-DR04WH</t>
  </si>
  <si>
    <t>WH</t>
  </si>
  <si>
    <t>Sleeveless Dress_White[WH]</t>
  </si>
  <si>
    <t>S-DY16WT04BK</t>
  </si>
  <si>
    <t>SDY16WT04BK</t>
  </si>
  <si>
    <t>Velvet Scarf V-neck Top</t>
  </si>
  <si>
    <t>SDY-16W-T04BK</t>
  </si>
  <si>
    <t>Velvet Scarf V-neck Top[BK]</t>
  </si>
  <si>
    <t>S-DY16WT04PK</t>
  </si>
  <si>
    <t>SDY16WT04PK</t>
  </si>
  <si>
    <t>SDY-16W-T04PK</t>
  </si>
  <si>
    <t>PK</t>
  </si>
  <si>
    <t>Velvet Scarf V-neck Top[PK]</t>
  </si>
  <si>
    <t>S-DY16WT02BK</t>
  </si>
  <si>
    <t>SDY16WT02BK</t>
  </si>
  <si>
    <t>High Neck Stripe T_Black</t>
  </si>
  <si>
    <t>SDY-16W-T02BK</t>
  </si>
  <si>
    <t>High Neck Stripe T_Black[Black/FREE]</t>
  </si>
  <si>
    <t>S-DY16WT05BK</t>
  </si>
  <si>
    <t>SDY16WT05BK</t>
  </si>
  <si>
    <t>Gold Star Embroidery Top</t>
  </si>
  <si>
    <t>SDY-16W-T05BK</t>
  </si>
  <si>
    <t>Gold Star Embroidery Top[Black/FREE]</t>
  </si>
  <si>
    <t>S-DY16WSS01BK</t>
  </si>
  <si>
    <t>SDY16WSS01BK</t>
  </si>
  <si>
    <t>High Neck Sweatshirt</t>
  </si>
  <si>
    <t>SDY-16W-SS01BK</t>
  </si>
  <si>
    <t>High Neck Sweatshirt[Black/FREE]</t>
  </si>
  <si>
    <t>S-DY16WSS01NV</t>
  </si>
  <si>
    <t>SDY16WSS01NV</t>
  </si>
  <si>
    <t>SDY-16W-SS01NV</t>
  </si>
  <si>
    <t>High Neck Sweatshirt[Navy/FREE]</t>
  </si>
  <si>
    <t>S-DY17VCTO05WH</t>
  </si>
  <si>
    <t>SDY17VCTO05WH</t>
  </si>
  <si>
    <t>Slogan Sleeveless_White</t>
  </si>
  <si>
    <t>SDY-17VC-TO05WH</t>
  </si>
  <si>
    <t>Slogan Sleeveless_White[White/FREE]</t>
  </si>
  <si>
    <t>S-DY17VCTO03BL</t>
  </si>
  <si>
    <t>SDY17VCTO03BL</t>
  </si>
  <si>
    <t>Slogan T-Shirt_Blue</t>
  </si>
  <si>
    <t>SDY-17VC-TO03BL</t>
  </si>
  <si>
    <t>BL/FREE</t>
  </si>
  <si>
    <t>Slogan T-Shirt_Blue[BL/FREE]</t>
  </si>
  <si>
    <t>S-DY17VCDR03BL</t>
  </si>
  <si>
    <t>SDY17VCDR03BL</t>
  </si>
  <si>
    <t>Wrap Dress_Blue</t>
  </si>
  <si>
    <t>SDY-17VC-DR03BL</t>
  </si>
  <si>
    <t>Wrap Dress_Blue[Blue/FREE]</t>
  </si>
  <si>
    <t>S-DY17VCTO04WH</t>
  </si>
  <si>
    <t>SDY17VCTO04WH</t>
  </si>
  <si>
    <t>Heart Logo T-Shirt</t>
  </si>
  <si>
    <t>SDY-17VC-TO04WH</t>
  </si>
  <si>
    <t>WH/F</t>
  </si>
  <si>
    <t>Heart Logo T-Shirt[WH/F]</t>
  </si>
  <si>
    <t>S-DY16SST03BK</t>
  </si>
  <si>
    <t>SDY16SST03BK</t>
  </si>
  <si>
    <t>Lace Stripe T</t>
  </si>
  <si>
    <t>SDY-16SS-T03BK</t>
  </si>
  <si>
    <t>Lace Stripe T[Black/FREE]</t>
  </si>
  <si>
    <t>S-DY16SST03IV</t>
  </si>
  <si>
    <t>SDY16SST03IV</t>
  </si>
  <si>
    <t>SDY-16SS-T03IV</t>
  </si>
  <si>
    <t>Lace Stripe T[Ivory/FREE]</t>
  </si>
  <si>
    <t>S-DY16SST01BK</t>
  </si>
  <si>
    <t>SDY16SST01BK</t>
  </si>
  <si>
    <t>SDY-16SS-T01BK</t>
  </si>
  <si>
    <t>Salon T[Black/FREE]</t>
  </si>
  <si>
    <t>S-DY16SST01PK</t>
  </si>
  <si>
    <t>SDY16SST01PK</t>
  </si>
  <si>
    <t>Pink/FREE</t>
  </si>
  <si>
    <t>Salon T[Pink/FREE]</t>
  </si>
  <si>
    <t>S-DY16HSPT01BL</t>
  </si>
  <si>
    <t>SDY16HSPT01BL</t>
  </si>
  <si>
    <t>Denim Pantskirt</t>
  </si>
  <si>
    <t>SDY-16HS-PT01BL</t>
  </si>
  <si>
    <t>Denim/FREE</t>
  </si>
  <si>
    <t>Denim Pantskirt[Denim/FREE]</t>
  </si>
  <si>
    <t>S-DY16HSSK02BL</t>
  </si>
  <si>
    <t>SDY16HSSK02BL</t>
  </si>
  <si>
    <t>Denim Wrap Skirt</t>
  </si>
  <si>
    <t>SDY-16HS-SK02BL</t>
  </si>
  <si>
    <t>Denim Wrap Skirt[Denim/FREE]</t>
  </si>
  <si>
    <t>S-DY16HSSH02WH</t>
  </si>
  <si>
    <t>SDY16HSSH02WH</t>
  </si>
  <si>
    <t>Long Cuffs Shirt</t>
  </si>
  <si>
    <t>SDY-16HS-SH02WH</t>
  </si>
  <si>
    <t>White / FREE</t>
  </si>
  <si>
    <t>Long Cuffs Shirt[White / FREE]</t>
  </si>
  <si>
    <t>S-DY16HSSH02BL</t>
  </si>
  <si>
    <t>SDY16HSSH02BL</t>
  </si>
  <si>
    <t>SDY-16HS-SH02BL</t>
  </si>
  <si>
    <t>Blue Stripe/FREE</t>
  </si>
  <si>
    <t>Long Cuffs Shirt[Blue Stripe/FREE]</t>
  </si>
  <si>
    <t>S-DY16HSSH01WH</t>
  </si>
  <si>
    <t>SDY16HSSH01WH</t>
  </si>
  <si>
    <t>SDY-16HS-SH01WH</t>
  </si>
  <si>
    <t>White Stripe/FREE</t>
  </si>
  <si>
    <t>Long Cuffs Shirt[White Stripe/FREE]</t>
  </si>
  <si>
    <t>S-DY16HSDR02BL</t>
  </si>
  <si>
    <t>SDY16HSDR02BL</t>
  </si>
  <si>
    <t>Stripe Sleeveless Dress</t>
  </si>
  <si>
    <t>SDY-16HS-DR02BL</t>
  </si>
  <si>
    <t>Stripe Sleeveless Dress[Blue Stripe/FREE]</t>
  </si>
  <si>
    <t>S-DY16HSDR01BL</t>
  </si>
  <si>
    <t>SDY16HSDR01BL</t>
  </si>
  <si>
    <t>Stripe Off-shoulder Dress</t>
  </si>
  <si>
    <t>SDY-16HS-DR01BL</t>
  </si>
  <si>
    <t>Stripe Off-shoulder Dress[Blue/FREE]</t>
  </si>
  <si>
    <t>S-DY16HST07BL</t>
  </si>
  <si>
    <t>SDY16HST07BL</t>
  </si>
  <si>
    <t>Stripe Off-shoulder Top</t>
  </si>
  <si>
    <t>SDY-16HS-T07BL</t>
  </si>
  <si>
    <t>Stripe Off-shoulder Top[Blue/FREE]</t>
  </si>
  <si>
    <t>S-DY16HST05BK</t>
  </si>
  <si>
    <t>SDY16HST05BK</t>
  </si>
  <si>
    <t>Tropical Velvet T</t>
  </si>
  <si>
    <t>SDY-16HS-T05BK</t>
  </si>
  <si>
    <t>Tropical Velvet T[Black/FREE]</t>
  </si>
  <si>
    <t>S-DY16HST05WH</t>
  </si>
  <si>
    <t>SDY16HST05WH</t>
  </si>
  <si>
    <t>SDY-16HS-T05WH</t>
  </si>
  <si>
    <t>Tropical Velvet T[White/FREE]</t>
  </si>
  <si>
    <t>S-DY16HST04BK</t>
  </si>
  <si>
    <t>SDY16HST04BK</t>
  </si>
  <si>
    <t>Fool For You T</t>
  </si>
  <si>
    <t>SDY-16HS-T04BK</t>
  </si>
  <si>
    <t>Fool For You T[Black/FREE]</t>
  </si>
  <si>
    <t>S-DY16HST04BG</t>
  </si>
  <si>
    <t>SDY16HST04BG</t>
  </si>
  <si>
    <t>SDY-16HS-T04BG</t>
  </si>
  <si>
    <t>Fool For You T[Beige/FREE]</t>
  </si>
  <si>
    <t>S-DY16HST04WH</t>
  </si>
  <si>
    <t>SDY16HST04WH</t>
  </si>
  <si>
    <t>SDY-16HS-T04WH</t>
  </si>
  <si>
    <t>Fool For You T[White/FREE]</t>
  </si>
  <si>
    <t>S-DY16HST03NV</t>
  </si>
  <si>
    <t>SDY16HST03NV</t>
  </si>
  <si>
    <t>Velvet Logo T</t>
  </si>
  <si>
    <t>SDY-16HS-T03NV</t>
  </si>
  <si>
    <t>Velvet Logo T[Navy/FREE]</t>
  </si>
  <si>
    <t>S-DY16HST02BL</t>
  </si>
  <si>
    <t>SDY16HST02BL</t>
  </si>
  <si>
    <t>stripe Sleeveless Top</t>
  </si>
  <si>
    <t>SDY-16HS-T02BL</t>
  </si>
  <si>
    <t>stripe Sleeveless Top[Blue Stripe/FREE]</t>
  </si>
  <si>
    <t>S-DY16HST06GR</t>
  </si>
  <si>
    <t>SDY16HST06GR</t>
  </si>
  <si>
    <t xml:space="preserve"> Silky Sleeveless Top</t>
  </si>
  <si>
    <t>SDY-16HS-T06GR</t>
  </si>
  <si>
    <t>Mint/FREE</t>
  </si>
  <si>
    <t xml:space="preserve"> Silky Sleeveless Top[Mint/FREE]</t>
  </si>
  <si>
    <t>S-DY16HST06BK</t>
  </si>
  <si>
    <t>SDY16HST06BK</t>
  </si>
  <si>
    <t>SDY-16HS-T06BK</t>
  </si>
  <si>
    <t xml:space="preserve"> Silky Sleeveless Top[Black/FREE]</t>
  </si>
  <si>
    <t>S-DY16HST01NV</t>
  </si>
  <si>
    <t>SDY16HST01NV</t>
  </si>
  <si>
    <t>SDY-16HS-T01NV</t>
  </si>
  <si>
    <t xml:space="preserve"> Silky Sleeveless Top[Navy/FREE]</t>
  </si>
  <si>
    <t>S-DY16HST01BR</t>
  </si>
  <si>
    <t>SDY16HST01BR</t>
  </si>
  <si>
    <t>SDY-16HS-T01BR</t>
  </si>
  <si>
    <t>Taupe/FREE</t>
  </si>
  <si>
    <t xml:space="preserve"> Silky Sleeveless Top[Taupe/FREE]</t>
  </si>
  <si>
    <t>S-DY17SSACC01KH</t>
  </si>
  <si>
    <t>SDY17SSACC01KH</t>
  </si>
  <si>
    <t>Silky Scarf</t>
  </si>
  <si>
    <t>SDY-17SS-ACC01KH</t>
  </si>
  <si>
    <t>Silky Scarf[Khaki/Free]</t>
  </si>
  <si>
    <t>S-DY17SSACC01BG</t>
  </si>
  <si>
    <t>SDY17SSACC01BG</t>
  </si>
  <si>
    <t>SDY-17SS-ACC01BG</t>
  </si>
  <si>
    <t>Beige/Free</t>
  </si>
  <si>
    <t>Silky Scarf[Beige/Free]</t>
  </si>
  <si>
    <t>S-DY17SSACC01NV</t>
  </si>
  <si>
    <t>SDY17SSACC01NV</t>
  </si>
  <si>
    <t>SDY-17SS-ACC01NV</t>
  </si>
  <si>
    <t>Silky Scarf[Navy/Free]</t>
  </si>
  <si>
    <t>S-DY17SSACC01PK</t>
  </si>
  <si>
    <t>SDY17SSACC01PK</t>
  </si>
  <si>
    <t>SDY-17SS-ACC01PK</t>
  </si>
  <si>
    <t>Silky Scarf[Pink/Free]</t>
  </si>
  <si>
    <t>S-DY17SSCT01BG</t>
  </si>
  <si>
    <t>SDY17SSCT01BG</t>
  </si>
  <si>
    <t>High Neck Long Trench Coat</t>
  </si>
  <si>
    <t>SDY-17SS-CT01BG</t>
  </si>
  <si>
    <t>High Neck Long Trench Coat[Beige/Free]</t>
  </si>
  <si>
    <t>S-DY17SSSK02BK</t>
  </si>
  <si>
    <t>SDY17SSSK02BK</t>
  </si>
  <si>
    <t>Glossy Pleats Skirt_Black</t>
  </si>
  <si>
    <t>SDY-17SS-SK02BK</t>
  </si>
  <si>
    <t>Glossy Pleats Skirt_Black[Black/Free]</t>
  </si>
  <si>
    <t>S-DY17SSSK02GD</t>
  </si>
  <si>
    <t>SDY17SSSK02GD</t>
  </si>
  <si>
    <t>Glossy Pleats Skirt_Gold</t>
  </si>
  <si>
    <t>SDY-17SS-SK02GD</t>
  </si>
  <si>
    <t>Gold/Free</t>
  </si>
  <si>
    <t>Glossy Pleats Skirt_Gold[Gold/Free]</t>
  </si>
  <si>
    <t>S-DY17SSSK02SV</t>
  </si>
  <si>
    <t>SDY17SSSK02SV</t>
  </si>
  <si>
    <t>Glossy Pleats Skirt_Silver</t>
  </si>
  <si>
    <t>SDY-17SS-SK02SV</t>
  </si>
  <si>
    <t>Silver/Free</t>
  </si>
  <si>
    <t>Glossy Pleats Skirt_Silver[Silver/Free]</t>
  </si>
  <si>
    <t>S-DY17SSSK01BK</t>
  </si>
  <si>
    <t>SDY17SSSK01BK</t>
  </si>
  <si>
    <t>Glossy Mermaid Skirt_Black</t>
  </si>
  <si>
    <t>SDY-17SS-SK01BK</t>
  </si>
  <si>
    <t>Glossy Mermaid Skirt_Black[Black/Free]</t>
  </si>
  <si>
    <t>S-DY17SSSK01GR</t>
  </si>
  <si>
    <t>SDY17SSSK01GR</t>
  </si>
  <si>
    <t>Glossy Mermaid Skirt_Grey</t>
  </si>
  <si>
    <t>SDY-17SS-SK01GR</t>
  </si>
  <si>
    <t>Grey/Free</t>
  </si>
  <si>
    <t>Glossy Mermaid Skirt_Grey[Grey/Free]</t>
  </si>
  <si>
    <t>S-DY17SSDR04BK</t>
  </si>
  <si>
    <t>SDY17SSDR04BK</t>
  </si>
  <si>
    <t>Lace Stripe Dress_Black</t>
  </si>
  <si>
    <t>SDY-17SS-DR04BK</t>
  </si>
  <si>
    <t>Lace Stripe Dress_Black[Black/Free]</t>
  </si>
  <si>
    <t>2018-03-22 오전 11:35:00</t>
  </si>
  <si>
    <t>S-DY17SSDR04IV</t>
  </si>
  <si>
    <t>SDY17SSDR04IV</t>
  </si>
  <si>
    <t>Lace Stripe Dress_Ivory</t>
  </si>
  <si>
    <t>SDY-17SS-DR04IV</t>
  </si>
  <si>
    <t>Ivory/Free</t>
  </si>
  <si>
    <t>Lace Stripe Dress_Ivory[Ivory/Free]</t>
  </si>
  <si>
    <t>S-DY17SSDR03BK</t>
  </si>
  <si>
    <t>SDY17SSDR03BK</t>
  </si>
  <si>
    <t>Pleats Cuffs Dress_Black</t>
  </si>
  <si>
    <t>SDY-17SS-DR03BK</t>
  </si>
  <si>
    <t>Pleats Cuffs Dress_Black[Black/Free]</t>
  </si>
  <si>
    <t>S-DY17SSDR03PP</t>
  </si>
  <si>
    <t>SDY17SSDR03PP</t>
  </si>
  <si>
    <t>Pleats Cuffs Dress_Purple</t>
  </si>
  <si>
    <t>SDY-17SS-DR03PP</t>
  </si>
  <si>
    <t>Pleats Cuffs Dress_Purple[Purple/Free]</t>
  </si>
  <si>
    <t>S-DY17SSDR02RD</t>
  </si>
  <si>
    <t>SDY17SSDR02RD</t>
  </si>
  <si>
    <t>Belted Check Dress_Red</t>
  </si>
  <si>
    <t>SDY-17SS-DR02RD</t>
  </si>
  <si>
    <t>Belted Check Dress_Red[Red/Free]</t>
  </si>
  <si>
    <t>S-DY17SSDR02GN</t>
  </si>
  <si>
    <t>SDY17SSDR02GN</t>
  </si>
  <si>
    <t>Belted Check Dress_Green</t>
  </si>
  <si>
    <t>SDY-17SS-DR02GN</t>
  </si>
  <si>
    <t>Belted Check Dress_Green[Green/Free]</t>
  </si>
  <si>
    <t>S-DY17SSDR01NV</t>
  </si>
  <si>
    <t>SDY17SSDR01NV</t>
  </si>
  <si>
    <t>Silky Slip Dress_Navy</t>
  </si>
  <si>
    <t>SDY-17SS-DR01NV</t>
  </si>
  <si>
    <t>Silky Slip Dress_Navy[Navy/Free]</t>
  </si>
  <si>
    <t>S-DY17SSDR01PK</t>
  </si>
  <si>
    <t>SDY17SSDR01PK</t>
  </si>
  <si>
    <t>Silky Slip Dress_Pink</t>
  </si>
  <si>
    <t>SDY-17SS-DR01PK</t>
  </si>
  <si>
    <t>Silky Slip Dress_Pink[Pink/Free]</t>
  </si>
  <si>
    <t>S-DY17SSSH01WH</t>
  </si>
  <si>
    <t>SDY17SSSH01WH</t>
  </si>
  <si>
    <t>Cuffs Point White Shirt</t>
  </si>
  <si>
    <t>SDY-17SS-SH01WH</t>
  </si>
  <si>
    <t>Cuffs Point White Shirt[White/Free]</t>
  </si>
  <si>
    <t>S-DY17SSSH01BL</t>
  </si>
  <si>
    <t>SDY17SSSH01BL</t>
  </si>
  <si>
    <t>Cuffs Point Stripe Shirt</t>
  </si>
  <si>
    <t>SDY-17SS-SH01BL</t>
  </si>
  <si>
    <t>Cuffs Point Stripe Shirt[Blue/Free]</t>
  </si>
  <si>
    <t>S-DY17SSBL02BK</t>
  </si>
  <si>
    <t>SDY17SSBL02BK</t>
  </si>
  <si>
    <t>Star Sign Chiffon Blouse</t>
  </si>
  <si>
    <t>SDY-17SS-BL02BK</t>
  </si>
  <si>
    <t>Star Sign Chiffon Blouse[Black/Free]</t>
  </si>
  <si>
    <t>S-DY17SSBL01RD</t>
  </si>
  <si>
    <t>SDY17SSBL01RD</t>
  </si>
  <si>
    <t>Check Chiffon Blouse</t>
  </si>
  <si>
    <t>SDY-17SS-BL01RD</t>
  </si>
  <si>
    <t>Check Chiffon Blouse[Red/Free]</t>
  </si>
  <si>
    <t>S-DY17SST06BK</t>
  </si>
  <si>
    <t>SDY17SST06BK</t>
  </si>
  <si>
    <t>Velvet Round Neck T_Black</t>
  </si>
  <si>
    <t>SDY-17SS-T06BK</t>
  </si>
  <si>
    <t>Velvet Round Neck T_Black[Black/Free]</t>
  </si>
  <si>
    <t>S-DY17SST06BL</t>
  </si>
  <si>
    <t>SDY17SST06BL</t>
  </si>
  <si>
    <t>Velvet Round Neck T_Blue</t>
  </si>
  <si>
    <t>SDY-17SS-T06BL</t>
  </si>
  <si>
    <t>Velvet Round Neck T_Blue[Blue/Free]</t>
  </si>
  <si>
    <t>S-DY17SST05BK</t>
  </si>
  <si>
    <t>SDY17SST05BK</t>
  </si>
  <si>
    <t>Velvet Top &amp; Scarf Set_Black</t>
  </si>
  <si>
    <t>SDY-17SS-T05BK</t>
  </si>
  <si>
    <t>Velvet Top &amp; Scarf Set_Black[Black/Free]</t>
  </si>
  <si>
    <t>S-DY17SST05NV</t>
  </si>
  <si>
    <t>SDY17SST05NV</t>
  </si>
  <si>
    <t>Velvet Top &amp; Scarf Set_Navy</t>
  </si>
  <si>
    <t>SDY-17SS-T05NV</t>
  </si>
  <si>
    <t>Velvet Top &amp; Scarf Set_Navy[Navy/Free]</t>
  </si>
  <si>
    <t>S-DY17SST04BK</t>
  </si>
  <si>
    <t>SDY17SST04BK</t>
  </si>
  <si>
    <t>V-Neck Lace T_Black</t>
  </si>
  <si>
    <t>SDY-17SS-T04BK</t>
  </si>
  <si>
    <t>V-Neck Lace T_Black[Black/Free]</t>
  </si>
  <si>
    <t>S-DY17SST04IV</t>
  </si>
  <si>
    <t>SDY17SST04IV</t>
  </si>
  <si>
    <t>V-Neck Lace T_Ivory</t>
  </si>
  <si>
    <t>SDY-17SS-T04IV</t>
  </si>
  <si>
    <t>V-Neck Lace T_Ivory[Ivory/Free]</t>
  </si>
  <si>
    <t>S-DY17SST03BK</t>
  </si>
  <si>
    <t>SDY17SST03BK</t>
  </si>
  <si>
    <t>Ribbon Point Lace T_Black</t>
  </si>
  <si>
    <t>SDY-17SS-T03BK</t>
  </si>
  <si>
    <t>Ribbon Point Lace T_Black[Black/Free]</t>
  </si>
  <si>
    <t>S-DY17SST03IV</t>
  </si>
  <si>
    <t>SDY17SST03IV</t>
  </si>
  <si>
    <t>Ribbon Point Lace T_Ivory</t>
  </si>
  <si>
    <t>SDY-17SS-T03IV</t>
  </si>
  <si>
    <t>Ribbon Point Lace T_Ivory[Ivory/Free]</t>
  </si>
  <si>
    <t>S-DY17SST02NV</t>
  </si>
  <si>
    <t>SDY17SST02NV</t>
  </si>
  <si>
    <t>Velvet Cuffs Stripe T_Navy</t>
  </si>
  <si>
    <t>SDY-17SS-T02NV</t>
  </si>
  <si>
    <t>Velvet Cuffs Stripe T_Navy[Navy/Free]</t>
  </si>
  <si>
    <t>S-DY17SST01BK</t>
  </si>
  <si>
    <t>SDY17SST01BK</t>
  </si>
  <si>
    <t>Slit Cuffs T_Black</t>
  </si>
  <si>
    <t>SDY-17SS-T01BK</t>
  </si>
  <si>
    <t>Slit Cuffs T_Black[Black/Free]</t>
  </si>
  <si>
    <t>S-DY17SST01BG</t>
  </si>
  <si>
    <t>SDY17SST01BG</t>
  </si>
  <si>
    <t>Slit Cuffs T_Beige</t>
  </si>
  <si>
    <t>SDY-17SS-T01BG</t>
  </si>
  <si>
    <t>Slit Cuffs T_Beige[Beige/Free]</t>
  </si>
  <si>
    <t>S-DY17SST01WH</t>
  </si>
  <si>
    <t>SDY17SST01WH</t>
  </si>
  <si>
    <t>Slit Cuffs T_White</t>
  </si>
  <si>
    <t>SDY-17SS-T01WH</t>
  </si>
  <si>
    <t>Slit Cuffs T_White[White/Free]</t>
  </si>
  <si>
    <t>3-177112107675120</t>
  </si>
  <si>
    <t>17 RAGLAN DOUBLE CT [BROWN]</t>
  </si>
  <si>
    <t>S74CT09BRF</t>
  </si>
  <si>
    <t>BROWN/ONE SIZE</t>
  </si>
  <si>
    <t>17 RAGLAN DOUBLE CT [BROWN][BROWN/ONE SIZE]</t>
  </si>
  <si>
    <t>3-176252107345208</t>
  </si>
  <si>
    <t>RTR CHECK OPS</t>
  </si>
  <si>
    <t>S72OPS01GR</t>
  </si>
  <si>
    <t>GREEN/ONE SIZE</t>
  </si>
  <si>
    <t>RTR CHECK OPS[GREEN/ONE SIZE]</t>
  </si>
  <si>
    <t>3-176252107301208</t>
  </si>
  <si>
    <t>S72OPS01PK</t>
  </si>
  <si>
    <t>PINK/ONE SIZE</t>
  </si>
  <si>
    <t>RTR CHECK OPS[PINK/ONE SIZE]</t>
  </si>
  <si>
    <t>3-176242113899208</t>
  </si>
  <si>
    <t>17 CLING BUSTIER</t>
  </si>
  <si>
    <t>S72BL18BK</t>
  </si>
  <si>
    <t>BLACK/ONE SIZE</t>
  </si>
  <si>
    <t>17 CLING BUSTIER[BLACK/ONE SIZE]</t>
  </si>
  <si>
    <t>3-176242113801208</t>
  </si>
  <si>
    <t>S72BL18PK</t>
  </si>
  <si>
    <t>17 CLING BUSTIER[PINK/ONE SIZE]</t>
  </si>
  <si>
    <t>3-176242113099208</t>
  </si>
  <si>
    <t>BACK SLIT OFF BL</t>
  </si>
  <si>
    <t>S72BL08BK</t>
  </si>
  <si>
    <t>BACK SLIT OFF BL[BLACK/ONE SIZE]</t>
  </si>
  <si>
    <t>3-176242113025208</t>
  </si>
  <si>
    <t>S72BL08BL</t>
  </si>
  <si>
    <t>BLUE/ONE SIZE</t>
  </si>
  <si>
    <t>BACK SLIT OFF BL[BLUE/ONE SIZE]</t>
  </si>
  <si>
    <t>3-176242113074208</t>
  </si>
  <si>
    <t>S72BL08BG</t>
  </si>
  <si>
    <t>BEIGE/ONE SIZE</t>
  </si>
  <si>
    <t>BACK SLIT OFF BL[BEIGE/ONE SIZE]</t>
  </si>
  <si>
    <t>3-176242114930208</t>
  </si>
  <si>
    <t>17 NOTX BL</t>
  </si>
  <si>
    <t>S72BL06NV</t>
  </si>
  <si>
    <t>NAVY/ONE SIZE</t>
  </si>
  <si>
    <t>17 NOTX BL[NAVY/ONE SIZE]</t>
  </si>
  <si>
    <t>3-176242114925208</t>
  </si>
  <si>
    <t>S72BL06BL</t>
  </si>
  <si>
    <t>17 NOTX BL[BLUE/ONE SIZE]</t>
  </si>
  <si>
    <t>3-176222145230208</t>
  </si>
  <si>
    <t>PUPPIES SAILOR TS</t>
  </si>
  <si>
    <t>S72TS50NV</t>
  </si>
  <si>
    <t>PUPPIES SAILOR TS[NAVY/ONE SIZE]</t>
  </si>
  <si>
    <t>3-176222145269208</t>
  </si>
  <si>
    <t>S72TS50IV</t>
  </si>
  <si>
    <t>IVORY/ONE SIZE</t>
  </si>
  <si>
    <t>PUPPIES SAILOR TS[IVORY/ONE SIZE]</t>
  </si>
  <si>
    <t>3-176222144901208</t>
  </si>
  <si>
    <t>17 NECK FRILL TS</t>
  </si>
  <si>
    <t>S72TS48PK</t>
  </si>
  <si>
    <t>17 NECK FRILL TS[PINK/ONE SIZE]</t>
  </si>
  <si>
    <t>3-176222149425208</t>
  </si>
  <si>
    <t>17 BACK GNF TS</t>
  </si>
  <si>
    <t>S72TS44BL</t>
  </si>
  <si>
    <t>17 BACK GNF TS[BLUE/ONE SIZE]</t>
  </si>
  <si>
    <t>3-176222149401208</t>
  </si>
  <si>
    <t>S72TS44PK</t>
  </si>
  <si>
    <t>17 BACK GNF TS[PINK/ONE SIZE]</t>
  </si>
  <si>
    <t>3-176222152799208</t>
  </si>
  <si>
    <t>3 PERSON RIBBON TS</t>
  </si>
  <si>
    <t>S72TS34BK</t>
  </si>
  <si>
    <t>3 PERSON RIBBON TS[BLACK/ONE SIZE]</t>
  </si>
  <si>
    <t>3-176222152701208</t>
  </si>
  <si>
    <t>S72TS34PK</t>
  </si>
  <si>
    <t>3 PERSON RIBBON TS[PINK/ONE SIZE]</t>
  </si>
  <si>
    <t>3-176222151530208</t>
  </si>
  <si>
    <t>17 OK TS</t>
  </si>
  <si>
    <t>S72TS27NV</t>
  </si>
  <si>
    <t>17 OK TS[NAVY/ONE SIZE]</t>
  </si>
  <si>
    <t>3-176222151501208</t>
  </si>
  <si>
    <t>S72TS27PK</t>
  </si>
  <si>
    <t>17 OK TS[PINK/ONE SIZE]</t>
  </si>
  <si>
    <t>3-176222151569208</t>
  </si>
  <si>
    <t>S72TS27IV</t>
  </si>
  <si>
    <t>17 OK TS[IVORY/ONE SIZE]</t>
  </si>
  <si>
    <t>3-176222152399208</t>
  </si>
  <si>
    <t>17 OFF SLEEVE TS</t>
  </si>
  <si>
    <t>S72TS18BK</t>
  </si>
  <si>
    <t>17 OFF SLEEVE TS[BLACK/ONE SIZE]</t>
  </si>
  <si>
    <t>3-176222152362208</t>
  </si>
  <si>
    <t>S72TS18OR</t>
  </si>
  <si>
    <t>ORANGE/ONE SIZE</t>
  </si>
  <si>
    <t>17 OFF SLEEVE TS[ORANGE/ONE SIZE]</t>
  </si>
  <si>
    <t>3-176222152369208</t>
  </si>
  <si>
    <t>S72TS18IV</t>
  </si>
  <si>
    <t>17 OFF SLEEVE TS[IVORY/ONE SIZE]</t>
  </si>
  <si>
    <t>3-176222146230208</t>
  </si>
  <si>
    <t>17 ST BOATNECK TS 01</t>
  </si>
  <si>
    <t>S72TS12NV</t>
  </si>
  <si>
    <t>17 ST BOATNECK TS 01[NAVY/ONE SIZE]</t>
  </si>
  <si>
    <t>3-176222146262208</t>
  </si>
  <si>
    <t>S72TS12OR</t>
  </si>
  <si>
    <t>17 ST BOATNECK TS 01[ORANGE/ONE SIZE]</t>
  </si>
  <si>
    <t>3-176222121799208</t>
  </si>
  <si>
    <t>NT BASIC TS</t>
  </si>
  <si>
    <t>S72TS06BK</t>
  </si>
  <si>
    <t>NT BASIC TS[BLACK/ONE SIZE]</t>
  </si>
  <si>
    <t>3-176222121725208</t>
  </si>
  <si>
    <t>S72TS06BL</t>
  </si>
  <si>
    <t>NT BASIC TS[BLUE/ONE SIZE]</t>
  </si>
  <si>
    <t>3-176222121762208</t>
  </si>
  <si>
    <t>S72TS06OR</t>
  </si>
  <si>
    <t>NT BASIC TS[ORANGE/ONE SIZE]</t>
  </si>
  <si>
    <t>3-176222121769208</t>
  </si>
  <si>
    <t>S72TS06IV</t>
  </si>
  <si>
    <t>NT BASIC TS[IVORY/ONE SIZE]</t>
  </si>
  <si>
    <t>3-176222142961208</t>
  </si>
  <si>
    <t>17 S/T POCKET TS</t>
  </si>
  <si>
    <t>S72TS01RD</t>
  </si>
  <si>
    <t>RED/ONE SIZE</t>
  </si>
  <si>
    <t>17 S/T POCKET TS[RED/ONE SIZE]</t>
  </si>
  <si>
    <t>3-176222142945208</t>
  </si>
  <si>
    <t>S72TS01GR</t>
  </si>
  <si>
    <t>17 S/T POCKET TS[GREEN/ONE SIZE]</t>
  </si>
  <si>
    <t>3-176222101930208</t>
  </si>
  <si>
    <t>PERSON MtoM</t>
  </si>
  <si>
    <t>S71TS04NV</t>
  </si>
  <si>
    <t>PERSON MtoM[NAVY/ONE SIZE]</t>
  </si>
  <si>
    <t>3-176222101969208</t>
  </si>
  <si>
    <t>S71TS04IV</t>
  </si>
  <si>
    <t>PERSON MtoM[IVORY/ONE SIZE]</t>
  </si>
  <si>
    <t>3-176222101630208</t>
  </si>
  <si>
    <t>17 HALF GLOSS</t>
  </si>
  <si>
    <t>S71TS01NV</t>
  </si>
  <si>
    <t>17 HALF GLOSS[NAVY/ONE SIZE]</t>
  </si>
  <si>
    <t>3-176222101606208</t>
  </si>
  <si>
    <t>S71TS01WN</t>
  </si>
  <si>
    <t>WINE/ONE SIZE</t>
  </si>
  <si>
    <t>17 HALF GLOSS[WINE/ONE SIZE]</t>
  </si>
  <si>
    <t>3-186514201030120</t>
  </si>
  <si>
    <t>18 WAIST BAG [NAVY]</t>
  </si>
  <si>
    <t>S81BG06NVF</t>
  </si>
  <si>
    <t>18 WAIST BAG [NAVY][NAVY/FREE]</t>
  </si>
  <si>
    <t>3-186514201199120</t>
  </si>
  <si>
    <t>18 BOWLS BACKPACK [BLACK]</t>
  </si>
  <si>
    <t>S81BG05BKF</t>
  </si>
  <si>
    <t>18 BOWLS BACKPACK [BLACK][BLACK/FREE]</t>
  </si>
  <si>
    <t>3-186514201185120</t>
  </si>
  <si>
    <t>18 BOWLS BACKPACK [KHAKI]</t>
  </si>
  <si>
    <t>S81BG05KKF</t>
  </si>
  <si>
    <t>KHAKI/FREE</t>
  </si>
  <si>
    <t>18 BOWLS BACKPACK [KHAKI][KHAKI/FREE]</t>
  </si>
  <si>
    <t>3-186514200345120</t>
  </si>
  <si>
    <t>18 SB MINI BAG [GREEN]</t>
  </si>
  <si>
    <t>S81BG04GRF</t>
  </si>
  <si>
    <t>18 SB MINI BAG [GREEN][GREEN/FREE]</t>
  </si>
  <si>
    <t>3-186514200374120</t>
  </si>
  <si>
    <t>18 SB MINI BAG [BEIGE]</t>
  </si>
  <si>
    <t>S81BG04BEF</t>
  </si>
  <si>
    <t>18 SB MINI BAG [BEIGE][BEIGE/FREE]</t>
  </si>
  <si>
    <t>3-186514200369120</t>
  </si>
  <si>
    <t>18 SB MINI BAG [L/GREY]</t>
  </si>
  <si>
    <t>S81BG04LGYF</t>
  </si>
  <si>
    <t>L/GREY/FREE</t>
  </si>
  <si>
    <t>18 SB MINI BAG [L/GREY][L/GREY/FREE]</t>
  </si>
  <si>
    <t>3-186514200199120</t>
  </si>
  <si>
    <t>18 FRONT BAG [BLACK]</t>
  </si>
  <si>
    <t>S81BG03BKF</t>
  </si>
  <si>
    <t>18 FRONT BAG [BLACK][BLACK/FREE]</t>
  </si>
  <si>
    <t>3-186514200174120</t>
  </si>
  <si>
    <t>18 FRONT BAG [BEIGE]</t>
  </si>
  <si>
    <t>S81BG03BEF</t>
  </si>
  <si>
    <t>18 FRONT BAG [BEIGE][BEIGE/FREE]</t>
  </si>
  <si>
    <t>3-186514200225120</t>
  </si>
  <si>
    <t>18 MARKET BAG [BLUE]</t>
  </si>
  <si>
    <t>S81BG02BLF</t>
  </si>
  <si>
    <t>18 MARKET BAG [BLUE][BLUE/FREE]</t>
  </si>
  <si>
    <t>3-186514200265120</t>
  </si>
  <si>
    <t>18 MARKET BAG [YELLOW]</t>
  </si>
  <si>
    <t>S81BG02YEF</t>
  </si>
  <si>
    <t>18 MARKET BAG [YELLOW][YELLOW/FREE]</t>
  </si>
  <si>
    <t>3-186514200274120</t>
  </si>
  <si>
    <t>18 MARKET BAG [BEIGE]</t>
  </si>
  <si>
    <t>S81BG02BEF</t>
  </si>
  <si>
    <t>18 MARKET BAG [BEIGE][BEIGE/FREE]</t>
  </si>
  <si>
    <t>3-186512200969120</t>
  </si>
  <si>
    <t>18 GOLDEN BAG [IVORY]</t>
  </si>
  <si>
    <t>S81BG01BEF</t>
  </si>
  <si>
    <t>18 GOLDEN BAG [IVORY][IVORY/FREE]</t>
  </si>
  <si>
    <t>3-186544200199120</t>
  </si>
  <si>
    <t>18 BUCKLE BELT [BLACK]</t>
  </si>
  <si>
    <t>S81AC04BKF</t>
  </si>
  <si>
    <t>18 BUCKLE BELT [BLACK][BLACK/FREE]</t>
  </si>
  <si>
    <t>3-186544200130120</t>
  </si>
  <si>
    <t>18 BUCKLE BELT [NAVY]</t>
  </si>
  <si>
    <t>S81AC04NVF</t>
  </si>
  <si>
    <t>18 BUCKLE BELT [NAVY][NAVY/FREE]</t>
  </si>
  <si>
    <t>3-186544200161120</t>
  </si>
  <si>
    <t>18 BUCKLE BELT [RED]</t>
  </si>
  <si>
    <t>S81AC04RDF</t>
  </si>
  <si>
    <t>18 BUCKLE BELT [RED][RED/FREE]</t>
  </si>
  <si>
    <t>3-186544200101120</t>
  </si>
  <si>
    <t>18 BUCKLE BELT [PINK]</t>
  </si>
  <si>
    <t>S81AC04PKF</t>
  </si>
  <si>
    <t>18 BUCKLE BELT [PINK][PINK/FREE]</t>
  </si>
  <si>
    <t>3-186524203199120</t>
  </si>
  <si>
    <t>18 FOX CAP [BLACK]</t>
  </si>
  <si>
    <t>SB1AC02BKF</t>
  </si>
  <si>
    <t>18 FOX CAP [BLACK][BLACK/FREE]</t>
  </si>
  <si>
    <t>3-186524203174120</t>
  </si>
  <si>
    <t>18 FOX CAP [BEIGE]</t>
  </si>
  <si>
    <t>SB1AC02BEF</t>
  </si>
  <si>
    <t>18 FOX CAP [BEIGE][BEIGE/FREE]</t>
  </si>
  <si>
    <t>3-186524203191120</t>
  </si>
  <si>
    <t>18 FOX CAP [WHITE]</t>
  </si>
  <si>
    <t>SB1AC02WHF</t>
  </si>
  <si>
    <t>18 FOX CAP [WHITE][WHITE/FREE]</t>
  </si>
  <si>
    <t>3-186332101561320</t>
  </si>
  <si>
    <t>18 GOLDEN CHECK LONG SK [RED]</t>
  </si>
  <si>
    <t>S81SK02RDM</t>
  </si>
  <si>
    <t>18 GOLDEN CHECK LONG SK [RED][RED/M]</t>
  </si>
  <si>
    <t>3-186332101461320</t>
  </si>
  <si>
    <t>S81SK02RDS</t>
  </si>
  <si>
    <t>18 GOLDEN CHECK LONG SK [RED][RED/S]</t>
  </si>
  <si>
    <t>3-186332101565320</t>
  </si>
  <si>
    <t>18 GOLDEN CHECK LONG SK [YELLOW]</t>
  </si>
  <si>
    <t>S81SK02YEM</t>
  </si>
  <si>
    <t>YELLOW/M</t>
  </si>
  <si>
    <t>18 GOLDEN CHECK LONG SK [YELLOW][YELLOW/M]</t>
  </si>
  <si>
    <t>3-186332101465320</t>
  </si>
  <si>
    <t>S81SK02YES</t>
  </si>
  <si>
    <t>YELLOW/S</t>
  </si>
  <si>
    <t>18 GOLDEN CHECK LONG SK [YELLOW][YELLOW/S]</t>
  </si>
  <si>
    <t>3-186352100261320</t>
  </si>
  <si>
    <t>18 GOLDEN CHECK SK [RED]</t>
  </si>
  <si>
    <t>S81SK01RDM</t>
  </si>
  <si>
    <t>18 GOLDEN CHECK SK [RED][RED/M]</t>
  </si>
  <si>
    <t>3-186352100161320</t>
  </si>
  <si>
    <t>S81SK01RDS</t>
  </si>
  <si>
    <t>18 GOLDEN CHECK SK [RED][RED/S]</t>
  </si>
  <si>
    <t>3-186352100265320</t>
  </si>
  <si>
    <t>18 GOLDEN CHECK SK [YELLOW]</t>
  </si>
  <si>
    <t>S81SK01YEM</t>
  </si>
  <si>
    <t>18 GOLDEN CHECK SK [YELLOW][YELLOW/M]</t>
  </si>
  <si>
    <t>3-186352100165320</t>
  </si>
  <si>
    <t>S81SK01YES</t>
  </si>
  <si>
    <t>18 GOLDEN CHECK SK [YELLOW][YELLOW/S]</t>
  </si>
  <si>
    <t>3-186342100530320</t>
  </si>
  <si>
    <t>18 DIAMOND SHORTS [NAVY]</t>
  </si>
  <si>
    <t>S81PT07NVM</t>
  </si>
  <si>
    <t>18 DIAMOND SHORTS [NAVY][NAVY/M]</t>
  </si>
  <si>
    <t>3-186342100430320</t>
  </si>
  <si>
    <t>S81PT07NVS</t>
  </si>
  <si>
    <t>18 DIAMOND SHORTS [NAVY][NAVY/S]</t>
  </si>
  <si>
    <t>3-186342100569320</t>
  </si>
  <si>
    <t>18 DIAMOND SHORTS [IVORY]</t>
  </si>
  <si>
    <t>S81PT07IVM</t>
  </si>
  <si>
    <t>IVORY/M</t>
  </si>
  <si>
    <t>18 DIAMOND SHORTS [IVORY][IVORY/M]</t>
  </si>
  <si>
    <t>3-186342100469320</t>
  </si>
  <si>
    <t>S81PT07IVS</t>
  </si>
  <si>
    <t>IVORY/S</t>
  </si>
  <si>
    <t>18 DIAMOND SHORTS [IVORY][IVORY/S]</t>
  </si>
  <si>
    <t>3-186342100700320</t>
  </si>
  <si>
    <t>18 GOLDEN DENIM SHORTS [DENIM]</t>
  </si>
  <si>
    <t>S81PT06DNM</t>
  </si>
  <si>
    <t>DENIM/M</t>
  </si>
  <si>
    <t>18 GOLDEN DENIM SHORTS [DENIM][DENIM/M]</t>
  </si>
  <si>
    <t>3-186342100600320</t>
  </si>
  <si>
    <t>S81PT06DNS</t>
  </si>
  <si>
    <t>DENIM/S</t>
  </si>
  <si>
    <t>18 GOLDEN DENIM SHORTS [DENIM][DENIM/S]</t>
  </si>
  <si>
    <t>3-186312101199320</t>
  </si>
  <si>
    <t>18 SS BASIC PT [BLACK]</t>
  </si>
  <si>
    <t>S81PT05BKM</t>
  </si>
  <si>
    <t>18 SS BASIC PT [BLACK][BLACK/M]</t>
  </si>
  <si>
    <t>3-186312101099320</t>
  </si>
  <si>
    <t>S81PT05BKS</t>
  </si>
  <si>
    <t>18 SS BASIC PT [BLACK][BLACK/S]</t>
  </si>
  <si>
    <t>3-186312101101320</t>
  </si>
  <si>
    <t>18 SS BASIC PT [PINK]</t>
  </si>
  <si>
    <t>S81PT05PKM</t>
  </si>
  <si>
    <t>PINK/M</t>
  </si>
  <si>
    <t>18 SS BASIC PT [PINK][PINK/M]</t>
  </si>
  <si>
    <t>3-186312101001320</t>
  </si>
  <si>
    <t>S81PT05PKS</t>
  </si>
  <si>
    <t>PINK/S</t>
  </si>
  <si>
    <t>18 SS BASIC PT [PINK][PINK/S]</t>
  </si>
  <si>
    <t>3-186342100299320</t>
  </si>
  <si>
    <t>18 RETRO SHORTS [BLACK]</t>
  </si>
  <si>
    <t>S81PT03BKF</t>
  </si>
  <si>
    <t>18 RETRO SHORTS [BLACK][BLACK/FREE]</t>
  </si>
  <si>
    <t>3-186342100206320</t>
  </si>
  <si>
    <t>18 RETRO SHORTS [WINE]</t>
  </si>
  <si>
    <t>S81PT03WNF</t>
  </si>
  <si>
    <t>WINE/FREE</t>
  </si>
  <si>
    <t>18 RETRO SHORTS [WINE][WINE/FREE]</t>
  </si>
  <si>
    <t>3-186342100225320</t>
  </si>
  <si>
    <t>18 RETRO SHORTS [BLUE]</t>
  </si>
  <si>
    <t>S81PT03IBLF</t>
  </si>
  <si>
    <t>18 RETRO SHORTS [BLUE][BLUE/FREE]</t>
  </si>
  <si>
    <t>3-186342100269320</t>
  </si>
  <si>
    <t>18 RETRO SHORTS [IVORY]</t>
  </si>
  <si>
    <t>S81PT03IVF</t>
  </si>
  <si>
    <t>18 RETRO SHORTS [IVORY][IVORY/FREE]</t>
  </si>
  <si>
    <t>3-186312102700320</t>
  </si>
  <si>
    <t>18 GOLDEN DENIM WIDE [DENIM]</t>
  </si>
  <si>
    <t>S81PT01DNM</t>
  </si>
  <si>
    <t>18 GOLDEN DENIM WIDE [DENIM][DENIM/M]</t>
  </si>
  <si>
    <t>3-186312102600320</t>
  </si>
  <si>
    <t>S81PT01DNS</t>
  </si>
  <si>
    <t>18 GOLDEN DENIM WIDE [DENIM][DENIM/S]</t>
  </si>
  <si>
    <t>3-186252102030208</t>
  </si>
  <si>
    <t>18 DIAMOND RIBBON OPS [NAVY]</t>
  </si>
  <si>
    <t>S81OPS07NVF</t>
  </si>
  <si>
    <t>18 DIAMOND RIBBON OPS [NAVY][NAVY/FREE]</t>
  </si>
  <si>
    <t>3-186252102069208</t>
  </si>
  <si>
    <t>18 DIAMOND RIBBON OPS [IVORY]</t>
  </si>
  <si>
    <t>S81OPS07IVF</t>
  </si>
  <si>
    <t>18 DIAMOND RIBBON OPS [IVORY][IVORY/FREE]</t>
  </si>
  <si>
    <t>3-186252103299208</t>
  </si>
  <si>
    <t>18 GOLDEN ST OPS [BLACK]</t>
  </si>
  <si>
    <t>S81OPS06BKF</t>
  </si>
  <si>
    <t>18 GOLDEN ST OPS [BLACK][BLACK/FREE]</t>
  </si>
  <si>
    <t>3-186252103225208</t>
  </si>
  <si>
    <t>18 GOLDEN ST OPS [BLUE]</t>
  </si>
  <si>
    <t>S81OPS06BLF</t>
  </si>
  <si>
    <t>18 GOLDEN ST OPS [BLUE][BLUE/FREE]</t>
  </si>
  <si>
    <t>3-186252103261208</t>
  </si>
  <si>
    <t>18 GOLDEN ST OPS [RED]</t>
  </si>
  <si>
    <t>S81OPS06RDF</t>
  </si>
  <si>
    <t>18 GOLDEN ST OPS [RED][RED/FREE]</t>
  </si>
  <si>
    <t>3-186252103330208</t>
  </si>
  <si>
    <t>18 GOLDEN WAVE OPS [NAVY]</t>
  </si>
  <si>
    <t>S81OPS04NVF</t>
  </si>
  <si>
    <t>18 GOLDEN WAVE OPS [NAVY][NAVY/FREE]</t>
  </si>
  <si>
    <t>3-186252103374208</t>
  </si>
  <si>
    <t>18 GOLDEN WAVE OPS [BEIGE]</t>
  </si>
  <si>
    <t>S81OPS04BEF</t>
  </si>
  <si>
    <t>18 GOLDEN WAVE OPS [BEIGE][BEIGE/FREE]</t>
  </si>
  <si>
    <t>3-186212102130208</t>
  </si>
  <si>
    <t>18 CK CROP SH [NAVY]</t>
  </si>
  <si>
    <t>S81BL08NVF</t>
  </si>
  <si>
    <t>18 CK CROP SH [NAVY][NAVY/FREE]</t>
  </si>
  <si>
    <t>3-186212102165208</t>
  </si>
  <si>
    <t>18 CK CROP SH [YELLOW]</t>
  </si>
  <si>
    <t>S81BL08YEF</t>
  </si>
  <si>
    <t>18 CK CROP SH [YELLOW][YELLOW/FREE]</t>
  </si>
  <si>
    <t>3-186242100230208</t>
  </si>
  <si>
    <t>18 DIAMOND BL [NAVY]</t>
  </si>
  <si>
    <t>S81BL04NVF</t>
  </si>
  <si>
    <t>18 DIAMOND BL [NAVY][NAVY/FREE]</t>
  </si>
  <si>
    <t>3-186242100269208</t>
  </si>
  <si>
    <t>18 DIAMOND BL [IVORY]</t>
  </si>
  <si>
    <t>S81BL04IVF</t>
  </si>
  <si>
    <t>18 DIAMOND BL [IVORY][IVORY/FREE]</t>
  </si>
  <si>
    <t>3-186242100361208</t>
  </si>
  <si>
    <t>18 GOLDEN CHECK BL [RED]</t>
  </si>
  <si>
    <t>S81BL02RDF</t>
  </si>
  <si>
    <t>18 GOLDEN CHECK BL [RED][RED/FREE]</t>
  </si>
  <si>
    <t>3-186242100365208</t>
  </si>
  <si>
    <t>18 GOLDEN CHECK BL [YELLOW]</t>
  </si>
  <si>
    <t>S81BL02YEF</t>
  </si>
  <si>
    <t>18 GOLDEN CHECK BL [YELLOW][YELLOW/FREE]</t>
  </si>
  <si>
    <t>3-186242100145208</t>
  </si>
  <si>
    <t>18 FRILL BL [GREEN]</t>
  </si>
  <si>
    <t>S81BL01GRF</t>
  </si>
  <si>
    <t>18 FRILL BL [GREEN][GREEN/FREE]</t>
  </si>
  <si>
    <t>3-186242100174208</t>
  </si>
  <si>
    <t>18 FRILL BL [BEIGE]</t>
  </si>
  <si>
    <t>S81BL01BEF</t>
  </si>
  <si>
    <t>18 FRILL BL [BEIGE][BEIGE/FREE]</t>
  </si>
  <si>
    <t>3-186242100169208</t>
  </si>
  <si>
    <t>18 FRILL BL [IVORY]</t>
  </si>
  <si>
    <t>S81BL01IVF</t>
  </si>
  <si>
    <t>18 FRILL BL [IVORY][IVORY/FREE]</t>
  </si>
  <si>
    <t>3-186222107899208</t>
  </si>
  <si>
    <t>18 SLOGAN TS [BLACK]</t>
  </si>
  <si>
    <t>S81TS24BKF</t>
  </si>
  <si>
    <t>18 SLOGAN TS [BLACK][BLACK/FREE]</t>
  </si>
  <si>
    <t>3-186222107869208</t>
  </si>
  <si>
    <t>18 SLOGAN TS [IVORY]</t>
  </si>
  <si>
    <t>S81TS24IVF</t>
  </si>
  <si>
    <t>18 SLOGAN TS [IVORY][IVORY/FREE]</t>
  </si>
  <si>
    <t>3-186222105430208</t>
  </si>
  <si>
    <t>18 GOLDEN SILHOUETTE TS [NAVY]</t>
  </si>
  <si>
    <t>S81TS21NVF</t>
  </si>
  <si>
    <t>18 GOLDEN SILHOUETTE TS [NAVY][NAVY/FREE]</t>
  </si>
  <si>
    <t>3-186222105469208</t>
  </si>
  <si>
    <t>18 GOLDEN SILHOUETTE TS [IVORY]</t>
  </si>
  <si>
    <t>S81TS21IVF</t>
  </si>
  <si>
    <t>18 GOLDEN SILHOUETTE TS [IVORY][IVORY/FREE]</t>
  </si>
  <si>
    <t>3-186222110830208</t>
  </si>
  <si>
    <t>18 V-DIAMOND TS [NAVY]</t>
  </si>
  <si>
    <t>S81TS16NVF</t>
  </si>
  <si>
    <t>18 V-DIAMOND TS [NAVY][NAVY/FREE]</t>
  </si>
  <si>
    <t>3-186222110865208</t>
  </si>
  <si>
    <t>18 V-DIAMOND TS [YELLOW]</t>
  </si>
  <si>
    <t>S81TS16YEF</t>
  </si>
  <si>
    <t>18 V-DIAMOND TS [YELLOW][YELLOW/FREE]</t>
  </si>
  <si>
    <t>3-186222105230208</t>
  </si>
  <si>
    <t>18 FRONT WAG TS [NAVY]</t>
  </si>
  <si>
    <t>S81TS12NVF</t>
  </si>
  <si>
    <t>18 FRONT WAG TS [NAVY][NAVY/FREE]</t>
  </si>
  <si>
    <t>3-186222105201208</t>
  </si>
  <si>
    <t>18 FRONT WAG TS [D/PINK]</t>
  </si>
  <si>
    <t>S81TS12PKF</t>
  </si>
  <si>
    <t>D/PINK/FREE</t>
  </si>
  <si>
    <t>18 FRONT WAG TS [D/PINK][D/PINK/FREE]</t>
  </si>
  <si>
    <t>3-186222105269208</t>
  </si>
  <si>
    <t>18 FRONT WAG TS [IVORY]</t>
  </si>
  <si>
    <t>S81TS12IVF</t>
  </si>
  <si>
    <t>18 FRONT WAG TS [IVORY][IVORY/FREE]</t>
  </si>
  <si>
    <t>3-186222109630208</t>
  </si>
  <si>
    <t>18 GOLDEN PLEAT TS [NAVY]</t>
  </si>
  <si>
    <t>S81TS11NVF</t>
  </si>
  <si>
    <t>18 GOLDEN PLEAT TS [NAVY][NAVY/FREE]</t>
  </si>
  <si>
    <t>3-186222109601208</t>
  </si>
  <si>
    <t>18 GOLDEN PLEAT TS[PINK]</t>
  </si>
  <si>
    <t>S81TS11PKF</t>
  </si>
  <si>
    <t>18 GOLDEN PLEAT TS[PINK][PINK/FREE]</t>
  </si>
  <si>
    <t>3-186232100745120</t>
  </si>
  <si>
    <t>18 V-FRILL HOODY [GREEN]</t>
  </si>
  <si>
    <t>S81TS10GRF</t>
  </si>
  <si>
    <t>18 V-FRILL HOODY [GREEN][GREEN/FREE]</t>
  </si>
  <si>
    <t>3-186232100765120</t>
  </si>
  <si>
    <t>18 V-FRILL HOODY [YELLOW]</t>
  </si>
  <si>
    <t>S81TS10YEF</t>
  </si>
  <si>
    <t>18 V-FRILL HOODY [YELLOW][YELLOW/FREE]</t>
  </si>
  <si>
    <t>3-186222102399208</t>
  </si>
  <si>
    <t>18 GOLDEN CROP MTM [BLACK]</t>
  </si>
  <si>
    <t>S81TS09BKF</t>
  </si>
  <si>
    <t>18 GOLDEN CROP MTM [BLACK][BLACK/FREE]</t>
  </si>
  <si>
    <t>3-186222102361208</t>
  </si>
  <si>
    <t>18 GOLDEN CROP MTM [RED]</t>
  </si>
  <si>
    <t>S81TS09RDF</t>
  </si>
  <si>
    <t>18 GOLDEN CROP MTM [RED][RED/FREE]</t>
  </si>
  <si>
    <t>3-186222102374208</t>
  </si>
  <si>
    <t>18 GOLDEN CROP MTM [BEIGE]</t>
  </si>
  <si>
    <t>S81TS09BEF</t>
  </si>
  <si>
    <t>18 GOLDEN CROP MTM [BEIGE][BEIGE/FREE]</t>
  </si>
  <si>
    <t>3-186222103199208</t>
  </si>
  <si>
    <t>18 GOLDEN MTM [BLACK]</t>
  </si>
  <si>
    <t>S81TS08BKF</t>
  </si>
  <si>
    <t>18 GOLDEN MTM [BLACK][BLACK/FREE]</t>
  </si>
  <si>
    <t>3-186222103165208</t>
  </si>
  <si>
    <t>18 GOLDEN MTM [YELLOW]</t>
  </si>
  <si>
    <t>S81TS08YEF</t>
  </si>
  <si>
    <t>18 GOLDEN MTM [YELLOW][YELLOW/FREE]</t>
  </si>
  <si>
    <t>3-186222105399208</t>
  </si>
  <si>
    <t>18 GOLDEN FRILL TS [BLACK]</t>
  </si>
  <si>
    <t>S81TS06BKF</t>
  </si>
  <si>
    <t>18 GOLDEN FRILL TS [BLACK][BLACK/FREE]</t>
  </si>
  <si>
    <t>3-186222105374208</t>
  </si>
  <si>
    <t>18 GOLDEN FRILL TS [BEIGE]</t>
  </si>
  <si>
    <t>S81TS06BEF</t>
  </si>
  <si>
    <t>18 GOLDEN FRILL TS [BEIGE][BEIGE/FREE]</t>
  </si>
  <si>
    <t>3-186222105369208</t>
  </si>
  <si>
    <t>18 GOLDEN FRILL TS [IVORY]</t>
  </si>
  <si>
    <t>S81TS06IVF</t>
  </si>
  <si>
    <t>18 GOLDEN FRILL TS [IVORY][IVORY/FREE]</t>
  </si>
  <si>
    <t>3-186222102230208</t>
  </si>
  <si>
    <t>18 WAG TS [NAVY]</t>
  </si>
  <si>
    <t>S81TS05NVF</t>
  </si>
  <si>
    <t>18 WAG TS [NAVY][NAVY/FREE]</t>
  </si>
  <si>
    <t>3-186222102274208</t>
  </si>
  <si>
    <t>18 WAG TS [BEIGE]</t>
  </si>
  <si>
    <t>S81TS05BEF</t>
  </si>
  <si>
    <t>18 WAG TS [BEIGE][BEIGE/FREE]</t>
  </si>
  <si>
    <t>3-186222102291208</t>
  </si>
  <si>
    <t>18 WAG TS [WHITE]</t>
  </si>
  <si>
    <t>S81TS05WHF</t>
  </si>
  <si>
    <t>18 WAG TS [WHITE][WHITE/FREE]</t>
  </si>
  <si>
    <t>3-186222105599208</t>
  </si>
  <si>
    <t>18 GOLDEN WAVE CROP TS [BLACK]</t>
  </si>
  <si>
    <t>S81TS03BKF</t>
  </si>
  <si>
    <t>18 GOLDEN WAVE CROP TS [BLACK][BLACK/FREE]</t>
  </si>
  <si>
    <t>3-186222105574208</t>
  </si>
  <si>
    <t>18 GOLDEN WAVE CROP TS [BEIGE]</t>
  </si>
  <si>
    <t>S81TS03BEF</t>
  </si>
  <si>
    <t>18 GOLDEN WAVE CROP TS [BEIGE][BEIGE/FREE]</t>
  </si>
  <si>
    <t>3-186222105569208</t>
  </si>
  <si>
    <t>18 GOLDEN WAVE CROP TS [IVORY]</t>
  </si>
  <si>
    <t>S81TS03IVF</t>
  </si>
  <si>
    <t>18 GOLDEN WAVE CROP TS [IVORY][IVORY/FREE]</t>
  </si>
  <si>
    <t>3-186132100561120</t>
  </si>
  <si>
    <t>18 GOLDEN CHECK JK [RED]</t>
  </si>
  <si>
    <t>S81JK05RDF</t>
  </si>
  <si>
    <t>18 GOLDEN CHECK JK [RED][RED/FREE]</t>
  </si>
  <si>
    <t>3-186132100565120</t>
  </si>
  <si>
    <t>18 GOLDEN CHECK JK [YELLOW]</t>
  </si>
  <si>
    <t>S81JK05YEF</t>
  </si>
  <si>
    <t>18 GOLDEN CHECK JK [YELLOW][YELLOW/FREE]</t>
  </si>
  <si>
    <t>3-186132100799120</t>
  </si>
  <si>
    <t>18 SS BASIC JK [BLACK]</t>
  </si>
  <si>
    <t>S81JK03BKF</t>
  </si>
  <si>
    <t>18 SS BASIC JK [BLACK][BLACK/FREE]</t>
  </si>
  <si>
    <t>3-186132100701120</t>
  </si>
  <si>
    <t>18 SS BASIC JK [PINK]</t>
  </si>
  <si>
    <t>S81JK03PKF</t>
  </si>
  <si>
    <t>18 SS BASIC JK [PINK][PINK/FREE]</t>
  </si>
  <si>
    <t>3-186112100130120</t>
  </si>
  <si>
    <t>18 GIANT GOLDEN CT [NAVY]</t>
  </si>
  <si>
    <t>S81CT01NVF</t>
  </si>
  <si>
    <t>18 GIANT GOLDEN CT [NAVY][NAVY/FREE]</t>
  </si>
  <si>
    <t>3-186112100191120</t>
  </si>
  <si>
    <t>18 GIANT GOLDEN CT [WHITE]</t>
  </si>
  <si>
    <t>S81CT01WHF</t>
  </si>
  <si>
    <t>18 GIANT GOLDEN CT [WHITE][WHITE/FREE]</t>
  </si>
  <si>
    <t>3-177232114325208</t>
  </si>
  <si>
    <t>17 STRING CROP TS [BLUE]</t>
  </si>
  <si>
    <t>S74TS17BLF</t>
  </si>
  <si>
    <t>BL/F</t>
  </si>
  <si>
    <t>17 STRING CROP TS [BLUE][BL/F]</t>
  </si>
  <si>
    <t>3-177252115330208</t>
  </si>
  <si>
    <t>17 CK FRILL OPS [NAVY]</t>
  </si>
  <si>
    <t>S74OPS09NVF</t>
  </si>
  <si>
    <t>NV/F</t>
  </si>
  <si>
    <t>17 CK FRILL OPS [NAVY][NV/F]</t>
  </si>
  <si>
    <t>3-177122103330120</t>
  </si>
  <si>
    <t>17 TWO POCKET DOWN [NAVY]</t>
  </si>
  <si>
    <t>S73DW01NVF</t>
  </si>
  <si>
    <t>17 TWO POCKET DOWN [NAVY][NV/F]</t>
  </si>
  <si>
    <t>S-74JK06IV</t>
  </si>
  <si>
    <t>S74JK06IV</t>
  </si>
  <si>
    <t>17 FUR JK [IVORY]</t>
  </si>
  <si>
    <t xml:space="preserve"> [IVORY]</t>
  </si>
  <si>
    <t>17 FUR JK [IVORY][ [IVORY]]</t>
  </si>
  <si>
    <t>3-177132108301120</t>
  </si>
  <si>
    <t>17 RAGLAN ZIP UP [PINK]</t>
  </si>
  <si>
    <t>S74JK03PKF</t>
  </si>
  <si>
    <t>PK/F</t>
  </si>
  <si>
    <t>17 RAGLAN ZIP UP [PINK][PK/F]</t>
  </si>
  <si>
    <t>3-177122103395120</t>
  </si>
  <si>
    <t>17 TWO POCKET DOWN [GREY]</t>
  </si>
  <si>
    <t>S73DW01GYF</t>
  </si>
  <si>
    <t>GY/F</t>
  </si>
  <si>
    <t>17 TWO POCKET DOWN [GREY][GY/F]</t>
  </si>
  <si>
    <t>3-177132108401120</t>
  </si>
  <si>
    <t>17 FUR JK (PINK)</t>
  </si>
  <si>
    <t>S74JK06PK</t>
  </si>
  <si>
    <t>17 FUR JK (PINK)[PINK/ONE SIZE]</t>
  </si>
  <si>
    <t>3-177222128274208</t>
  </si>
  <si>
    <t>17 HOME CDR TURTLENECK [BEIGE]</t>
  </si>
  <si>
    <t>S74TS13BEF</t>
  </si>
  <si>
    <t>17 HOME CDR TURTLENECK [BEIGE][BEIGE/FREE]</t>
  </si>
  <si>
    <t>3-177122103499120</t>
  </si>
  <si>
    <t>17 SOFT DOWN [BLACK]</t>
  </si>
  <si>
    <t>S73DW02BKF</t>
  </si>
  <si>
    <t>17 SOFT DOWN [BLACK][BLACK/ONE SIZE]</t>
  </si>
  <si>
    <t>3-177352100830320</t>
  </si>
  <si>
    <t>17 FLUFFY SK</t>
  </si>
  <si>
    <t>S74SK04NV</t>
  </si>
  <si>
    <t>17 FLUFFY SK[NAVY/ONE SIZE]</t>
  </si>
  <si>
    <t>3-177352100861320</t>
  </si>
  <si>
    <t>S74SK04RD</t>
  </si>
  <si>
    <t>17 FLUFFY SK[RED/ONE SIZE]</t>
  </si>
  <si>
    <t>3-177332108730320</t>
  </si>
  <si>
    <t>17 M DRAWING SK</t>
  </si>
  <si>
    <t>S74SK01NV</t>
  </si>
  <si>
    <t>17 M DRAWING SK[NAVY/ONE SIZE]</t>
  </si>
  <si>
    <t>3-177332108775320</t>
  </si>
  <si>
    <t>S74SK01BR</t>
  </si>
  <si>
    <t>17 M DRAWING SK[BROWN/ONE SIZE]</t>
  </si>
  <si>
    <t>3-177332108765320</t>
  </si>
  <si>
    <t>S74SK01YE</t>
  </si>
  <si>
    <t>YELLOW/ONE SIZE</t>
  </si>
  <si>
    <t>17 M DRAWING SK[YELLOW/ONE SIZE]</t>
  </si>
  <si>
    <t>3-177312111499320</t>
  </si>
  <si>
    <t>17 BACK SLIT PT</t>
  </si>
  <si>
    <t>S74PT03BK</t>
  </si>
  <si>
    <t>17 BACK SLIT PT[BLACK/ONE SIZE]</t>
  </si>
  <si>
    <t>3-177312111445308</t>
  </si>
  <si>
    <t>S74PT03GR</t>
  </si>
  <si>
    <t>17 BACK SLIT PT[GREEN/ONE SIZE]</t>
  </si>
  <si>
    <t>3-177312112630320</t>
  </si>
  <si>
    <t>17 LINE POCKET PT</t>
  </si>
  <si>
    <t>S74PT02NV</t>
  </si>
  <si>
    <t>17 LINE POCKET PT[NAVY/ONE SIZE]</t>
  </si>
  <si>
    <t>3-177312103330320</t>
  </si>
  <si>
    <t>17 M DRAWING PT</t>
  </si>
  <si>
    <t>S74PT01NV</t>
  </si>
  <si>
    <t>17 M DRAWING PT[NAVY/ONE SIZE]</t>
  </si>
  <si>
    <t>3-177312103375320</t>
  </si>
  <si>
    <t>S74PT01BR</t>
  </si>
  <si>
    <t>17 M DRAWING PT[BROWN/ONE SIZE]</t>
  </si>
  <si>
    <t>3-177312103365320</t>
  </si>
  <si>
    <t>S74PT01YE</t>
  </si>
  <si>
    <t>17 M DRAWING PT[YELLOW/ONE SIZE]</t>
  </si>
  <si>
    <t>3-177252115365208</t>
  </si>
  <si>
    <t>17 CK FRILL OPS</t>
  </si>
  <si>
    <t>S74OPS09YE</t>
  </si>
  <si>
    <t>17 CK FRILL OPS[YELLOW/ONE SIZE]</t>
  </si>
  <si>
    <t>3-177252115430208</t>
  </si>
  <si>
    <t>17 V-VELOUR OPS</t>
  </si>
  <si>
    <t>S74OPS07NV</t>
  </si>
  <si>
    <t>17 V-VELOUR OPS[NAVY/ONE SIZE]</t>
  </si>
  <si>
    <t>3-177252115461208</t>
  </si>
  <si>
    <t>S74OPS07RD</t>
  </si>
  <si>
    <t>17 V-VELOUR OPS[RED/ONE SIZE]</t>
  </si>
  <si>
    <t>3-177232114399208</t>
  </si>
  <si>
    <t>17 STRING CROP TS</t>
  </si>
  <si>
    <t>S74TS17BK</t>
  </si>
  <si>
    <t>17 STRING CROP TS[BLACK/ONE SIZE]</t>
  </si>
  <si>
    <t>3-177222123030208</t>
  </si>
  <si>
    <t>17 NAGS TURTLENECK</t>
  </si>
  <si>
    <t>S74TS14NV</t>
  </si>
  <si>
    <t>17 NAGS TURTLENECK[NAVY/ONE SIZE]</t>
  </si>
  <si>
    <t>3-177222123062208</t>
  </si>
  <si>
    <t>S74TS14OR</t>
  </si>
  <si>
    <t>17 NAGS TURTLENECK[ORANGE/ONE SIZE]</t>
  </si>
  <si>
    <t>3-177222123069208</t>
  </si>
  <si>
    <t>S74TS14IV</t>
  </si>
  <si>
    <t>17 NAGS TURTLENECK[IVORY/ONE SIZE]</t>
  </si>
  <si>
    <t>3-177222128262208</t>
  </si>
  <si>
    <t>17 HOME CDR TURTLENECK</t>
  </si>
  <si>
    <t>S74TS13OR</t>
  </si>
  <si>
    <t>17 HOME CDR TURTLENECK[ORANGE/ONE SIZE]</t>
  </si>
  <si>
    <t>3-177222127799208</t>
  </si>
  <si>
    <t>17 SB TS</t>
  </si>
  <si>
    <t>S74TS11BK</t>
  </si>
  <si>
    <t>17 SB TS[BLACK/ONE SIZE]</t>
  </si>
  <si>
    <t>3-177222127725208</t>
  </si>
  <si>
    <t>S74TS11BL</t>
  </si>
  <si>
    <t>17 SB TS[BLUE/ONE SIZE]</t>
  </si>
  <si>
    <t>3-177222127701208</t>
  </si>
  <si>
    <t>S74TS11PK</t>
  </si>
  <si>
    <t>17 SB TS[PINK/ONE SIZE]</t>
  </si>
  <si>
    <t>3-177222129430220</t>
  </si>
  <si>
    <t>17 DOUBLE M MTM</t>
  </si>
  <si>
    <t>S74TS06NV</t>
  </si>
  <si>
    <t>17 DOUBLE M MTM[NAVY/ONE SIZE]</t>
  </si>
  <si>
    <t>3-177222112330208</t>
  </si>
  <si>
    <t>17 M DRAWING TS</t>
  </si>
  <si>
    <t>S74TS02NV</t>
  </si>
  <si>
    <t>17 M DRAWING TS[NAVY/ONE SIZE]</t>
  </si>
  <si>
    <t>3-177222112375208</t>
  </si>
  <si>
    <t>S74TS02BR</t>
  </si>
  <si>
    <t>17 M DRAWING TS[BROWN/ONE SIZE]</t>
  </si>
  <si>
    <t>3-177222112365208</t>
  </si>
  <si>
    <t>S74TS02YE</t>
  </si>
  <si>
    <t>17 M DRAWING TS[YELLOW/ONE SIZE]</t>
  </si>
  <si>
    <t>3-177222112430208</t>
  </si>
  <si>
    <t>17 M DRAWING MtoM</t>
  </si>
  <si>
    <t>S74TS01NV</t>
  </si>
  <si>
    <t>17 M DRAWING MtoM[NAVY/ONE SIZE]</t>
  </si>
  <si>
    <t>3-177222112475220</t>
  </si>
  <si>
    <t>S74TS01BR</t>
  </si>
  <si>
    <t>17 M DRAWING MtoM[BROWN/ONE SIZE]</t>
  </si>
  <si>
    <t>3-177222112465220</t>
  </si>
  <si>
    <t>S74TS01YE</t>
  </si>
  <si>
    <t>17 M DRAWING MtoM[YELLOW/ONE SIZE]</t>
  </si>
  <si>
    <t>3-177112105399120</t>
  </si>
  <si>
    <t>17 SIGNATURE BLOCK CT</t>
  </si>
  <si>
    <t>S74CT11BK</t>
  </si>
  <si>
    <t>17 SIGNATURE BLOCK CT[BLACK/ONE SIZE]</t>
  </si>
  <si>
    <t>3-177112105375120</t>
  </si>
  <si>
    <t>S74CT11BR</t>
  </si>
  <si>
    <t>17 SIGNATURE BLOCK CT[BROWN/ONE SIZE]</t>
  </si>
  <si>
    <t>3-177112105395120</t>
  </si>
  <si>
    <t>S74CT11GY</t>
  </si>
  <si>
    <t>GREY/ONE SIZE</t>
  </si>
  <si>
    <t>17 SIGNATURE BLOCK CT[GREY/ONE SIZE]</t>
  </si>
  <si>
    <t>3-177112105285120</t>
  </si>
  <si>
    <t>17 W STANDARD CT</t>
  </si>
  <si>
    <t>S74CT10KH</t>
  </si>
  <si>
    <t>KHAKI/ONE SIZE</t>
  </si>
  <si>
    <t>17 W STANDARD CT[KHAKI/ONE SIZE]</t>
  </si>
  <si>
    <t>3-177112105275120</t>
  </si>
  <si>
    <t>S74CT10BR</t>
  </si>
  <si>
    <t>17 W STANDARD CT[BROWN/ONE SIZE]</t>
  </si>
  <si>
    <t>3-177112107699120</t>
  </si>
  <si>
    <t>17 RAGLAN DOUBLE CT</t>
  </si>
  <si>
    <t>S74CT09BK</t>
  </si>
  <si>
    <t>17 RAGLAN DOUBLE CT[BLACK/ONE SIZE]</t>
  </si>
  <si>
    <t>3-177112105430120</t>
  </si>
  <si>
    <t>17 SHORT DUFFLE CT</t>
  </si>
  <si>
    <t>S74CT08NV</t>
  </si>
  <si>
    <t>17 SHORT DUFFLE CT[NAVY/ONE SIZE]</t>
  </si>
  <si>
    <t>3-177112105495120</t>
  </si>
  <si>
    <t>S74CT08GY</t>
  </si>
  <si>
    <t>17 SHORT DUFFLE CT[GREY/ONE SIZE]</t>
  </si>
  <si>
    <t>3-177112107599120</t>
  </si>
  <si>
    <t>17 SHAWL CT</t>
  </si>
  <si>
    <t>S74CT04NV</t>
  </si>
  <si>
    <t>17 SHAWL CT[NAVY/ONE SIZE]</t>
  </si>
  <si>
    <t>3-177112107785120</t>
  </si>
  <si>
    <t>17 W GIANT CT</t>
  </si>
  <si>
    <t>S74CT02KH</t>
  </si>
  <si>
    <t>17 W GIANT CT[KHAKI/ONE SIZE]</t>
  </si>
  <si>
    <t>3-177132108430120</t>
  </si>
  <si>
    <t>17 FUR JK</t>
  </si>
  <si>
    <t>S74JK06NV</t>
  </si>
  <si>
    <t>17 FUR JK[NAVY/ONE SIZE]</t>
  </si>
  <si>
    <t>3-177132107830120</t>
  </si>
  <si>
    <t>17 FLUFFY JK</t>
  </si>
  <si>
    <t>S74JK02NV</t>
  </si>
  <si>
    <t>17 FLUFFY JK[NAVY/ONE SIZE]</t>
  </si>
  <si>
    <t>3-177132107861120</t>
  </si>
  <si>
    <t>S74JK02RD</t>
  </si>
  <si>
    <t>17 FLUFFY JK[RED/ONE SIZE]</t>
  </si>
  <si>
    <t>3-177132107999120</t>
  </si>
  <si>
    <t>17 M-PATCH JK</t>
  </si>
  <si>
    <t>S74JK01BK</t>
  </si>
  <si>
    <t>17 M-PATCH JK[BLACK/ONE SIZE]</t>
  </si>
  <si>
    <t>3-177132107975120</t>
  </si>
  <si>
    <t>S74JK01BR</t>
  </si>
  <si>
    <t>BRICK/ONE SIZE</t>
  </si>
  <si>
    <t>17 M-PATCH JK[BRICK/ONE SIZE]</t>
  </si>
  <si>
    <t>3-177514203399120</t>
  </si>
  <si>
    <t>17 BIG BAG</t>
  </si>
  <si>
    <t>S73BG03BK</t>
  </si>
  <si>
    <t>17 BIG BAG[BLACK/ONE SIZE]</t>
  </si>
  <si>
    <t>3-177514203374120</t>
  </si>
  <si>
    <t>S73BG03BG</t>
  </si>
  <si>
    <t>17 BIG BAG[BEIGE/ONE SIZE]</t>
  </si>
  <si>
    <t>3-177332103430320</t>
  </si>
  <si>
    <t>17 DENIM MERMAID SK</t>
  </si>
  <si>
    <t>S73SK10NV</t>
  </si>
  <si>
    <t>17 DENIM MERMAID SK[NAVY/ONE SIZE]</t>
  </si>
  <si>
    <t>3-177332103425320</t>
  </si>
  <si>
    <t>S73SK10BL</t>
  </si>
  <si>
    <t>17 DENIM MERMAID SK[BLUE/ONE SIZE]</t>
  </si>
  <si>
    <t>3-177332104599320</t>
  </si>
  <si>
    <t>17 TRENCH SK</t>
  </si>
  <si>
    <t>S73SK01BK</t>
  </si>
  <si>
    <t>17 TRENCH SK[BLACK/ONE SIZE]</t>
  </si>
  <si>
    <t>3-177332104574320</t>
  </si>
  <si>
    <t>S73SK01BG</t>
  </si>
  <si>
    <t>17 TRENCH SK[BEIGE/ONE SIZE]</t>
  </si>
  <si>
    <t>3-177252104130120</t>
  </si>
  <si>
    <t>17 RETRO SPS</t>
  </si>
  <si>
    <t>S73OPS46NV</t>
  </si>
  <si>
    <t>17 RETRO SPS[NAVY/ONE SIZE]</t>
  </si>
  <si>
    <t>3-177252104165120</t>
  </si>
  <si>
    <t>S73OPS46YL</t>
  </si>
  <si>
    <t>17 RETRO SPS[YELLOW/ONE SIZE]</t>
  </si>
  <si>
    <t>3-177252103930320</t>
  </si>
  <si>
    <t>17 SD BUSTIE OPS</t>
  </si>
  <si>
    <t>S73OPS44NV</t>
  </si>
  <si>
    <t>17 SD BUSTIE OPS[NAVY/ONE SIZE]</t>
  </si>
  <si>
    <t>3-177252103925320</t>
  </si>
  <si>
    <t>S73OPS44BL</t>
  </si>
  <si>
    <t>17 SD BUSTIE OPS[BLUE/ONE SIZE]</t>
  </si>
  <si>
    <t>3-177252104399208</t>
  </si>
  <si>
    <t>17 LINE OPS</t>
  </si>
  <si>
    <t>S73OPS39BK</t>
  </si>
  <si>
    <t>17 LINE OPS[BLACK/ONE SIZE]</t>
  </si>
  <si>
    <t>3-177252104306208</t>
  </si>
  <si>
    <t>S73OPS39WN</t>
  </si>
  <si>
    <t>17 LINE OPS[WINE/ONE SIZE]</t>
  </si>
  <si>
    <t>3-177252104030120</t>
  </si>
  <si>
    <t>17 SD OPS</t>
  </si>
  <si>
    <t>S73OPS38NV</t>
  </si>
  <si>
    <t>17 SD OPS[NAVY/ONE SIZE]</t>
  </si>
  <si>
    <t>3-177252104025120</t>
  </si>
  <si>
    <t>S73OPS38BL</t>
  </si>
  <si>
    <t>17 SD OPS[BLUE/ONE SIZE]</t>
  </si>
  <si>
    <t>3-177252103099208</t>
  </si>
  <si>
    <t>17 C-LINE HOODY</t>
  </si>
  <si>
    <t>S73OPS18BK</t>
  </si>
  <si>
    <t>17 C-LINE HOODY[BLACK/ONE SIZE]</t>
  </si>
  <si>
    <t>3-177252103025208</t>
  </si>
  <si>
    <t>S73OPS18BL</t>
  </si>
  <si>
    <t>17 C-LINE HOODY[BLUE/ONE SIZE]</t>
  </si>
  <si>
    <t>3-177252103001208</t>
  </si>
  <si>
    <t>S73OPS18PK</t>
  </si>
  <si>
    <t>17 C-LINE HOODY[PINK/ONE SIZE]</t>
  </si>
  <si>
    <t>3-177252104230208</t>
  </si>
  <si>
    <t>17 C-LINE OPS</t>
  </si>
  <si>
    <t>S73OPS08NV</t>
  </si>
  <si>
    <t>17 C-LINE OPS[NAVY/ONE SIZE]</t>
  </si>
  <si>
    <t>3-177252104274208</t>
  </si>
  <si>
    <t>S73OPS08BG</t>
  </si>
  <si>
    <t>17 C-LINE OPS[BEIGE/ONE SIZE]</t>
  </si>
  <si>
    <t>3-177222108230208</t>
  </si>
  <si>
    <t>17 M KNIT</t>
  </si>
  <si>
    <t>S74TS03NV</t>
  </si>
  <si>
    <t>17 M KNIT[NAVY/ONE SIZE]</t>
  </si>
  <si>
    <t>3-177222108206208</t>
  </si>
  <si>
    <t>S74TS03WN</t>
  </si>
  <si>
    <t>17 M KNIT[WINE/ONE SIZE]</t>
  </si>
  <si>
    <t>3-177222108245208</t>
  </si>
  <si>
    <t>S74TS03GN</t>
  </si>
  <si>
    <t>17 M KNIT[GREEN/ONE SIZE]</t>
  </si>
  <si>
    <t>3-177222102299208</t>
  </si>
  <si>
    <t>17 BELL SLEEVE TS</t>
  </si>
  <si>
    <t>S73TS58BK</t>
  </si>
  <si>
    <t>17 BELL SLEEVE TS[BLACK/ONE SIZE]</t>
  </si>
  <si>
    <t>3-177222102225208</t>
  </si>
  <si>
    <t>S73TS58BL</t>
  </si>
  <si>
    <t>17 BELL SLEEVE TS[BLUE/ONE SIZE]</t>
  </si>
  <si>
    <t>3-177222102274208</t>
  </si>
  <si>
    <t>S73TS58BG</t>
  </si>
  <si>
    <t>17 BELL SLEEVE TS[BEIGE/ONE SIZE]</t>
  </si>
  <si>
    <t>3-177222104430208</t>
  </si>
  <si>
    <t>S73TS51NV</t>
  </si>
  <si>
    <t>17 S/T CROP TS[NAVY/ONE SIZE]</t>
  </si>
  <si>
    <t>3-177222104425208</t>
  </si>
  <si>
    <t>17 S/T CROP TS[BLUE/ONE SIZE]</t>
  </si>
  <si>
    <t>3-177222104461208</t>
  </si>
  <si>
    <t>S73TS51RD</t>
  </si>
  <si>
    <t>17 S/T CROP TS[RED/ONE SIZE]</t>
  </si>
  <si>
    <t>3-177222104599208</t>
  </si>
  <si>
    <t>17 F-MOM MTM</t>
  </si>
  <si>
    <t>S73TS49BK</t>
  </si>
  <si>
    <t>17 F-MOM MTM[BLACK/ONE SIZE]</t>
  </si>
  <si>
    <t>3-177222104525208</t>
  </si>
  <si>
    <t>S73TS49BL</t>
  </si>
  <si>
    <t>17 F-MOM MTM[BLUE/ONE SIZE]</t>
  </si>
  <si>
    <t>3-177222104562208</t>
  </si>
  <si>
    <t>S73TS49OR</t>
  </si>
  <si>
    <t>17 F-MOM MTM[ORANGE/ONE SIZE]</t>
  </si>
  <si>
    <t>3-177222104830208</t>
  </si>
  <si>
    <t>17 3SECTION TS</t>
  </si>
  <si>
    <t>S73TS42NV</t>
  </si>
  <si>
    <t>17 3SECTION TS[NAVY/ONE SIZE]</t>
  </si>
  <si>
    <t>3-177222104869208</t>
  </si>
  <si>
    <t>S73TS42IV</t>
  </si>
  <si>
    <t>17 3SECTION TS[IVORY/ONE SIZE]</t>
  </si>
  <si>
    <t>3-177222102130208</t>
  </si>
  <si>
    <t>17 LINE M MTM</t>
  </si>
  <si>
    <t>S73TS39NV</t>
  </si>
  <si>
    <t>17 LINE M MTM[NAVY/ONE SIZE]</t>
  </si>
  <si>
    <t>3-177222102169208</t>
  </si>
  <si>
    <t>S73TS39IV</t>
  </si>
  <si>
    <t>17 LINE M MTM[IVORY/ONE SIZE]</t>
  </si>
  <si>
    <t>3-177222104930208</t>
  </si>
  <si>
    <t>17 BIAS CROP TS</t>
  </si>
  <si>
    <t>S73TS34NV</t>
  </si>
  <si>
    <t>17 BIAS CROP TS[NAVY/ONE SIZE]</t>
  </si>
  <si>
    <t>3-177222104901208</t>
  </si>
  <si>
    <t>S73TS34PK</t>
  </si>
  <si>
    <t>17 BIAS CROP TS[PINK/ONE SIZE]</t>
  </si>
  <si>
    <t>3-177222104699208</t>
  </si>
  <si>
    <t>17 POCKET MTM</t>
  </si>
  <si>
    <t>S73TS20BK</t>
  </si>
  <si>
    <t>17 POCKET MTM[BLACK/ONE SIZE]</t>
  </si>
  <si>
    <t>3-177222104641208</t>
  </si>
  <si>
    <t>S73TS20YG</t>
  </si>
  <si>
    <t>YELLOW GREEN/ONE SIZE</t>
  </si>
  <si>
    <t>17 POCKET MTM[YELLOW GREEN/ONE SIZE]</t>
  </si>
  <si>
    <t>3-177222104399208</t>
  </si>
  <si>
    <t>17 BASIC S/T TS</t>
  </si>
  <si>
    <t>S73TS16BK</t>
  </si>
  <si>
    <t>17 BASIC S/T TS[BLACK/ONE SIZE]</t>
  </si>
  <si>
    <t>3-177222104361208</t>
  </si>
  <si>
    <t>S73TS16RD</t>
  </si>
  <si>
    <t>17 BASIC S/T TS[RED/ONE SIZE]</t>
  </si>
  <si>
    <t>3-177222104345208</t>
  </si>
  <si>
    <t>S73TS16GN</t>
  </si>
  <si>
    <t>17 BASIC S/T TS[GREEN/ONE SIZE]</t>
  </si>
  <si>
    <t>3-177222104725208</t>
  </si>
  <si>
    <t>17 COLOR MTM</t>
  </si>
  <si>
    <t>S73TS07BL</t>
  </si>
  <si>
    <t>17 COLOR MTM[BLUE/ONE SIZE]</t>
  </si>
  <si>
    <t>3-177222104761208</t>
  </si>
  <si>
    <t>S73TS07RD</t>
  </si>
  <si>
    <t>17 COLOR MTM[RED/ONE SIZE]</t>
  </si>
  <si>
    <t>3-177112101275120</t>
  </si>
  <si>
    <t>17 WING TRENCH</t>
  </si>
  <si>
    <t>S73JK22BR</t>
  </si>
  <si>
    <t>17 WING TRENCH[BROWN/ONE SIZE]</t>
  </si>
  <si>
    <t>3-177132103599120</t>
  </si>
  <si>
    <t>17 JC FRILL JK</t>
  </si>
  <si>
    <t>S73JK04BK</t>
  </si>
  <si>
    <t>17 JC FRILL JK[BLACK/ONE SIZE]</t>
  </si>
  <si>
    <t>3-177132103501120</t>
  </si>
  <si>
    <t>S73JK04PK</t>
  </si>
  <si>
    <t>17 JC FRILL JK[PINK/ONE SIZE]</t>
  </si>
  <si>
    <t>3-177524202699120</t>
  </si>
  <si>
    <t>17 B CAP</t>
  </si>
  <si>
    <t>S73AC11BKF</t>
  </si>
  <si>
    <t>17 B CAP[BLACK/FREE]</t>
  </si>
  <si>
    <t>3-177524202695120</t>
  </si>
  <si>
    <t>S73AC11GYF</t>
  </si>
  <si>
    <t>17 B CAP[GREY/FREE]</t>
  </si>
  <si>
    <t>3-177524202691120</t>
  </si>
  <si>
    <t>S73AC11WHF</t>
  </si>
  <si>
    <t>17 B CAP[WHITE/FREE]</t>
  </si>
  <si>
    <t>3-177554200499120</t>
  </si>
  <si>
    <t>17 DUAL MUFFLER</t>
  </si>
  <si>
    <t>S73AC10BKF</t>
  </si>
  <si>
    <t>17 DUAL MUFFLER[BLACK/FREE]</t>
  </si>
  <si>
    <t>3-177554200465120</t>
  </si>
  <si>
    <t>S73AC10YEF</t>
  </si>
  <si>
    <t>17 DUAL MUFFLER[YELLOW/FREE]</t>
  </si>
  <si>
    <t>3-177554200474120</t>
  </si>
  <si>
    <t>S73AC10BEF</t>
  </si>
  <si>
    <t>17 DUAL MUFFLER[BEIGE/FREE]</t>
  </si>
  <si>
    <t>3-177554200599120</t>
  </si>
  <si>
    <t>17 CDR MUFFLER</t>
  </si>
  <si>
    <t>S73AC09BKF</t>
  </si>
  <si>
    <t>17 CDR MUFFLER[BLACK/FREE]</t>
  </si>
  <si>
    <t>3-177554200561120</t>
  </si>
  <si>
    <t>S73AC09RDF</t>
  </si>
  <si>
    <t>17 CDR MUFFLER[RED/FREE]</t>
  </si>
  <si>
    <t>3-177554200574120</t>
  </si>
  <si>
    <t>S73AC09BEF</t>
  </si>
  <si>
    <t>17 CDR MUFFLER[BEIGE/FREE]</t>
  </si>
  <si>
    <t>3-177544200199120</t>
  </si>
  <si>
    <t>17 TAPPING BELT</t>
  </si>
  <si>
    <t>S73AC08BKF</t>
  </si>
  <si>
    <t>17 TAPPING BELT[BLACK/FREE]</t>
  </si>
  <si>
    <t>3-177544200145120</t>
  </si>
  <si>
    <t>S73AC08GRF</t>
  </si>
  <si>
    <t>17 TAPPING BELT[GREEN/FREE]</t>
  </si>
  <si>
    <t>3-177524202599120</t>
  </si>
  <si>
    <t>17 BOWLS CAP</t>
  </si>
  <si>
    <t>S73AC06BLF</t>
  </si>
  <si>
    <t>17 BOWLS CAP[BLACK/FREE]</t>
  </si>
  <si>
    <t>3-177524202574120</t>
  </si>
  <si>
    <t>S73AC06BEF</t>
  </si>
  <si>
    <t>17 BOWLS CAP[BEIGE/FREE]</t>
  </si>
  <si>
    <t>3-177524202591120</t>
  </si>
  <si>
    <t>S73AC06WHF</t>
  </si>
  <si>
    <t>17 BOWLS CAP[WHITE/FREE]</t>
  </si>
  <si>
    <t>3-177544200299120</t>
  </si>
  <si>
    <t>17 SB BELT</t>
  </si>
  <si>
    <t>S73AC01BKF</t>
  </si>
  <si>
    <t>17 SB BELT[BLACK/FREE]</t>
  </si>
  <si>
    <t>3-177544200225120</t>
  </si>
  <si>
    <t>S73AC01BLF</t>
  </si>
  <si>
    <t>17 SB BELT[BLUE/FREE]</t>
  </si>
  <si>
    <t>3-177332102461320</t>
  </si>
  <si>
    <t>17 VC SK</t>
  </si>
  <si>
    <t>S73SK11RDF</t>
  </si>
  <si>
    <t>17 VC SK[RED/FREE]</t>
  </si>
  <si>
    <t>3-177332102445320</t>
  </si>
  <si>
    <t>S73SK11GRF</t>
  </si>
  <si>
    <t>17 VC SK[GREEN/FREE]</t>
  </si>
  <si>
    <t>3-177332101430320</t>
  </si>
  <si>
    <t>17 SOFT H SK</t>
  </si>
  <si>
    <t>S73SK07NVF</t>
  </si>
  <si>
    <t>17 SOFT H SK[NAVY/FREE]</t>
  </si>
  <si>
    <t>3-177332101475320</t>
  </si>
  <si>
    <t>S73SK07BRF</t>
  </si>
  <si>
    <t>17 SOFT H SK[BROWN/FREE]</t>
  </si>
  <si>
    <t>3-177332102975320</t>
  </si>
  <si>
    <t>17 VARIOUS CK SK</t>
  </si>
  <si>
    <t>S73SK06BRF</t>
  </si>
  <si>
    <t>17 VARIOUS CK SK[BROWN/FREE]</t>
  </si>
  <si>
    <t>3-177332102995320</t>
  </si>
  <si>
    <t>S73SK06GYF</t>
  </si>
  <si>
    <t>17 VARIOUS CK SK[GREY/FREE]</t>
  </si>
  <si>
    <t>3-177332100899320</t>
  </si>
  <si>
    <t>17 MESH FRILL SKIRT</t>
  </si>
  <si>
    <t>S73SK02BKF</t>
  </si>
  <si>
    <t>17 MESH FRILL SKIRT[BLACK/FREE]</t>
  </si>
  <si>
    <t>3-177332100874320</t>
  </si>
  <si>
    <t>S73SK02BEF</t>
  </si>
  <si>
    <t>17 MESH FRILL SKIRT[BEIGE/FREE]</t>
  </si>
  <si>
    <t>3-177312101230320</t>
  </si>
  <si>
    <t>17 CN WIDE PT</t>
  </si>
  <si>
    <t>S73PT12NVM</t>
  </si>
  <si>
    <t>17 CN WIDE PT[NAVY/M]</t>
  </si>
  <si>
    <t>3-177312101130320</t>
  </si>
  <si>
    <t>S73PT12NVS</t>
  </si>
  <si>
    <t>17 CN WIDE PT[NAVY/S]</t>
  </si>
  <si>
    <t>3-177312101274320</t>
  </si>
  <si>
    <t>S73PT12BEM</t>
  </si>
  <si>
    <t>17 CN WIDE PT[BEIGE/M]</t>
  </si>
  <si>
    <t>3-177312101174320</t>
  </si>
  <si>
    <t>S73PT12BES</t>
  </si>
  <si>
    <t>17 CN WIDE PT[BEIGE/S]</t>
  </si>
  <si>
    <t>3-177312100785320</t>
  </si>
  <si>
    <t>17 LOVE CDR PT</t>
  </si>
  <si>
    <t>S73PT10KKF</t>
  </si>
  <si>
    <t>17 LOVE CDR PT[KHAKI/FREE]</t>
  </si>
  <si>
    <t>3-177312100775320</t>
  </si>
  <si>
    <t>S73PT10BRF</t>
  </si>
  <si>
    <t>17 LOVE CDR PT[BROWN/FREE]</t>
  </si>
  <si>
    <t>3-177312100699320</t>
  </si>
  <si>
    <t>17 SOFT WIDE PT</t>
  </si>
  <si>
    <t>S73PT06BKF</t>
  </si>
  <si>
    <t>17 SOFT WIDE PT[BLACK/FREE]</t>
  </si>
  <si>
    <t>3-177312100674320</t>
  </si>
  <si>
    <t>S73PT06BEF</t>
  </si>
  <si>
    <t>17 SOFT WIDE PT[BEIGE/FREE]</t>
  </si>
  <si>
    <t>3-177252102899208</t>
  </si>
  <si>
    <t>17 SHIRRING OPS</t>
  </si>
  <si>
    <t>S73OPS36BKF</t>
  </si>
  <si>
    <t>17 SHIRRING OPS[BLACK/FREE]</t>
  </si>
  <si>
    <t>3-177252102869208</t>
  </si>
  <si>
    <t>S73OPS36IVF</t>
  </si>
  <si>
    <t>17 SHIRRING OPS[IVORY/FREE]</t>
  </si>
  <si>
    <t>3-177252102530208</t>
  </si>
  <si>
    <t>17 V - FRILL OPS</t>
  </si>
  <si>
    <t>S73OPS35NVF</t>
  </si>
  <si>
    <t>17 V - FRILL OPS[NAVY/FREE]</t>
  </si>
  <si>
    <t>3-177252102501208</t>
  </si>
  <si>
    <t>S73OPS35PKF</t>
  </si>
  <si>
    <t>17 V - FRILL OPS[PINK/FREE]</t>
  </si>
  <si>
    <t>3-177252102574208</t>
  </si>
  <si>
    <t>S73OPS35BEF</t>
  </si>
  <si>
    <t>17 V - FRILL OPS[BEIGE/FREE]</t>
  </si>
  <si>
    <t>3-177252102775208</t>
  </si>
  <si>
    <t>17 POCKET S/T OPS</t>
  </si>
  <si>
    <t>S73OPS21BRF</t>
  </si>
  <si>
    <t>17 POCKET S/T OPS[BROWN/FREE]</t>
  </si>
  <si>
    <t>3-177252102730208</t>
  </si>
  <si>
    <t>S73OPS21NVF</t>
  </si>
  <si>
    <t>17 POCKET S/T OPS[NAVY/FREE]</t>
  </si>
  <si>
    <t>3-177252101025208</t>
  </si>
  <si>
    <t>17 PAPER RIBBON OPS</t>
  </si>
  <si>
    <t>S73OPS15BLF</t>
  </si>
  <si>
    <t>17 PAPER RIBBON OPS[BLUE/FREE]</t>
  </si>
  <si>
    <t>3-177252101091208</t>
  </si>
  <si>
    <t>S73OPS15WHF</t>
  </si>
  <si>
    <t>17 PAPER RIBBON OPS[WHITE/FREE]</t>
  </si>
  <si>
    <t>3-177252102699208</t>
  </si>
  <si>
    <t>17 MESH FRILL OPS</t>
  </si>
  <si>
    <t>S73OPS09BKF</t>
  </si>
  <si>
    <t>17 MESH FRILL OPS[BLACK/FREE]</t>
  </si>
  <si>
    <t>3-177252102674208</t>
  </si>
  <si>
    <t>S73OPS09BEF</t>
  </si>
  <si>
    <t>17 MESH FRILL OPS[BEIGE/FREE]</t>
  </si>
  <si>
    <t>3-177242100761208</t>
  </si>
  <si>
    <t>17 VC BL</t>
  </si>
  <si>
    <t>S73BL16RDF</t>
  </si>
  <si>
    <t>17 VC BL[RED/FREE]</t>
  </si>
  <si>
    <t>3-177242100745208</t>
  </si>
  <si>
    <t>S73BL16GRF</t>
  </si>
  <si>
    <t>17 VC BL[GREEN/FREE]</t>
  </si>
  <si>
    <t>3-177242100875208</t>
  </si>
  <si>
    <t>17 CK RIBBON BL</t>
  </si>
  <si>
    <t>S73BL11BRF</t>
  </si>
  <si>
    <t>17 CK RIBBON BL[BROWN/FREE]</t>
  </si>
  <si>
    <t>3-177242100825208</t>
  </si>
  <si>
    <t>S73BL11BLF</t>
  </si>
  <si>
    <t>17 CK RIBBON BL[BLUE/FREE]</t>
  </si>
  <si>
    <t>3-177242100425208</t>
  </si>
  <si>
    <t>17 PAPER FRILL BL</t>
  </si>
  <si>
    <t>S73BL04BLF</t>
  </si>
  <si>
    <t>17 PAPER FRILL BL[BLUE/FREE]</t>
  </si>
  <si>
    <t>3-177242100491208</t>
  </si>
  <si>
    <t>S73BL04WHF</t>
  </si>
  <si>
    <t>17 PAPER FRILL BL[WHITE/FREE]</t>
  </si>
  <si>
    <t>3-177242100299208</t>
  </si>
  <si>
    <t>17 MOM BLOUSE</t>
  </si>
  <si>
    <t>S73BL03BKF</t>
  </si>
  <si>
    <t>17 MOM BLOUSE[BLACK/FREE]</t>
  </si>
  <si>
    <t>3-177242100201208</t>
  </si>
  <si>
    <t>S73BL03PKF</t>
  </si>
  <si>
    <t>17 MOM BLOUSE[PINK/FREE]</t>
  </si>
  <si>
    <t>3-177212100199208</t>
  </si>
  <si>
    <t>17 BOYFRIEND RIBBON SHIRT</t>
  </si>
  <si>
    <t>S73BL01BKF</t>
  </si>
  <si>
    <t>17 BOYFRIEND RIBBON SHIRT[BLACK/FREE]</t>
  </si>
  <si>
    <t>3-177212100169208</t>
  </si>
  <si>
    <t>S73BL01IVF</t>
  </si>
  <si>
    <t>17 BOYFRIEND RIBBON SHIRT[IVORY/FREE]</t>
  </si>
  <si>
    <t>3-177242100599208</t>
  </si>
  <si>
    <t>17 COVER BUSTIER</t>
  </si>
  <si>
    <t>S73TS66BKF</t>
  </si>
  <si>
    <t>17 COVER BUSTIER[BLACK/FREE]</t>
  </si>
  <si>
    <t>3-177242100574208</t>
  </si>
  <si>
    <t>S73TS66BEF</t>
  </si>
  <si>
    <t>17 COVER BUSTIER[BEIGE/FREE]</t>
  </si>
  <si>
    <t>3-177222101869208</t>
  </si>
  <si>
    <t>17 F - CRACK TS</t>
  </si>
  <si>
    <t>S73TS36IVF</t>
  </si>
  <si>
    <t>17 F - CRACK TS[IVORY/FREE]</t>
  </si>
  <si>
    <t>3-177222100499208</t>
  </si>
  <si>
    <t>17 MOM TURTLENECK TS</t>
  </si>
  <si>
    <t>S73TS32BKF</t>
  </si>
  <si>
    <t>17 MOM TURTLENECK TS[BLACK/FREE]</t>
  </si>
  <si>
    <t>3-177222100474208</t>
  </si>
  <si>
    <t>S73TS32BEF</t>
  </si>
  <si>
    <t>17 MOM TURTLENECK TS[BEIGE/FREE]</t>
  </si>
  <si>
    <t>3-177222100469208</t>
  </si>
  <si>
    <t>S73TS32IVF</t>
  </si>
  <si>
    <t>17 MOM TURTLENECK TS[IVORY/FREE]</t>
  </si>
  <si>
    <t>3-177222101475208</t>
  </si>
  <si>
    <t>17 SIGNATURE ST TS</t>
  </si>
  <si>
    <t>S73TS21BRF</t>
  </si>
  <si>
    <t>17 SIGNATURE ST TS[BROWN/FREE]</t>
  </si>
  <si>
    <t>3-177222101430208</t>
  </si>
  <si>
    <t>S73TS21NVF</t>
  </si>
  <si>
    <t>17 SIGNATURE ST TS[NAVY/FREE]</t>
  </si>
  <si>
    <t>3-177242100130208</t>
  </si>
  <si>
    <t>17 SOFT VEST</t>
  </si>
  <si>
    <t>S73TS02NVF</t>
  </si>
  <si>
    <t>17 SOFT VEST[NAVY/FREE]</t>
  </si>
  <si>
    <t>3-177242100175200</t>
  </si>
  <si>
    <t>S73TS02BRF</t>
  </si>
  <si>
    <t>17 SOFT VEST[BROWN/FREE]</t>
  </si>
  <si>
    <t>3-177222100399208</t>
  </si>
  <si>
    <t>17 MESH TOP</t>
  </si>
  <si>
    <t>S73TS01BKM</t>
  </si>
  <si>
    <t>17 MESH TOP[BLACK/M]</t>
  </si>
  <si>
    <t>3-177222100299208</t>
  </si>
  <si>
    <t>S73TS01BKS</t>
  </si>
  <si>
    <t>17 MESH TOP[BLACK/S]</t>
  </si>
  <si>
    <t>3-177222100374208</t>
  </si>
  <si>
    <t>S73TS01BEM</t>
  </si>
  <si>
    <t>17 MESH TOP[BEIGE/M]</t>
  </si>
  <si>
    <t>3-177222100274208</t>
  </si>
  <si>
    <t>S73TS01BES</t>
  </si>
  <si>
    <t>17 MESH TOP[BEIGE/S]</t>
  </si>
  <si>
    <t>3-177112101030208</t>
  </si>
  <si>
    <t>17 JC TRENCH</t>
  </si>
  <si>
    <t>S73JK18NVF</t>
  </si>
  <si>
    <t>17 JC TRENCH[NAVY/FREE]</t>
  </si>
  <si>
    <t>3-177112101001208</t>
  </si>
  <si>
    <t>S73JK18PKF</t>
  </si>
  <si>
    <t>17 JC TRENCH[PINK/FREE]</t>
  </si>
  <si>
    <t>3-177112102401120</t>
  </si>
  <si>
    <t>17 JC RIBBON TRENCH</t>
  </si>
  <si>
    <t>S73JK16PKF</t>
  </si>
  <si>
    <t>17 JC RIBBON TRENCH[PINK/FREE]</t>
  </si>
  <si>
    <t>3-177132100299208</t>
  </si>
  <si>
    <t>17 SOFT CARDIGAN</t>
  </si>
  <si>
    <t>S73JK06BKF</t>
  </si>
  <si>
    <t>17 SOFT CARDIGAN[BLACK/FREE]</t>
  </si>
  <si>
    <t>3-177132100274208</t>
  </si>
  <si>
    <t>S73JK06BEF</t>
  </si>
  <si>
    <t>17 SOFT CARDIGAN[BEIGE/FREE]</t>
  </si>
  <si>
    <t>3-177112100930208</t>
  </si>
  <si>
    <t>17 CN TRENCH</t>
  </si>
  <si>
    <t>S73JK01NVF</t>
  </si>
  <si>
    <t>17 CN TRENCH[NAVY/FREE]</t>
  </si>
  <si>
    <t>3-177112100974208</t>
  </si>
  <si>
    <t>S73JK01BEF</t>
  </si>
  <si>
    <t>17 CN TRENCH[BEIGE/FREE]</t>
  </si>
  <si>
    <t>3-167222102798208</t>
  </si>
  <si>
    <t>BEER STRIPE TS</t>
  </si>
  <si>
    <t>SB16FWTS14CC</t>
  </si>
  <si>
    <t>BEER STRIPE TS[CHARCOAL/FREE]</t>
  </si>
  <si>
    <t>3-167222102795208</t>
  </si>
  <si>
    <t>SB16FWTS14GR</t>
  </si>
  <si>
    <t>BEER STRIPE TS[GREY/FREE]</t>
  </si>
  <si>
    <t>3-167212101299208</t>
  </si>
  <si>
    <t>RAINBOW DENIM SHIRT</t>
  </si>
  <si>
    <t>SB16FWSH03BK</t>
  </si>
  <si>
    <t>RAINBOW DENIM SHIRT[BLACK/FREE]</t>
  </si>
  <si>
    <t>3-167222102830208</t>
  </si>
  <si>
    <t>GOOD BASIC TS</t>
  </si>
  <si>
    <t>SB16FWTS13NV</t>
  </si>
  <si>
    <t>GOOD BASIC TS[NAVY/FREE]</t>
  </si>
  <si>
    <t>3-167212101425208</t>
  </si>
  <si>
    <t>CK SHIRT</t>
  </si>
  <si>
    <t>SB16FWSH02BL</t>
  </si>
  <si>
    <t>CK SHIRT[BLUE/FREE]</t>
  </si>
  <si>
    <t>3-167212101445208</t>
  </si>
  <si>
    <t>SB16FWSH02GR</t>
  </si>
  <si>
    <t>CK SHIRT[GREEN/FREE]</t>
  </si>
  <si>
    <t>3-167252102599208</t>
  </si>
  <si>
    <t>BTG OPS</t>
  </si>
  <si>
    <t>SB16FWOP04BK</t>
  </si>
  <si>
    <t>BTG OPS[BLACK/FREE]</t>
  </si>
  <si>
    <t>3-167252102595208</t>
  </si>
  <si>
    <t>SB16FWOP04GR</t>
  </si>
  <si>
    <t>BTG OPS[GREY/FREE]</t>
  </si>
  <si>
    <t>3-167252102569208</t>
  </si>
  <si>
    <t>SB16FWOP04IV</t>
  </si>
  <si>
    <t>BTG OPS[IVORY/FREE]</t>
  </si>
  <si>
    <t>3-16722103099208</t>
  </si>
  <si>
    <t>5 STRIPE TS</t>
  </si>
  <si>
    <t>SB16FWTS12BK</t>
  </si>
  <si>
    <t>5 STRIPE TS[BLACK/FREE]</t>
  </si>
  <si>
    <t>3-167222103065208</t>
  </si>
  <si>
    <t>SB16FWTS12YE</t>
  </si>
  <si>
    <t>5 STRIPE TS[YELLOW/FREE]</t>
  </si>
  <si>
    <t>3-167232101399208</t>
  </si>
  <si>
    <t>16 BASIC KNIT</t>
  </si>
  <si>
    <t>SB16FWKN02BK</t>
  </si>
  <si>
    <t>16 BASIC KNIT[BLACK/FREE]</t>
  </si>
  <si>
    <t>3-167232101369208</t>
  </si>
  <si>
    <t>SB16FWKN02IV</t>
  </si>
  <si>
    <t>16 BASIC KNIT[IVORY/FREE]</t>
  </si>
  <si>
    <t>3-167232101374208</t>
  </si>
  <si>
    <t>SB16FWKN02BE</t>
  </si>
  <si>
    <t>16 BASIC KNIT[BEIGE/FREE]</t>
  </si>
  <si>
    <t>3-167222103295208</t>
  </si>
  <si>
    <t>BETTER STRIPE TS</t>
  </si>
  <si>
    <t>SB16FWTS11GR</t>
  </si>
  <si>
    <t>BETTER STRIPE TS[GREY/FREE]</t>
  </si>
  <si>
    <t>3-167212101530208</t>
  </si>
  <si>
    <t>POINT ST SHIRT</t>
  </si>
  <si>
    <t>SB16FWSH01NV</t>
  </si>
  <si>
    <t>POINT ST SHIRT[NAVY/FREE]</t>
  </si>
  <si>
    <t>3-167212101595208</t>
  </si>
  <si>
    <t>SB16FWSH01GR</t>
  </si>
  <si>
    <t>POINT ST SHIRT[GREY/FREE]</t>
  </si>
  <si>
    <t>3-167132100799208</t>
  </si>
  <si>
    <t>W COMFY CUT JK</t>
  </si>
  <si>
    <t>SB16FWJK02BK</t>
  </si>
  <si>
    <t>W COMFY CUT JK[BLACK/FREE]</t>
  </si>
  <si>
    <t>3-167112101299208</t>
  </si>
  <si>
    <t>PLUS POCKET SAFARI</t>
  </si>
  <si>
    <t>SB16FWJK01BK</t>
  </si>
  <si>
    <t>PLUS POCKET SAFARI[BLACK/FREE]</t>
  </si>
  <si>
    <t>3-167222103399208</t>
  </si>
  <si>
    <t>GLOSS TOP</t>
  </si>
  <si>
    <t>SB16FWTS10BK</t>
  </si>
  <si>
    <t>GLOSS TOP[BLACK/FREE]</t>
  </si>
  <si>
    <t>3-167222103309208</t>
  </si>
  <si>
    <t>SB16FWTS10PP</t>
  </si>
  <si>
    <t>GLOSS TOP[PURPLE/FREE]</t>
  </si>
  <si>
    <t>3-167222103361208</t>
  </si>
  <si>
    <t>SB16FWTS10RD</t>
  </si>
  <si>
    <t>GLOSS TOP[RED/FREE]</t>
  </si>
  <si>
    <t>3-167222103599208</t>
  </si>
  <si>
    <t>16 CROP MtoM</t>
  </si>
  <si>
    <t>SB16FWMT03BK</t>
  </si>
  <si>
    <t>16 CROP MtoM[BLACK/FREE]</t>
  </si>
  <si>
    <t>3-167222103509208</t>
  </si>
  <si>
    <t>SB16FWMT03PP</t>
  </si>
  <si>
    <t>16 CROP MtoM[PURPLE/FREE]</t>
  </si>
  <si>
    <t>3-167222103699208</t>
  </si>
  <si>
    <t>7G VEST</t>
  </si>
  <si>
    <t>SB16FWVT01BK</t>
  </si>
  <si>
    <t>7G VEST[BLACK/FREE]</t>
  </si>
  <si>
    <t>3-167222103669208</t>
  </si>
  <si>
    <t>SB16FWVT01IV</t>
  </si>
  <si>
    <t>7G VEST[IVORY/FREE]</t>
  </si>
  <si>
    <t>3-167252102874208</t>
  </si>
  <si>
    <t>A LINE ZIPPER OPS</t>
  </si>
  <si>
    <t>SB16FWOP03BE</t>
  </si>
  <si>
    <t>A LINE ZIPPER OPS[BEIGE/FREE]</t>
  </si>
  <si>
    <t>3-167312100509320</t>
  </si>
  <si>
    <t>BTG SWEAT PT</t>
  </si>
  <si>
    <t>SB16FWPT03PP</t>
  </si>
  <si>
    <t>BTG SWEAT PT[PURPLE/FREE]</t>
  </si>
  <si>
    <t>3-167312100565320</t>
  </si>
  <si>
    <t>SB16FWPT03YE</t>
  </si>
  <si>
    <t>BTG SWEAT PT[YELLOW/FREE]</t>
  </si>
  <si>
    <t>3-167242102530208</t>
  </si>
  <si>
    <t>LETTERING BLOUSE</t>
  </si>
  <si>
    <t>SB16FWBL01NV</t>
  </si>
  <si>
    <t>LETTERING BLOUSE[NAVY/FREE]</t>
  </si>
  <si>
    <t>3-167242102574208</t>
  </si>
  <si>
    <t>SB16FWBL01BE</t>
  </si>
  <si>
    <t>LETTERING BLOUSE[BEIGE/FREE]</t>
  </si>
  <si>
    <t>3-167252102930208</t>
  </si>
  <si>
    <t>SLEEPY OPS</t>
  </si>
  <si>
    <t>SB16FWOP02NV</t>
  </si>
  <si>
    <t>SLEEPY OPS[NAVY/FREE]</t>
  </si>
  <si>
    <t>3-167252102969208</t>
  </si>
  <si>
    <t>SB16FWOP02IV</t>
  </si>
  <si>
    <t>SLEEPY OPS[IVORY/FREE]</t>
  </si>
  <si>
    <t>3-167332102509320</t>
  </si>
  <si>
    <t>BTG SKIRT</t>
  </si>
  <si>
    <t>SB16FWSK05PP</t>
  </si>
  <si>
    <t>BTG SKIRT[PURPLE/FREE]</t>
  </si>
  <si>
    <t>3-167312101130320</t>
  </si>
  <si>
    <t>LETTERING PANTS</t>
  </si>
  <si>
    <t>SB16FWPT02NV</t>
  </si>
  <si>
    <t>LETTERING PANTS[NAVY/FREE]</t>
  </si>
  <si>
    <t>3-167312101174320</t>
  </si>
  <si>
    <t>SB16FWPT02BE</t>
  </si>
  <si>
    <t>LETTERING PANTS[BEIGE/FREE]</t>
  </si>
  <si>
    <t>3-167222103725208</t>
  </si>
  <si>
    <t>3 BLOCK TS</t>
  </si>
  <si>
    <t>SB16FWTS09BL</t>
  </si>
  <si>
    <t>3 BLOCK TS[BLUE/FREE]</t>
  </si>
  <si>
    <t>3-167222103701208</t>
  </si>
  <si>
    <t>SB16FWTS09PK</t>
  </si>
  <si>
    <t>3 BLOCK TS[PINK/FREE]</t>
  </si>
  <si>
    <t>3-167112104999208</t>
  </si>
  <si>
    <t>CANDY COAT</t>
  </si>
  <si>
    <t>SB16FWCT02BK</t>
  </si>
  <si>
    <t>CANDY COAT[BLACK/FREE]</t>
  </si>
  <si>
    <t>3-167332110798320</t>
  </si>
  <si>
    <t>16 CORDUROY SKIRT</t>
  </si>
  <si>
    <t>SB16FWSK04CC</t>
  </si>
  <si>
    <t>16 CORDUROY SKIRT[CHARCOAL/FREE]</t>
  </si>
  <si>
    <t>3-167332110701320</t>
  </si>
  <si>
    <t>SB16FWSK04PK</t>
  </si>
  <si>
    <t>16 CORDUROY SKIRT[PINK/FREE]</t>
  </si>
  <si>
    <t>3-167232109695208</t>
  </si>
  <si>
    <t>RAINBOW TURTLENECK TS</t>
  </si>
  <si>
    <t>SB16FWTS08GR</t>
  </si>
  <si>
    <t>RAINBOW TURTLENECK TS[GREY/FREE]</t>
  </si>
  <si>
    <t>3-167232109625208</t>
  </si>
  <si>
    <t>SB16FWTS08BU</t>
  </si>
  <si>
    <t>RAINBOW TURTLENECK TS[BLUE/FREE]</t>
  </si>
  <si>
    <t>3-167232102299208</t>
  </si>
  <si>
    <t>16 CONNECTING KNIT</t>
  </si>
  <si>
    <t>SB16FWKN01BK</t>
  </si>
  <si>
    <t>16 CONNECTING KNIT[BLACK/FREE]</t>
  </si>
  <si>
    <t>3-167232102274208</t>
  </si>
  <si>
    <t>SB16FWKN01BE</t>
  </si>
  <si>
    <t>16 CONNECTING KNIT[BEIGE/FREE]</t>
  </si>
  <si>
    <t>3-167222126265208</t>
  </si>
  <si>
    <t>VELOUR TURTL+F31:G31ENECK TS</t>
  </si>
  <si>
    <t>SB16FWTS07YE</t>
  </si>
  <si>
    <t>VELOUR TURTL+F31:G31ENECK TS[YELLOW/FREE]</t>
  </si>
  <si>
    <t>3-167222126261208</t>
  </si>
  <si>
    <t>VELOUR TURTLENECK TS</t>
  </si>
  <si>
    <t>SB16FWTS07RD</t>
  </si>
  <si>
    <t>VELOUR TURTLENECK TS[RED/FREE]</t>
  </si>
  <si>
    <t>3-167222126225208</t>
  </si>
  <si>
    <t>SB16FWTS07BU</t>
  </si>
  <si>
    <t>VELOUR TURTLENECK TS[BLUE/FREE]</t>
  </si>
  <si>
    <t>3-167232110074208</t>
  </si>
  <si>
    <t>SNOW GLOSS TOP</t>
  </si>
  <si>
    <t>SB16FWTS06BE</t>
  </si>
  <si>
    <t>SNOW GLOSS TOP[BEIGE/FREE]</t>
  </si>
  <si>
    <t>3-167222132662208</t>
  </si>
  <si>
    <t>CDR TURTLENECK TS</t>
  </si>
  <si>
    <t>SB16FWTS05OR</t>
  </si>
  <si>
    <t>CDR TURTLENECK TS[ORANGE/FREE]</t>
  </si>
  <si>
    <t>3-167222132625208</t>
  </si>
  <si>
    <t>SB16FWTS05BU</t>
  </si>
  <si>
    <t>CDR TURTLENECK TS[BLUE/FREE]</t>
  </si>
  <si>
    <t>3-167232110345208</t>
  </si>
  <si>
    <t>PEACEFUL TURTLENECK TS</t>
  </si>
  <si>
    <t>SB16FWTS04GN</t>
  </si>
  <si>
    <t>PEACEFUL TURTLENECK TS[GREEN/FREE]</t>
  </si>
  <si>
    <t>3-167232110374208</t>
  </si>
  <si>
    <t>SB16FWTS04BE</t>
  </si>
  <si>
    <t>PEACEFUL TURTLENECK TS[BEIGE/FREE]</t>
  </si>
  <si>
    <t>3-167232110369208</t>
  </si>
  <si>
    <t>SB16FWTS04IV</t>
  </si>
  <si>
    <t>PEACEFUL TURTLENECK TS[IVORY/FREE]</t>
  </si>
  <si>
    <t>3-167112107461208</t>
  </si>
  <si>
    <t>POINT COAT</t>
  </si>
  <si>
    <t>SB16FWCT01RD</t>
  </si>
  <si>
    <t>POINT COAT[RED/FREE]</t>
  </si>
  <si>
    <t>3-167252105045208</t>
  </si>
  <si>
    <t>VELVET FRILL OPS</t>
  </si>
  <si>
    <t>SB16FWOP01GN</t>
  </si>
  <si>
    <t>VELVET FRILL OPS[GREEN/FREE]</t>
  </si>
  <si>
    <t>3-167222125599208</t>
  </si>
  <si>
    <t>BTG GRAPHIC MTM</t>
  </si>
  <si>
    <t>SB16FWMT02BK</t>
  </si>
  <si>
    <t>BTG GRAPHIC MTM[BLACK/FREE]</t>
  </si>
  <si>
    <t>3-167222125530208</t>
  </si>
  <si>
    <t>SB16FWMT02NV</t>
  </si>
  <si>
    <t>BTG GRAPHIC MTM[NAVY/FREE]</t>
  </si>
  <si>
    <t>3-167222125569208</t>
  </si>
  <si>
    <t>SB16FWMT02IV</t>
  </si>
  <si>
    <t>BTG GRAPHIC MTM[IVORY/FREE]</t>
  </si>
  <si>
    <t>3-167312111569320</t>
  </si>
  <si>
    <t>BTG GRAPHIC FLARE PT</t>
  </si>
  <si>
    <t>SB16FWPT01IV</t>
  </si>
  <si>
    <t>BTG GRAPHIC FLARE PT[IVORY/FREE]</t>
  </si>
  <si>
    <t>3-167222133530208</t>
  </si>
  <si>
    <t>HALF BTG GRAPHIC TS</t>
  </si>
  <si>
    <t>SB16FWTS03IV</t>
  </si>
  <si>
    <t>HALF BTG GRAPHIC TS[IVORY/FREE]</t>
  </si>
  <si>
    <t>3-167222128975208</t>
  </si>
  <si>
    <t>SNOW BTG TS</t>
  </si>
  <si>
    <t>SB16FWTS00BR</t>
  </si>
  <si>
    <t>SNOW BTG TS[BROWN/FREE]</t>
  </si>
  <si>
    <t>3-167222128999208</t>
  </si>
  <si>
    <t>SB16FWTS00BK</t>
  </si>
  <si>
    <t>SNOW BTG TS[BLACK/FREE]</t>
  </si>
  <si>
    <t>3-167552201030120</t>
  </si>
  <si>
    <t>BTG MUFFLER</t>
  </si>
  <si>
    <t>SB16FWAC03NY</t>
  </si>
  <si>
    <t>BTG MUFFLER[NAVY/FREE]</t>
  </si>
  <si>
    <t>3-167552201069120</t>
  </si>
  <si>
    <t>SB16FWAC02IV</t>
  </si>
  <si>
    <t>BTG MUFFLER[IVORY/FREE]</t>
  </si>
  <si>
    <t>3-167552201099120</t>
  </si>
  <si>
    <t>SB16FWAC01BK</t>
  </si>
  <si>
    <t>BTG MUFFLER[BLACK/FREE]</t>
  </si>
  <si>
    <t>3-167222125645208</t>
  </si>
  <si>
    <t>BETTER TURTLENECK MtoM</t>
  </si>
  <si>
    <t>SB16FWMT01GN</t>
  </si>
  <si>
    <t>BETTER TURTLENECK MtoM[GREEN/FREE]</t>
  </si>
  <si>
    <t>3-167222125661208</t>
  </si>
  <si>
    <t>SB16FWMT01RD</t>
  </si>
  <si>
    <t>BETTER TURTLENECK MtoM[RED/FREE]</t>
  </si>
  <si>
    <t>3-167222125699208</t>
  </si>
  <si>
    <t>SB16FWMT01BK</t>
  </si>
  <si>
    <t>BETTER TURTLENECK MtoM[BLACK/FREE]</t>
  </si>
  <si>
    <t>3-167332113025320</t>
  </si>
  <si>
    <t>ZIPPER VELVET SK</t>
  </si>
  <si>
    <t>SB16FWSK03BL</t>
  </si>
  <si>
    <t>ZIPPER VELVET SK[BLUE/FREE]</t>
  </si>
  <si>
    <t>3-167332113230320</t>
  </si>
  <si>
    <t>BTG GRAPHIC SK</t>
  </si>
  <si>
    <t>SB16FWSK02NY</t>
  </si>
  <si>
    <t>BTG GRAPHIC SK[NAVY/FREE]</t>
  </si>
  <si>
    <t>3-167222127125208</t>
  </si>
  <si>
    <t>16 VELVET NEO TS</t>
  </si>
  <si>
    <t>SB16FWTS02BL</t>
  </si>
  <si>
    <t>16 VELVET NEO TS[BLUE/FREE]</t>
  </si>
  <si>
    <t>3-167332111969320</t>
  </si>
  <si>
    <t>BTG PATTERN SK</t>
  </si>
  <si>
    <t>SB16FWSK01LY</t>
  </si>
  <si>
    <t>BTG PATTERN SK[IVORY/FREE]</t>
  </si>
  <si>
    <t>3-167222142925208</t>
  </si>
  <si>
    <t>WINTER 3 BLOCK TS</t>
  </si>
  <si>
    <t>SB16FWTS01BL</t>
  </si>
  <si>
    <t>WINTER 3 BLOCK TS[BLUE/FREE]</t>
  </si>
  <si>
    <t>PIECEWORKER</t>
  </si>
  <si>
    <t>3-165324100224307</t>
  </si>
  <si>
    <t>Mine worker Light Blue / NewCrop</t>
  </si>
  <si>
    <t>1FDNMW16CRLB_30</t>
  </si>
  <si>
    <t>LB_30</t>
  </si>
  <si>
    <t>Mine worker Light Blue / NewCrop[LB_30]</t>
  </si>
  <si>
    <t>S-01070</t>
  </si>
  <si>
    <t>S01070</t>
  </si>
  <si>
    <t>[W]Laser Boot Cut Medium Blue / Boot Cut</t>
  </si>
  <si>
    <t>1GDNLSBCMB_26</t>
  </si>
  <si>
    <t>MB_26</t>
  </si>
  <si>
    <t>[W]Laser Boot Cut Medium Blue / Boot Cut[MB_26]</t>
  </si>
  <si>
    <t>3-175321103624306</t>
  </si>
  <si>
    <t>Shine Blue Light Blue / Newcrop2</t>
  </si>
  <si>
    <t>1GDNSBCR2LB_29</t>
  </si>
  <si>
    <t>LB_29</t>
  </si>
  <si>
    <t>Shine Blue Light Blue / Newcrop2[LB_29]</t>
  </si>
  <si>
    <t>3-165321109087306</t>
  </si>
  <si>
    <t>Stone Worker DS Greyish Blue / Newcrop</t>
  </si>
  <si>
    <t>1FDNSTWCRBL_29</t>
  </si>
  <si>
    <t>BL_29</t>
  </si>
  <si>
    <t>Stone Worker DS Greyish Blue / Newcrop[BL_29]</t>
  </si>
  <si>
    <t>3-165321109087305</t>
  </si>
  <si>
    <t>1FDNSTWCRBL_28</t>
  </si>
  <si>
    <t>BL_28</t>
  </si>
  <si>
    <t>Stone Worker DS Greyish Blue / Newcrop[BL_28]</t>
  </si>
  <si>
    <t>3-165321109087307</t>
  </si>
  <si>
    <t>1FDNSTWCRBL_30</t>
  </si>
  <si>
    <t>BL_30</t>
  </si>
  <si>
    <t>Stone Worker DS Greyish Blue / Newcrop[BL_30]</t>
  </si>
  <si>
    <t>3-165321109087311</t>
  </si>
  <si>
    <t>1FDNSTWCRBL_34</t>
  </si>
  <si>
    <t>BL_34</t>
  </si>
  <si>
    <t>Stone Worker DS Greyish Blue / Newcrop[BL_34]</t>
  </si>
  <si>
    <t>3-165321113299308</t>
  </si>
  <si>
    <t xml:space="preserve">  Raw Darkness Black / Newcrop</t>
  </si>
  <si>
    <t>1FDNRWDKCRBK_31</t>
  </si>
  <si>
    <t>BK_31</t>
  </si>
  <si>
    <t xml:space="preserve">  Raw Darkness Black / Newcrop[BK_31]</t>
  </si>
  <si>
    <t>3-165321113299307</t>
  </si>
  <si>
    <t>1FDNRWDKCRBK_30</t>
  </si>
  <si>
    <t>BK_30</t>
  </si>
  <si>
    <t xml:space="preserve">  Raw Darkness Black / Newcrop[BK_30]</t>
  </si>
  <si>
    <t>3-165321108833309</t>
  </si>
  <si>
    <t>New mine worker 17SS Menu Blue  / Newslim</t>
  </si>
  <si>
    <t>1FDNNM17NSMB_32</t>
  </si>
  <si>
    <t>MB_32</t>
  </si>
  <si>
    <t>New mine worker 17SS Menu Blue  / Newslim[MB_32]</t>
  </si>
  <si>
    <t>3-165321108833308</t>
  </si>
  <si>
    <t>1FDNNM17NSMB_31</t>
  </si>
  <si>
    <t>MB_31</t>
  </si>
  <si>
    <t>New mine worker 17SS Menu Blue  / Newslim[MB_31]</t>
  </si>
  <si>
    <t>3-165321108833305</t>
  </si>
  <si>
    <t>1FDNNM17NSMB_28</t>
  </si>
  <si>
    <t>MB_28</t>
  </si>
  <si>
    <t>New mine worker 17SS Menu Blue  / Newslim[MB_28]</t>
  </si>
  <si>
    <t>3-165321109328313</t>
  </si>
  <si>
    <t>Plant Manager2 Dark Blue / Newslim</t>
  </si>
  <si>
    <t>1FDNPM2NSDB_36</t>
  </si>
  <si>
    <t>DB_36</t>
  </si>
  <si>
    <t>Plant Manager2 Dark Blue / Newslim[DB_36]</t>
  </si>
  <si>
    <t>3-165321109328307</t>
  </si>
  <si>
    <t>1FDNPM2NSDB_30</t>
  </si>
  <si>
    <t>DB_30</t>
  </si>
  <si>
    <t>Plant Manager2 Dark Blue / Newslim[DB_30]</t>
  </si>
  <si>
    <t>3-165321109328309</t>
  </si>
  <si>
    <t>1FDNPM2NSDB_32</t>
  </si>
  <si>
    <t>DB_32</t>
  </si>
  <si>
    <t>Plant Manager2 Dark Blue / Newslim[DB_32]</t>
  </si>
  <si>
    <t>3-165321114887305</t>
  </si>
  <si>
    <t>Stone Worker ST Greyish Blue / NewCrop</t>
  </si>
  <si>
    <t>1FDNSTWSTCRBL_28</t>
  </si>
  <si>
    <t>Stone Worker ST Greyish Blue / NewCrop[BL_28]</t>
  </si>
  <si>
    <t>3-165321114887306</t>
  </si>
  <si>
    <t>1FDNSTWSTCRBL_29</t>
  </si>
  <si>
    <t>BL/29</t>
  </si>
  <si>
    <t>Stone Worker ST Greyish Blue / NewCrop[BL/29]</t>
  </si>
  <si>
    <t>3-175321104233306</t>
  </si>
  <si>
    <t>Cutted Master - Laser</t>
  </si>
  <si>
    <t>1GDNCTMCRBG_29</t>
  </si>
  <si>
    <t>Bluegreen/29</t>
  </si>
  <si>
    <t>Cutted Master - Laser[Bluegreen/29]</t>
  </si>
  <si>
    <t>3-165321113299309</t>
  </si>
  <si>
    <t>Raw Darkness Black / Newcrop</t>
  </si>
  <si>
    <t>1FDNRWDKCRBK_32</t>
  </si>
  <si>
    <t>BK_32</t>
  </si>
  <si>
    <t>Raw Darkness Black / Newcrop[BK_32]</t>
  </si>
  <si>
    <t>3-165321113299306</t>
  </si>
  <si>
    <t>1FDNRWDKCRBK_29</t>
  </si>
  <si>
    <t>BK_29</t>
  </si>
  <si>
    <t>Raw Darkness Black / Newcrop[BK_29]</t>
  </si>
  <si>
    <t>3-165324100224306</t>
  </si>
  <si>
    <t>Mine worker 16SS Light Blue / NewCrop</t>
  </si>
  <si>
    <t>1FDNMW16CRLB_29</t>
  </si>
  <si>
    <t>Mine worker 16SS Light Blue / NewCrop[LB_29]</t>
  </si>
  <si>
    <t>3-165324100224308</t>
  </si>
  <si>
    <t>1FDNMW16CRLB_31</t>
  </si>
  <si>
    <t>LB_31</t>
  </si>
  <si>
    <t>Mine worker 16SS Light Blue / NewCrop[LB_31]</t>
  </si>
  <si>
    <t>3-165324100224309</t>
  </si>
  <si>
    <t>1FDNMW16CRLB_32</t>
  </si>
  <si>
    <t>LB_32</t>
  </si>
  <si>
    <t>Mine worker 16SS Light Blue / NewCrop[LB_32]</t>
  </si>
  <si>
    <t>3-165324100224305</t>
  </si>
  <si>
    <t>1FDNMW16CRLB_28</t>
  </si>
  <si>
    <t>LB_28</t>
  </si>
  <si>
    <t>Mine worker 16SS Light Blue / NewCrop[LB_28]</t>
  </si>
  <si>
    <t>3-165324100829306</t>
  </si>
  <si>
    <t>Incredible Sultan Jeans Indigo/ Newslim</t>
  </si>
  <si>
    <t>1FDNICSTJNSIN_29</t>
  </si>
  <si>
    <t>N_29</t>
  </si>
  <si>
    <t>Incredible Sultan Jeans Indigo/ Newslim[N_29]</t>
  </si>
  <si>
    <t>3-165324100829305</t>
  </si>
  <si>
    <t>1FDNICSTJNSIN_28</t>
  </si>
  <si>
    <t>IN_28</t>
  </si>
  <si>
    <t>Incredible Sultan Jeans Indigo/ Newslim[IN_28]</t>
  </si>
  <si>
    <t>3-165324100829311</t>
  </si>
  <si>
    <t>1FDNICSTJNSIN_34</t>
  </si>
  <si>
    <t>IN_34</t>
  </si>
  <si>
    <t>Incredible Sultan Jeans Indigo/ Newslim[IN_34]</t>
  </si>
  <si>
    <t>3-165324100829309</t>
  </si>
  <si>
    <t>1FDNICSTJNSIN_32</t>
  </si>
  <si>
    <t>IN_32</t>
  </si>
  <si>
    <t>Incredible Sultan Jeans Indigo/ Newslim[IN_32]</t>
  </si>
  <si>
    <t>3-165312108133304</t>
  </si>
  <si>
    <t>[W]Medium Columbia Medium Blue / Skinny</t>
  </si>
  <si>
    <t>1FDNMCBSKYMB_27</t>
  </si>
  <si>
    <t>MB_27</t>
  </si>
  <si>
    <t>[W]Medium Columbia Medium Blue / Skinny[MB_27]</t>
  </si>
  <si>
    <t>3-165312108133303</t>
  </si>
  <si>
    <t>1FDNMCBSKYMB_26</t>
  </si>
  <si>
    <t>MB/26</t>
  </si>
  <si>
    <t>[W]Medium Columbia Medium Blue / Skinny[MB/26]</t>
  </si>
  <si>
    <t>3-162321101633205</t>
  </si>
  <si>
    <t>Bazan Destroyed - Medium Blue / Slim Short</t>
  </si>
  <si>
    <t>1FSPBZDLHMB_L</t>
  </si>
  <si>
    <t>MB_L</t>
  </si>
  <si>
    <t>Bazan Destroyed - Medium Blue / Slim Short[MB_L]</t>
  </si>
  <si>
    <t>3-162321101633206</t>
  </si>
  <si>
    <t>1FSPBZDLHMB_XL</t>
  </si>
  <si>
    <t>MB/XL</t>
  </si>
  <si>
    <t>Bazan Destroyed - Medium Blue / Slim Short[MB/XL]</t>
  </si>
  <si>
    <t>3-162321101633204</t>
  </si>
  <si>
    <t>1FSPBZDLHMB_M</t>
  </si>
  <si>
    <t>Bazan Destroyed - Medium Blue / Slim Short[Blue/M]</t>
  </si>
  <si>
    <t>3-175321100829308</t>
  </si>
  <si>
    <t>ROLL-UP SELVEDGE / SLACKS</t>
  </si>
  <si>
    <t>1GDNRUSSSIN_31</t>
  </si>
  <si>
    <t>Indigo/31</t>
  </si>
  <si>
    <t>ROLL-UP SELVEDGE / SLACKS[Indigo/31]</t>
  </si>
  <si>
    <t>3-162321101633203</t>
  </si>
  <si>
    <t>1FSPBZDLHMB_S</t>
  </si>
  <si>
    <t>Medium Blue/S</t>
  </si>
  <si>
    <t>1FSPBZDLHMB_S[Medium Blue/S]</t>
  </si>
  <si>
    <t>3-175321101299308</t>
  </si>
  <si>
    <t>Black Knife Recall Black / Newcrop</t>
  </si>
  <si>
    <t>1GDNBKKFRCRBK_31</t>
  </si>
  <si>
    <t>Black Knife Recall Black / Newcrop[BK_31]</t>
  </si>
  <si>
    <t>3-175321101299309</t>
  </si>
  <si>
    <t>1GDNBKKFRCRBK_32</t>
  </si>
  <si>
    <t>Black Knife Recall Black / Newcrop[BK_32]</t>
  </si>
  <si>
    <t>3-175321101299305</t>
  </si>
  <si>
    <t>1GDNBKKFRCRBK_28</t>
  </si>
  <si>
    <t>BK_28</t>
  </si>
  <si>
    <t>Black Knife Recall Black / Newcrop[BK_28]</t>
  </si>
  <si>
    <t>3-175321101299311</t>
  </si>
  <si>
    <t>1GDNBKKFRCRBK_34</t>
  </si>
  <si>
    <t>BK/34</t>
  </si>
  <si>
    <t>Black Knife Recall Black / Newcrop[BK/34]</t>
  </si>
  <si>
    <t>3-175321101299306</t>
  </si>
  <si>
    <t>1GDNBKKFRCRBK_29</t>
  </si>
  <si>
    <t>Black/29</t>
  </si>
  <si>
    <t>Black Knife Recall Black / Newcrop[Black/29]</t>
  </si>
  <si>
    <t>3-165321109328311</t>
  </si>
  <si>
    <t>1FDNPM2NSDB_34</t>
  </si>
  <si>
    <t>Dark Blue/34</t>
  </si>
  <si>
    <t>1FDNPM2NSDB_34[Dark Blue/34]</t>
  </si>
  <si>
    <t>3-155321119125311</t>
  </si>
  <si>
    <t>1EDNSTDSCRBL_34</t>
  </si>
  <si>
    <t>Saint DS Blue / Newcrop[BL_34]</t>
  </si>
  <si>
    <t>3-155321119125309</t>
  </si>
  <si>
    <t>1EDNSTDSCRBL_32</t>
  </si>
  <si>
    <t>BL_32</t>
  </si>
  <si>
    <t>Saint DS Blue / Newcrop[BL_32]</t>
  </si>
  <si>
    <t>3-155321119125305</t>
  </si>
  <si>
    <t>BL/28</t>
  </si>
  <si>
    <t>Saint DS Blue / Newcrop[BL/28]</t>
  </si>
  <si>
    <t>3-155321119125307</t>
  </si>
  <si>
    <t>1EDNSTDSCRBL_30</t>
  </si>
  <si>
    <t>BL/30</t>
  </si>
  <si>
    <t>Saint DS Blue / Newcrop[BL/30]</t>
  </si>
  <si>
    <t>3-155321119125306</t>
  </si>
  <si>
    <t>1EDNSTDSCRBL_29</t>
  </si>
  <si>
    <t>Saint DS Blue / Newcrop[BL/29]</t>
  </si>
  <si>
    <t>3-155321119125308</t>
  </si>
  <si>
    <t>1EDNSTDSCRBL_31</t>
  </si>
  <si>
    <t>Blue/31</t>
  </si>
  <si>
    <t>Saint DS Blue / Newcrop[Blue/31]</t>
  </si>
  <si>
    <t>3-165321109328305</t>
  </si>
  <si>
    <t>1FDNPM2NSDB_28</t>
  </si>
  <si>
    <t>Dark Blue/28</t>
  </si>
  <si>
    <t>1FDNPM2NSDB_28[Dark Blue/28]</t>
  </si>
  <si>
    <t>3-175321101133305</t>
  </si>
  <si>
    <t>Saint MB Laser Medium Blue / Newcrop</t>
  </si>
  <si>
    <t>1GDNSMBLCRMB_28</t>
  </si>
  <si>
    <t>Saint MB Laser Medium Blue / Newcrop[MB_28]</t>
  </si>
  <si>
    <t>3-175321101133307</t>
  </si>
  <si>
    <t>1GDNSMBLCRMB_30</t>
  </si>
  <si>
    <t>MB_30</t>
  </si>
  <si>
    <t>Saint MB Laser Medium Blue / Newcrop[MB_30]</t>
  </si>
  <si>
    <t>3-175321101133311</t>
  </si>
  <si>
    <t>1GDNSMBLCRMB_34</t>
  </si>
  <si>
    <t>MB_34</t>
  </si>
  <si>
    <t>Saint MB Laser Medium Blue / Newcrop[MB_34]</t>
  </si>
  <si>
    <t>3-175321101133308</t>
  </si>
  <si>
    <t>1GDNSMBLCRMB_31</t>
  </si>
  <si>
    <t>Saint MB Laser Medium Blue / Newcrop[MB_31]</t>
  </si>
  <si>
    <t>3-175321101133306</t>
  </si>
  <si>
    <t>1GDNSMBLCRMB_29</t>
  </si>
  <si>
    <t>Medium Blue/29</t>
  </si>
  <si>
    <t>Saint MB Laser Medium Blue / Newcrop[Medium Blue/29]</t>
  </si>
  <si>
    <t>3-175321101133309</t>
  </si>
  <si>
    <t>1GDNSMBLCRMB_32</t>
  </si>
  <si>
    <t>Medium Blue/32</t>
  </si>
  <si>
    <t>Saint MB Laser Medium Blue / Newcrop[Medium Blue/32]</t>
  </si>
  <si>
    <t>NOYCOMMON</t>
  </si>
  <si>
    <t>N-C17WTAC02NYL</t>
  </si>
  <si>
    <t>NC17WTAC02NYL</t>
  </si>
  <si>
    <t>NC PATCH BEANIE NY</t>
  </si>
  <si>
    <t>NAVY/ L</t>
  </si>
  <si>
    <t>NC PATCH BEANIE NY[NAVY/ L]</t>
  </si>
  <si>
    <t>N-C17WTAC02NYS</t>
  </si>
  <si>
    <t>NC17WTAC02NYS</t>
  </si>
  <si>
    <t>NC PATCH BEANIE NY[NAVY/S]</t>
  </si>
  <si>
    <t>N-C17WTAC02BKL</t>
  </si>
  <si>
    <t>NC17WTAC02BKL</t>
  </si>
  <si>
    <t>NC PATCH BEANIE BK</t>
  </si>
  <si>
    <t>BLACK/ L</t>
  </si>
  <si>
    <t>NC PATCH BEANIE BK[BLACK/ L]</t>
  </si>
  <si>
    <t>N-C17WTAC02BKS</t>
  </si>
  <si>
    <t>NC17WTAC02BKS</t>
  </si>
  <si>
    <t>NC PATCH BEANIE BK[BLACK/S]</t>
  </si>
  <si>
    <t>N-C17WTAC01WH</t>
  </si>
  <si>
    <t>NC17WTAC01WH</t>
  </si>
  <si>
    <t>NC PATCH CAP WH</t>
  </si>
  <si>
    <t>WHITE/F</t>
  </si>
  <si>
    <t>NC PATCH CAP WH[WHITE/F]</t>
  </si>
  <si>
    <t>N-C17WTAC01BK</t>
  </si>
  <si>
    <t>NC17WTAC01BK</t>
  </si>
  <si>
    <t>NC PATCH CAP BK</t>
  </si>
  <si>
    <t>BLACK/F</t>
  </si>
  <si>
    <t>NC PATCH CAP BK[BLACK/F]</t>
  </si>
  <si>
    <t>N-C17WTTE03OGL</t>
  </si>
  <si>
    <t>NC17WTTE03OGL</t>
  </si>
  <si>
    <t>NC VELOUR SHIRT OG</t>
  </si>
  <si>
    <t>ORANGE/L</t>
  </si>
  <si>
    <t>NC VELOUR SHIRT OG[ORANGE/L]</t>
  </si>
  <si>
    <t>N-C17WTTE03OGM</t>
  </si>
  <si>
    <t>NC17WTTE03OGM</t>
  </si>
  <si>
    <t>ORANGE/M</t>
  </si>
  <si>
    <t>NC VELOUR SHIRT OG[ORANGE/M]</t>
  </si>
  <si>
    <t>N-C17WTTE03KHL</t>
  </si>
  <si>
    <t>NC17WTTE03KHL</t>
  </si>
  <si>
    <t>NC VELOUR SHIRT KH</t>
  </si>
  <si>
    <t>KHAKI/L</t>
  </si>
  <si>
    <t>NC VELOUR SHIRT KH[KHAKI/L]</t>
  </si>
  <si>
    <t>N-C17WTTE03KHM</t>
  </si>
  <si>
    <t>NC17WTTE03KHM</t>
  </si>
  <si>
    <t>KHAKI/M</t>
  </si>
  <si>
    <t>NC VELOUR SHIRT KH[KHAKI/M]</t>
  </si>
  <si>
    <t>N-C17WTTE03NYL</t>
  </si>
  <si>
    <t>NC17WTTE03NYL</t>
  </si>
  <si>
    <t>NC VELOUR SHIRT NY</t>
  </si>
  <si>
    <t>NAVY/L</t>
  </si>
  <si>
    <t>NC VELOUR SHIRT NY[NAVY/L]</t>
  </si>
  <si>
    <t>N-C17WTTE03NYM</t>
  </si>
  <si>
    <t>NC17WTTE03NYM</t>
  </si>
  <si>
    <t>NC VELOUR SHIRT NY[NAVY/M]</t>
  </si>
  <si>
    <t>N-C17WTTE02GYL</t>
  </si>
  <si>
    <t>NC17WTTE02GYL</t>
  </si>
  <si>
    <t>CLIMBER PATCH SWEATSHIRT GY</t>
  </si>
  <si>
    <t>GRAY/L</t>
  </si>
  <si>
    <t>CLIMBER PATCH SWEATSHIRT GY[GRAY/L]</t>
  </si>
  <si>
    <t>N-C17WTTE02GYS</t>
  </si>
  <si>
    <t>NC17WTTE02GYS</t>
  </si>
  <si>
    <t>GRAY/S</t>
  </si>
  <si>
    <t>CLIMBER PATCH SWEATSHIRT GY[GRAY/S]</t>
  </si>
  <si>
    <t>N-C17WTTE02BKL</t>
  </si>
  <si>
    <t>NC17WTTE02BKL</t>
  </si>
  <si>
    <t>CLIMBER PATCH SWEATSHIRT BK</t>
  </si>
  <si>
    <t>BLACK/L</t>
  </si>
  <si>
    <t>CLIMBER PATCH SWEATSHIRT BK[BLACK/L]</t>
  </si>
  <si>
    <t>N-C17WTTE02BKS</t>
  </si>
  <si>
    <t>NC17WTTE02BKS</t>
  </si>
  <si>
    <t>CLIMBER PATCH SWEATSHIRT BK[BLACK/S]</t>
  </si>
  <si>
    <t>N-C17WTTE01GNL</t>
  </si>
  <si>
    <t>NC17WTTE01GNL</t>
  </si>
  <si>
    <t>CAMPER SWEATSHIRT GN</t>
  </si>
  <si>
    <t>CAMPER SWEATSHIRT GN[KHAKI/L]</t>
  </si>
  <si>
    <t>N-C17WTTE01GNS</t>
  </si>
  <si>
    <t>NC17WTTE01GNS</t>
  </si>
  <si>
    <t>KHAKI/S</t>
  </si>
  <si>
    <t>CAMPER SWEATSHIRT GN[KHAKI/S]</t>
  </si>
  <si>
    <t>N-C17WTTE01IVL</t>
  </si>
  <si>
    <t>NC17WTTE01IVL</t>
  </si>
  <si>
    <t>CAMPER SWEATSHIRT IV</t>
  </si>
  <si>
    <t>IVORY/L</t>
  </si>
  <si>
    <t>CAMPER SWEATSHIRT IV[IVORY/L]</t>
  </si>
  <si>
    <t>N-C17WTTE01IVS</t>
  </si>
  <si>
    <t>NC17WTTE01IVS</t>
  </si>
  <si>
    <t>CAMPER SWEATSHIRT IV[IVORY/S]</t>
  </si>
  <si>
    <t>N-C17WTTE01BKL</t>
  </si>
  <si>
    <t>NC17WTTE01BKL</t>
  </si>
  <si>
    <t>CAMPER SWEATSHIRT BK</t>
  </si>
  <si>
    <t>CAMPER SWEATSHIRT BK[BLACK/L]</t>
  </si>
  <si>
    <t>N-C17WTTE01BKS</t>
  </si>
  <si>
    <t>NC17WTTE01BKS</t>
  </si>
  <si>
    <t>CAMPER SWEATSHIRT BK[BLACK/S]</t>
  </si>
  <si>
    <t>N-C17WTHD06BKL</t>
  </si>
  <si>
    <t>NC17WTHD06BKL</t>
  </si>
  <si>
    <t>NOYC WIDE HOODIE BK</t>
  </si>
  <si>
    <t>NOYC WIDE HOODIE BK[BLACK/L]</t>
  </si>
  <si>
    <t>N-C17WTHD06BKM</t>
  </si>
  <si>
    <t>NC17WTHD06BKM</t>
  </si>
  <si>
    <t>NOYC WIDE HOODIE BK[BLACK/M]</t>
  </si>
  <si>
    <t>N-C17WTHD06KHL</t>
  </si>
  <si>
    <t>NC17WTHD06KHL</t>
  </si>
  <si>
    <t>NOYC WIDE HOODIE KH</t>
  </si>
  <si>
    <t>NOYC WIDE HOODIE KH[KHAKI/L]</t>
  </si>
  <si>
    <t>N-C17WTHD06KHM</t>
  </si>
  <si>
    <t>NC17WTHD06KHM</t>
  </si>
  <si>
    <t>NOYC WIDE HOODIE KH[KHAKI/M]</t>
  </si>
  <si>
    <t>N-C17WTHD05IVL</t>
  </si>
  <si>
    <t>NC17WTHD05IVL</t>
  </si>
  <si>
    <t>CLW HOODIE IV</t>
  </si>
  <si>
    <t>CLW HOODIE IV[IVORY/L]</t>
  </si>
  <si>
    <t>N-C17WTHD05IVM</t>
  </si>
  <si>
    <t>NC17WTHD05IVM</t>
  </si>
  <si>
    <t>CLW HOODIE IV[IVORY/M]</t>
  </si>
  <si>
    <t>N-C17WTHD04IVL</t>
  </si>
  <si>
    <t>NC17WTHD04IVL</t>
  </si>
  <si>
    <t>NC HIMALAYAS HOODIE IV</t>
  </si>
  <si>
    <t>NC HIMALAYAS HOODIE IV[IVORY/L]</t>
  </si>
  <si>
    <t>N-C17WTHD04IVM</t>
  </si>
  <si>
    <t>NC17WTHD04IVM</t>
  </si>
  <si>
    <t>NC HIMALAYAS HOODIE IV[IVORY/M]</t>
  </si>
  <si>
    <t>N-C17WTHD04BKL</t>
  </si>
  <si>
    <t>NC17WTHD04BKL</t>
  </si>
  <si>
    <t>NC HIMALAYAS HOODIE BK</t>
  </si>
  <si>
    <t>NC HIMALAYAS HOODIE BK[BLACK/L]</t>
  </si>
  <si>
    <t>N-C17WTHD04BKM</t>
  </si>
  <si>
    <t>NC17WTHD04BKM</t>
  </si>
  <si>
    <t>NC HIMALAYAS HOODIE BK[BLACK/M]</t>
  </si>
  <si>
    <t>N-C17WTHD03IVL</t>
  </si>
  <si>
    <t>NC17WTHD03IVL</t>
  </si>
  <si>
    <t>EVEREST FLEECE HOODIE IV</t>
  </si>
  <si>
    <t>EVEREST FLEECE HOODIE IV[IVORY/L]</t>
  </si>
  <si>
    <t>N-C17WTHD03IVM</t>
  </si>
  <si>
    <t>NC17WTHD03IVM</t>
  </si>
  <si>
    <t>EVEREST FLEECE HOODIE IV[IVORY/M]</t>
  </si>
  <si>
    <t>N-C17WTHD03NYL</t>
  </si>
  <si>
    <t>NC17WTHD03NYL</t>
  </si>
  <si>
    <t>EVEREST FLEECE HOODIE NY</t>
  </si>
  <si>
    <t>EVEREST FLEECE HOODIE NY[NAVY/L]</t>
  </si>
  <si>
    <t>N-C17WTHD03NYM</t>
  </si>
  <si>
    <t>NC17WTHD03NYM</t>
  </si>
  <si>
    <t>EVEREST FLEECE HOODIE NY[NAVY/M]</t>
  </si>
  <si>
    <t>N-C17WTHD02BKL</t>
  </si>
  <si>
    <t>NC17WTHD02BKL</t>
  </si>
  <si>
    <t>CLIMBER HOODIE BK</t>
  </si>
  <si>
    <t>CLIMBER HOODIE BK[BLACK/L]</t>
  </si>
  <si>
    <t>N-C17WTHD02BKM</t>
  </si>
  <si>
    <t>NC17WTHD02BKM</t>
  </si>
  <si>
    <t>CLIMBER HOODIE BK[BLACK/M]</t>
  </si>
  <si>
    <t>N-C17WTHD02WHL</t>
  </si>
  <si>
    <t>NC17WTHD02WHL</t>
  </si>
  <si>
    <t>CLIMBER HOODIE WH</t>
  </si>
  <si>
    <t>WHITE/L</t>
  </si>
  <si>
    <t>CLIMBER HOODIE WH[WHITE/L]</t>
  </si>
  <si>
    <t>N-C17WTHD02WHM</t>
  </si>
  <si>
    <t>NC17WTHD02WHM</t>
  </si>
  <si>
    <t>WHITE/M</t>
  </si>
  <si>
    <t>CLIMBER HOODIE WH[WHITE/M]</t>
  </si>
  <si>
    <t>N-C17WTHD02KHL</t>
  </si>
  <si>
    <t>NC17WTHD02KHL</t>
  </si>
  <si>
    <t>CLIMBER HOODIE KH</t>
  </si>
  <si>
    <t>CLIMBER HOODIE KH[KHAKI/L]</t>
  </si>
  <si>
    <t>N-C17WTHD02KHM</t>
  </si>
  <si>
    <t>NC17WTHD02KHM</t>
  </si>
  <si>
    <t>CLIMBER HOODIE KH[KHAKI/M]</t>
  </si>
  <si>
    <t>N-C17WTHD01GYL</t>
  </si>
  <si>
    <t>NC17WTHD01GYL</t>
  </si>
  <si>
    <t>BRAND LOGO HOODIE GY</t>
  </si>
  <si>
    <t>BRAND LOGO HOODIE GY[GRAY/L]</t>
  </si>
  <si>
    <t>N-C17WTHD01GYM</t>
  </si>
  <si>
    <t>NC17WTHD01GYM</t>
  </si>
  <si>
    <t>GRAY/M</t>
  </si>
  <si>
    <t>BRAND LOGO HOODIE GY[GRAY/M]</t>
  </si>
  <si>
    <t>N-C17WTHD01BKL</t>
  </si>
  <si>
    <t>NC17WTHD01BKL</t>
  </si>
  <si>
    <t>BRAND LOGO HOODIE BK</t>
  </si>
  <si>
    <t>BRAND LOGO HOODIE BK[BLACK/L]</t>
  </si>
  <si>
    <t>N-C17WTHD01BKM</t>
  </si>
  <si>
    <t>NC17WTHD01BKM</t>
  </si>
  <si>
    <t>BRAND LOGO HOODIE BK[BLACK/M]</t>
  </si>
  <si>
    <t>N-C17WTKN02BEL</t>
  </si>
  <si>
    <t>NC17WTKN02BEL</t>
  </si>
  <si>
    <t>NC STAR KNIT BE</t>
  </si>
  <si>
    <t>BEIGE/L</t>
  </si>
  <si>
    <t>NC STAR KNIT BE[BEIGE/L]</t>
  </si>
  <si>
    <t>N-C17WTKN02BES</t>
  </si>
  <si>
    <t>NC17WTKN02BES</t>
  </si>
  <si>
    <t>NC STAR KNIT BE[BEIGE/S]</t>
  </si>
  <si>
    <t>N-C17WTKN02NYL</t>
  </si>
  <si>
    <t>NC17WTKN02NYL</t>
  </si>
  <si>
    <t>NC STAR KNIT NY</t>
  </si>
  <si>
    <t>NC STAR KNIT NY[NAVY/L]</t>
  </si>
  <si>
    <t>N-C17WTKN02NYS</t>
  </si>
  <si>
    <t>NC17WTKN02NYS</t>
  </si>
  <si>
    <t>NC STAR KNIT NY[NAVY/S]</t>
  </si>
  <si>
    <t>N-C17WTKN01WHL</t>
  </si>
  <si>
    <t>NC17WTKN01WHL</t>
  </si>
  <si>
    <t>TIGER CARDIGAN WH</t>
  </si>
  <si>
    <t>TIGER CARDIGAN WH[WHITE/L]</t>
  </si>
  <si>
    <t>N-C17WTKN01WHS</t>
  </si>
  <si>
    <t>NC17WTKN01WHS</t>
  </si>
  <si>
    <t>WHITE/S</t>
  </si>
  <si>
    <t>TIGER CARDIGAN WH[WHITE/S]</t>
  </si>
  <si>
    <t>N-C17WTKN01NYL</t>
  </si>
  <si>
    <t>NC17WTKN01NYL</t>
  </si>
  <si>
    <t>TIGER CARDIGAN NY</t>
  </si>
  <si>
    <t>TIGER CARDIGAN NY[NAVY/L]</t>
  </si>
  <si>
    <t>N-C17WTKN01NYS</t>
  </si>
  <si>
    <t>NC17WTKN01NYS</t>
  </si>
  <si>
    <t>TIGER CARDIGAN NY[NAVY/S]</t>
  </si>
  <si>
    <t>N-C17WTCT02BKL</t>
  </si>
  <si>
    <t>NC17WTCT02BKL</t>
  </si>
  <si>
    <t>NC POCKET COAT BK</t>
  </si>
  <si>
    <t>NC POCKET COAT BK[BLACK/L]</t>
  </si>
  <si>
    <t>N-C17WTCT02BKS</t>
  </si>
  <si>
    <t>NC17WTCT02BKS</t>
  </si>
  <si>
    <t>NC POCKET COAT BK[BLACK/S]</t>
  </si>
  <si>
    <t>N-C17WTCT01BEL</t>
  </si>
  <si>
    <t>NC17WTCT01BEL</t>
  </si>
  <si>
    <t>NC DETACHABLE COAT BE</t>
  </si>
  <si>
    <t>NC DETACHABLE COAT BE[BEIGE/L]</t>
  </si>
  <si>
    <t>N-C17WTCT01BES</t>
  </si>
  <si>
    <t>NC17WTCT01BES</t>
  </si>
  <si>
    <t>NC DETACHABLE COAT BE[BEIGE/S]</t>
  </si>
  <si>
    <t>N-C17WTCT01NYL</t>
  </si>
  <si>
    <t>NC17WTCT01NYL</t>
  </si>
  <si>
    <t>NC DETACHABLE COAT NY</t>
  </si>
  <si>
    <t>NC DETACHABLE COAT NY[NAVY/L]</t>
  </si>
  <si>
    <t>N-C17WTCT01NYS</t>
  </si>
  <si>
    <t>NC17WTCT01NYS</t>
  </si>
  <si>
    <t>NC DETACHABLE COAT NY[NAVY/S]</t>
  </si>
  <si>
    <t>N-C17FWTE04BLLR</t>
  </si>
  <si>
    <t>NC17FWTE04BLLR</t>
  </si>
  <si>
    <t>PLANET SWEATSHIRT BL</t>
  </si>
  <si>
    <t>BLUE/L</t>
  </si>
  <si>
    <t>PLANET SWEATSHIRT BL[BLUE/L]</t>
  </si>
  <si>
    <t>N-C17FWTE04BLSR</t>
  </si>
  <si>
    <t>NC17FWTE04BLSR</t>
  </si>
  <si>
    <t>BLUE/S</t>
  </si>
  <si>
    <t>PLANET SWEATSHIRT BL[BLUE/S]</t>
  </si>
  <si>
    <t>N-C17FWTE04FLLR</t>
  </si>
  <si>
    <t>NC17FWTE04FLLR</t>
  </si>
  <si>
    <t>PLANET SWEATSHIRT FL</t>
  </si>
  <si>
    <t>FLUORESCENT/L</t>
  </si>
  <si>
    <t>PLANET SWEATSHIRT FL[FLUORESCENT/L]</t>
  </si>
  <si>
    <t>N-C17FWTE04FLSR</t>
  </si>
  <si>
    <t>NC17FWTE04FLSR</t>
  </si>
  <si>
    <t>FLUORESCENT/S</t>
  </si>
  <si>
    <t>PLANET SWEATSHIRT FL[FLUORESCENT/S]</t>
  </si>
  <si>
    <t>N-C17FWTE04PKLR</t>
  </si>
  <si>
    <t>NC17FWTE04PKLR</t>
  </si>
  <si>
    <t>PLANET SWEATSHIRT PK</t>
  </si>
  <si>
    <t>PINK/L</t>
  </si>
  <si>
    <t>PLANET SWEATSHIRT PK[PINK/L]</t>
  </si>
  <si>
    <t>N-C17FWTE04PKSR</t>
  </si>
  <si>
    <t>NC17FWTE04PKSR</t>
  </si>
  <si>
    <t>PLANET SWEATSHIRT PK[PINK/S]</t>
  </si>
  <si>
    <t>N-C17FWTE04GYLR</t>
  </si>
  <si>
    <t>PLANET SWEATSHIRT GY</t>
  </si>
  <si>
    <t>NC17FWTE04GYLR</t>
  </si>
  <si>
    <t>PLANET SWEATSHIRT GY[GRAY/L]</t>
  </si>
  <si>
    <t>N-C17FWTE04GYSR</t>
  </si>
  <si>
    <t>NC17FWTE04GYSR</t>
  </si>
  <si>
    <t>PLANET SWEATSHIRT GY[GRAY/S]</t>
  </si>
  <si>
    <t>N-C17FWTE04BKLR</t>
  </si>
  <si>
    <t>NC17FWTE04BKLR</t>
  </si>
  <si>
    <t>PLANET SWEATSHIRT BK</t>
  </si>
  <si>
    <t>PLANET SWEATSHIRT BK[BLACK/L]</t>
  </si>
  <si>
    <t>N-C17FWTE04BKSR</t>
  </si>
  <si>
    <t>NC17FWTE04BKSR</t>
  </si>
  <si>
    <t>PLANET SWEATSHIRT BK[BLACK/S]</t>
  </si>
  <si>
    <t>N-C17FWTE03GYLR</t>
  </si>
  <si>
    <t>NC17FWTE03GYLR</t>
  </si>
  <si>
    <t>ROAMN WEATSHIRT GY</t>
  </si>
  <si>
    <t>ROAMN WEATSHIRT GY[GRAY/L]</t>
  </si>
  <si>
    <t>N-C17FWTE03GYSR</t>
  </si>
  <si>
    <t>NC17FWTE03GYSR</t>
  </si>
  <si>
    <t>ROAMN WEATSHIRT GY[GRAY/S]</t>
  </si>
  <si>
    <t>N-C17FWTE03BKLR</t>
  </si>
  <si>
    <t>NC17FWTE03BKLR</t>
  </si>
  <si>
    <t>ROAMN WEATSHIRT BK</t>
  </si>
  <si>
    <t>ROAMN WEATSHIRT BK[BLACK/L]</t>
  </si>
  <si>
    <t>N-C17FWTE03BKSR</t>
  </si>
  <si>
    <t>NC17FWTE03BKSR</t>
  </si>
  <si>
    <t>ROAMN WEATSHIRT BK[BLACK/S]</t>
  </si>
  <si>
    <t>N-C17FWTE02YLLR</t>
  </si>
  <si>
    <t>NC17FWTE02YLLR</t>
  </si>
  <si>
    <t>CLIMBER RUGBY TEE YE</t>
  </si>
  <si>
    <t>YELLOW/L</t>
  </si>
  <si>
    <t>CLIMBER RUGBY TEE YE[YELLOW/L]</t>
  </si>
  <si>
    <t>N-C17FWTE02YLMR</t>
  </si>
  <si>
    <t>NC17FWTE02YLMR</t>
  </si>
  <si>
    <t>CLIMBER RUGBY TEE YE[YELLOW/M]</t>
  </si>
  <si>
    <t>N-C17FWTE02BLLR</t>
  </si>
  <si>
    <t>NC17FWTE02BLLR</t>
  </si>
  <si>
    <t>CLIMBER RUGBY TEE BL</t>
  </si>
  <si>
    <t>CLIMBER RUGBY TEE BL[BLUE/L]</t>
  </si>
  <si>
    <t>N-C17FWTE02BLMR</t>
  </si>
  <si>
    <t>NC17FWTE02BLMR</t>
  </si>
  <si>
    <t>BLUE/M</t>
  </si>
  <si>
    <t>CLIMBER RUGBY TEE BL[BLUE/M]</t>
  </si>
  <si>
    <t>N-C17FWTE01NYLR</t>
  </si>
  <si>
    <t>NC17FWTE01NYLR</t>
  </si>
  <si>
    <t>CLIMBER VELOUR TEE</t>
  </si>
  <si>
    <t>CLIMBER VELOUR TEE[NAVY/L]</t>
  </si>
  <si>
    <t>N-C17FWTE01NYMR</t>
  </si>
  <si>
    <t>NC17FWTE01NYMR</t>
  </si>
  <si>
    <t>CLIMBER VELOUR TEE[NAVY/M]</t>
  </si>
  <si>
    <t>N-C17FWHD05NYLR</t>
  </si>
  <si>
    <t>NC17FWHD05NYLR</t>
  </si>
  <si>
    <t>ROMANTIC HOODIE</t>
  </si>
  <si>
    <t>ROMANTIC HOODIE[NAVY/L]</t>
  </si>
  <si>
    <t>N-C17FWHD05NYMR</t>
  </si>
  <si>
    <t>NC17FWHD05NYMR</t>
  </si>
  <si>
    <t>ROMANTIC HOODIE[NAVY/M]</t>
  </si>
  <si>
    <t>N-C17FWHD04BRLR</t>
  </si>
  <si>
    <t>NC17FWHD04BRLR</t>
  </si>
  <si>
    <t>NCS HOODIE BR</t>
  </si>
  <si>
    <t>BROWN/L</t>
  </si>
  <si>
    <t>NCS HOODIE BR[BROWN/L]</t>
  </si>
  <si>
    <t>N-C17FWHD04BRMR</t>
  </si>
  <si>
    <t>NC17FWHD04BRMR</t>
  </si>
  <si>
    <t>BROWN/M</t>
  </si>
  <si>
    <t>NCS HOODIE BR[BROWN/M]</t>
  </si>
  <si>
    <t>N-C17FWHD03BKLR</t>
  </si>
  <si>
    <t>NC17FWHD03BKLR</t>
  </si>
  <si>
    <t>ROMANTIC WIDE HOODIE BK</t>
  </si>
  <si>
    <t>ROMANTIC WIDE HOODIE BK[BLACK/L]</t>
  </si>
  <si>
    <t>N-C17FWHD03BKMR</t>
  </si>
  <si>
    <t>NC17FWHD03BKMR</t>
  </si>
  <si>
    <t>ROMANTIC WIDE HOODIE BK[BLACK/M]</t>
  </si>
  <si>
    <t>N-C17FWHD03GYLR</t>
  </si>
  <si>
    <t>NC17FWHD03GYLR</t>
  </si>
  <si>
    <t>ROMANTIC WIDE HOODIE GY</t>
  </si>
  <si>
    <t>ROMANTIC WIDE HOODIE GY[GRAY/L]</t>
  </si>
  <si>
    <t>N-C17FWHD02BLLR</t>
  </si>
  <si>
    <t>55 PATCH HOODIE BL</t>
  </si>
  <si>
    <t>NC17FWHD02BLLR</t>
  </si>
  <si>
    <t>55 PATCH HOODIE BL[BLUE/L]</t>
  </si>
  <si>
    <t>N-C17FWHD02BLMR</t>
  </si>
  <si>
    <t>NC17FWHD02BLMR</t>
  </si>
  <si>
    <t>55 PATCH HOODIE BL[BLUE/M]</t>
  </si>
  <si>
    <t>N-C17FWHD02BKLR</t>
  </si>
  <si>
    <t>NC17FWHD02BKLR</t>
  </si>
  <si>
    <t>55 PATCH HOODIE BK</t>
  </si>
  <si>
    <t>55 PATCH HOODIE BK[BLACK/L]</t>
  </si>
  <si>
    <t>N-C17FWHD02BKMR</t>
  </si>
  <si>
    <t>NC17FWHD02BKMR</t>
  </si>
  <si>
    <t>55 PATCH HOODIE BK[BLACK/M]</t>
  </si>
  <si>
    <t>N-C17FWHD01OGMR</t>
  </si>
  <si>
    <t>NC17FWHD01OGMR</t>
  </si>
  <si>
    <t>NC ZIPPER HOODIE OG</t>
  </si>
  <si>
    <t>BRICK RED/M</t>
  </si>
  <si>
    <t>NC ZIPPER HOODIE OG[BRICK RED/M]</t>
  </si>
  <si>
    <t>N-C17FWNK02RDLR</t>
  </si>
  <si>
    <t>NC17FWNK02RDLR</t>
  </si>
  <si>
    <t>PEACE BLOCK KNIT RD</t>
  </si>
  <si>
    <t>RED/L</t>
  </si>
  <si>
    <t>PEACE BLOCK KNIT RD[RED/L]</t>
  </si>
  <si>
    <t>N-C17FWNK02RDSR</t>
  </si>
  <si>
    <t>NC17FWNK02RDSR</t>
  </si>
  <si>
    <t>PEACE BLOCK KNIT RD[RED/S]</t>
  </si>
  <si>
    <t>N-C17FWNK02GNLR</t>
  </si>
  <si>
    <t>NC17FWNK02GNLR</t>
  </si>
  <si>
    <t>PEACE BLOCK KNIT GN</t>
  </si>
  <si>
    <t>GREEN/L</t>
  </si>
  <si>
    <t>PEACE BLOCK KNIT GN[GREEN/L]</t>
  </si>
  <si>
    <t>N-C17FWNK02GNSR</t>
  </si>
  <si>
    <t>NC17FWNK02GNSR</t>
  </si>
  <si>
    <t>GREEN/S</t>
  </si>
  <si>
    <t>PEACE BLOCK KNIT GN[GREEN/S]</t>
  </si>
  <si>
    <t>N-C17FWNK01BKLR</t>
  </si>
  <si>
    <t>NC17FWNK01BKLR</t>
  </si>
  <si>
    <t>N LOGO CARDIGAN</t>
  </si>
  <si>
    <t>N LOGO CARDIGAN[BLACK/L]</t>
  </si>
  <si>
    <t>N-C17FWNK01BKMR</t>
  </si>
  <si>
    <t>NC17FWNK01BKMR</t>
  </si>
  <si>
    <t>N LOGO CARDIGAN[BLACK/M]</t>
  </si>
  <si>
    <t>N-C17FWCT01BGSR</t>
  </si>
  <si>
    <t>NC17FWCT01BGSR</t>
  </si>
  <si>
    <t>NC TRENCH COAT BG</t>
  </si>
  <si>
    <t>NC TRENCH COAT BG[BEIGE/S]</t>
  </si>
  <si>
    <t>N-C17SUAC01BWHR</t>
  </si>
  <si>
    <t>NC17SUAC01BWHR</t>
  </si>
  <si>
    <t>FAKEDIVER CAP WH</t>
  </si>
  <si>
    <t>FAKEDIVER CAP WH[WHITE/F]</t>
  </si>
  <si>
    <t>N-C17SUAC01BKFR</t>
  </si>
  <si>
    <t>NC17SUAC01BKFR</t>
  </si>
  <si>
    <t>FAKEDIVER CAP BK</t>
  </si>
  <si>
    <t>FAKEDIVER CAP BK[BLACK/F]</t>
  </si>
  <si>
    <t>N-C17SUOP02WHFR</t>
  </si>
  <si>
    <t>NC17SUOP02WHFR</t>
  </si>
  <si>
    <t>FD SAILOR ONEPIECE WH</t>
  </si>
  <si>
    <t>FD SAILOR ONEPIECE WH[WHITE/F]</t>
  </si>
  <si>
    <t>N-C17SUOP01BLFR</t>
  </si>
  <si>
    <t>FD SHIRT ONEPIECE BL</t>
  </si>
  <si>
    <t>NC17SUOP01BLFR</t>
  </si>
  <si>
    <t>BLUE/F</t>
  </si>
  <si>
    <t>FD SHIRT ONEPIECE BL[BLUE/F]</t>
  </si>
  <si>
    <t>N-C17SUTE010WHFR</t>
  </si>
  <si>
    <t>FD V SLEEVELESS WH</t>
  </si>
  <si>
    <t>NC17SUTE010WHFR</t>
  </si>
  <si>
    <t>FD V SLEEVELESS WH[WHITE/F]</t>
  </si>
  <si>
    <t>N-C17SUTE010NYFR</t>
  </si>
  <si>
    <t>FD V SLEEVELESS NY</t>
  </si>
  <si>
    <t>NC17SUTE010NYFR</t>
  </si>
  <si>
    <t>FD V SLEEVELESS NY[NAVY/F]</t>
  </si>
  <si>
    <t>N-C17SUTE09GYLR</t>
  </si>
  <si>
    <t>17 OVER 1/2 TEE GY</t>
  </si>
  <si>
    <t>NC17SUTE09GYLR</t>
  </si>
  <si>
    <t>17 OVER 1/2 TEE GY[GRAY/L]</t>
  </si>
  <si>
    <t>N-C17SUTE09GYMR</t>
  </si>
  <si>
    <t>NC17SUTE09GYMR</t>
  </si>
  <si>
    <t>17 OVER 1/2 TEE GY[GRAY/M]</t>
  </si>
  <si>
    <t>N-C17SUTE09NYLR</t>
  </si>
  <si>
    <t>NC17SUTE09NYLR</t>
  </si>
  <si>
    <t>17 OVER 1/2 TEE NY</t>
  </si>
  <si>
    <t>17 OVER 1/2 TEE NY[NAVY/L]</t>
  </si>
  <si>
    <t>N-C17SUTE09NYMR</t>
  </si>
  <si>
    <t>NC17SUTE09NYMR</t>
  </si>
  <si>
    <t>17 OVER 1/2 TEE NY[NAVY/M]</t>
  </si>
  <si>
    <t>N-C17SUTE08NYLR</t>
  </si>
  <si>
    <t>FD STRIPE TEE BK</t>
  </si>
  <si>
    <t>NC17SUTE08NYLR</t>
  </si>
  <si>
    <t>FD STRIPE TEE BK[NAVY/L]</t>
  </si>
  <si>
    <t>N-C17SUTE08NYSR</t>
  </si>
  <si>
    <t>NC17SUTE08NYSR</t>
  </si>
  <si>
    <t>FD STRIPE TEE BK[NAVY/S]</t>
  </si>
  <si>
    <t>N-C17SUTE07YELR</t>
  </si>
  <si>
    <t>NC17SUTE07YELR</t>
  </si>
  <si>
    <t>FD RUGBY TEE YE</t>
  </si>
  <si>
    <t>FD RUGBY TEE YE[YELLOW/L]</t>
  </si>
  <si>
    <t>N-C17SUTE07YEMR</t>
  </si>
  <si>
    <t>NC17SUTE07YEMR</t>
  </si>
  <si>
    <t>FD RUGBY TEE YE[YELLOW/M]</t>
  </si>
  <si>
    <t>N-C17SUTE07BKLR</t>
  </si>
  <si>
    <t>FD RUGBY TEE BK</t>
  </si>
  <si>
    <t>NC17SUTE07BKLR</t>
  </si>
  <si>
    <t>FD RUGBY TEE BK[BLACK/L]</t>
  </si>
  <si>
    <t>N-C17SUTE07BKMR</t>
  </si>
  <si>
    <t>NC17SUTE07BKMR</t>
  </si>
  <si>
    <t>FD RUGBY TEE BK[BLACK/M]</t>
  </si>
  <si>
    <t>N-C17SUTE06WHLR</t>
  </si>
  <si>
    <t>FD V PATCH 1/2 TEE WH</t>
  </si>
  <si>
    <t>NC17SUTE06WHLR</t>
  </si>
  <si>
    <t>FD V PATCH 1/2 TEE WH[WHITE/L]</t>
  </si>
  <si>
    <t>N-C17SUTE06WHMR</t>
  </si>
  <si>
    <t>NC17SUTE06WHMR</t>
  </si>
  <si>
    <t>FD V PATCH 1/2 TEE WH[WHITE/M]</t>
  </si>
  <si>
    <t>N-C17SUTE06NYLR</t>
  </si>
  <si>
    <t>NC17SUTE06NYLR</t>
  </si>
  <si>
    <t>FD V PATCH 1/2 TEE NY</t>
  </si>
  <si>
    <t>FD V PATCH 1/2 TEE NY[NAVY/L]</t>
  </si>
  <si>
    <t>N-C17SUTE06NYMR</t>
  </si>
  <si>
    <t>NC17SUTE06NYMR</t>
  </si>
  <si>
    <t>FD V PATCH 1/2 TEE NY[NAVY/M]</t>
  </si>
  <si>
    <t>N-C17SUTE05YELR</t>
  </si>
  <si>
    <t>FD BASIC 1/2 TEE YE</t>
  </si>
  <si>
    <t>NC17SUTE05YELR</t>
  </si>
  <si>
    <t>FD BASIC 1/2 TEE YE[YELLOW/L]</t>
  </si>
  <si>
    <t>N-C17SUTE05YESR</t>
  </si>
  <si>
    <t>NC17SUTE05YESR</t>
  </si>
  <si>
    <t>FD BASIC 1/2 TEE YE[YELLOW/S]</t>
  </si>
  <si>
    <t>N-C17SUTE04PKFR</t>
  </si>
  <si>
    <t>NC17SUTE04PKFR</t>
  </si>
  <si>
    <t>NC LOGO 1/2 TEE PK</t>
  </si>
  <si>
    <t>NC LOGO 1/2 TEE PK[PINK/F]</t>
  </si>
  <si>
    <t>N-C17SUTE04WHFR</t>
  </si>
  <si>
    <t>NC17SUTE04WHFR</t>
  </si>
  <si>
    <t>NC LOGO 1/2 TEE WH</t>
  </si>
  <si>
    <t>NC LOGO 1/2 TEE WH[WHITE/F]</t>
  </si>
  <si>
    <t>N-C17SUTE03NYLR</t>
  </si>
  <si>
    <t>NC17SUTE03NYLR</t>
  </si>
  <si>
    <t>SILENTFROG TEE NY</t>
  </si>
  <si>
    <t>SILENTFROG TEE NY[NAVY/L]</t>
  </si>
  <si>
    <t>N-C17SUTE03NYSR</t>
  </si>
  <si>
    <t>NC17SUTE03NYSR</t>
  </si>
  <si>
    <t>SILENTFROG TEE NY[NAVY/S]</t>
  </si>
  <si>
    <t>N-C17SUTE02WHLR</t>
  </si>
  <si>
    <t>SHARK PRINT TEE WH</t>
  </si>
  <si>
    <t>NC17SUTE02WHLR</t>
  </si>
  <si>
    <t>SHARK PRINT TEE WH[WHITE/L]</t>
  </si>
  <si>
    <t>N-C17SUTE02WHSR</t>
  </si>
  <si>
    <t>NC17SUTE02WHSR</t>
  </si>
  <si>
    <t>SHARK PRINT TEE WH[WHITE/S]</t>
  </si>
  <si>
    <t>N-C17SUTE02NYLR</t>
  </si>
  <si>
    <t>SHARK PRINT TEE NY</t>
  </si>
  <si>
    <t>NC17SUTE02NYLR</t>
  </si>
  <si>
    <t>SHARK PRINT TEE NY[NAVY/L]</t>
  </si>
  <si>
    <t>N-C17SUTE02NYSR</t>
  </si>
  <si>
    <t>NC17SUTE02NYSR</t>
  </si>
  <si>
    <t>SHARK PRINT TEE NY[NAVY/S]</t>
  </si>
  <si>
    <t>N-C17SUTE01OGXR</t>
  </si>
  <si>
    <t>PLANET 1/2 TEE OG</t>
  </si>
  <si>
    <t>NC17SUTE01OGXR</t>
  </si>
  <si>
    <t>ORANGE/XL</t>
  </si>
  <si>
    <t>PLANET 1/2 TEE OG[ORANGE/XL]</t>
  </si>
  <si>
    <t>N-C17SUTE01OGMR</t>
  </si>
  <si>
    <t>NC17SUTE01OGMR</t>
  </si>
  <si>
    <t>PLANET 1/2 TEE OG[ORANGE/M]</t>
  </si>
  <si>
    <t>N-C17SUTE01NYXR</t>
  </si>
  <si>
    <t>PLANET 1/2 TEE NY</t>
  </si>
  <si>
    <t>NC17SUTE01NYXR</t>
  </si>
  <si>
    <t>NAVY/XL</t>
  </si>
  <si>
    <t>PLANET 1/2 TEE NY[NAVY/XL]</t>
  </si>
  <si>
    <t>N-C17SUTE01NYMR</t>
  </si>
  <si>
    <t>NC17SUTE01NYMR</t>
  </si>
  <si>
    <t>PLANET 1/2 TEE NY[NAVY/M]</t>
  </si>
  <si>
    <t>N-C16SUTE02NYLR</t>
  </si>
  <si>
    <t>OVER 1/2 TEE NY</t>
  </si>
  <si>
    <t>NC16SUTE02NYLR</t>
  </si>
  <si>
    <t>NY/L</t>
  </si>
  <si>
    <t>OVER 1/2 TEE NY[NY/L]</t>
  </si>
  <si>
    <t>N-C16SUTE02NYMR</t>
  </si>
  <si>
    <t>NC16SUTE02NYMR</t>
  </si>
  <si>
    <t>NY/M</t>
  </si>
  <si>
    <t>OVER 1/2 TEE NY[NY/M]</t>
  </si>
  <si>
    <t>N-C16SUTE02WHLR</t>
  </si>
  <si>
    <t>OVER 1/2 TEE WH</t>
  </si>
  <si>
    <t>NC16SUTE02WHLR</t>
  </si>
  <si>
    <t>WH/L</t>
  </si>
  <si>
    <t>OVER 1/2 TEE WH[WH/L]</t>
  </si>
  <si>
    <t>N-C16SUTE02WHMR</t>
  </si>
  <si>
    <t>NC16SUTE02WHMR</t>
  </si>
  <si>
    <t>WH/M</t>
  </si>
  <si>
    <t>OVER 1/2 TEE WH[WH/M]</t>
  </si>
  <si>
    <t>N-C16SUTE01PKFR</t>
  </si>
  <si>
    <t>NC16SUTE01PKFR</t>
  </si>
  <si>
    <t>FLOWER TEE PK</t>
  </si>
  <si>
    <t>FLOWER TEE PK[PINK/F]</t>
  </si>
  <si>
    <t>N-C16SUTE01WHMR</t>
  </si>
  <si>
    <t>FLOWER TEE WH</t>
  </si>
  <si>
    <t>NC16SUTE01WHMR</t>
  </si>
  <si>
    <t>FLOWER TEE WH[WHITE/M]</t>
  </si>
  <si>
    <t>N-C15SSTE01WHLR</t>
  </si>
  <si>
    <t>MARCH PATCH 1/2 TEE WH</t>
  </si>
  <si>
    <t>NC15SSTE01WHLR</t>
  </si>
  <si>
    <t>MARCH PATCH 1/2 TEE WH[WHITE/L]</t>
  </si>
  <si>
    <t>N-C15SSTE01WHMR</t>
  </si>
  <si>
    <t>NC15SSTE01WHMR</t>
  </si>
  <si>
    <t>MARCH PATCH 1/2 TEE WH[WHITE/M]</t>
  </si>
  <si>
    <t>N-C17SSTE11BKLR</t>
  </si>
  <si>
    <t>NEWKID TEE BK</t>
  </si>
  <si>
    <t>NC17SSTE11BKLR</t>
  </si>
  <si>
    <t>NEWKID TEE BK[BLACK/L]</t>
  </si>
  <si>
    <t>N-C17SSTE11BKMR</t>
  </si>
  <si>
    <t>NC17SSTE11BKMR</t>
  </si>
  <si>
    <t>NEWKID TEE BK[BLACK/M]</t>
  </si>
  <si>
    <t>N-C17SSTE10BKLR</t>
  </si>
  <si>
    <t>NEWCOMER TEE BK</t>
  </si>
  <si>
    <t>NC17SSTE10BKLR</t>
  </si>
  <si>
    <t>NEWCOMER TEE BK[BLACK/L]</t>
  </si>
  <si>
    <t>N-C17SSTE10BKMR</t>
  </si>
  <si>
    <t>NC17SSTE10BKMR</t>
  </si>
  <si>
    <t>NEWCOMER TEE BK[BLACK/M]</t>
  </si>
  <si>
    <t>N-C17SSTE10YELR</t>
  </si>
  <si>
    <t>NC17SSTE10YELR</t>
  </si>
  <si>
    <t>NEWCOMER TEE YE</t>
  </si>
  <si>
    <t>NEWCOMER TEE YE[YELLOW/L]</t>
  </si>
  <si>
    <t>N-C17SSTE10YEMR</t>
  </si>
  <si>
    <t>NC17SSTE10YEMR</t>
  </si>
  <si>
    <t>NEWCOMER TEE YE[YELLOW/M]</t>
  </si>
  <si>
    <t>N-C17SSHD05GYLR</t>
  </si>
  <si>
    <t>NC17SSHD05GYLR</t>
  </si>
  <si>
    <t>NCS HOODIE GY</t>
  </si>
  <si>
    <t>NCS HOODIE GY[GRAY/L]</t>
  </si>
  <si>
    <t>N-C17SSHD05GYMR</t>
  </si>
  <si>
    <t>NC17SSHD05GYMR</t>
  </si>
  <si>
    <t>NCS HOODIE GY[GRAY/M]</t>
  </si>
  <si>
    <t>N-C17SSHD05WHLR</t>
  </si>
  <si>
    <t>NC17SSHD05WHLR</t>
  </si>
  <si>
    <t>NCS HOODIE WH</t>
  </si>
  <si>
    <t>NCS HOODIE WH[WHITE/L]</t>
  </si>
  <si>
    <t>N-C17SSHD05WHMR</t>
  </si>
  <si>
    <t>NC17SSHD05WHMR</t>
  </si>
  <si>
    <t>NCS HOODIE WH[WHITE/M]</t>
  </si>
  <si>
    <t>N-C17SSOP02BLFR</t>
  </si>
  <si>
    <t>NC17SSOP02BLFR</t>
  </si>
  <si>
    <t>NC SHIRT ONEPIECE BL</t>
  </si>
  <si>
    <t>SKYBLUE/FREE</t>
  </si>
  <si>
    <t>NC SHIRT ONEPIECE BL[SKYBLUE/FREE]</t>
  </si>
  <si>
    <t>N-C17SSTE04NYLR</t>
  </si>
  <si>
    <t>17 MARCH SWEATSHIRT NY</t>
  </si>
  <si>
    <t>NC17SSTE04NYLR</t>
  </si>
  <si>
    <t>17 MARCH SWEATSHIRT NY[NAVY/L]</t>
  </si>
  <si>
    <t>N-C17SSTE04NYMR</t>
  </si>
  <si>
    <t>NC17SSTE04NYMR</t>
  </si>
  <si>
    <t>17 MARCH SWEATSHIRT NY[NAVY/M]</t>
  </si>
  <si>
    <t>N-C17SSTE03GYLR</t>
  </si>
  <si>
    <t>NC17SSTE03GYLR</t>
  </si>
  <si>
    <t>NEWKID SWEATSHIRT GY</t>
  </si>
  <si>
    <t>NEWKID SWEATSHIRT GY[GRAY/L]</t>
  </si>
  <si>
    <t>N-C17SSTE03GYMR</t>
  </si>
  <si>
    <t>NC17SSTE03GYMR</t>
  </si>
  <si>
    <t>NEWKID SWEATSHIRT GY[GRAY/M]</t>
  </si>
  <si>
    <t>N-C17SSHD04NYLR</t>
  </si>
  <si>
    <t>NEWKID LINE HOODIE NY</t>
  </si>
  <si>
    <t>NC17SSHD04NYLR</t>
  </si>
  <si>
    <t>NEWKID LINE HOODIE NY[NAVY/L]</t>
  </si>
  <si>
    <t>N-C17SSHD04NYMR</t>
  </si>
  <si>
    <t>NC17SSHD04NYMR</t>
  </si>
  <si>
    <t>NEWKID LINE HOODIE NY[NAVY/M]</t>
  </si>
  <si>
    <t>N-C17SSHD04GNLR</t>
  </si>
  <si>
    <t>NEWKID LINE HOODIE GN</t>
  </si>
  <si>
    <t>NC17SSHD04GNLR</t>
  </si>
  <si>
    <t>NEWKID LINE HOODIE GN[GREEN/L]</t>
  </si>
  <si>
    <t>N-C17SSHD04GNMR</t>
  </si>
  <si>
    <t>NC17SSHD04GNMR</t>
  </si>
  <si>
    <t>GREEN/M</t>
  </si>
  <si>
    <t>NEWKID LINE HOODIE GN[GREEN/M]</t>
  </si>
  <si>
    <t>N-C17SSTE02GYLR</t>
  </si>
  <si>
    <t>NC17SSTE02GYLR</t>
  </si>
  <si>
    <t>OVER SWEATSHIRT GY</t>
  </si>
  <si>
    <t>OVER SWEATSHIRT GY[GRAY/L]</t>
  </si>
  <si>
    <t>N-C17SSTE02GYSR</t>
  </si>
  <si>
    <t>NC17SSTE02GYSR</t>
  </si>
  <si>
    <t>OVER SWEATSHIRT GY[GRAY/S]</t>
  </si>
  <si>
    <t>N-C17SSTE02BKLR</t>
  </si>
  <si>
    <t>NC17SSTE02BKLR</t>
  </si>
  <si>
    <t>OVER SWEATSHIRT BK</t>
  </si>
  <si>
    <t>OVER SWEATSHIRT BK[BLACK/L]</t>
  </si>
  <si>
    <t>N-C17SSTE02BKSR</t>
  </si>
  <si>
    <t>NC17SSTE02BKSR</t>
  </si>
  <si>
    <t>OVER SWEATSHIRT BK[BLACK/S]</t>
  </si>
  <si>
    <t>N-C17SSTE02BELR</t>
  </si>
  <si>
    <t>NC17SSTE02BELR</t>
  </si>
  <si>
    <t>OVER SWEATSHIRT BE</t>
  </si>
  <si>
    <t>OVER SWEATSHIRT BE[BEIGE/L]</t>
  </si>
  <si>
    <t>N-C17SSTE02BESR</t>
  </si>
  <si>
    <t>NC17SSTE02BESR</t>
  </si>
  <si>
    <t>OVER SWEATSHIRT BE[BEIGE/S]</t>
  </si>
  <si>
    <t>N-C17SSOP01NYFR</t>
  </si>
  <si>
    <t>NC17SSOP01NYFR</t>
  </si>
  <si>
    <t>NC SAILOR ONEPIECE NY</t>
  </si>
  <si>
    <t>NC SAILOR ONEPIECE NY[NAVY/FREE]</t>
  </si>
  <si>
    <t>N-C17SSHD03BKLR</t>
  </si>
  <si>
    <t>NC17SSHD03BKLR</t>
  </si>
  <si>
    <t>WIDE SLEEVES HOODIE BK</t>
  </si>
  <si>
    <t>WIDE SLEEVES HOODIE BK[BLACK/L]</t>
  </si>
  <si>
    <t>N-C17SSHD03BKMR</t>
  </si>
  <si>
    <t>NC17SSHD03BKMR</t>
  </si>
  <si>
    <t>WIDE SLEEVES HOODIE BK[BLACK/M]</t>
  </si>
  <si>
    <t>N-C17SSHD02GYLR</t>
  </si>
  <si>
    <t>NC17SSHD02GYLR</t>
  </si>
  <si>
    <t>NEW CLW HOODIE GY</t>
  </si>
  <si>
    <t>NEW CLW HOODIE GY[GRAY/L]</t>
  </si>
  <si>
    <t>N-C17SSHD02GYMR</t>
  </si>
  <si>
    <t>NC17SSHD02GYMR</t>
  </si>
  <si>
    <t>NEW CLW HOODIE GY[GRAY/M]</t>
  </si>
  <si>
    <t>N-C17SSHD02BKLR</t>
  </si>
  <si>
    <t>NC17SSHD02BKLR</t>
  </si>
  <si>
    <t>NEW CLW HOODIE BK</t>
  </si>
  <si>
    <t>NEW CLW HOODIE BK[BLACK/L]</t>
  </si>
  <si>
    <t>N-C17SSHD02BKMR</t>
  </si>
  <si>
    <t>NC17SSHD02BKMR</t>
  </si>
  <si>
    <t>NEW CLW HOODIE BK[BLACK/M]</t>
  </si>
  <si>
    <t>N-C17SSHD01BKLR</t>
  </si>
  <si>
    <t>NC17SSHD01BKLR</t>
  </si>
  <si>
    <t>NC BLOCK HOODIE BK</t>
  </si>
  <si>
    <t>NC BLOCK HOODIE BK[BLACK/L]</t>
  </si>
  <si>
    <t>N-C17SSHD01BKMR</t>
  </si>
  <si>
    <t>NC17SSHD01BKMR</t>
  </si>
  <si>
    <t>NC BLOCK HOODIE BK[BLACK/M]</t>
  </si>
  <si>
    <t>N-C17SSTE01BKLR</t>
  </si>
  <si>
    <t>NC17SSTE01BKLR</t>
  </si>
  <si>
    <t>NC V SWEATSHIRT BK</t>
  </si>
  <si>
    <t>NC V SWEATSHIRT BK[BLACK/L]</t>
  </si>
  <si>
    <t>N-C17SSTE01BKMR</t>
  </si>
  <si>
    <t>NC17SSTE01BKMR</t>
  </si>
  <si>
    <t>NC V SWEATSHIRT BK[BLACK/M]</t>
  </si>
  <si>
    <t>N-C16SSOP01WHFR</t>
  </si>
  <si>
    <t>NC16SSOP01WHFR</t>
  </si>
  <si>
    <t>ROCKET PATCH
ONEPIECE WH</t>
  </si>
  <si>
    <t>617000201WHF</t>
  </si>
  <si>
    <t>white/F</t>
  </si>
  <si>
    <t>ROCKET PATCH
ONEPIECE WH[white/F]</t>
  </si>
  <si>
    <t>N-C16SSOP01NYFR</t>
  </si>
  <si>
    <t>NC16SSOP01NYFR</t>
  </si>
  <si>
    <t>ROCKET PATCH
ONEPIECE NY</t>
  </si>
  <si>
    <t>617000601NVF</t>
  </si>
  <si>
    <t>navy/F</t>
  </si>
  <si>
    <t>ROCKET PATCH
ONEPIECE NY[navy/F]</t>
  </si>
  <si>
    <t>N-C15FWHD01BKMR</t>
  </si>
  <si>
    <t>NC15FWHD01BKMR</t>
  </si>
  <si>
    <t>CLW HOODIE
BK</t>
  </si>
  <si>
    <t>533000104BKM</t>
  </si>
  <si>
    <t>CLW HOODIE
BK[black/M]</t>
  </si>
  <si>
    <t>N-C15FWHD01BKLR</t>
  </si>
  <si>
    <t>NC15FWHD01BKLR</t>
  </si>
  <si>
    <t>black/L</t>
  </si>
  <si>
    <t>CLW HOODIE
BK[black/L]</t>
  </si>
  <si>
    <t>N-C15FWHD01GRLR</t>
  </si>
  <si>
    <t>NC15FWHD01GRLR</t>
  </si>
  <si>
    <t>CLW HOODIE
GR</t>
  </si>
  <si>
    <t>533000305GYL</t>
  </si>
  <si>
    <t>gray/L</t>
  </si>
  <si>
    <t>CLW HOODIE
GR[gray/L]</t>
  </si>
  <si>
    <t>N-C16SUTE01WH</t>
  </si>
  <si>
    <t>NC16SUTE01WH</t>
  </si>
  <si>
    <t>#N/A[WHITE/M]</t>
  </si>
  <si>
    <t>N-C16SSHD01BKMR</t>
  </si>
  <si>
    <t>NC16SSHD01BKMR</t>
  </si>
  <si>
    <t>613000105BKM</t>
  </si>
  <si>
    <t>#N/A[BLACK/M]</t>
  </si>
  <si>
    <t>N-C15FWHD01GRMR</t>
  </si>
  <si>
    <t>NC15FWHD01GRMR</t>
  </si>
  <si>
    <t>gray/M</t>
  </si>
  <si>
    <t>#N/A[gray/M]</t>
  </si>
  <si>
    <t>N-C16SSHD01BKLR</t>
  </si>
  <si>
    <t>NC16SSHD01BKLR</t>
  </si>
  <si>
    <t>MARS HOODIE
BK</t>
  </si>
  <si>
    <t>613000105BKL</t>
  </si>
  <si>
    <t>MARS HOODIE
BK[black/L]</t>
  </si>
  <si>
    <t>N-C16FWHD01BKFR</t>
  </si>
  <si>
    <t>NC16FWHD01BKFR</t>
  </si>
  <si>
    <t>NC TAPE
HOODIE</t>
  </si>
  <si>
    <t>633000101BKF</t>
  </si>
  <si>
    <t>black/F</t>
  </si>
  <si>
    <t>NC TAPE
HOODIE[black/F]</t>
  </si>
  <si>
    <t>N-C16FWTE05NYLR</t>
  </si>
  <si>
    <t>NC16FWTE05NYLR</t>
  </si>
  <si>
    <t>LOGO
STRIPE TEE</t>
  </si>
  <si>
    <t>632040605NVL</t>
  </si>
  <si>
    <t>navy/L</t>
  </si>
  <si>
    <t>LOGO
STRIPE TEE[navy/L]</t>
  </si>
  <si>
    <t>N-C16FWTE05NYMR</t>
  </si>
  <si>
    <t>NC16FWTE05NYMR</t>
  </si>
  <si>
    <t>632040604NVM</t>
  </si>
  <si>
    <t>LOGO
STRIPE TEE[navy/M]</t>
  </si>
  <si>
    <t>N-C16FWTE04BRLR</t>
  </si>
  <si>
    <t>TIGER
SWEATSHIRT
BR</t>
  </si>
  <si>
    <t>NC16FWTE04BRLR</t>
  </si>
  <si>
    <t>brown/L</t>
  </si>
  <si>
    <t>TIGER
SWEATSHIRT
BR[brown/L]</t>
  </si>
  <si>
    <t>N-C16FWTE04BRSR</t>
  </si>
  <si>
    <t>NC16FWTE04BRSR</t>
  </si>
  <si>
    <t>brown/S</t>
  </si>
  <si>
    <t>TIGER
SWEATSHIRT
BR[brown/S]</t>
  </si>
  <si>
    <t>N-C16FWTE03GNLR</t>
  </si>
  <si>
    <t>NC16FWTE03GNLR</t>
  </si>
  <si>
    <t>LOGO
SWEATSHIRT
GN</t>
  </si>
  <si>
    <t>632000705GRL</t>
  </si>
  <si>
    <t>green/L</t>
  </si>
  <si>
    <t>LOGO
SWEATSHIRT
GN[green/L]</t>
  </si>
  <si>
    <t>N-C16FWTE03GNSR</t>
  </si>
  <si>
    <t>NC16FWTE03GNSR</t>
  </si>
  <si>
    <t>green/S</t>
  </si>
  <si>
    <t>LOGO
SWEATSHIRT
GN[green/S]</t>
  </si>
  <si>
    <t>N-C16FWTE03BKSR</t>
  </si>
  <si>
    <t>NC16FWTE03BKSR</t>
  </si>
  <si>
    <t>LOGO
SWEATSHIRT
BK</t>
  </si>
  <si>
    <t>632000103BKS</t>
  </si>
  <si>
    <t>LOGO
SWEATSHIRT
BK[black/S]</t>
  </si>
  <si>
    <t>N-C16FWTE02BKSR</t>
  </si>
  <si>
    <t>NC16FWTE02BKSR</t>
  </si>
  <si>
    <t>DESTROY
SWEATSHIRT</t>
  </si>
  <si>
    <t>632010103BKS</t>
  </si>
  <si>
    <t>DESTROY
SWEATSHIRT[black/S]</t>
  </si>
  <si>
    <t>N-C16FWTE01WHFR</t>
  </si>
  <si>
    <t>NC16FWTE01WHFR</t>
  </si>
  <si>
    <t>BOTTLE
SWEATSHIRT WH</t>
  </si>
  <si>
    <t>632030201WHF</t>
  </si>
  <si>
    <t>BOTTLE
SWEATSHIRT WH[white/F]</t>
  </si>
  <si>
    <t>N-C16FWTE01NYFR</t>
  </si>
  <si>
    <t>NC16FWTE01NYFR</t>
  </si>
  <si>
    <t>BOTTLE
SWEATSHIRT NY</t>
  </si>
  <si>
    <t>632030601NVF</t>
  </si>
  <si>
    <t>BOTTLE
SWEATSHIRT NY[navy/F]</t>
  </si>
  <si>
    <t>N-C16FWNK02WHFR</t>
  </si>
  <si>
    <t>NC16FWNK02WHFR</t>
  </si>
  <si>
    <t>DRUG KNIT
SWEATSHIRT WH</t>
  </si>
  <si>
    <t>634010201WHF</t>
  </si>
  <si>
    <t>DRUG KNIT
SWEATSHIRT WH[white/F]</t>
  </si>
  <si>
    <t>N-C16FWNK02BKFR</t>
  </si>
  <si>
    <t>DRUG KNIT
SWEATSHIRT BK</t>
  </si>
  <si>
    <t>NC16FWNK02BKFR</t>
  </si>
  <si>
    <t>DRUG KNIT
SWEATSHIRT BK[black/F]</t>
  </si>
  <si>
    <t>N-C16FWOP02NYFR</t>
  </si>
  <si>
    <t>NC16FWOP02NYFR</t>
  </si>
  <si>
    <t>STRIPE SHIRT
ONEPIECE</t>
  </si>
  <si>
    <t>637010601NVF</t>
  </si>
  <si>
    <t>STRIPE SHIRT
ONEPIECE[navy/F]</t>
  </si>
  <si>
    <t>N-C16FWOP01BKFR</t>
  </si>
  <si>
    <t>TIGER WOOL
ONEPIECE</t>
  </si>
  <si>
    <t>NC16FWOP01BKFR</t>
  </si>
  <si>
    <t>TIGER WOOL
ONEPIECE[black/F]</t>
  </si>
  <si>
    <t>N-C16FWNK01GRFR</t>
  </si>
  <si>
    <t>NC16FWNK01GRFR</t>
  </si>
  <si>
    <t>MARCH
CARDIGAN GR</t>
  </si>
  <si>
    <t>634000301GYF</t>
  </si>
  <si>
    <t>gray/F</t>
  </si>
  <si>
    <t>MARCH
CARDIGAN GR[gray/F]</t>
  </si>
  <si>
    <t>N-C16FWNK01BKFR</t>
  </si>
  <si>
    <t>NC16FWNK01BKFR</t>
  </si>
  <si>
    <t>MARCH
CARDIGAN BK</t>
  </si>
  <si>
    <t>634000101BKF</t>
  </si>
  <si>
    <t>MARCH
CARDIGAN BK[black/F]</t>
  </si>
  <si>
    <t>M-17FWRN005SV</t>
  </si>
  <si>
    <t>M17FWRN005SV</t>
  </si>
  <si>
    <t>Round &amp; ball ring</t>
  </si>
  <si>
    <t>Silver/FREE</t>
  </si>
  <si>
    <t>Round &amp; ball ring[Silver/FREE]</t>
  </si>
  <si>
    <t>M-17FWRN005GD</t>
  </si>
  <si>
    <t>M17FWRN005GD</t>
  </si>
  <si>
    <t>Gold/FREE</t>
  </si>
  <si>
    <t>Round &amp; ball ring[Gold/FREE]</t>
  </si>
  <si>
    <t>M-17FWRN003SV</t>
  </si>
  <si>
    <t>M17FWRN003SV</t>
  </si>
  <si>
    <t>Holiday twist ring</t>
  </si>
  <si>
    <t>Holiday twist ring[Silver/FREE]</t>
  </si>
  <si>
    <t>M-17FWRN003GD</t>
  </si>
  <si>
    <t>M17FWRN003GD</t>
  </si>
  <si>
    <t>Holiday twist ring[Gold/FREE]</t>
  </si>
  <si>
    <t>M-17FWRN002BL</t>
  </si>
  <si>
    <t>M17FWRN002BL</t>
  </si>
  <si>
    <t>Holiday tear ring</t>
  </si>
  <si>
    <t>Holiday tear ring[Blue/FREE]</t>
  </si>
  <si>
    <t>M-17FWRN002RD</t>
  </si>
  <si>
    <t>M17FWRN002RD</t>
  </si>
  <si>
    <t>Holiday tear ring[Red/FREE]</t>
  </si>
  <si>
    <t>M-17FWRN001KH</t>
  </si>
  <si>
    <t>M17FWRN001KH</t>
  </si>
  <si>
    <t>Holiday cube ring</t>
  </si>
  <si>
    <t>Khaki/FREE</t>
  </si>
  <si>
    <t>Holiday cube ring[Khaki/FREE]</t>
  </si>
  <si>
    <t>M-17FWRN001RD</t>
  </si>
  <si>
    <t>M17FWRN001RD</t>
  </si>
  <si>
    <t>Holiday cube ring[Red/FREE]</t>
  </si>
  <si>
    <t>M-17FWNC003GD</t>
  </si>
  <si>
    <t>M17FWNC003GD</t>
  </si>
  <si>
    <t>Pearl &amp; crystal necklace</t>
  </si>
  <si>
    <t>Pearl &amp; crystal necklace[Gold/FREE]</t>
  </si>
  <si>
    <t>M-17FWNC002GD</t>
  </si>
  <si>
    <t>M17FWNC002GD</t>
  </si>
  <si>
    <t>Holiday crystal necklace</t>
  </si>
  <si>
    <t>Holiday crystal necklace[Gold/FREE]</t>
  </si>
  <si>
    <t>M-17FWNC006SV</t>
  </si>
  <si>
    <t>M17FWNC006SV</t>
  </si>
  <si>
    <t>Season 2 curved bar necklace</t>
  </si>
  <si>
    <t>Season 2 curved bar necklace[Silver/FREE]</t>
  </si>
  <si>
    <t>M-17FWNC006GD</t>
  </si>
  <si>
    <t>M17FWNC006GD</t>
  </si>
  <si>
    <t>Season 2 curved bar necklace[Gold/FREE]</t>
  </si>
  <si>
    <t>M-17FWNC001SV</t>
  </si>
  <si>
    <t>M17FWNC001SV</t>
  </si>
  <si>
    <t>The Galaxy long necklace</t>
  </si>
  <si>
    <t>The Galaxy long necklace[Silver/FREE]</t>
  </si>
  <si>
    <t>M-17FWER008SV</t>
  </si>
  <si>
    <t>M17FWER008SV</t>
  </si>
  <si>
    <t>Holiday moon earrings</t>
  </si>
  <si>
    <t>Holiday moon earrings[Silver/FREE]</t>
  </si>
  <si>
    <t>M-17FWER008GD</t>
  </si>
  <si>
    <t>M17FWER008GD</t>
  </si>
  <si>
    <t>Holiday moon earrings[Gold/FREE]</t>
  </si>
  <si>
    <t>M-17FWER007GD</t>
  </si>
  <si>
    <t>M17FWER007GD</t>
  </si>
  <si>
    <t>Charms earrings</t>
  </si>
  <si>
    <t>Charms earrings[Gold/FREE]</t>
  </si>
  <si>
    <t>M-17FWER006SV</t>
  </si>
  <si>
    <t>M17FWER006SV</t>
  </si>
  <si>
    <t>Season2 curved bar earrings</t>
  </si>
  <si>
    <t>Season2 curved bar earrings[Silver/FREE]</t>
  </si>
  <si>
    <t>M-17FWER006GD</t>
  </si>
  <si>
    <t>M17FWER006GD</t>
  </si>
  <si>
    <t>Season2 curved bar earrings[Gold/FREE]</t>
  </si>
  <si>
    <t>M-17FWER005SV</t>
  </si>
  <si>
    <t>M17FWER005SV</t>
  </si>
  <si>
    <t>Unbalanced round drop earrings</t>
  </si>
  <si>
    <t>Unbalanced round drop earrings[Silver/FREE]</t>
  </si>
  <si>
    <t>M-17FWER005GD</t>
  </si>
  <si>
    <t>M17FWER005GD</t>
  </si>
  <si>
    <t>Unbalanced round drop earrings[Gold/FREE]</t>
  </si>
  <si>
    <t>M-17FWER003SV</t>
  </si>
  <si>
    <t>M17FWER003SV</t>
  </si>
  <si>
    <t>Double chain earrings</t>
  </si>
  <si>
    <t>Double chain earrings[Silver/FREE]</t>
  </si>
  <si>
    <t>M-17FWER003GD</t>
  </si>
  <si>
    <t>M17FWER003GD</t>
  </si>
  <si>
    <t>Double chain earrings[Gold/FREE]</t>
  </si>
  <si>
    <t>M-17FWER002SV</t>
  </si>
  <si>
    <t>M17FWER002SV</t>
  </si>
  <si>
    <t>Shining star earrings[Silver/FREE]</t>
  </si>
  <si>
    <t>M-17FWER002GD</t>
  </si>
  <si>
    <t>Shining star earrings[Gold/FREE]</t>
  </si>
  <si>
    <t>M-17FWER001SV</t>
  </si>
  <si>
    <t>M17FWER001SV</t>
  </si>
  <si>
    <t>Holiday earrings</t>
  </si>
  <si>
    <t>Holiday earrings[Silver/FREE]</t>
  </si>
  <si>
    <t>M-17FWER001GD</t>
  </si>
  <si>
    <t>M17FWER001GD</t>
  </si>
  <si>
    <t>Holiday earrings[Gold/FREE]</t>
  </si>
  <si>
    <t>M-17FWBC003GD</t>
  </si>
  <si>
    <t>M17FWBC003GD</t>
  </si>
  <si>
    <t>Cubic &amp; round bangle</t>
  </si>
  <si>
    <t>Cubic &amp; round bangle[Gold/FREE]</t>
  </si>
  <si>
    <t>M-17FWBC002GD</t>
  </si>
  <si>
    <t>M17FWBC002GD</t>
  </si>
  <si>
    <t>Holiday crystal bracelet</t>
  </si>
  <si>
    <t>Holiday crystal bracelet[Gold/FREE]</t>
  </si>
  <si>
    <t>M-17FWBC001SV</t>
  </si>
  <si>
    <t>M17FWBC001SV</t>
  </si>
  <si>
    <t>The Galaxy  bracelet</t>
  </si>
  <si>
    <t>The Galaxy  bracelet[Silver/FREE]</t>
  </si>
  <si>
    <t>M-17SSRN002SV</t>
  </si>
  <si>
    <t>Round ring</t>
  </si>
  <si>
    <t>M17SSRN002SV</t>
  </si>
  <si>
    <t>Round ring[Silver/FREE]</t>
  </si>
  <si>
    <t>M-17SSRN002GD</t>
  </si>
  <si>
    <t>M17SSRN002GD</t>
  </si>
  <si>
    <t>Round ring[Gold/FREE]</t>
  </si>
  <si>
    <t>M-17SSRN001GD</t>
  </si>
  <si>
    <t>O-ring</t>
  </si>
  <si>
    <t>M17SSRN001GD</t>
  </si>
  <si>
    <t>O-ring[Gold/FREE]</t>
  </si>
  <si>
    <t>M-17SSNC007GD</t>
  </si>
  <si>
    <t>M17SSNC007GD</t>
  </si>
  <si>
    <t>O ring simple necklace</t>
  </si>
  <si>
    <t>O ring simple necklace[Silver/FREE]</t>
  </si>
  <si>
    <t>M-17SSNC002GD</t>
  </si>
  <si>
    <t>Chandelier drop necklace</t>
  </si>
  <si>
    <t>M17SSNC002GD</t>
  </si>
  <si>
    <t>Chandelier drop necklace[Gold/FREE]</t>
  </si>
  <si>
    <t>M-17SSNC001GD</t>
  </si>
  <si>
    <t>M17SSNC001GD</t>
  </si>
  <si>
    <t>OT simple necklace</t>
  </si>
  <si>
    <t>OT simple necklace[Gold/FREE]</t>
  </si>
  <si>
    <t>M-17SSER008SV</t>
  </si>
  <si>
    <t>M17SSER008SV</t>
  </si>
  <si>
    <t>Unsymmetrical chain earrings</t>
  </si>
  <si>
    <t>Unsymmetrical chain earrings[Silver/FREE]</t>
  </si>
  <si>
    <t>M-17SSER007GD</t>
  </si>
  <si>
    <t>M17SSER007GD</t>
  </si>
  <si>
    <t>O rings earrings</t>
  </si>
  <si>
    <t>O rings earrings[Gold/FREE]</t>
  </si>
  <si>
    <t>M-17SSER006GD</t>
  </si>
  <si>
    <t>Doorknob ver2. earrings</t>
  </si>
  <si>
    <t>M17SSER006GD</t>
  </si>
  <si>
    <t>Doorknob ver2. earrings[Gold/FREE]</t>
  </si>
  <si>
    <t>M-17SSER005GD</t>
  </si>
  <si>
    <t>M17SSER005GD</t>
  </si>
  <si>
    <t>Double hexagons earrings</t>
  </si>
  <si>
    <t>Double hexagons earrings[Gold/FREE]</t>
  </si>
  <si>
    <t>M-17SSER003SV</t>
  </si>
  <si>
    <t>Doorknob earrings</t>
  </si>
  <si>
    <t>M17SSER003SV</t>
  </si>
  <si>
    <t>Doorknob earrings[Silver/FREE]</t>
  </si>
  <si>
    <t>M-17SSER003GD</t>
  </si>
  <si>
    <t>M17SSER003GD</t>
  </si>
  <si>
    <t>Doorknob earrings[Gold/FREE]</t>
  </si>
  <si>
    <t>M-17SSER002SV</t>
  </si>
  <si>
    <t>M17SSER002SV</t>
  </si>
  <si>
    <t>Chandelier drop earrings</t>
  </si>
  <si>
    <t>Chandelier drop earrings[Silver/FREE]</t>
  </si>
  <si>
    <t>M-17SSER002GD</t>
  </si>
  <si>
    <t>M17SSER002GD</t>
  </si>
  <si>
    <t>Chandelier drop earrings[Gold/FREE]</t>
  </si>
  <si>
    <t>M-17SSER001SV</t>
  </si>
  <si>
    <t>Variable chandelier earrings</t>
  </si>
  <si>
    <t>M17SSER001SV</t>
  </si>
  <si>
    <t>Variable chandelier earrings[Silver/FREE]</t>
  </si>
  <si>
    <t>M-17SSER001GD</t>
  </si>
  <si>
    <t>M17SSER001GD</t>
  </si>
  <si>
    <t>Variable chandelier earrings[Gold/FREE]</t>
  </si>
  <si>
    <t>M-17SSBC005GD</t>
  </si>
  <si>
    <t>Double hexagons bracelet</t>
  </si>
  <si>
    <t>M17SSBC005GD</t>
  </si>
  <si>
    <t>Double hexagons bracelet[Gold/FREE]</t>
  </si>
  <si>
    <t>M-17SSBC002GD</t>
  </si>
  <si>
    <t>Chandelier drop bracelet</t>
  </si>
  <si>
    <t>M17SSBC002GD</t>
  </si>
  <si>
    <t>Chandelier drop bracelet[Gold/FREE]</t>
  </si>
  <si>
    <t>m-nmm17fwc03_x</t>
  </si>
  <si>
    <t>MnMM17fwc03_x</t>
  </si>
  <si>
    <t>gold mix ball case</t>
  </si>
  <si>
    <t>mnmm17fwc03_x</t>
  </si>
  <si>
    <t>iPhonex/deepgreen</t>
  </si>
  <si>
    <t>gold mix ball case[iPhonex/deepgreen]</t>
  </si>
  <si>
    <t>m-nmm17fwc03_8p</t>
  </si>
  <si>
    <t>MnMM17fwc03_8p</t>
  </si>
  <si>
    <t>mnmm17fwc03_8p</t>
  </si>
  <si>
    <t>iPhone8+/deepgreen</t>
  </si>
  <si>
    <t>gold mix ball case[iPhone8+/deepgreen]</t>
  </si>
  <si>
    <t>m-nmm17fwc03_8</t>
  </si>
  <si>
    <t>MnMM17fwc03_8</t>
  </si>
  <si>
    <t>mnmm17fwc03_8</t>
  </si>
  <si>
    <t>iPhone8/deepgreen</t>
  </si>
  <si>
    <t>gold mix ball case[iPhone8/deepgreen]</t>
  </si>
  <si>
    <t>m-nmm17fwc03_7p</t>
  </si>
  <si>
    <t>MnMM17fwc03_7p</t>
  </si>
  <si>
    <t>mnmm17fwc03_7p</t>
  </si>
  <si>
    <t>iPhone7+/deepgreen</t>
  </si>
  <si>
    <t>gold mix ball case[iPhone7+/deepgreen]</t>
  </si>
  <si>
    <t>m-nmm17fwc03_7</t>
  </si>
  <si>
    <t>MnMM17fwc03_7</t>
  </si>
  <si>
    <t>mnmm17fwc03_7</t>
  </si>
  <si>
    <t>iPhone7/deepgreen</t>
  </si>
  <si>
    <t>gold mix ball case[iPhone7/deepgreen]</t>
  </si>
  <si>
    <t>m-nmm17fwc03_6p6ps</t>
  </si>
  <si>
    <t>MnMM17fwc03_6p6ps</t>
  </si>
  <si>
    <t>mnmm17fwc03_6p6ps</t>
  </si>
  <si>
    <t>iPhone6+/6+s/deepgreen</t>
  </si>
  <si>
    <t>gold mix ball case[iPhone6+/6+s/deepgreen]</t>
  </si>
  <si>
    <t>m-nmm17fwc03_66s</t>
  </si>
  <si>
    <t>MnMM17fwc03_66s</t>
  </si>
  <si>
    <t>mnmm17fwc03_66s</t>
  </si>
  <si>
    <t>iPhone6/6s/deepgreen</t>
  </si>
  <si>
    <t>gold mix ball case[iPhone6/6s/deepgreen]</t>
  </si>
  <si>
    <t>m-nmm17fwc02_x</t>
  </si>
  <si>
    <t>MnMM17fwc02_x</t>
  </si>
  <si>
    <t>lather grip case sand</t>
  </si>
  <si>
    <t>mnmm17fwc02_x</t>
  </si>
  <si>
    <t>iPhonex/begie</t>
  </si>
  <si>
    <t>lather grip case sand[iPhonex/begie]</t>
  </si>
  <si>
    <t>m-nmm17fwc02_8p</t>
  </si>
  <si>
    <t>MnMM17fwc02_8p</t>
  </si>
  <si>
    <t>mnmm17fwc02_8p</t>
  </si>
  <si>
    <t>iPhone8+/begie</t>
  </si>
  <si>
    <t>lather grip case sand[iPhone8+/begie]</t>
  </si>
  <si>
    <t>m-nmm17fwc02_8</t>
  </si>
  <si>
    <t>MnMM17fwc02_8</t>
  </si>
  <si>
    <t>mnmm17fwc02_8</t>
  </si>
  <si>
    <t>iPhone8/begie</t>
  </si>
  <si>
    <t>lather grip case sand[iPhone8/begie]</t>
  </si>
  <si>
    <t>m-nmm17fwc02_7p</t>
  </si>
  <si>
    <t>MnMM17fwc02_7p</t>
  </si>
  <si>
    <t>mnmm17fwc02_7p</t>
  </si>
  <si>
    <t>iPhone7+/begie</t>
  </si>
  <si>
    <t>lather grip case sand[iPhone7+/begie]</t>
  </si>
  <si>
    <t>m-nmm17fwc02_7</t>
  </si>
  <si>
    <t>MnMM17fwc02_7</t>
  </si>
  <si>
    <t>mnmm17fwc02_7</t>
  </si>
  <si>
    <t>iPhone7/begie</t>
  </si>
  <si>
    <t>lather grip case sand[iPhone7/begie]</t>
  </si>
  <si>
    <t>m-nmm17fwc02_6p6ps</t>
  </si>
  <si>
    <t>MnMM17fwc02_6p6ps</t>
  </si>
  <si>
    <t>mnmm17fwc02_6p6ps</t>
  </si>
  <si>
    <t>iPhone6+/6+s/begie</t>
  </si>
  <si>
    <t>lather grip case sand[iPhone6+/6+s/begie]</t>
  </si>
  <si>
    <t>m-nmm17fwc02_66s</t>
  </si>
  <si>
    <t>MnMM17fwc02_66s</t>
  </si>
  <si>
    <t>mnmm17fwc02_66s</t>
  </si>
  <si>
    <t>iPhone6/6s/begie</t>
  </si>
  <si>
    <t>lather grip case sand[iPhone6/6s/begie]</t>
  </si>
  <si>
    <t>m-nmm17fwc01_x</t>
  </si>
  <si>
    <t>MnMM17fwc01_x</t>
  </si>
  <si>
    <t>lather grip case tree</t>
  </si>
  <si>
    <t>mnmm17fwc01_x</t>
  </si>
  <si>
    <t>lather grip case tree[iPhonex/deepgreen]</t>
  </si>
  <si>
    <t>m-nmm17fwc01_8p</t>
  </si>
  <si>
    <t>MnMM17fwc01_8p</t>
  </si>
  <si>
    <t>mnmm17fwc01_8p</t>
  </si>
  <si>
    <t>lather grip case tree[iPhone8+/deepgreen]</t>
  </si>
  <si>
    <t>m-nmm17fwc01_8</t>
  </si>
  <si>
    <t>MnMM17fwc01_8</t>
  </si>
  <si>
    <t>mnmm17fwc01_8</t>
  </si>
  <si>
    <t>lather grip case tree[iPhone8/deepgreen]</t>
  </si>
  <si>
    <t>m-nmm17fwc01_7p</t>
  </si>
  <si>
    <t>MnMM17fwc01_7p</t>
  </si>
  <si>
    <t>mnmm17fwc01_7p</t>
  </si>
  <si>
    <t>lather grip case tree[iPhone7+/deepgreen]</t>
  </si>
  <si>
    <t>m-nmm17fwc01_7</t>
  </si>
  <si>
    <t>MnMM17fwc01_7</t>
  </si>
  <si>
    <t>mnmm17fwc01_7</t>
  </si>
  <si>
    <t>lather grip case tree[iPhone7/deepgreen]</t>
  </si>
  <si>
    <t>m-nmm17fwc01_6p6ps</t>
  </si>
  <si>
    <t>MnMM17fwc01_6p6ps</t>
  </si>
  <si>
    <t>mnmm17fwc01_6p6ps</t>
  </si>
  <si>
    <t>lather grip case tree[iPhone6+/6+s/deepgreen]</t>
  </si>
  <si>
    <t>m-nmm17fwc01_66s</t>
  </si>
  <si>
    <t>MnMM17fwc01_66s</t>
  </si>
  <si>
    <t>mnmm17fwc01_66s</t>
  </si>
  <si>
    <t>lather grip case tree[iPhone6/6s/deepgreen]</t>
  </si>
  <si>
    <t>m-nmm17fwb25</t>
  </si>
  <si>
    <t>Saturday bracelet</t>
  </si>
  <si>
    <t>mnmm17fwb25</t>
  </si>
  <si>
    <t>gold</t>
  </si>
  <si>
    <t>Saturday bracelet[gold]</t>
  </si>
  <si>
    <t>m-nmm17fwb24</t>
  </si>
  <si>
    <t>MnMM17fwb24</t>
  </si>
  <si>
    <t>evening bangle</t>
  </si>
  <si>
    <t>mnmm17fwb24</t>
  </si>
  <si>
    <t>evening bangle[gold]</t>
  </si>
  <si>
    <t>m-nmm17fwr23</t>
  </si>
  <si>
    <t>planet ring</t>
  </si>
  <si>
    <t>mnmm17fwr23</t>
  </si>
  <si>
    <t>mix</t>
  </si>
  <si>
    <t>planet ring[mix]</t>
  </si>
  <si>
    <t>m-nmm17fwr22</t>
  </si>
  <si>
    <t>take ring</t>
  </si>
  <si>
    <t>mnmm17fwr22</t>
  </si>
  <si>
    <t>silver</t>
  </si>
  <si>
    <t>take ring[silver]</t>
  </si>
  <si>
    <t>m-nmm17fwn21</t>
  </si>
  <si>
    <t>gravity necklace</t>
  </si>
  <si>
    <t>mnmm17fwn21</t>
  </si>
  <si>
    <t>gravity necklace[gold]</t>
  </si>
  <si>
    <t>m-nmm17fwn20</t>
  </si>
  <si>
    <t>foamy necklace</t>
  </si>
  <si>
    <t>mnmm17fwn20</t>
  </si>
  <si>
    <t>foamy necklace[gold]</t>
  </si>
  <si>
    <t>m-nmm17fwn19</t>
  </si>
  <si>
    <t>kink necklace</t>
  </si>
  <si>
    <t>mnmm17fwn19</t>
  </si>
  <si>
    <t>kink necklace[gold]</t>
  </si>
  <si>
    <t>m-nmm17fwe18</t>
  </si>
  <si>
    <t>sand earring</t>
  </si>
  <si>
    <t>mnmm17fwe18</t>
  </si>
  <si>
    <t>sand earring[mix]</t>
  </si>
  <si>
    <t>m-nmm17fwe17</t>
  </si>
  <si>
    <t>blaze earring</t>
  </si>
  <si>
    <t>mnmm17fwe17</t>
  </si>
  <si>
    <t>blaze earring[gold]</t>
  </si>
  <si>
    <t>m-nmm17fwe16</t>
  </si>
  <si>
    <t>velvet ball circle earring</t>
  </si>
  <si>
    <t>mnmm17fwe16</t>
  </si>
  <si>
    <t>green</t>
  </si>
  <si>
    <t>velvet ball circle earring[green]</t>
  </si>
  <si>
    <t>m-nmm17fwe15</t>
  </si>
  <si>
    <t>MnMM17fwe15</t>
  </si>
  <si>
    <t>foamy earring</t>
  </si>
  <si>
    <t>mnmm17fwe15</t>
  </si>
  <si>
    <t>foamy earring[gold]</t>
  </si>
  <si>
    <t>m-nmm17fwe14</t>
  </si>
  <si>
    <t>select earring</t>
  </si>
  <si>
    <t>mnmm17fwe14</t>
  </si>
  <si>
    <t>select earring[gold]</t>
  </si>
  <si>
    <t>m-nmm17fwe13</t>
  </si>
  <si>
    <t>kink earring</t>
  </si>
  <si>
    <t>mnmm17fwe13</t>
  </si>
  <si>
    <t>kink earring[gold]</t>
  </si>
  <si>
    <t>m-nmm17fwe12</t>
  </si>
  <si>
    <t>evening single earring</t>
  </si>
  <si>
    <t>mnmm17fwe12</t>
  </si>
  <si>
    <t>evening single earring[mix]</t>
  </si>
  <si>
    <t>m-nmm17fwe11</t>
  </si>
  <si>
    <t>pure earring</t>
  </si>
  <si>
    <t>mnmm17fwe11</t>
  </si>
  <si>
    <t>pure earring[silver]</t>
  </si>
  <si>
    <t>m-nmm17fwe10</t>
  </si>
  <si>
    <t>two ways earring</t>
  </si>
  <si>
    <t>mnmm17fwe10</t>
  </si>
  <si>
    <t>two ways earring[gold]</t>
  </si>
  <si>
    <t>m-nmm17fwe09</t>
  </si>
  <si>
    <t>shell earring</t>
  </si>
  <si>
    <t>mnmm17fwe09</t>
  </si>
  <si>
    <t>shell earring[silver]</t>
  </si>
  <si>
    <t>m-nmm17fwe08</t>
  </si>
  <si>
    <t>MnMM17fwe08</t>
  </si>
  <si>
    <t>tears earring</t>
  </si>
  <si>
    <t>mnmm17fwe08</t>
  </si>
  <si>
    <t>tears earring[silver]</t>
  </si>
  <si>
    <t>m-nmm17fwe07</t>
  </si>
  <si>
    <t>galaxy earring</t>
  </si>
  <si>
    <t>mnmm17fwe07</t>
  </si>
  <si>
    <t>galaxy earring[gold]</t>
  </si>
  <si>
    <t>m-nmm17fwe06</t>
  </si>
  <si>
    <t>mild earring</t>
  </si>
  <si>
    <t>mnmm17fwe06</t>
  </si>
  <si>
    <t>mild earring[gold]</t>
  </si>
  <si>
    <t>m-nmm17fwe05</t>
  </si>
  <si>
    <t>MnMM17fwe05</t>
  </si>
  <si>
    <t>bunch earring</t>
  </si>
  <si>
    <t>mnmm17fwe05</t>
  </si>
  <si>
    <t>bunch earring[gold]</t>
  </si>
  <si>
    <t>m-nmm17fwe04</t>
  </si>
  <si>
    <t>MnMM17fwe04</t>
  </si>
  <si>
    <t>bouquet earring</t>
  </si>
  <si>
    <t>mnmm17fwe04</t>
  </si>
  <si>
    <t>bouquet earring[gold]</t>
  </si>
  <si>
    <t>m-nmm17fwe03</t>
  </si>
  <si>
    <t>marble tassel earring</t>
  </si>
  <si>
    <t>mnmm17fwe03</t>
  </si>
  <si>
    <t>navy</t>
  </si>
  <si>
    <t>marble tassel earring[navy]</t>
  </si>
  <si>
    <t>m-nmm17fwe02</t>
  </si>
  <si>
    <t>dewdrop tassel earring</t>
  </si>
  <si>
    <t>mnmm17fwe02</t>
  </si>
  <si>
    <t>dewdrop tassel earring[gold]</t>
  </si>
  <si>
    <t>m-nmm17fwe01</t>
  </si>
  <si>
    <t>dewdrop earring</t>
  </si>
  <si>
    <t>mnmm17fwe01</t>
  </si>
  <si>
    <t>dewdrop earring[gold]</t>
  </si>
  <si>
    <t>m-nmm17ss2e19</t>
  </si>
  <si>
    <t>flower choker</t>
  </si>
  <si>
    <t>mnmm17ss2e19</t>
  </si>
  <si>
    <t>white</t>
  </si>
  <si>
    <t>flower choker[white]</t>
  </si>
  <si>
    <t>m-nmm17ss2e18</t>
  </si>
  <si>
    <t>three bar gold choker</t>
  </si>
  <si>
    <t>mnmm17ss2e18</t>
  </si>
  <si>
    <t>three bar gold choker[gold]</t>
  </si>
  <si>
    <t>m-nmm17ss2e17</t>
  </si>
  <si>
    <t>MnMM17ss2e17</t>
  </si>
  <si>
    <t>three bar silver choker</t>
  </si>
  <si>
    <t>mnmm17ss2e17</t>
  </si>
  <si>
    <t>three bar silver choker[silver]</t>
  </si>
  <si>
    <t>m-nmm17ss2e16</t>
  </si>
  <si>
    <t>MnMM17ss2e16</t>
  </si>
  <si>
    <t>cross circle choker</t>
  </si>
  <si>
    <t>mnmm17ss2e16</t>
  </si>
  <si>
    <t>cross circle choker[silver]</t>
  </si>
  <si>
    <t>m-nmm17ss2e15</t>
  </si>
  <si>
    <t>MnMM17ss2e15</t>
  </si>
  <si>
    <t>flower earring</t>
  </si>
  <si>
    <t>mnmm17ss2e15</t>
  </si>
  <si>
    <t>flower earring[white]</t>
  </si>
  <si>
    <t>m-nmm17ss2e14</t>
  </si>
  <si>
    <t>MnMM17ss2e14</t>
  </si>
  <si>
    <t>wood ring earring</t>
  </si>
  <si>
    <t>mnmm17ss2e14</t>
  </si>
  <si>
    <t>brown</t>
  </si>
  <si>
    <t>wood ring earring[brown]</t>
  </si>
  <si>
    <t>m-nmm17ss2e13</t>
  </si>
  <si>
    <t>circle pearl earring</t>
  </si>
  <si>
    <t>mnmm17ss2e13</t>
  </si>
  <si>
    <t>circle pearl earring[silver]</t>
  </si>
  <si>
    <t>m-nmm17ss2e12</t>
  </si>
  <si>
    <t>three gray ball earring</t>
  </si>
  <si>
    <t>mnmm17ss2e12</t>
  </si>
  <si>
    <t>three gray ball earring[silver]</t>
  </si>
  <si>
    <t>m-nmm17ss2e11</t>
  </si>
  <si>
    <t>MnMM17ss2e11</t>
  </si>
  <si>
    <t>informal gold earring</t>
  </si>
  <si>
    <t>mnmm17ss2e11</t>
  </si>
  <si>
    <t>informal gold earring[gold]</t>
  </si>
  <si>
    <t>m-nmm17ss2e10</t>
  </si>
  <si>
    <t>water pearl drop earring</t>
  </si>
  <si>
    <t>mnmm17ss2e10</t>
  </si>
  <si>
    <t>water pearl drop earring[silver]</t>
  </si>
  <si>
    <t>m-nmm17ss2e09</t>
  </si>
  <si>
    <t>MnMM17ss2e09</t>
  </si>
  <si>
    <t>leaf drop gold earring</t>
  </si>
  <si>
    <t>mnmm17ss2e09</t>
  </si>
  <si>
    <t>leaf drop gold earring[gold]</t>
  </si>
  <si>
    <t>m-nmm17ss2e08</t>
  </si>
  <si>
    <t>MnMM17ss2e08</t>
  </si>
  <si>
    <t>water pearl earring</t>
  </si>
  <si>
    <t>mnmm17ss2e08</t>
  </si>
  <si>
    <t>water pearl earring[silver]</t>
  </si>
  <si>
    <t>m-nmm17ss2e07</t>
  </si>
  <si>
    <t>water drop marble earring</t>
  </si>
  <si>
    <t>mnmm17ss2e07</t>
  </si>
  <si>
    <t>water drop marble earring[green]</t>
  </si>
  <si>
    <t>m-nmm17ss2e06</t>
  </si>
  <si>
    <t>window marble ball earring</t>
  </si>
  <si>
    <t>mnmm17ss2e06</t>
  </si>
  <si>
    <t>window marble ball earring[gold]</t>
  </si>
  <si>
    <t>m-nmm17ss2e05</t>
  </si>
  <si>
    <t>window marble stand earring[silver]</t>
  </si>
  <si>
    <t>m-nmm17ss2e04</t>
  </si>
  <si>
    <t>MnMM17ss2e04</t>
  </si>
  <si>
    <t>half moon wood cream earring</t>
  </si>
  <si>
    <t>mnmm17ss2e04</t>
  </si>
  <si>
    <t>cream</t>
  </si>
  <si>
    <t>half moon wood cream earring[cream]</t>
  </si>
  <si>
    <t>m-nmm17ss2e03</t>
  </si>
  <si>
    <t>MnMM17ss2e03</t>
  </si>
  <si>
    <t>half moon wood green earring</t>
  </si>
  <si>
    <t>mnmm17ss2e03</t>
  </si>
  <si>
    <t>half moon wood green earring[green]</t>
  </si>
  <si>
    <t>m-nmm17ss2e02</t>
  </si>
  <si>
    <t>blod ring gold earring</t>
  </si>
  <si>
    <t>mnmm17ss2e02</t>
  </si>
  <si>
    <t>blod ring gold earring[gold]</t>
  </si>
  <si>
    <t>m-nmm17ss2e01</t>
  </si>
  <si>
    <t>bold ring silver earring</t>
  </si>
  <si>
    <t>mnmm17ss2e01</t>
  </si>
  <si>
    <t>bold ring silver earring[silver]</t>
  </si>
  <si>
    <t>m-nmm16fwc09N_x</t>
  </si>
  <si>
    <t>MnMM16fwc09N_x</t>
  </si>
  <si>
    <t>pearl chain white case</t>
  </si>
  <si>
    <t>mnmm16fwc09N_x</t>
  </si>
  <si>
    <t>iPhone X/wh</t>
  </si>
  <si>
    <t>pearl chain white case[iPhone X/wh]</t>
  </si>
  <si>
    <t>m-nmm16fwc09N_8p</t>
  </si>
  <si>
    <t>MnMM16fwc09N_8p</t>
  </si>
  <si>
    <t>mnmm16fwc09N_8p</t>
  </si>
  <si>
    <t>iPhone 8P/wh</t>
  </si>
  <si>
    <t>pearl chain white case[iPhone 8P/wh]</t>
  </si>
  <si>
    <t>m-nmm16fwc09N_8</t>
  </si>
  <si>
    <t>MnMM16fwc09N_8</t>
  </si>
  <si>
    <t>mnmm16fwc09N_8</t>
  </si>
  <si>
    <t>iPhone 8/wh</t>
  </si>
  <si>
    <t>pearl chain white case[iPhone 8/wh]</t>
  </si>
  <si>
    <t>M-NMM16FWC09_66S</t>
  </si>
  <si>
    <t>MNMM16FWC09_66S</t>
  </si>
  <si>
    <t>wh</t>
  </si>
  <si>
    <t>pearl chain white case[wh]</t>
  </si>
  <si>
    <t>m-nmm17ssc22N_x</t>
  </si>
  <si>
    <t>MnMM17ssc22N_x</t>
  </si>
  <si>
    <t>pearl gold chain white case</t>
  </si>
  <si>
    <t>mnmm17ssc22N_x</t>
  </si>
  <si>
    <t>pearl gold chain white case[iPhone X/wh]</t>
  </si>
  <si>
    <t>m-nmm17ssc22N_8p</t>
  </si>
  <si>
    <t>MnMM17ssc22N_8p</t>
  </si>
  <si>
    <t>mnmm17ssc22N_8p</t>
  </si>
  <si>
    <t>pearl gold chain white case[iPhone 8P/wh]</t>
  </si>
  <si>
    <t>m-nmm17ssc22N_8</t>
  </si>
  <si>
    <t>MnMM17ssc22N_8</t>
  </si>
  <si>
    <t>mnmm17ssc22N_8</t>
  </si>
  <si>
    <t>pearl gold chain white case[iPhone 8/wh]</t>
  </si>
  <si>
    <t>M-NMM17SSC22_6P6SP</t>
  </si>
  <si>
    <t>MNMM17SSC22_6P6SP</t>
  </si>
  <si>
    <t>pearl gold chain white case[wh]</t>
  </si>
  <si>
    <t>m-nmm17ssc21_7</t>
  </si>
  <si>
    <t>iPhone 7/bk</t>
  </si>
  <si>
    <t>pearl gold chain black case[iPhone 7/bk]</t>
  </si>
  <si>
    <t>m-nmm17ssc21N_x</t>
  </si>
  <si>
    <t>MnMM17ssc21N_x</t>
  </si>
  <si>
    <t>mnmm17ssc21N_x</t>
  </si>
  <si>
    <t>iPhone X/bk</t>
  </si>
  <si>
    <t>pearl gold chain black case[iPhone X/bk]</t>
  </si>
  <si>
    <t>m-nmm17ssc21N_8p</t>
  </si>
  <si>
    <t>MnMM17ssc21N_8p</t>
  </si>
  <si>
    <t>mnmm17ssc21N_8p</t>
  </si>
  <si>
    <t>iPhone 8P/bk</t>
  </si>
  <si>
    <t>pearl gold chain black case[iPhone 8P/bk]</t>
  </si>
  <si>
    <t>m-nmm17ssc21N_8</t>
  </si>
  <si>
    <t>MnMM17ssc21N_8</t>
  </si>
  <si>
    <t>mnmm17ssc21N_8</t>
  </si>
  <si>
    <t>iPhone 8/bk</t>
  </si>
  <si>
    <t>pearl gold chain black case[iPhone 8/bk]</t>
  </si>
  <si>
    <t>m-nmm17ssc21_66s</t>
  </si>
  <si>
    <t>mnmm17ssc21_66s</t>
  </si>
  <si>
    <t>bk</t>
  </si>
  <si>
    <t>pearl gold chain black case[bk]</t>
  </si>
  <si>
    <t>m-nmm16fwc08N_x</t>
  </si>
  <si>
    <t>MnMM16fwc08N_x</t>
  </si>
  <si>
    <t>pearl chain black case</t>
  </si>
  <si>
    <t>mnmm16fwc08N_x</t>
  </si>
  <si>
    <t>pearl chain black case[iPhone X/bk]</t>
  </si>
  <si>
    <t>m-nmm16fwc08N_8p</t>
  </si>
  <si>
    <t>MnMM16fwc08N_8p</t>
  </si>
  <si>
    <t>mnmm16fwc08N_8p</t>
  </si>
  <si>
    <t>pearl chain black case[iPhone 8P/bk]</t>
  </si>
  <si>
    <t>m-nmm16fwc08N_8</t>
  </si>
  <si>
    <t>mnmm16fwc08N_8</t>
  </si>
  <si>
    <t>pearl chain black case[iPhone 8/bk]</t>
  </si>
  <si>
    <t>m-nmm16fwc08_66s</t>
  </si>
  <si>
    <t>mnmm16fwc08_66s</t>
  </si>
  <si>
    <t>iPhone 66s/bk</t>
  </si>
  <si>
    <t>pearl chain black case[iPhone 66s/bk]</t>
  </si>
  <si>
    <t>m-nmm16ssc08N_x</t>
  </si>
  <si>
    <t>MnMM16ssc08N_x</t>
  </si>
  <si>
    <t>marble tassel case</t>
  </si>
  <si>
    <t>mnmm16ssc08N_x</t>
  </si>
  <si>
    <t>marble tassel case[iPhone X/wh]</t>
  </si>
  <si>
    <t>m-nmm16ssc08N_8p</t>
  </si>
  <si>
    <t>MnMM16ssc08N_8p</t>
  </si>
  <si>
    <t>mnmm16ssc08N_8p</t>
  </si>
  <si>
    <t>marble tassel case[iPhone 8P/wh]</t>
  </si>
  <si>
    <t>m-nmm16ssc08N_8</t>
  </si>
  <si>
    <t>MnMM16ssc08N_8</t>
  </si>
  <si>
    <t>mnmm16ssc08N_8</t>
  </si>
  <si>
    <t>marble tassel case[iPhone 8/wh]</t>
  </si>
  <si>
    <t>M-NMM16SSC08_6P6SP</t>
  </si>
  <si>
    <t>MnMM16ssc08_66s</t>
  </si>
  <si>
    <t>mnmm16ssc08_66s</t>
  </si>
  <si>
    <t>marble tassel case[wh]</t>
  </si>
  <si>
    <t>m-nmm16ssc07_7p</t>
  </si>
  <si>
    <t>iPhone 7P/bk</t>
  </si>
  <si>
    <t>marble case[iPhone 7P/bk]</t>
  </si>
  <si>
    <t>m-nmm16ssc07N_x</t>
  </si>
  <si>
    <t>MnMM16ssc07N_x</t>
  </si>
  <si>
    <t>mnmm16ssc07N_x</t>
  </si>
  <si>
    <t>marble case[iPhone X/bk]</t>
  </si>
  <si>
    <t>m-nmm16ssc07N_8p</t>
  </si>
  <si>
    <t>MnMM16ssc07N_8p</t>
  </si>
  <si>
    <t>mnmm16ssc07N_8p</t>
  </si>
  <si>
    <t>marble case[iPhone 8P/bk]</t>
  </si>
  <si>
    <t>m-nmm16ssc07N_8</t>
  </si>
  <si>
    <t>MnMM16ssc07N_8</t>
  </si>
  <si>
    <t>mnmm16ssc07N_8</t>
  </si>
  <si>
    <t>marble case[iPhone 8/bk]</t>
  </si>
  <si>
    <t>m-nmm16ssc07_66s</t>
  </si>
  <si>
    <t>MnMM16ssc07_66s</t>
  </si>
  <si>
    <t>mnmm16ssc07_66s</t>
  </si>
  <si>
    <t>marble case[bk]</t>
  </si>
  <si>
    <t>m-nmm16ssc06_7</t>
  </si>
  <si>
    <t>blanc case</t>
  </si>
  <si>
    <t>mnmm16ssc06_7</t>
  </si>
  <si>
    <t>iPhone 7/wh</t>
  </si>
  <si>
    <t>blanc case[iPhone 7/wh]</t>
  </si>
  <si>
    <t>m-nmm16ssc06N_x</t>
  </si>
  <si>
    <t>MnMM16ssc06N_x</t>
  </si>
  <si>
    <t>mnmm16ssc06N_x</t>
  </si>
  <si>
    <t>blanc case[iPhone X/wh]</t>
  </si>
  <si>
    <t>m-nmm16ssc06N_8p</t>
  </si>
  <si>
    <t>MnMM16ssc06N_8p</t>
  </si>
  <si>
    <t>mnmm16ssc06N_8p</t>
  </si>
  <si>
    <t>blanc case[iPhone 8P/wh]</t>
  </si>
  <si>
    <t>m-nmm16ssc06N_8</t>
  </si>
  <si>
    <t>MnMM16ssc06N_8</t>
  </si>
  <si>
    <t>mnmm16ssc06N_8</t>
  </si>
  <si>
    <t>blanc case[iPhone 8/wh]</t>
  </si>
  <si>
    <t>M-NMM16SSC06_6P6SP</t>
  </si>
  <si>
    <t>MNMM16SSC06_6P6SP</t>
  </si>
  <si>
    <t>iphone 6P6SP/wh</t>
  </si>
  <si>
    <t>blanc case[iphone 6P6SP/wh]</t>
  </si>
  <si>
    <t>m-nmm16ssc05_7p</t>
  </si>
  <si>
    <t>mnmm16ssc05_7p</t>
  </si>
  <si>
    <t>iphone 7p/bk</t>
  </si>
  <si>
    <t>control case[iphone 7p/bk]</t>
  </si>
  <si>
    <t>m-nmm16ssc05_7</t>
  </si>
  <si>
    <t>iphone 7/bk</t>
  </si>
  <si>
    <t>control case[iphone 7/bk]</t>
  </si>
  <si>
    <t>m-nmm16ssc05N_x</t>
  </si>
  <si>
    <t>MnMM16ssc05N_x</t>
  </si>
  <si>
    <t>mnmm16ssc05N_x</t>
  </si>
  <si>
    <t>control case[iPhone X/bk]</t>
  </si>
  <si>
    <t>m-nmm16ssc05N_8p</t>
  </si>
  <si>
    <t>MnMM16ssc05N_8p</t>
  </si>
  <si>
    <t>mnmm16ssc05N_8p</t>
  </si>
  <si>
    <t>control case[iPhone 8P/bk]</t>
  </si>
  <si>
    <t>m-nmm16ssc05N_8</t>
  </si>
  <si>
    <t>MnMM16ssc05N_8</t>
  </si>
  <si>
    <t>mnmm16ssc05N_8</t>
  </si>
  <si>
    <t>control case[iPhone 8/bk]</t>
  </si>
  <si>
    <t>m-nmm16ssc05_66s</t>
  </si>
  <si>
    <t>MnMM16ssc05_66s</t>
  </si>
  <si>
    <t>mnmm16ssc05_66s</t>
  </si>
  <si>
    <t>control case[bk]</t>
  </si>
  <si>
    <t>m-nmm17ssn20</t>
  </si>
  <si>
    <t>MnMM17ssn20</t>
  </si>
  <si>
    <t>velvet long scarf</t>
  </si>
  <si>
    <t>mnmm17ssn20</t>
  </si>
  <si>
    <t>velvet long scarf[bk]</t>
  </si>
  <si>
    <t>m-nmm17ssb19</t>
  </si>
  <si>
    <t>gold hexagon bracelet</t>
  </si>
  <si>
    <t>mnmm17ssb19</t>
  </si>
  <si>
    <t>gold hexagon bracelet[gold]</t>
  </si>
  <si>
    <t>m-nmm17ssn18</t>
  </si>
  <si>
    <t>MnMM17ssn18</t>
  </si>
  <si>
    <t>link chain hexagon necklace</t>
  </si>
  <si>
    <t>mnmm17ssn18</t>
  </si>
  <si>
    <t>sv</t>
  </si>
  <si>
    <t>link chain hexagon necklace[sv]</t>
  </si>
  <si>
    <t>m-nmm17ssn17</t>
  </si>
  <si>
    <t>half moon in soul necklace</t>
  </si>
  <si>
    <t>mnmm17ssn17</t>
  </si>
  <si>
    <t>half moon in soul necklace[sv]</t>
  </si>
  <si>
    <t>M-nMM17ssn16</t>
  </si>
  <si>
    <t>MnMM17ssn16</t>
  </si>
  <si>
    <t>link chain drop pearl necklace</t>
  </si>
  <si>
    <t>mnmm17ssn16</t>
  </si>
  <si>
    <t>link chain drop pearl necklace[sv]</t>
  </si>
  <si>
    <t>m-nmm17ssn15</t>
  </si>
  <si>
    <t>pray for the moon necklace</t>
  </si>
  <si>
    <t>mnmm17ssn15</t>
  </si>
  <si>
    <t>pray for the moon necklace[sv]</t>
  </si>
  <si>
    <t>m-nmm17sse14</t>
  </si>
  <si>
    <t>pray for the moon earring</t>
  </si>
  <si>
    <t>mnmm17sse14</t>
  </si>
  <si>
    <t>pray for the moon earring[sv]</t>
  </si>
  <si>
    <t>m-nmm17sse13</t>
  </si>
  <si>
    <t>link chain drop pearl earring</t>
  </si>
  <si>
    <t>mnmm17sse13</t>
  </si>
  <si>
    <t>link chain drop pearl earring[sv]</t>
  </si>
  <si>
    <t>m-nmm17sse12</t>
  </si>
  <si>
    <t>half moon in soul earring</t>
  </si>
  <si>
    <t>mnmm17sse12</t>
  </si>
  <si>
    <t>half moon in soul earring[sv]</t>
  </si>
  <si>
    <t>m-nmm17sse11</t>
  </si>
  <si>
    <t>unbalance under bar earring</t>
  </si>
  <si>
    <t>mnmm17sse11</t>
  </si>
  <si>
    <t>unbalance under bar earring[sv]</t>
  </si>
  <si>
    <t>m-nmm17sse10</t>
  </si>
  <si>
    <t>triangle long stick earring</t>
  </si>
  <si>
    <t>mnmm17sse10</t>
  </si>
  <si>
    <t>triangle long stick earring[sv]</t>
  </si>
  <si>
    <t>m-nmm17sse09</t>
  </si>
  <si>
    <t>full moon drop pearl earring</t>
  </si>
  <si>
    <t>mnmm17sse09</t>
  </si>
  <si>
    <t>full moon drop pearl earring[sv]</t>
  </si>
  <si>
    <t>M-nMM17sse08</t>
  </si>
  <si>
    <t>MnMM17sse08</t>
  </si>
  <si>
    <t>unbalance drop circle earring</t>
  </si>
  <si>
    <t>mnmm17sse08</t>
  </si>
  <si>
    <t>unbalance drop circle earring[sv]</t>
  </si>
  <si>
    <t>m-nmm17sse07</t>
  </si>
  <si>
    <t>MnMM17sse07</t>
  </si>
  <si>
    <t>midnight love earring</t>
  </si>
  <si>
    <t>mnmm17sse07</t>
  </si>
  <si>
    <t>midnight love earring[sv]</t>
  </si>
  <si>
    <t>m-nmm17sse06</t>
  </si>
  <si>
    <t>bubble earring</t>
  </si>
  <si>
    <t>mnmm17sse06</t>
  </si>
  <si>
    <t>bubble earring[sv]</t>
  </si>
  <si>
    <t>m-nmm17sse05</t>
  </si>
  <si>
    <t>gold leaf earring</t>
  </si>
  <si>
    <t>mnmm17sse05</t>
  </si>
  <si>
    <t>gold leaf earring[gold]</t>
  </si>
  <si>
    <t>m-nmm17sse04</t>
  </si>
  <si>
    <t>gold blackball earring</t>
  </si>
  <si>
    <t>mnmm17sse04</t>
  </si>
  <si>
    <t>gold blackball earring[bk]</t>
  </si>
  <si>
    <t>m-nmm17sse03</t>
  </si>
  <si>
    <t>three circle lace earring white</t>
  </si>
  <si>
    <t>mnmm17sse03</t>
  </si>
  <si>
    <t>three circle lace earring white[wh]</t>
  </si>
  <si>
    <t>m-nmm17sse02</t>
  </si>
  <si>
    <t>three circle lace earring black</t>
  </si>
  <si>
    <t>mnmm17sse02</t>
  </si>
  <si>
    <t>three circle lace earring black[bk]</t>
  </si>
  <si>
    <t>m-nmm17sse01</t>
  </si>
  <si>
    <t>velvet earring</t>
  </si>
  <si>
    <t>mnmm17sse01</t>
  </si>
  <si>
    <t>velvet earring[navy]</t>
  </si>
  <si>
    <t>m-nmm16fwe07</t>
  </si>
  <si>
    <t>MnMM16fwe07</t>
  </si>
  <si>
    <t>red ball earring</t>
  </si>
  <si>
    <t>mnmm16fwe07</t>
  </si>
  <si>
    <t>red</t>
  </si>
  <si>
    <t>red ball earring[red]</t>
  </si>
  <si>
    <t>m-nmm16fwe06</t>
  </si>
  <si>
    <t>moody earring</t>
  </si>
  <si>
    <t>mnmm16fwe06</t>
  </si>
  <si>
    <t>moody earring[sv]</t>
  </si>
  <si>
    <t>m-nmm16fwe05</t>
  </si>
  <si>
    <t>MnMM16fwe05</t>
  </si>
  <si>
    <t>drop box unbalance earring</t>
  </si>
  <si>
    <t>mnmm16fwe05</t>
  </si>
  <si>
    <t>drop box unbalance earring[sv]</t>
  </si>
  <si>
    <t>m-nmm16fwe04</t>
  </si>
  <si>
    <t>MnMM16fwe04</t>
  </si>
  <si>
    <t>button earring</t>
  </si>
  <si>
    <t>mnmm16fwe04</t>
  </si>
  <si>
    <t>button earring[sv]</t>
  </si>
  <si>
    <t>m-nmm16fwe03</t>
  </si>
  <si>
    <t>MnMM16fwe03</t>
  </si>
  <si>
    <t>three button earring</t>
  </si>
  <si>
    <t>mnmm16fwe03</t>
  </si>
  <si>
    <t>three button earring[sv]</t>
  </si>
  <si>
    <t>m-nmm16fwe02</t>
  </si>
  <si>
    <t>MnMM16fwe02</t>
  </si>
  <si>
    <t>three ball earring</t>
  </si>
  <si>
    <t>mnmm16fwe02</t>
  </si>
  <si>
    <t>three ball earring[sv]</t>
  </si>
  <si>
    <t>m-nmm16fwe01</t>
  </si>
  <si>
    <t>MnMM16fwe01</t>
  </si>
  <si>
    <t>circle box earring</t>
  </si>
  <si>
    <t>mnmm16fwe01</t>
  </si>
  <si>
    <t>circle box earring[sv]</t>
  </si>
  <si>
    <t>m-nmm16sse04</t>
  </si>
  <si>
    <t>MnMM16sse04</t>
  </si>
  <si>
    <t>true unbalance earring</t>
  </si>
  <si>
    <t>mnmm16sse04</t>
  </si>
  <si>
    <t>true unbalance earring[sv]</t>
  </si>
  <si>
    <t>m-nmm16sse03</t>
  </si>
  <si>
    <t>MnMM16sse03</t>
  </si>
  <si>
    <t>pearl circle drop earring</t>
  </si>
  <si>
    <t>mnmm16sse03</t>
  </si>
  <si>
    <t>pearl circle drop earring[sv]</t>
  </si>
  <si>
    <t>m-nmm16sse02</t>
  </si>
  <si>
    <t>MnMM16sse02</t>
  </si>
  <si>
    <t>link chain earring</t>
  </si>
  <si>
    <t>mnmm16sse02</t>
  </si>
  <si>
    <t>link chain earring[sv]</t>
  </si>
  <si>
    <t>m-nmm16sse01</t>
  </si>
  <si>
    <t>MnMM16sse01</t>
  </si>
  <si>
    <t>bubble stick earring</t>
  </si>
  <si>
    <t>mnmm16sse01</t>
  </si>
  <si>
    <t>bubble stick earring[sv]</t>
  </si>
  <si>
    <t>M-B7SAC806WH</t>
  </si>
  <si>
    <t>MB7SAC806WH</t>
  </si>
  <si>
    <t>Vacationer Bucket Hat(WHITE)</t>
  </si>
  <si>
    <t>Vacationer Bucket Hat(WHITE)[WH]</t>
  </si>
  <si>
    <t>3-186311106096309</t>
  </si>
  <si>
    <t>Two-tone Cotton Pants</t>
  </si>
  <si>
    <t>MB8SPT409GY2</t>
  </si>
  <si>
    <t>Two-tone Cotton Pants[GRAY/M]</t>
  </si>
  <si>
    <t>3-186214117991208</t>
  </si>
  <si>
    <t>Beograde Warm-up shirt</t>
  </si>
  <si>
    <t>MB8STS412WHO</t>
  </si>
  <si>
    <t>Beograde Warm-up shirt[WHITE/F]</t>
  </si>
  <si>
    <t>3-177224304885208</t>
  </si>
  <si>
    <t>Checkpoint Sweatshirt</t>
  </si>
  <si>
    <t>MB7FTS926KH</t>
  </si>
  <si>
    <t>KHAKI/One size</t>
  </si>
  <si>
    <t>Checkpoint Sweatshirt[KHAKI/One size]</t>
  </si>
  <si>
    <t>3-177224304866208</t>
  </si>
  <si>
    <t>MB7FTS926RD</t>
  </si>
  <si>
    <t>REDPINK/One size</t>
  </si>
  <si>
    <t>Checkpoint Sweatshirt[REDPINK/One size]</t>
  </si>
  <si>
    <t>3-177232300185208</t>
  </si>
  <si>
    <t>Crop Hood T-shirt</t>
  </si>
  <si>
    <t>MB7FTS925KH</t>
  </si>
  <si>
    <t>Crop Hood T-shirt[KHAKI/One size]</t>
  </si>
  <si>
    <t>3-177232300166208</t>
  </si>
  <si>
    <t>MB7FTS925RD</t>
  </si>
  <si>
    <t>Crop Hood T-shirt[REDPINK/One size]</t>
  </si>
  <si>
    <t>3-177224304791208</t>
  </si>
  <si>
    <t>Nurse Officer Sweatshirt</t>
  </si>
  <si>
    <t>MB7FTS924WH</t>
  </si>
  <si>
    <t>WHITE/One size</t>
  </si>
  <si>
    <t>Nurse Officer Sweatshirt[WHITE/One size]</t>
  </si>
  <si>
    <t>3-177224304799208</t>
  </si>
  <si>
    <t>MB7FTS924BK</t>
  </si>
  <si>
    <t>BLACK/One size</t>
  </si>
  <si>
    <t>Nurse Officer Sweatshirt[BLACK/One size]</t>
  </si>
  <si>
    <t>3-177234305891208</t>
  </si>
  <si>
    <t>L. Oversized Sweater</t>
  </si>
  <si>
    <t>MB7FKN923IV</t>
  </si>
  <si>
    <t>IVORY/One size</t>
  </si>
  <si>
    <t>L. Oversized Sweater[IVORY/One size]</t>
  </si>
  <si>
    <t>M-B7FKN923NV</t>
  </si>
  <si>
    <t>MB7FKN923NV</t>
  </si>
  <si>
    <t>NAVY/One size</t>
  </si>
  <si>
    <t>L. Oversized Sweater[NAVY/One size]</t>
  </si>
  <si>
    <t>3-177234305685208</t>
  </si>
  <si>
    <t>Gotcha Sweater</t>
  </si>
  <si>
    <t>MB7FKN922KH</t>
  </si>
  <si>
    <t>Gotcha Sweater[KHAKI/One size]</t>
  </si>
  <si>
    <t>3-177234305699208</t>
  </si>
  <si>
    <t>MB7FKN922BK</t>
  </si>
  <si>
    <t>Gotcha Sweater[BLACK/One size]</t>
  </si>
  <si>
    <t>3-177234305591208</t>
  </si>
  <si>
    <t xml:space="preserve"> Warehouse Sweater</t>
  </si>
  <si>
    <t>MB7FKN921WH</t>
  </si>
  <si>
    <t xml:space="preserve"> Warehouse Sweater[WHITE/One size]</t>
  </si>
  <si>
    <t>M-B7FKN921BK</t>
  </si>
  <si>
    <t>MB7FKN921BK</t>
  </si>
  <si>
    <t xml:space="preserve"> Warehouse Sweater[BLACK/One size]</t>
  </si>
  <si>
    <t>3-177234305465208</t>
  </si>
  <si>
    <t>Nurse Officer Sweater</t>
  </si>
  <si>
    <t>MB7FKN919YL</t>
  </si>
  <si>
    <t>MUSTARD/One size</t>
  </si>
  <si>
    <t>Nurse Officer Sweater[MUSTARD/One size]</t>
  </si>
  <si>
    <t>M-B7FKN919BL</t>
  </si>
  <si>
    <t>MB7FKN919BL</t>
  </si>
  <si>
    <t>BLUISH GREEN/One size</t>
  </si>
  <si>
    <t>Nurse Officer Sweater[BLUISH GREEN/One size]</t>
  </si>
  <si>
    <t>3-177234305291208</t>
  </si>
  <si>
    <t>Gotcha Hood T-shirt</t>
  </si>
  <si>
    <t>MB7FTS918WH</t>
  </si>
  <si>
    <t>Gotcha Hood T-shirt[WHITE/One size]</t>
  </si>
  <si>
    <t>3-177234305299208</t>
  </si>
  <si>
    <t>MB7FTS918BK</t>
  </si>
  <si>
    <t>Gotcha Hood T-shirt[BLACK/One size]</t>
  </si>
  <si>
    <t>3-177234305961208</t>
  </si>
  <si>
    <t>Slit Turtleneck Sweater</t>
  </si>
  <si>
    <t>MB7FKN917RD</t>
  </si>
  <si>
    <t>RED/One size</t>
  </si>
  <si>
    <t>Slit Turtleneck Sweater[RED/One size]</t>
  </si>
  <si>
    <t>3-177234305985208</t>
  </si>
  <si>
    <t>MB7FKN917GN</t>
  </si>
  <si>
    <t>GREEN/One size</t>
  </si>
  <si>
    <t>Slit Turtleneck Sweater[GREEN/One size]</t>
  </si>
  <si>
    <t>3-177224304699208</t>
  </si>
  <si>
    <t xml:space="preserve"> Gotcha Sweatshirt</t>
  </si>
  <si>
    <t>MB7FTS916BK</t>
  </si>
  <si>
    <t xml:space="preserve"> Gotcha Sweatshirt[BLACK/One size]</t>
  </si>
  <si>
    <t>3-177224304691208</t>
  </si>
  <si>
    <t>MB7FTS916WH</t>
  </si>
  <si>
    <t xml:space="preserve"> Gotcha Sweatshirt[WHITE/One size]</t>
  </si>
  <si>
    <t>3-177224304599208</t>
  </si>
  <si>
    <t>Warehouse Sweatshirt</t>
  </si>
  <si>
    <t>MB7FTS915BK</t>
  </si>
  <si>
    <t>Warehouse Sweatshirt[BLACK/One size]</t>
  </si>
  <si>
    <t>3-177224304591208</t>
  </si>
  <si>
    <t>MB7FTS915WH</t>
  </si>
  <si>
    <t>Warehouse Sweatshirt[WHITE/One size]</t>
  </si>
  <si>
    <t>M-B7FTS914YL</t>
  </si>
  <si>
    <t>MB7FTS914YL</t>
  </si>
  <si>
    <t>Gotcha Stripe Sweatshirt</t>
  </si>
  <si>
    <t>YELLOW/One size</t>
  </si>
  <si>
    <t>Gotcha Stripe Sweatshirt[YELLOW/One size]</t>
  </si>
  <si>
    <t>M-B7FTS914BL</t>
  </si>
  <si>
    <t>MB7FTS914BL</t>
  </si>
  <si>
    <t>BLUE/One size</t>
  </si>
  <si>
    <t>Gotcha Stripe Sweatshirt[BLUE/One size]</t>
  </si>
  <si>
    <t>3-177314300174320</t>
  </si>
  <si>
    <t>Suspender Buckle Pants</t>
  </si>
  <si>
    <t>MB7FPT912BG</t>
  </si>
  <si>
    <t>BEIGE/One size</t>
  </si>
  <si>
    <t>Suspender Buckle Pants[BEIGE/One size]</t>
  </si>
  <si>
    <t>3-177314300101320</t>
  </si>
  <si>
    <t>MB7FPT912PK</t>
  </si>
  <si>
    <t>PINK/One size</t>
  </si>
  <si>
    <t>Suspender Buckle Pants[PINK/One size]</t>
  </si>
  <si>
    <t>3-177314300185320</t>
  </si>
  <si>
    <t>MB7FPT912KH</t>
  </si>
  <si>
    <t>Suspender Buckle Pants[KHAKI/One size]</t>
  </si>
  <si>
    <t>3-177311300285303</t>
  </si>
  <si>
    <t>Camo Buckle Pants</t>
  </si>
  <si>
    <t>MB7FPT911KH_size3</t>
  </si>
  <si>
    <t>KHAKI/size3</t>
  </si>
  <si>
    <t>Camo Buckle Pants[KHAKI/size3]</t>
  </si>
  <si>
    <t>3-177311300285302</t>
  </si>
  <si>
    <t>MB7FPT911KH_size2</t>
  </si>
  <si>
    <t>KHAKI/size2</t>
  </si>
  <si>
    <t>Camo Buckle Pants[KHAKI/size2]</t>
  </si>
  <si>
    <t>3-177311300175303</t>
  </si>
  <si>
    <t xml:space="preserve"> Belt Cargo Pants</t>
  </si>
  <si>
    <t>MB7FPT910BN_size3</t>
  </si>
  <si>
    <t>BROWN/size3</t>
  </si>
  <si>
    <t xml:space="preserve"> Belt Cargo Pants[BROWN/size3]</t>
  </si>
  <si>
    <t>3-177311300175302</t>
  </si>
  <si>
    <t>MB7FPT910BN_size2</t>
  </si>
  <si>
    <t>BROWN/size2</t>
  </si>
  <si>
    <t xml:space="preserve"> Belt Cargo Pants[BROWN/size2]</t>
  </si>
  <si>
    <t>3-177311300185303</t>
  </si>
  <si>
    <t>MB7FPT910KH_size3</t>
  </si>
  <si>
    <t xml:space="preserve"> Belt Cargo Pants[KHAKI/size3]</t>
  </si>
  <si>
    <t>3-177311300185302</t>
  </si>
  <si>
    <t>MB7FPT910KH_size2</t>
  </si>
  <si>
    <t xml:space="preserve"> Belt Cargo Pants[KHAKI/size2]</t>
  </si>
  <si>
    <t>3-177312300229302</t>
  </si>
  <si>
    <t xml:space="preserve"> Belt Denim Pants</t>
  </si>
  <si>
    <t>MB7FPT909BL_size2</t>
  </si>
  <si>
    <t>INDIGO BLUE/size2</t>
  </si>
  <si>
    <t xml:space="preserve"> Belt Denim Pants[INDIGO BLUE/size2]</t>
  </si>
  <si>
    <t>3-177312300229301</t>
  </si>
  <si>
    <t>MB7FPT909BL_size1</t>
  </si>
  <si>
    <t>INDIGO BLUE/size1</t>
  </si>
  <si>
    <t xml:space="preserve"> Belt Denim Pants[INDIGO BLUE/size1]</t>
  </si>
  <si>
    <t>3-177332300230303</t>
  </si>
  <si>
    <t>Belt Mini Skirt</t>
  </si>
  <si>
    <t>MB7FSK907NV_size2</t>
  </si>
  <si>
    <t>NAVY/size2</t>
  </si>
  <si>
    <t>Belt Mini Skirt[NAVY/size2]</t>
  </si>
  <si>
    <t>3-177332300230302</t>
  </si>
  <si>
    <t>MB7FSK907NV_size1</t>
  </si>
  <si>
    <t>NAVY/size1</t>
  </si>
  <si>
    <t>Belt Mini Skirt[NAVY/size1]</t>
  </si>
  <si>
    <t>3-177332300285303</t>
  </si>
  <si>
    <t>MB7FSK907KH_size2</t>
  </si>
  <si>
    <t>Belt Mini Skirt[KHAKI/size2]</t>
  </si>
  <si>
    <t>3-177332300285302</t>
  </si>
  <si>
    <t>MB7FSK907KH_size1</t>
  </si>
  <si>
    <t>KHAKI/size1</t>
  </si>
  <si>
    <t>Belt Mini Skirt[KHAKI/size1]</t>
  </si>
  <si>
    <t>3-177134304401208</t>
  </si>
  <si>
    <t xml:space="preserve"> Side Slit Jacket</t>
  </si>
  <si>
    <t>MB7FJK905PK</t>
  </si>
  <si>
    <t xml:space="preserve"> Side Slit Jacket[PINK/One size]</t>
  </si>
  <si>
    <t>3-177134304485208</t>
  </si>
  <si>
    <t>MB7FJK905GN</t>
  </si>
  <si>
    <t xml:space="preserve"> Side Slit Jacket[GREEN/One size]</t>
  </si>
  <si>
    <t>3-177241301030208</t>
  </si>
  <si>
    <t>Vintage Buckle Shirt</t>
  </si>
  <si>
    <t>MB7FST904NV</t>
  </si>
  <si>
    <t>Vintage Buckle Shirt[NAVY/One size]</t>
  </si>
  <si>
    <t>3-177241301075208</t>
  </si>
  <si>
    <t>MB7FST904BN</t>
  </si>
  <si>
    <t>BROWN/One size</t>
  </si>
  <si>
    <t>Vintage Buckle Shirt[BROWN/One size]</t>
  </si>
  <si>
    <t>3-177124301574208</t>
  </si>
  <si>
    <t>Twin Buckle Anorak</t>
  </si>
  <si>
    <t>MB7FJP902BG</t>
  </si>
  <si>
    <t>Twin Buckle Anorak[BEIGE/One size]</t>
  </si>
  <si>
    <t>3-177124301585208</t>
  </si>
  <si>
    <t>MB7FJP902KH</t>
  </si>
  <si>
    <t>Twin Buckle Anorak[KHAKI/One size]</t>
  </si>
  <si>
    <t>3-177124301565208</t>
  </si>
  <si>
    <t>MB7FJP902YL</t>
  </si>
  <si>
    <t>Twin Buckle Anorak[MUSTARD/One size]</t>
  </si>
  <si>
    <t>3-177234305195208</t>
  </si>
  <si>
    <t xml:space="preserve"> Side Buckle Hood T-shirt</t>
  </si>
  <si>
    <t>MB7FTS901GR</t>
  </si>
  <si>
    <t>GRAY/One size</t>
  </si>
  <si>
    <t xml:space="preserve"> Side Buckle Hood T-shirt[GRAY/One size]</t>
  </si>
  <si>
    <t>3-177234305199208</t>
  </si>
  <si>
    <t>MB7FTS901BK</t>
  </si>
  <si>
    <t xml:space="preserve"> Side Buckle Hood T-shirt[BLACK/One size]</t>
  </si>
  <si>
    <t>3-175524601401120</t>
  </si>
  <si>
    <t xml:space="preserve"> Satellite Ball Cap(PINK)</t>
  </si>
  <si>
    <t>MB7SAC803PK</t>
  </si>
  <si>
    <t xml:space="preserve"> Satellite Ball Cap(PINK)[PINK/F]</t>
  </si>
  <si>
    <t>3-176524600599120</t>
  </si>
  <si>
    <t>Vacationer Bucket Hat(NAVY)</t>
  </si>
  <si>
    <t>MB7SAC806NY</t>
  </si>
  <si>
    <t>NY</t>
  </si>
  <si>
    <t>Vacationer Bucket Hat(NAVY)[NY]</t>
  </si>
  <si>
    <t>3-175524601291120</t>
  </si>
  <si>
    <t>Carib Ball Cap(WHITE)</t>
  </si>
  <si>
    <t>MB7SAC801WH</t>
  </si>
  <si>
    <t>Carib Ball Cap(WHITE)[WH]</t>
  </si>
  <si>
    <t>3-175524601299120</t>
  </si>
  <si>
    <t>Carib Ball Cap(BLACK)</t>
  </si>
  <si>
    <t>MB7SAC801BK</t>
  </si>
  <si>
    <t>Carib Ball Cap(BLACK)[BK]</t>
  </si>
  <si>
    <t>3-175524601399120</t>
  </si>
  <si>
    <t>Bird Moon Ball Cap(BLACK)</t>
  </si>
  <si>
    <t>MB7SAC802BK</t>
  </si>
  <si>
    <t>Bird Moon Ball Cap(BLACK)[BLACK]</t>
  </si>
  <si>
    <t>3-175524102045120</t>
  </si>
  <si>
    <t>Palm Tree Ball Cap(GREEN)</t>
  </si>
  <si>
    <t>MB7SAC805GN</t>
  </si>
  <si>
    <t>GREEN/F</t>
  </si>
  <si>
    <t>Palm Tree Ball Cap(GREEN)[GREEN/F]</t>
  </si>
  <si>
    <t>3-175524102065120</t>
  </si>
  <si>
    <t>Palm Tree Ball Cap(YELLOW)</t>
  </si>
  <si>
    <t>MB7SAC805YL</t>
  </si>
  <si>
    <t>YELLOW/F</t>
  </si>
  <si>
    <t>Palm Tree Ball Cap(YELLOW)[YELLOW/F]</t>
  </si>
  <si>
    <t>3-175524601599120</t>
  </si>
  <si>
    <t xml:space="preserve"> Saturn Ball Cap(BLACK)</t>
  </si>
  <si>
    <t>MB7SAC804BK</t>
  </si>
  <si>
    <t xml:space="preserve"> Saturn Ball Cap(BLACK)[BLACK/F]</t>
  </si>
  <si>
    <t>3-176344500299320</t>
  </si>
  <si>
    <t>Side Band Pants(BLACK)</t>
  </si>
  <si>
    <t>MB7SPT808BK</t>
  </si>
  <si>
    <t>Side Band Pants(BLACK)[BLACK/F]</t>
  </si>
  <si>
    <t>3-176344500295320</t>
  </si>
  <si>
    <t>Side Band Pants(GREY)</t>
  </si>
  <si>
    <t>MB7SPT808GR</t>
  </si>
  <si>
    <t>GREY/F</t>
  </si>
  <si>
    <t>Side Band Pants(GREY)[GREY/F]</t>
  </si>
  <si>
    <t>3-176224508999208</t>
  </si>
  <si>
    <t>Side Band T-shirt(BLACK)[BLACK/F]</t>
  </si>
  <si>
    <t>3-176224508995208</t>
  </si>
  <si>
    <t>Side Band T-shirt(GREY)</t>
  </si>
  <si>
    <t>MB7STS807GR</t>
  </si>
  <si>
    <t>Side Band T-shirt(GREY)[GREY/F]</t>
  </si>
  <si>
    <t>3-176344500130308</t>
  </si>
  <si>
    <t>Vacationer Half Pants(NAVY)</t>
  </si>
  <si>
    <t>MB7SPT817NY</t>
  </si>
  <si>
    <t>Vacationer Half Pants(NAVY)[NAVY/F]</t>
  </si>
  <si>
    <t>3-176344500191308</t>
  </si>
  <si>
    <t>Vacationer Half Pants(WHITE)</t>
  </si>
  <si>
    <t>MB7SPT817WH</t>
  </si>
  <si>
    <t>Vacationer Half Pants(WHITE)[WHITE/F]</t>
  </si>
  <si>
    <t>3-176214500930208</t>
  </si>
  <si>
    <t>Vacationer Shirt(NAVY)</t>
  </si>
  <si>
    <t>MB7STS816NY</t>
  </si>
  <si>
    <t>Vacationer Shirt(NAVY)[NAVY/F]</t>
  </si>
  <si>
    <t>3-176214500991208</t>
  </si>
  <si>
    <t>Vacationer Shirt(WHITE)</t>
  </si>
  <si>
    <t>MB7STS816WH</t>
  </si>
  <si>
    <t>Vacationer Shirt(WHITE)[WHITE/F]</t>
  </si>
  <si>
    <t>3-176332500974320</t>
  </si>
  <si>
    <t>Flower Button Skirt(BEIGE)</t>
  </si>
  <si>
    <t>MB7SSK814BG</t>
  </si>
  <si>
    <t>BEIGE/F</t>
  </si>
  <si>
    <t>Flower Button Skirt(BEIGE)[BEIGE/F]</t>
  </si>
  <si>
    <t>3-176332500930320</t>
  </si>
  <si>
    <t>Flower Button Skirt(NAVY)</t>
  </si>
  <si>
    <t>MB7SSK814NY</t>
  </si>
  <si>
    <t>Flower Button Skirt(NAVY)[NAVY/F]</t>
  </si>
  <si>
    <t>3-176224509099208</t>
  </si>
  <si>
    <t>Apollo 11 Mini T-shirt(BLACK)</t>
  </si>
  <si>
    <t>MB7STS810BK</t>
  </si>
  <si>
    <t>Apollo 11 Mini T-shirt(BLACK)[BLACK/F]</t>
  </si>
  <si>
    <t>3-176224509091208</t>
  </si>
  <si>
    <t>Apollo 11 Mini T-shirt(WHITE)</t>
  </si>
  <si>
    <t>MB7STS810WH</t>
  </si>
  <si>
    <t>Apollo 11 Mini T-shirt(WHITE)[WHITE/F]</t>
  </si>
  <si>
    <t>3-176224509065208</t>
  </si>
  <si>
    <t>Apollo 11 Mini T-shirt(YELLOW)</t>
  </si>
  <si>
    <t>MB7STS810YL</t>
  </si>
  <si>
    <t>Apollo 11 Mini T-shirt(YELLOW)[YELLOW/F]</t>
  </si>
  <si>
    <t>3-176224509199208</t>
  </si>
  <si>
    <t>Apollo 11 Max T-shirt(BLACK)</t>
  </si>
  <si>
    <t>MB7STS822BK</t>
  </si>
  <si>
    <t>Apollo 11 Max T-shirt(BLACK)[BLACK/F]</t>
  </si>
  <si>
    <t>3-176224509191208</t>
  </si>
  <si>
    <t>Apollo 11 Max T-shirt(WHITE)</t>
  </si>
  <si>
    <t>MB7STS822WH</t>
  </si>
  <si>
    <t>Apollo 11 Max T-shirt(WHITE)[WHITE/F]</t>
  </si>
  <si>
    <t>3-176224508899208</t>
  </si>
  <si>
    <t>DDB T-shirt(BLACK)</t>
  </si>
  <si>
    <t>MB7STS815BK</t>
  </si>
  <si>
    <t>DDB T-shirt(BLACK)[BLACK/F]</t>
  </si>
  <si>
    <t>3-176224508891208</t>
  </si>
  <si>
    <t>DDB T-shirt(WHITE)</t>
  </si>
  <si>
    <t>MB7STS815WH</t>
  </si>
  <si>
    <t>DDB T-shirt(WHITE)[WHITE/F]</t>
  </si>
  <si>
    <t>3-176514500191120</t>
  </si>
  <si>
    <t>Vacationer Pouch(WHITE)</t>
  </si>
  <si>
    <t>MB7SAC819WH</t>
  </si>
  <si>
    <t>Vacationer Pouch(WHITE)[WHITE/F]</t>
  </si>
  <si>
    <t>3-176514500130120</t>
  </si>
  <si>
    <t>Vacationer Pouch(NAVY)</t>
  </si>
  <si>
    <t>MB7SAC819NY</t>
  </si>
  <si>
    <t>Vacationer Pouch(NAVY)[NAVY/F]</t>
  </si>
  <si>
    <t>3-176554600191120</t>
  </si>
  <si>
    <t>Vacationer Scarf(WHITE)</t>
  </si>
  <si>
    <t>MB7SAC820WH</t>
  </si>
  <si>
    <t>Vacationer Scarf(WHITE)[WHITE/F]</t>
  </si>
  <si>
    <t>3-176554600130120</t>
  </si>
  <si>
    <t>Vacationer Scarf(NAVY)</t>
  </si>
  <si>
    <t>MB7SAC820NY</t>
  </si>
  <si>
    <t>Vacationer Scarf(NAVY)[NAVY/F]</t>
  </si>
  <si>
    <t>3-172224500191208</t>
  </si>
  <si>
    <t>Palm Tree T-shirt(WHITE)</t>
  </si>
  <si>
    <t>MB7STS809WH</t>
  </si>
  <si>
    <t>Palm Tree T-shirt(WHITE)[WHITE/F]</t>
  </si>
  <si>
    <t>3-172224500199208</t>
  </si>
  <si>
    <t>Palm Tree T-shirt(BLACK)</t>
  </si>
  <si>
    <t>MB7STS809BK</t>
  </si>
  <si>
    <t>Palm Tree T-shirt(BLACK)[BLACK/F]</t>
  </si>
  <si>
    <t>3-176224504712208</t>
  </si>
  <si>
    <t>Basic Logo T-shirt(PINK)</t>
  </si>
  <si>
    <t>MB7STS818PK</t>
  </si>
  <si>
    <t>Basic Logo T-shirt(PINK)[PINK/F]</t>
  </si>
  <si>
    <t>3-176224504725208</t>
  </si>
  <si>
    <t>Basic Logo T-shirt(BLUE)</t>
  </si>
  <si>
    <t>MB7STS818BL</t>
  </si>
  <si>
    <t>Basic Logo T-shirt(BLUE)[BLUE/F]</t>
  </si>
  <si>
    <t>3-176224504769208</t>
  </si>
  <si>
    <t>Basic Logo T-shirt(IVORY)</t>
  </si>
  <si>
    <t>MB7STS818IY</t>
  </si>
  <si>
    <t>IVORY/F</t>
  </si>
  <si>
    <t>Basic Logo T-shirt(IVORY)[IVORY/F]</t>
  </si>
  <si>
    <t>3-176224508291208</t>
  </si>
  <si>
    <t>17s Oversized 1/2 MTM(WHITE)</t>
  </si>
  <si>
    <t>MB7STS812WH</t>
  </si>
  <si>
    <t>17s Oversized 1/2 MTM(WHITE)[WHITE/F]</t>
  </si>
  <si>
    <t>3-176224508299208</t>
  </si>
  <si>
    <t>17s Oversized 1/2 MTM(BLACK)</t>
  </si>
  <si>
    <t>MB7STS812BK</t>
  </si>
  <si>
    <t>17s Oversized 1/2 MTM(BLACK)[BLACK/F]</t>
  </si>
  <si>
    <t>3-176224504391208</t>
  </si>
  <si>
    <t>17s Roll-Up T-shirt(WHITE)</t>
  </si>
  <si>
    <t>MB7STS811WH</t>
  </si>
  <si>
    <t>17s Roll-Up T-shirt(WHITE)[WHITE/F]</t>
  </si>
  <si>
    <t>3-176224504399208</t>
  </si>
  <si>
    <t>17s Roll-Up T-shirt(BLACK)</t>
  </si>
  <si>
    <t>MB7STS811BK</t>
  </si>
  <si>
    <t>17s Roll-Up T-shirt(BLACK)[BLACK/F]</t>
  </si>
  <si>
    <t>3-176314110495320</t>
  </si>
  <si>
    <t>Button Jogger Pants(GREY)</t>
  </si>
  <si>
    <t>MB7SPT126GR</t>
  </si>
  <si>
    <t>GREY/One Size</t>
  </si>
  <si>
    <t>Button Jogger Pants(GREY)[GREY/One Size]</t>
  </si>
  <si>
    <t>3-176314110430320</t>
  </si>
  <si>
    <t>Button Jogger Pants(NAVY)</t>
  </si>
  <si>
    <t>MB7SPT126NV</t>
  </si>
  <si>
    <t>NAVY/One Size</t>
  </si>
  <si>
    <t>Button Jogger Pants(NAVY)[NAVY/One Size]</t>
  </si>
  <si>
    <t>3-176314110595320</t>
  </si>
  <si>
    <t>Button Hole Training Pants(GREY)</t>
  </si>
  <si>
    <t>MB7SPT125GR</t>
  </si>
  <si>
    <t>Button Hole Training Pants(GREY)[GREY/One Size]</t>
  </si>
  <si>
    <t>3-176314110599320</t>
  </si>
  <si>
    <t>Button Hole Training Pants(BLACK)</t>
  </si>
  <si>
    <t>MB7SPT125BK</t>
  </si>
  <si>
    <t>BLACK/One Size</t>
  </si>
  <si>
    <t>Button Hole Training Pants(BLACK)[BLACK/One Size]</t>
  </si>
  <si>
    <t>3-176224156399208</t>
  </si>
  <si>
    <t>Space Map T-Shirt(BLACK)</t>
  </si>
  <si>
    <t>MB7STS124BK</t>
  </si>
  <si>
    <t>Space Map T-Shirt(BLACK)[BLACK/One Size]</t>
  </si>
  <si>
    <t>3-176224156361208</t>
  </si>
  <si>
    <t>Space Map T-Shirt(RED)</t>
  </si>
  <si>
    <t>MB7STS124RD</t>
  </si>
  <si>
    <t>RED/One Size</t>
  </si>
  <si>
    <t>Space Map T-Shirt(RED)[RED/One Size]</t>
  </si>
  <si>
    <t>3-176224156545208</t>
  </si>
  <si>
    <t>Galaxy Rugby 1/2 T-Shirt(GREEN)</t>
  </si>
  <si>
    <t>MB7STS119GN</t>
  </si>
  <si>
    <t>GREEN/One Size</t>
  </si>
  <si>
    <t>Galaxy Rugby 1/2 T-Shirt(GREEN)[GREEN/One Size]</t>
  </si>
  <si>
    <t>3-176224156565208</t>
  </si>
  <si>
    <t>Galaxy Rugby 1/2 T-Shirt(YELLOW)</t>
  </si>
  <si>
    <t>MB7STS119YL</t>
  </si>
  <si>
    <t>YELLOW/One Size</t>
  </si>
  <si>
    <t>Galaxy Rugby 1/2 T-Shirt(YELLOW)[YELLOW/One Size]</t>
  </si>
  <si>
    <t>3-176224156465208</t>
  </si>
  <si>
    <t>Galaxy Rugby T-Shirt(YELLOW)</t>
  </si>
  <si>
    <t>MB7STS118YL</t>
  </si>
  <si>
    <t>Galaxy Rugby T-Shirt(YELLOW)[YELLOW/One Size]</t>
  </si>
  <si>
    <t>3-176224156430208</t>
  </si>
  <si>
    <t>Galaxy Rugby T-Shirt(NAVY-GREEN)</t>
  </si>
  <si>
    <t>MB7STS118NG</t>
  </si>
  <si>
    <t>NAVY-GREEN/One Size</t>
  </si>
  <si>
    <t>Galaxy Rugby T-Shirt(NAVY-GREEN)[NAVY-GREEN/One Size]</t>
  </si>
  <si>
    <t>3-176224150595208</t>
  </si>
  <si>
    <t>Stripe Alien T-Shirt(GREY)</t>
  </si>
  <si>
    <t>MB7STS116GR</t>
  </si>
  <si>
    <t>Stripe Alien T-Shirt(GREY)[GREY/One Size]</t>
  </si>
  <si>
    <t>3-176224150530208</t>
  </si>
  <si>
    <t>Stripe Alien T-Shirt(NAVY)</t>
  </si>
  <si>
    <t>MB7STS116NV</t>
  </si>
  <si>
    <t>Stripe Alien T-Shirt(NAVY)[NAVY/One Size]</t>
  </si>
  <si>
    <t>3-176224151499208</t>
  </si>
  <si>
    <t>B-612 Planet T-Shirt(BLACK)</t>
  </si>
  <si>
    <t>MB7STS115BK</t>
  </si>
  <si>
    <t>B-612 Planet T-Shirt(BLACK)[BLACK/One Size]</t>
  </si>
  <si>
    <t>3-176224151491208</t>
  </si>
  <si>
    <t>B-612 Planet T-Shirt(WHITE)</t>
  </si>
  <si>
    <t>MB7STS115WH</t>
  </si>
  <si>
    <t>WHITE/One Size</t>
  </si>
  <si>
    <t>B-612 Planet T-Shirt(WHITE)[WHITE/One Size]</t>
  </si>
  <si>
    <t>3-176224151374208</t>
  </si>
  <si>
    <t>Satellite T-Shirt(BEIGE)</t>
  </si>
  <si>
    <t>MB7STS114BG</t>
  </si>
  <si>
    <t>BEIGE/One Size</t>
  </si>
  <si>
    <t>Satellite T-Shirt(BEIGE)[BEIGE/One Size]</t>
  </si>
  <si>
    <t>3-176224151301208</t>
  </si>
  <si>
    <t>Satellite T-Shirt(PINK)</t>
  </si>
  <si>
    <t>MB7STS114PK</t>
  </si>
  <si>
    <t>PINK/One Size</t>
  </si>
  <si>
    <t>Satellite T-Shirt(PINK)[PINK/One Size]</t>
  </si>
  <si>
    <t>3-176224151230208</t>
  </si>
  <si>
    <t>Rocket Patch T-Shirt(NAVY)</t>
  </si>
  <si>
    <t>MB7STS112NV</t>
  </si>
  <si>
    <t>Rocket Patch T-Shirt(NAVY)[NAVY/One Size]</t>
  </si>
  <si>
    <t>3-176224151261208</t>
  </si>
  <si>
    <t>Rocket Patch T-shirt(RED)</t>
  </si>
  <si>
    <t>MB7STS112RD</t>
  </si>
  <si>
    <t>Rocket Patch T-shirt(RED)[RED/One Size]</t>
  </si>
  <si>
    <t>3-176344104591320</t>
  </si>
  <si>
    <t>Astronaut Half Pants(WHITE)</t>
  </si>
  <si>
    <t>MB7SPT111WH</t>
  </si>
  <si>
    <t>Astronaut Half Pants(WHITE)[WHITE/One Size]</t>
  </si>
  <si>
    <t>3-176344104599320</t>
  </si>
  <si>
    <t>Astronaut Half Pants(BLACK)</t>
  </si>
  <si>
    <t>MB7SPT111BK</t>
  </si>
  <si>
    <t>Astronaut Half Pants(BLACK)[BLACK/One Size]</t>
  </si>
  <si>
    <t>3-176214106799208</t>
  </si>
  <si>
    <t>Astronaut Shirt(BLACK)</t>
  </si>
  <si>
    <t>MB7SST110BK</t>
  </si>
  <si>
    <t>Astronaut Shirt(BLACK)[BLACK/One Size]</t>
  </si>
  <si>
    <t>3-176214106791208</t>
  </si>
  <si>
    <t>Astronaut Shirt(WHITE)</t>
  </si>
  <si>
    <t>MB7SST110WH</t>
  </si>
  <si>
    <t>Astronaut Shirt(WHITE)[WHITE/One Size]</t>
  </si>
  <si>
    <t>3-176224153299208</t>
  </si>
  <si>
    <t>Saturn T-Shirt(BLACK)</t>
  </si>
  <si>
    <t>MB7STS109BK</t>
  </si>
  <si>
    <t>Saturn T-Shirt(BLACK)[BLACK/One Size]</t>
  </si>
  <si>
    <t>3-176224153291208</t>
  </si>
  <si>
    <t>Saturn T-Shirt(WHITE)</t>
  </si>
  <si>
    <t>MB7STS109WH</t>
  </si>
  <si>
    <t>Saturn T-Shirt(WHITE)[WHITE/One Size]</t>
  </si>
  <si>
    <t>3-176224177091208</t>
  </si>
  <si>
    <t>New Moon Sweater(WHITE)</t>
  </si>
  <si>
    <t>MB7SKN108WH</t>
  </si>
  <si>
    <t>New Moon Sweater(WHITE)[WHITE/One Size]</t>
  </si>
  <si>
    <t>3-176224177099208</t>
  </si>
  <si>
    <t>New Moon Sweater(BLACK)</t>
  </si>
  <si>
    <t>MB7SKN108BK</t>
  </si>
  <si>
    <t>New Moon Sweater(BLACK)[BLACK/One Size]</t>
  </si>
  <si>
    <t>3-176214106674208</t>
  </si>
  <si>
    <t>New Moon Shirt(BEIGE)</t>
  </si>
  <si>
    <t>MB7SST107BG</t>
  </si>
  <si>
    <t>New Moon Shirt(BEIGE)[BEIGE/One Size]</t>
  </si>
  <si>
    <t>3-176214106699208</t>
  </si>
  <si>
    <t>New Moon Shirt(BLACK)</t>
  </si>
  <si>
    <t>MB7SST107BK</t>
  </si>
  <si>
    <t>New Moon Shirt(BLACK)[BLACK/One Size]</t>
  </si>
  <si>
    <t>3-176214106599208</t>
  </si>
  <si>
    <t>Bird Moon T-Shirt(BLACK)</t>
  </si>
  <si>
    <t>MB7STS105BK</t>
  </si>
  <si>
    <t>Bird Moon T-Shirt(BLACK)[BLACK/One Size]</t>
  </si>
  <si>
    <t>3-176214106591208</t>
  </si>
  <si>
    <t>Bird Moon T-Shirt(WHITE)</t>
  </si>
  <si>
    <t>MB7STS105WH</t>
  </si>
  <si>
    <t>Bird Moon T-Shirt(WHITE)[WHITE/One Size]</t>
  </si>
  <si>
    <t>3-176224149191208</t>
  </si>
  <si>
    <t>Bird Moon Hood T-Shirt(WHITE)</t>
  </si>
  <si>
    <t>MB7STS104WH</t>
  </si>
  <si>
    <t>Bird Moon Hood T-Shirt(WHITE)[WHITE/One Size]</t>
  </si>
  <si>
    <t>3-176224149199208</t>
  </si>
  <si>
    <t>Bird Moon Hood T-Shirt(BLACK)</t>
  </si>
  <si>
    <t>MB7STS104BK</t>
  </si>
  <si>
    <t>Bird Moon Hood T-Shirt(BLACK)[BLACK/One Size]</t>
  </si>
  <si>
    <t>3-176224149099208</t>
  </si>
  <si>
    <t>Bird Moon Sweatshirt(BLACK)</t>
  </si>
  <si>
    <t>MB7STS103BK</t>
  </si>
  <si>
    <t>Bird Moon Sweatshirt(BLACK)[BLACK/One Size]</t>
  </si>
  <si>
    <t>3-176224149091208</t>
  </si>
  <si>
    <t>Bird Moon Sweatshirt(WHITE)</t>
  </si>
  <si>
    <t>MB7STS103WH</t>
  </si>
  <si>
    <t>Bird Moon Sweatshirt(WHITE)[WHITE/One Size]</t>
  </si>
  <si>
    <t>3-176124103874208</t>
  </si>
  <si>
    <t>Bird Moon Blouson(BEIGE)</t>
  </si>
  <si>
    <t>MB7SJP102BG</t>
  </si>
  <si>
    <t>Bird Moon Blouson(BEIGE)[BEIGE/One Size]</t>
  </si>
  <si>
    <t>3-176124103899208</t>
  </si>
  <si>
    <t>Bird Moon Blouson(BLACK)</t>
  </si>
  <si>
    <t>MB7SJP102BK</t>
  </si>
  <si>
    <t>Bird Moon Blouson(BLACK)[BLACK/One Size]</t>
  </si>
  <si>
    <t>3-176214108791208</t>
  </si>
  <si>
    <t>Stripe Stud Shirt(WHITE)</t>
  </si>
  <si>
    <t>MB7SST101WH</t>
  </si>
  <si>
    <t>Stripe Stud Shirt(WHITE)[WHITE/One Size]</t>
  </si>
  <si>
    <t>2018-03-22 오전 10:54:00</t>
  </si>
  <si>
    <t>3-174222105991208</t>
  </si>
  <si>
    <t>LO LOGO TURTLENECK (WHITE)</t>
  </si>
  <si>
    <t>V17WITS07WHF</t>
  </si>
  <si>
    <t>LO LOGO TURTLENECK (WHITE)[WHITE/FREE]</t>
  </si>
  <si>
    <t>3-174222105930208</t>
  </si>
  <si>
    <t>LO LOGO TURTLENECK (NAVY)</t>
  </si>
  <si>
    <t>V17WITS07NVF</t>
  </si>
  <si>
    <t>LO LOGO TURTLENECK (NAVY)[NAVY/FREE]</t>
  </si>
  <si>
    <t>3-174234111091208</t>
  </si>
  <si>
    <t>(UNISEX)LO PEACE TEE (WHITE)</t>
  </si>
  <si>
    <t>V17WITS05WHF</t>
  </si>
  <si>
    <t>(UNISEX)LO PEACE TEE (WHITE)[WHITE/FREE]</t>
  </si>
  <si>
    <t>3-174234111099208</t>
  </si>
  <si>
    <t>(UNISEX)LO PEACE TEE (BLACK)</t>
  </si>
  <si>
    <t>V17WITS05BKF</t>
  </si>
  <si>
    <t>(UNISEX)LO PEACE TEE (BLACK)[BLACK/FREE]</t>
  </si>
  <si>
    <t>3-174234110930208</t>
  </si>
  <si>
    <t>(UNISEX)LO AHCHOO MTM (NAVY)</t>
  </si>
  <si>
    <t>V17WITS04NVF</t>
  </si>
  <si>
    <t>(UNISEX)LO AHCHOO MTM (NAVY)[NAVY/FREE]</t>
  </si>
  <si>
    <t>3-174234110869208</t>
  </si>
  <si>
    <t>(UNISEX)LO COLD MTM (IVORY)</t>
  </si>
  <si>
    <t>V17WITS03IVF</t>
  </si>
  <si>
    <t>(UNISEX)LO COLD MTM (IVORY)[IVORY/FREE]</t>
  </si>
  <si>
    <t>3-174224103491208</t>
  </si>
  <si>
    <t>(UNISEX)LO LOGO TEE (WHITE)</t>
  </si>
  <si>
    <t>V17WITS02WHF</t>
  </si>
  <si>
    <t>(UNISEX)LO LOGO TEE (WHITE)[WHITE/FREE]</t>
  </si>
  <si>
    <t>3-174224103499208</t>
  </si>
  <si>
    <t>(UNISEX)LO LOGO TEE (BLACK)</t>
  </si>
  <si>
    <t>V17WITS02BKF</t>
  </si>
  <si>
    <t>(UNISEX)LO LOGO TEE (BLACK)[BLACK/FREE]</t>
  </si>
  <si>
    <t>3-174332104365320</t>
  </si>
  <si>
    <t>LO BUCKET SKIRT (YELLOW)</t>
  </si>
  <si>
    <t>V17WISK02YEF</t>
  </si>
  <si>
    <t>LO BUCKET SKIRT (YELLOW)[YELLOW/FREE]</t>
  </si>
  <si>
    <t>3-174332104398320</t>
  </si>
  <si>
    <t>LO BUCKET SKIRT (CHARCOAL)</t>
  </si>
  <si>
    <t>V17WISK02CHF</t>
  </si>
  <si>
    <t>LO BUCKET SKIRT (CHARCOAL)[CHARCOAL/FREE]</t>
  </si>
  <si>
    <t>3-174314102665320</t>
  </si>
  <si>
    <t>(UNISEX)LO TRACK PANTS (YELLOW)</t>
  </si>
  <si>
    <t>V17WIPT04YEF</t>
  </si>
  <si>
    <t>(UNISEX)LO TRACK PANTS (YELLOW)[YELLOW/FREE]</t>
  </si>
  <si>
    <t>3-174314102630320</t>
  </si>
  <si>
    <t>(UNISEX)LO TRACK PANTS (NAVY)</t>
  </si>
  <si>
    <t>V17WIPT04NVF</t>
  </si>
  <si>
    <t>(UNISEX)LO TRACK PANTS (NAVY)[NAVY/FREE]</t>
  </si>
  <si>
    <t>3-174252103395208</t>
  </si>
  <si>
    <t>LO LOGO OPS (GRAY)</t>
  </si>
  <si>
    <t>V17WIOP02GYF</t>
  </si>
  <si>
    <t>LO LOGO OPS (GRAY)[GRAY/FREE]</t>
  </si>
  <si>
    <t>3-174252103399208</t>
  </si>
  <si>
    <t>LO LOGO OPS (BLACK)</t>
  </si>
  <si>
    <t>V17WIOP02BKF</t>
  </si>
  <si>
    <t>LO LOGO OPS (BLACK)[BLACK/FREE]</t>
  </si>
  <si>
    <t>3-174252102765208</t>
  </si>
  <si>
    <t>LO SUSPENDER SKIRT (YELLOW)</t>
  </si>
  <si>
    <t>V17WIOP01YEF</t>
  </si>
  <si>
    <t>LO SUSPENDER SKIRT (YELLOW)[YELLOW/FREE]</t>
  </si>
  <si>
    <t>3-174252102791208</t>
  </si>
  <si>
    <t>LO SUSPENDER SKIRT (WHITE)</t>
  </si>
  <si>
    <t>V17WIOP01WHF</t>
  </si>
  <si>
    <t>LO SUSPENDER SKIRT (WHITE)[WHITE/FREE]</t>
  </si>
  <si>
    <t>3-174234111265208</t>
  </si>
  <si>
    <t>(UNISEX)LO TRACK TOP (YELLOW)</t>
  </si>
  <si>
    <t>V17WIJK02YEF</t>
  </si>
  <si>
    <t>(UNISEX)LO TRACK TOP (YELLOW)[YELLOW/FREE]</t>
  </si>
  <si>
    <t>3-174234111230208</t>
  </si>
  <si>
    <t>(UNISEX)LO TRACK TOP (NAVY)</t>
  </si>
  <si>
    <t>V17WIJK02NVF</t>
  </si>
  <si>
    <t>(UNISEX)LO TRACK TOP (NAVY)[NAVY/FREE]</t>
  </si>
  <si>
    <t>3-174132101601208</t>
  </si>
  <si>
    <t>LO FUR JACKET (PINK)</t>
  </si>
  <si>
    <t>V17WIJK01PKF</t>
  </si>
  <si>
    <t>LO FUR JACKET (PINK)[PINK/FREE]</t>
  </si>
  <si>
    <t>3-174132101625208</t>
  </si>
  <si>
    <t>LO FUR JACKET (BLUE)</t>
  </si>
  <si>
    <t>V17WIJK01BLF</t>
  </si>
  <si>
    <t>LO FUR JACKET (BLUE)[BLUE/FREE]</t>
  </si>
  <si>
    <t>3-174114101730208</t>
  </si>
  <si>
    <t>(UNISEX)LO SNOWMAN COAT (NAVY)</t>
  </si>
  <si>
    <t>V17WICO02NVF</t>
  </si>
  <si>
    <t>(UNISEX)LO SNOWMAN COAT (NAVY)[NAVY/FREE]</t>
  </si>
  <si>
    <t>3-174114101699208</t>
  </si>
  <si>
    <t>(UNISEX)LO DUFFLE COAT (BLACK)</t>
  </si>
  <si>
    <t>V17WICO01BKF</t>
  </si>
  <si>
    <t>(UNISEX)LO DUFFLE COAT (BLACK)[BLACK/FREE]</t>
  </si>
  <si>
    <t>3-174114101674208</t>
  </si>
  <si>
    <t>(UNISEX)LO DUFFLE COAT (BEIGE)</t>
  </si>
  <si>
    <t>V17WICO01BEF</t>
  </si>
  <si>
    <t>(UNISEX)LO DUFFLE COAT (BEIGE)[BEIGE/FREE]</t>
  </si>
  <si>
    <t>3-173234107099208</t>
  </si>
  <si>
    <t>(UNISEX)SD LOGO HOODIE (BLACK)</t>
  </si>
  <si>
    <t>V17AUTS14BKF</t>
  </si>
  <si>
    <t>(UNISEX)SD LOGO HOODIE (BLACK)[BLACK/FREE]</t>
  </si>
  <si>
    <t>3-173234107074208</t>
  </si>
  <si>
    <t>(UNISEX)SD LOGO HOODIE (BEIGE)</t>
  </si>
  <si>
    <t>V17AUTS14BEF</t>
  </si>
  <si>
    <t>(UNISEX)SD LOGO HOODIE (BEIGE)[BEIGE/FREE]</t>
  </si>
  <si>
    <t>3-173224105430208</t>
  </si>
  <si>
    <t>(UNISEX)SD STUDENTS TEE (NAVY)</t>
  </si>
  <si>
    <t>V17AUTS13NVF</t>
  </si>
  <si>
    <t>(UNISEX)SD STUDENTS TEE (NAVY)[NAVY/FREE]</t>
  </si>
  <si>
    <t>3-173224105395208</t>
  </si>
  <si>
    <t>(UNISEX)SD QUIZ TEE (GRAY)</t>
  </si>
  <si>
    <t>V17AUTS12GYF</t>
  </si>
  <si>
    <t>(UNISEX)SD QUIZ TEE (GRAY)[GRAY/FREE]</t>
  </si>
  <si>
    <t>3-173222104091208</t>
  </si>
  <si>
    <t>SD LOGO TURTLENECK (WHITE)</t>
  </si>
  <si>
    <t>V17AUTS11WHF</t>
  </si>
  <si>
    <t>SD LOGO TURTLENECK (WHITE)[WHITE/FREE]</t>
  </si>
  <si>
    <t>3-173222104099208</t>
  </si>
  <si>
    <t>SD LOGO TURTLENECK (BLACK)</t>
  </si>
  <si>
    <t>V17AUTS11BKF</t>
  </si>
  <si>
    <t>SD LOGO TURTLENECK (BLACK)[BLACK/FREE]</t>
  </si>
  <si>
    <t>3-173234105395208</t>
  </si>
  <si>
    <t>(UNISEX)SD CAMERA MTM (GRAY)</t>
  </si>
  <si>
    <t>V17AUTS10GYF</t>
  </si>
  <si>
    <t>(UNISEX)SD CAMERA MTM (GRAY)[GRAY/FREE]</t>
  </si>
  <si>
    <t>3-173234105399208</t>
  </si>
  <si>
    <t>(UNISEX)SD CAMERA MTM (BLACK)</t>
  </si>
  <si>
    <t>V17AUTS10BKF</t>
  </si>
  <si>
    <t>(UNISEX)SD CAMERA MTM (BLACK)[BLACK/FREE]</t>
  </si>
  <si>
    <t>3-173234105245208</t>
  </si>
  <si>
    <t>(UNISEX)SD FILM MTM (GREEN)</t>
  </si>
  <si>
    <t>V17AUTS09GNF</t>
  </si>
  <si>
    <t>(UNISEX)SD FILM MTM (GREEN)[GREEN/FREE]</t>
  </si>
  <si>
    <t>3-173234105225208</t>
  </si>
  <si>
    <t>(UNISEX)SD FILM MTM (BLUE)</t>
  </si>
  <si>
    <t>V17AUTS09BLF</t>
  </si>
  <si>
    <t>(UNISEX)SD FILM MTM (BLUE)[BLUE/FREE]</t>
  </si>
  <si>
    <t>3-173234105191208</t>
  </si>
  <si>
    <t>(UNISEX)SD ZIP UP MTM (WHITE)</t>
  </si>
  <si>
    <t>V17AUTS08WHF</t>
  </si>
  <si>
    <t>(UNISEX)SD ZIP UP MTM (WHITE)[WHITE/FREE]</t>
  </si>
  <si>
    <t>3-173234105195208</t>
  </si>
  <si>
    <t>(UNISEX)SD ZIP UP MTM (GRAY)</t>
  </si>
  <si>
    <t>V17AUTS08GYF</t>
  </si>
  <si>
    <t>(UNISEX)SD ZIP UP MTM (GRAY)[GRAY/FREE]</t>
  </si>
  <si>
    <t>3-173222104201208</t>
  </si>
  <si>
    <t>SD RIBBON SLEEVELESS (PINK)</t>
  </si>
  <si>
    <t>V17AUTS07PKF</t>
  </si>
  <si>
    <t>SD RIBBON SLEEVELESS (PINK)[PINK/FREE]</t>
  </si>
  <si>
    <t>3-173222104299208</t>
  </si>
  <si>
    <t>SD RIBBON SLEEVELESS (BLACK)</t>
  </si>
  <si>
    <t>V17AUTS07BKF</t>
  </si>
  <si>
    <t>SD RIBBON SLEEVELESS (BLACK)[BLACK/FREE]</t>
  </si>
  <si>
    <t>3-173224105291208</t>
  </si>
  <si>
    <t>(UNISEX)SD LETTERING TEE (WHITE)</t>
  </si>
  <si>
    <t>V17AUTS06WHF</t>
  </si>
  <si>
    <t>(UNISEX)SD LETTERING TEE (WHITE)[WHITE/FREE]</t>
  </si>
  <si>
    <t>3-173224105299208</t>
  </si>
  <si>
    <t>(UNISEX)SD LETTERING TEE (BLACK)</t>
  </si>
  <si>
    <t>V17AUTS06BKF</t>
  </si>
  <si>
    <t>(UNISEX)SD LETTERING TEE (BLACK)[BLACK/FREE]</t>
  </si>
  <si>
    <t>3-173234104130208</t>
  </si>
  <si>
    <t>(UNISEX)SD CAMCORDER MTM (NAVY)</t>
  </si>
  <si>
    <t>V17AUTS05NVF</t>
  </si>
  <si>
    <t>(UNISEX)SD CAMCORDER MTM (NAVY)[NAVY/FREE]</t>
  </si>
  <si>
    <t>3-173234104274208</t>
  </si>
  <si>
    <t>(UNISEX)SD GUN MTM (BEIGE)</t>
  </si>
  <si>
    <t>V17AUTS04BEF</t>
  </si>
  <si>
    <t>(UNISEX)SD GUN MTM (BEIGE)[BEIGE/FREE]</t>
  </si>
  <si>
    <t>3-173234104391208</t>
  </si>
  <si>
    <t>(UNISEX)SD SPORTS MTM (WHITE)</t>
  </si>
  <si>
    <t>V17AUTS03WHF</t>
  </si>
  <si>
    <t>(UNISEX)SD SPORTS MTM (WHITE)[WHITE/FREE]</t>
  </si>
  <si>
    <t>3-173234104330208</t>
  </si>
  <si>
    <t>(UNISEX)SD SPORTS MTM (NAVY)</t>
  </si>
  <si>
    <t>V17AUTS03NVF</t>
  </si>
  <si>
    <t>(UNISEX)SD SPORTS MTM (NAVY)[NAVY/FREE]</t>
  </si>
  <si>
    <t>3-173232100230208</t>
  </si>
  <si>
    <t>SD SET MTM (NAVY)</t>
  </si>
  <si>
    <t>V17AUTS02NVF</t>
  </si>
  <si>
    <t>SD SET MTM (NAVY)[NAVY/FREE]</t>
  </si>
  <si>
    <t>3-173232100295208</t>
  </si>
  <si>
    <t>SD SET MTM (GRAY)</t>
  </si>
  <si>
    <t>V17AUTS02GYF</t>
  </si>
  <si>
    <t>SD SET MTM (GRAY)[GRAY/FREE]</t>
  </si>
  <si>
    <t>3-173224103191208</t>
  </si>
  <si>
    <t>(UNISEX)SD SCORE TEE (WHITE)</t>
  </si>
  <si>
    <t>V17AUTS01WHF</t>
  </si>
  <si>
    <t>(UNISEX)SD SCORE TEE (WHITE)[WHITE/FREE]</t>
  </si>
  <si>
    <t>3-173224103199208</t>
  </si>
  <si>
    <t>(UNISEX)SD SCORE TEE (BLACK)</t>
  </si>
  <si>
    <t>V17AUTS01BKF</t>
  </si>
  <si>
    <t>(UNISEX)SD SCORE TEE (BLACK)[BLACK/FREE]</t>
  </si>
  <si>
    <t>3-173332101025320</t>
  </si>
  <si>
    <t>SD CHEER SKIRT (BLUE)</t>
  </si>
  <si>
    <t>V17AUSK03BLF</t>
  </si>
  <si>
    <t>SD CHEER SKIRT (BLUE)[BLUE/FREE]</t>
  </si>
  <si>
    <t>3-173332100699320</t>
  </si>
  <si>
    <t>SD LOGO SKIRT (BLACK)</t>
  </si>
  <si>
    <t>V17AUSK02BKF</t>
  </si>
  <si>
    <t>SD LOGO SKIRT (BLACK)[BLACK/FREE]</t>
  </si>
  <si>
    <t>3-173332100674320</t>
  </si>
  <si>
    <t>SD LOGO SKIRT (BEIGE)</t>
  </si>
  <si>
    <t>V17AUSK02BEF</t>
  </si>
  <si>
    <t>SD LOGO SKIRT (BEIGE)[BEIGE/FREE]</t>
  </si>
  <si>
    <t>3-173332100430320</t>
  </si>
  <si>
    <t>SD SET SKIRT (NAVY)</t>
  </si>
  <si>
    <t>V17AUSK01NVF</t>
  </si>
  <si>
    <t>SD SET SKIRT (NAVY)[NAVY/FREE]</t>
  </si>
  <si>
    <t>3-173332100495320</t>
  </si>
  <si>
    <t>SD SET SKIRT (GRAY)</t>
  </si>
  <si>
    <t>V17AUSK01GYF</t>
  </si>
  <si>
    <t>SD SET SKIRT (GRAY)[GRAY/FREE]</t>
  </si>
  <si>
    <t>3-173214105301208</t>
  </si>
  <si>
    <t>(UNISEX)SD CHECK SHIRT (PINK)</t>
  </si>
  <si>
    <t>V17AUSH02PKF</t>
  </si>
  <si>
    <t>(UNISEX)SD CHECK SHIRT (PINK)[PINK/FREE]</t>
  </si>
  <si>
    <t>3-173214105399208</t>
  </si>
  <si>
    <t>(UNISEX)SD CHECK SHIRT (BLACK)</t>
  </si>
  <si>
    <t>V17AUSH02BKF</t>
  </si>
  <si>
    <t>(UNISEX)SD CHECK SHIRT (BLACK)[BLACK/FREE]</t>
  </si>
  <si>
    <t>3-173214105491208</t>
  </si>
  <si>
    <t>(UNISEX)SD POINT SHIRT (WHITE)</t>
  </si>
  <si>
    <t>V17AUSH01WHF</t>
  </si>
  <si>
    <t>(UNISEX)SD POINT SHIRT (WHITE)[WHITE/FREE]</t>
  </si>
  <si>
    <t>3-173214105430208</t>
  </si>
  <si>
    <t>(UNISEX)SD POINT SHIRT (NAVY)</t>
  </si>
  <si>
    <t>V17AUSH01NVF</t>
  </si>
  <si>
    <t>(UNISEX)SD POINT SHIRT (NAVY)[NAVY/FREE]</t>
  </si>
  <si>
    <t>3-173314102030308</t>
  </si>
  <si>
    <t>(UNISEX)SD PIPING SLACKS (NAVY)</t>
  </si>
  <si>
    <t>V17AUPT04NVF</t>
  </si>
  <si>
    <t>(UNISEX)SD PIPING SLACKS (NAVY)[NAVY/FREE]</t>
  </si>
  <si>
    <t>3-173312100425320</t>
  </si>
  <si>
    <t>SD FIELD DAY DENIM PANTS (BLUE)</t>
  </si>
  <si>
    <t>V17AUPT03BLF</t>
  </si>
  <si>
    <t>SD FIELD DAY DENIM PANTS (BLUE)[BLUE/FREE]</t>
  </si>
  <si>
    <t>3-173314100899320</t>
  </si>
  <si>
    <t>(UNISEX)SD SWEAT PANTS (BLACK)</t>
  </si>
  <si>
    <t>V17AUPT02BKF</t>
  </si>
  <si>
    <t>(UNISEX)SD SWEAT PANTS (BLACK)[BLACK/FREE]</t>
  </si>
  <si>
    <t>3-173314100874320</t>
  </si>
  <si>
    <t>(UNISEX)SD SWEAT PANTS (BEIGE)</t>
  </si>
  <si>
    <t>V17AUPT02BEF</t>
  </si>
  <si>
    <t>(UNISEX)SD SWEAT PANTS (BEIGE)[BEIGE/FREE]</t>
  </si>
  <si>
    <t>3-173324100199320</t>
  </si>
  <si>
    <t>(UNISEX)SD RUN DENIM PANTS (BLACK)</t>
  </si>
  <si>
    <t>V17AUPT01BKF</t>
  </si>
  <si>
    <t>(UNISEX)SD RUN DENIM PANTS (BLACK)[BLACK/FREE]</t>
  </si>
  <si>
    <t>3-173252101245208</t>
  </si>
  <si>
    <t>SD CORDUROY OPS (GREEN)</t>
  </si>
  <si>
    <t>V17AUOP02GNF</t>
  </si>
  <si>
    <t>SD CORDUROY OPS (GREEN)[GREEN/FREE]</t>
  </si>
  <si>
    <t>3-173252100730208</t>
  </si>
  <si>
    <t>SD LOGO OPS (NAVY)</t>
  </si>
  <si>
    <t>V17AUOP01NVF</t>
  </si>
  <si>
    <t>SD LOGO OPS (NAVY)[NAVY/FREE]</t>
  </si>
  <si>
    <t>3-173252100774208</t>
  </si>
  <si>
    <t>SD LOGO OPS (BEIGE)</t>
  </si>
  <si>
    <t>V17AUOP01BEF</t>
  </si>
  <si>
    <t>SD LOGO OPS (BEIGE)[BEIGE/FREE]</t>
  </si>
  <si>
    <t>3-173234109830208</t>
  </si>
  <si>
    <t>(UNISEX)SD GOODJOB VEST (NAVY)</t>
  </si>
  <si>
    <t>V17AUKN05NVF</t>
  </si>
  <si>
    <t>(UNISEX)SD GOODJOB VEST (NAVY)[NAVY/FREE]</t>
  </si>
  <si>
    <t>3-173234108291208</t>
  </si>
  <si>
    <t>(UNISEX)SD CHEER UP KNIT (WHITE)</t>
  </si>
  <si>
    <t>V17AUKN04WHF</t>
  </si>
  <si>
    <t>(UNISEX)SD CHEER UP KNIT (WHITE)[WHITE/FREE]</t>
  </si>
  <si>
    <t>3-173232100769208</t>
  </si>
  <si>
    <t>SD CROP KNIT (IVORY)</t>
  </si>
  <si>
    <t>V17AUKN03IVF</t>
  </si>
  <si>
    <t>SD CROP KNIT (IVORY)[IVORY/FREE]</t>
  </si>
  <si>
    <t>3-173234108369208</t>
  </si>
  <si>
    <t>(UNISEX)SD CLAP KNIT (IVORY)</t>
  </si>
  <si>
    <t>V17AUKN02IVF</t>
  </si>
  <si>
    <t>(UNISEX)SD CLAP KNIT (IVORY)[IVORY/FREE]</t>
  </si>
  <si>
    <t>3-173234108469208</t>
  </si>
  <si>
    <t>(UNISEX)SD LOGO VEST (IVORY)</t>
  </si>
  <si>
    <t>V17AUKN01IVF</t>
  </si>
  <si>
    <t>(UNISEX)SD LOGO VEST (IVORY)[IVORY/FREE]</t>
  </si>
  <si>
    <t>3-173134101499208</t>
  </si>
  <si>
    <t>(UNISEX)SD FIELD  JACKET (BLACK)</t>
  </si>
  <si>
    <t>V17AUJK03BKF</t>
  </si>
  <si>
    <t>(UNISEX)SD FIELD  JACKET (BLACK)[BLACK/FREE]</t>
  </si>
  <si>
    <t>3-173134101530208</t>
  </si>
  <si>
    <t>(UNISEX)SD PIPING JACKET (NAVY)</t>
  </si>
  <si>
    <t>V17AUJK02NVF</t>
  </si>
  <si>
    <t>(UNISEX)SD PIPING JACKET (NAVY)[NAVY/FREE]</t>
  </si>
  <si>
    <t>3-173234104430208</t>
  </si>
  <si>
    <t>(UNISEX)SD CARDIGAN (NAVY)</t>
  </si>
  <si>
    <t>V17AUJK01NVF</t>
  </si>
  <si>
    <t>(UNISEX)SD CARDIGAN (NAVY)[NAVY/FREE]</t>
  </si>
  <si>
    <t>3-173234104495208</t>
  </si>
  <si>
    <t>(UNISEX)SD CARDIGAN (GRAY)</t>
  </si>
  <si>
    <t>V17AUJK01GYF</t>
  </si>
  <si>
    <t>(UNISEX)SD CARDIGAN (GRAY)[GRAY/FREE]</t>
  </si>
  <si>
    <t>3-173114100174208</t>
  </si>
  <si>
    <t>(UNISEX)SD TRENCH COAT (BEIGE)</t>
  </si>
  <si>
    <t>V17AUCO01BEF</t>
  </si>
  <si>
    <t>(UNISEX)SD TRENCH COAT (BEIGE)[BEIGE/FREE]</t>
  </si>
  <si>
    <t>3-173514200561120</t>
  </si>
  <si>
    <t>(UNISEX)SD GYM BAG (RED)</t>
  </si>
  <si>
    <t>V17AUAC10RDF</t>
  </si>
  <si>
    <t>(UNISEX)SD GYM BAG (RED)[RED/FREE]</t>
  </si>
  <si>
    <t>3-173514200501120</t>
  </si>
  <si>
    <t>(UNISEX)SD GYM BAG (PINK)</t>
  </si>
  <si>
    <t>V17AUAC10PKF</t>
  </si>
  <si>
    <t>(UNISEX)SD GYM BAG (PINK)[PINK/FREE]</t>
  </si>
  <si>
    <t>3-173514200491120</t>
  </si>
  <si>
    <t>(UNISEX)SD FL BACKPACK (WHITE)</t>
  </si>
  <si>
    <t>V17AUAC09WHF</t>
  </si>
  <si>
    <t>(UNISEX)SD FL BACKPACK (WHITE)[WHITE/FREE]</t>
  </si>
  <si>
    <t>3-173514200499120</t>
  </si>
  <si>
    <t>(UNISEX)SD FL BACKPACK (BLACK)</t>
  </si>
  <si>
    <t>V17AUAC09BKF</t>
  </si>
  <si>
    <t>(UNISEX)SD FL BACKPACK (BLACK)[BLACK/FREE]</t>
  </si>
  <si>
    <t>3-173524100299120</t>
  </si>
  <si>
    <t>(UNISEX)SD STRING BUCKET HAT (BLACK)</t>
  </si>
  <si>
    <t>V17AUAC05BKF</t>
  </si>
  <si>
    <t>(UNISEX)SD STRING BUCKET HAT (BLACK)[BLACK/FREE]</t>
  </si>
  <si>
    <t>3-173524100130120</t>
  </si>
  <si>
    <t>(UNISEX)SD LETTERING BUCKET HAT (NAVY)</t>
  </si>
  <si>
    <t>V17AUAC04NVF</t>
  </si>
  <si>
    <t>(UNISEX)SD LETTERING BUCKET HAT (NAVY)[NAVY/FREE]</t>
  </si>
  <si>
    <t>3-172212104101208</t>
  </si>
  <si>
    <t>RE SET TOP(PINK)</t>
  </si>
  <si>
    <t>V17SUTS15PKF</t>
  </si>
  <si>
    <t>RE SET TOP(PINK)[PINK/FREE]</t>
  </si>
  <si>
    <t>3-172212104130208</t>
  </si>
  <si>
    <t>RE SET TOP(NAVY)</t>
  </si>
  <si>
    <t>V17SUTS15NVF</t>
  </si>
  <si>
    <t>RE SET TOP(NAVY)[NAVY/FREE]</t>
  </si>
  <si>
    <t>3-172222121691208</t>
  </si>
  <si>
    <t>RE RETREAT CROP TOP(WHITE)</t>
  </si>
  <si>
    <t>V17SUTS14WHF</t>
  </si>
  <si>
    <t>RE RETREAT CROP TOP(WHITE)[WHITE/FREE]</t>
  </si>
  <si>
    <t>3-172222121699208</t>
  </si>
  <si>
    <t>RE RETREAT CROP TOP(BLACK)</t>
  </si>
  <si>
    <t>V17SUTS14BKF</t>
  </si>
  <si>
    <t>RE RETREAT CROP TOP(BLACK)[BLACK/FREE]</t>
  </si>
  <si>
    <t>3-172222121499208</t>
  </si>
  <si>
    <t>RE OFF SHOULDER TOP(BLACK)</t>
  </si>
  <si>
    <t>V17SUTS13BKF</t>
  </si>
  <si>
    <t>RE OFF SHOULDER TOP(BLACK)[BLACK/FREE]</t>
  </si>
  <si>
    <t>3-172222121561208</t>
  </si>
  <si>
    <t>RE LIGHTS TOP(RED)</t>
  </si>
  <si>
    <t>V17SUTS12RDF</t>
  </si>
  <si>
    <t>RE LIGHTS TOP(RED)[RED/FREE]</t>
  </si>
  <si>
    <t>3-172222121525208</t>
  </si>
  <si>
    <t>RE LIGHTS TOP(BLUE)</t>
  </si>
  <si>
    <t>V17SUTS12BLF</t>
  </si>
  <si>
    <t>RE LIGHTS TOP(BLUE)[BLUE/FREE]</t>
  </si>
  <si>
    <t>3-172222121301208</t>
  </si>
  <si>
    <t>RE CAMPFIRE CROP T(PINK)</t>
  </si>
  <si>
    <t>V17SUTS11PKF</t>
  </si>
  <si>
    <t>RE CAMPFIRE CROP T(PINK)[PINK/FREE]</t>
  </si>
  <si>
    <t>3-172222121399208</t>
  </si>
  <si>
    <t>RE CAMPFIRE CROP T(BLACK)</t>
  </si>
  <si>
    <t>V17SUTS11BKF</t>
  </si>
  <si>
    <t>RE CAMPFIRE CROP T(BLACK)[BLACK/FREE]</t>
  </si>
  <si>
    <t>3-172224154601208</t>
  </si>
  <si>
    <t>RE NOSMOKING SLEEVELESS(PINK)</t>
  </si>
  <si>
    <t>V17SUTS10PKF</t>
  </si>
  <si>
    <t>RE NOSMOKING SLEEVELESS(PINK)[PINK/FREE]</t>
  </si>
  <si>
    <t>3-172224154699208</t>
  </si>
  <si>
    <t>RE NOSMOKING SLEEVELESS(BLACK)</t>
  </si>
  <si>
    <t>V17SUTS10BKF</t>
  </si>
  <si>
    <t>RE NOSMOKING SLEEVELESS(BLACK)[BLACK/FREE]</t>
  </si>
  <si>
    <t>3-172224154565208</t>
  </si>
  <si>
    <t>RE INSTRUCTOR T-SHIRT(YELLOW)</t>
  </si>
  <si>
    <t>V17SUTS09YEF</t>
  </si>
  <si>
    <t>RE INSTRUCTOR T-SHIRT(YELLOW)[YELLOW/FREE]</t>
  </si>
  <si>
    <t>3-172224154365208</t>
  </si>
  <si>
    <t>RE SUNCREAM T-SHIRT(YELLOW)</t>
  </si>
  <si>
    <t>V17SUTS08YEF</t>
  </si>
  <si>
    <t>RE SUNCREAM T-SHIRT(YELLOW)[YELLOW/FREE]</t>
  </si>
  <si>
    <t>3-172224154345208</t>
  </si>
  <si>
    <t>RE SUNCREAM T-SHIRT(GREEN)</t>
  </si>
  <si>
    <t>V17SUTS08GNF</t>
  </si>
  <si>
    <t>RE SUNCREAM T-SHIRT(GREEN)[GREEN/FREE]</t>
  </si>
  <si>
    <t>3-172224154230208</t>
  </si>
  <si>
    <t>RE CLICK T-SHIRT(NAVY)</t>
  </si>
  <si>
    <t>V17SUTS07NVF</t>
  </si>
  <si>
    <t>RE CLICK T-SHIRT(NAVY)[NAVY/FREE]</t>
  </si>
  <si>
    <t>3-172224154274208</t>
  </si>
  <si>
    <t>RE CLICK T-SHIRT(BEIGE)</t>
  </si>
  <si>
    <t>V17SUTS07BEF</t>
  </si>
  <si>
    <t>RE CLICK T-SHIRT(BEIGE)[BEIGE/FREE]</t>
  </si>
  <si>
    <t>3-172224153401208</t>
  </si>
  <si>
    <t>RE TOWEL T-SHIRT(PINK)</t>
  </si>
  <si>
    <t>V17SUTS06PKF</t>
  </si>
  <si>
    <t>RE TOWEL T-SHIRT(PINK)[PINK/FREE]</t>
  </si>
  <si>
    <t>3-172224153499208</t>
  </si>
  <si>
    <t>RE TOWEL T-SHIRT(BLACK)</t>
  </si>
  <si>
    <t>V17SUTS06BKF</t>
  </si>
  <si>
    <t>RE TOWEL T-SHIRT(BLACK)[BLACK/FREE]</t>
  </si>
  <si>
    <t>3-172224149891208</t>
  </si>
  <si>
    <t>RE TP T-SHIRT(WHITE)</t>
  </si>
  <si>
    <t>V17SUTS04WHF</t>
  </si>
  <si>
    <t>RE TP T-SHIRT(WHITE)[WHITE/FREE]</t>
  </si>
  <si>
    <t>3-172224149825208</t>
  </si>
  <si>
    <t>RE TP T-SHIRT(BLUE)[BLUE/FREE]</t>
  </si>
  <si>
    <t>3-172224149961208</t>
  </si>
  <si>
    <t>RE ROYAL T-SHIRT(RED)</t>
  </si>
  <si>
    <t>V17SUTS03RDF</t>
  </si>
  <si>
    <t>RE ROYAL T-SHIRT(RED)[RED/FREE]</t>
  </si>
  <si>
    <t>3-172224149999208</t>
  </si>
  <si>
    <t>RE ROYAL T-SHIRT(BLACK)</t>
  </si>
  <si>
    <t>V17SUTS03BKF</t>
  </si>
  <si>
    <t>RE ROYAL T-SHIRT(BLACK)[BLACK/FREE]</t>
  </si>
  <si>
    <t>3-172224150091208</t>
  </si>
  <si>
    <t>RE RETREAT T-SHIRT(WHITE)</t>
  </si>
  <si>
    <t>V17SUTS02WHF</t>
  </si>
  <si>
    <t>RE RETREAT T-SHIRT(WHITE)[WHITE/FREE]</t>
  </si>
  <si>
    <t>3-172224150099208</t>
  </si>
  <si>
    <t>RE RETREAT T-SHIRT(BLACK)</t>
  </si>
  <si>
    <t>V17SUTS02BKF</t>
  </si>
  <si>
    <t>RE RETREAT T-SHIRT(BLACK)[BLACK/FREE]</t>
  </si>
  <si>
    <t>3-172214106565208</t>
  </si>
  <si>
    <t>RE GAME PIQUE SHIRT(YELLOW)</t>
  </si>
  <si>
    <t>V17SUTS01YEF</t>
  </si>
  <si>
    <t>RE GAME PIQUE SHIRT(YELLOW)[YELLOW/FREE]</t>
  </si>
  <si>
    <t>3-172214106530208</t>
  </si>
  <si>
    <t>RE GAME PIQUE SHIRT(NAVY)</t>
  </si>
  <si>
    <t>V17SUTS01NVF</t>
  </si>
  <si>
    <t>RE GAME PIQUE SHIRT(NAVY)[NAVY/FREE]</t>
  </si>
  <si>
    <t>3-172332104201320</t>
  </si>
  <si>
    <t>RE SET SKIRT(PINK)</t>
  </si>
  <si>
    <t>V17SUSK03PKF</t>
  </si>
  <si>
    <t>RE SET SKIRT(PINK)[PINK/FREE]</t>
  </si>
  <si>
    <t>3-172332104230320</t>
  </si>
  <si>
    <t>RE SET SKIRT(NAVY)</t>
  </si>
  <si>
    <t>V17SUSK03NVF</t>
  </si>
  <si>
    <t>RE SET SKIRT(NAVY)[NAVY/FREE]</t>
  </si>
  <si>
    <t>3-172332104025308</t>
  </si>
  <si>
    <t>RE TWO PLEATS SKIRT(BLUE)</t>
  </si>
  <si>
    <t>V17SUSK02BLF</t>
  </si>
  <si>
    <t>RE TWO PLEATS SKIRT(BLUE)[BLUE/FREE]</t>
  </si>
  <si>
    <t>3-172332104099308</t>
  </si>
  <si>
    <t>RE TWO PLEATS SKIRT(BLACK)</t>
  </si>
  <si>
    <t>V17SUSK02BKF</t>
  </si>
  <si>
    <t>RE TWO PLEATS SKIRT(BLACK)[BLACK/FREE]</t>
  </si>
  <si>
    <t>V-17SUSK01BLF</t>
  </si>
  <si>
    <t>V17SUSK01BLF</t>
  </si>
  <si>
    <t>RE MATCHES SKIRT(BLUE)</t>
  </si>
  <si>
    <t>RE MATCHES SKIRT(BLUE)[BLUE/FREE]</t>
  </si>
  <si>
    <t>3-172214106430208</t>
  </si>
  <si>
    <t>RE PIPING SHIRT(NAVY)</t>
  </si>
  <si>
    <t>V17SUSH02NVF</t>
  </si>
  <si>
    <t>RE PIPING SHIRT(NAVY)[NAVY/FREE]</t>
  </si>
  <si>
    <t>3-172214105402208</t>
  </si>
  <si>
    <t>RE FLOSS SHIRT(VIOLET)</t>
  </si>
  <si>
    <t>V17SUSH01VIF</t>
  </si>
  <si>
    <t>VIOLET/FREE</t>
  </si>
  <si>
    <t>RE FLOSS SHIRT(VIOLET)[VIOLET/FREE]</t>
  </si>
  <si>
    <t>3-172214105425208</t>
  </si>
  <si>
    <t>RE FLOSS SHIRT(BLUE)</t>
  </si>
  <si>
    <t>V17SUSH01BLF</t>
  </si>
  <si>
    <t>RE FLOSS SHIRT(BLUE)[BLUE/FREE]</t>
  </si>
  <si>
    <t>3-172342101724308</t>
  </si>
  <si>
    <t>RE BELTED SHORTS(LIGHT BLUE)</t>
  </si>
  <si>
    <t>V17SUPT07LB</t>
  </si>
  <si>
    <t>LIGHT BLUE/FREE</t>
  </si>
  <si>
    <t>RE BELTED SHORTS(LIGHT BLUE)[LIGHT BLUE/FREE]</t>
  </si>
  <si>
    <t>3-172324100224308</t>
  </si>
  <si>
    <t>RE LUCKY PANTS(LIGHT BLUE)</t>
  </si>
  <si>
    <t>V17SUPT06LBF</t>
  </si>
  <si>
    <t>RE LUCKY PANTS(LIGHT BLUE)[LIGHT BLUE/FREE]</t>
  </si>
  <si>
    <t>V-17SUPT05BLF</t>
  </si>
  <si>
    <t>V17SUPT05BLF</t>
  </si>
  <si>
    <t>RE OVERALLS(BLUE)</t>
  </si>
  <si>
    <t>RE OVERALLS(BLUE)[BLUE/FREE]</t>
  </si>
  <si>
    <t>3-172344103501308</t>
  </si>
  <si>
    <t>RE TOWEL PANTS(PINK)</t>
  </si>
  <si>
    <t>V17SUPT04PKF</t>
  </si>
  <si>
    <t>RE TOWEL PANTS(PINK)[PINK/FREE]</t>
  </si>
  <si>
    <t>3-172344103599308</t>
  </si>
  <si>
    <t>RE TOWEL PANTS(BLACK)</t>
  </si>
  <si>
    <t>V17SUPT04BKF</t>
  </si>
  <si>
    <t>RE TOWEL PANTS(BLACK)[BLACK/FREE]</t>
  </si>
  <si>
    <t>3-172344103861308</t>
  </si>
  <si>
    <t>RE SHORTS(RED)</t>
  </si>
  <si>
    <t>V17SUPT03RDF</t>
  </si>
  <si>
    <t>RE SHORTS(RED)[RED/FREE]</t>
  </si>
  <si>
    <t>3-172344103845308</t>
  </si>
  <si>
    <t>RE SHORTS(GREEN)</t>
  </si>
  <si>
    <t>V17SUPT03GNF</t>
  </si>
  <si>
    <t>RE SHORTS(GREEN)[GREEN/FREE]</t>
  </si>
  <si>
    <t>3-172344103899308</t>
  </si>
  <si>
    <t>RE SHORTS(BLACK)</t>
  </si>
  <si>
    <t>V17SUPT03BKF</t>
  </si>
  <si>
    <t>RE SHORTS(BLACK)[BLACK/FREE]</t>
  </si>
  <si>
    <t>3-172344103799308</t>
  </si>
  <si>
    <t>RE MATCHES SHORTS(BLACK)</t>
  </si>
  <si>
    <t>V17SUPT02BKF</t>
  </si>
  <si>
    <t>RE MATCHES SHORTS(BLACK)[BLACK/FREE]</t>
  </si>
  <si>
    <t>3-172344103774308</t>
  </si>
  <si>
    <t>RE MATCHES SHORTS(BEIGE)</t>
  </si>
  <si>
    <t>V17SUPT02BEF</t>
  </si>
  <si>
    <t>RE MATCHES SHORTS(BEIGE)[BEIGE/FREE]</t>
  </si>
  <si>
    <t>3-172344103630308</t>
  </si>
  <si>
    <t>RE PIPING SHORTS(NAVY)</t>
  </si>
  <si>
    <t>V17SUPT01NVF</t>
  </si>
  <si>
    <t>RE PIPING SHORTS(NAVY)[NAVY/FREE]</t>
  </si>
  <si>
    <t>3-172252109291208</t>
  </si>
  <si>
    <t>RE SLIP OPS(WHITE)</t>
  </si>
  <si>
    <t>V17SUOP03WHF</t>
  </si>
  <si>
    <t>RE SLIP OPS(WHITE)[WHITE/FREE]</t>
  </si>
  <si>
    <t>3-172252109225208</t>
  </si>
  <si>
    <t>RE SLIP OPS(BLUE)</t>
  </si>
  <si>
    <t>V17SUOP03BLF</t>
  </si>
  <si>
    <t>RE SLIP OPS(BLUE)[BLUE/FREE]</t>
  </si>
  <si>
    <t>3-172252109161208</t>
  </si>
  <si>
    <t>RE KNOT OPS(RED)</t>
  </si>
  <si>
    <t>V17SUOP02RDF</t>
  </si>
  <si>
    <t>RE KNOT OPS(RED)[RED/FREE]</t>
  </si>
  <si>
    <t>3-172252109199208</t>
  </si>
  <si>
    <t>RE KNOT OPS(BLACK)</t>
  </si>
  <si>
    <t>V17SUOP02BKF</t>
  </si>
  <si>
    <t>RE KNOT OPS(BLACK)[BLACK/FREE]</t>
  </si>
  <si>
    <t>3-172252200191308</t>
  </si>
  <si>
    <t>RE SUSPENDER SKIRT(WHITE)</t>
  </si>
  <si>
    <t>V17SUOP01WHF</t>
  </si>
  <si>
    <t>RE SUSPENDER SKIRT(WHITE)[WHITE/FREE]</t>
  </si>
  <si>
    <t>3-172514100291108</t>
  </si>
  <si>
    <t>RE BACKPACK(WHITE)</t>
  </si>
  <si>
    <t>V17SUAC07WHF</t>
  </si>
  <si>
    <t>RE BACKPACK(WHITE)[WHITE/FREE]</t>
  </si>
  <si>
    <t>3-172514201201108</t>
  </si>
  <si>
    <t>RE DUFFLE BAG(PINK)</t>
  </si>
  <si>
    <t>V17SUAC06PKF</t>
  </si>
  <si>
    <t>RE DUFFLE BAG(PINK)[PINK/FREE]</t>
  </si>
  <si>
    <t>3-172514201225108</t>
  </si>
  <si>
    <t>RE DUFFLE BAG(BLUE)</t>
  </si>
  <si>
    <t>V17SUAC06BLF</t>
  </si>
  <si>
    <t>RE DUFFLE BAG(BLUE)[BLUE/FREE]</t>
  </si>
  <si>
    <t>3-172514201191108</t>
  </si>
  <si>
    <t>RE TOTE BAG(WHITE)</t>
  </si>
  <si>
    <t>V17SUAC05WHF</t>
  </si>
  <si>
    <t>RE TOTE BAG(WHITE)[WHITE/FREE]</t>
  </si>
  <si>
    <t>3-172514201101108</t>
  </si>
  <si>
    <t>RE TOTE BAG(PINK)</t>
  </si>
  <si>
    <t>V17SUAC05PKF</t>
  </si>
  <si>
    <t>RE TOTE BAG(PINK)[PINK/FREE]</t>
  </si>
  <si>
    <t>3-172514201091101</t>
  </si>
  <si>
    <t>RE TS CLUTCH BAG(WHITE)</t>
  </si>
  <si>
    <t>V17SUAC04WHS</t>
  </si>
  <si>
    <t>WHITE/SMALL</t>
  </si>
  <si>
    <t>RE TS CLUTCH BAG(WHITE)[WHITE/SMALL]</t>
  </si>
  <si>
    <t>3-172544100165108</t>
  </si>
  <si>
    <t>RE BELT(YELLOW)</t>
  </si>
  <si>
    <t>V17SUAC03YEF</t>
  </si>
  <si>
    <t>RE BELT(YELLOW)[YELLOW/FREE]</t>
  </si>
  <si>
    <t>3-172544100191108</t>
  </si>
  <si>
    <t>RE BELT(WHITE)</t>
  </si>
  <si>
    <t>V17SUAC03WHF</t>
  </si>
  <si>
    <t>RE BELT(WHITE)[WHITE/FREE]</t>
  </si>
  <si>
    <t>3-172544100101108</t>
  </si>
  <si>
    <t>RE BELT(PINK)</t>
  </si>
  <si>
    <t>V17SUAC03PKF</t>
  </si>
  <si>
    <t>RE BELT(PINK)[PINK/FREE]</t>
  </si>
  <si>
    <t>3-172544100125108</t>
  </si>
  <si>
    <t>RE BELT(BLUE)</t>
  </si>
  <si>
    <t>V17SUAC03BLF</t>
  </si>
  <si>
    <t>RE BELT(BLUE)[BLUE/FREE]</t>
  </si>
  <si>
    <t>3-172524203191108</t>
  </si>
  <si>
    <t>RE SUN VISOR(WHITE)</t>
  </si>
  <si>
    <t>V17SUAC02WHF</t>
  </si>
  <si>
    <t>RE SUN VISOR(WHITE)[WHITE/FREE]</t>
  </si>
  <si>
    <t>3-172524203107108</t>
  </si>
  <si>
    <t>RE SUN VISOR(PINK)</t>
  </si>
  <si>
    <t>V17SUAC02PKF</t>
  </si>
  <si>
    <t>RE SUN VISOR(PINK)[PINK/FREE]</t>
  </si>
  <si>
    <t>3-172524203065108</t>
  </si>
  <si>
    <t>RE FLASHLIGHT CAP(YELLOW)</t>
  </si>
  <si>
    <t>V17SUAC01YEF</t>
  </si>
  <si>
    <t>RE FLASHLIGHT CAP(YELLOW)[YELLOW/FREE]</t>
  </si>
  <si>
    <t>3-172524203001108</t>
  </si>
  <si>
    <t>RE FLASHLIGHT CAP(PINK)</t>
  </si>
  <si>
    <t>V17SUAC01PKF</t>
  </si>
  <si>
    <t>RE FLASHLIGHT CAP(PINK)[PINK/FREE]</t>
  </si>
  <si>
    <t>LARTIGENT</t>
  </si>
  <si>
    <t>3-174222108561208</t>
  </si>
  <si>
    <t>17W GL TURTLENECK (RED)</t>
  </si>
  <si>
    <t>L17WITS12RD</t>
  </si>
  <si>
    <t>RED/F</t>
  </si>
  <si>
    <t>17W GL TURTLENECK (RED)[RED/F]</t>
  </si>
  <si>
    <t>3-174222108592208</t>
  </si>
  <si>
    <t>17W GL TURTLENECK (GOLD)</t>
  </si>
  <si>
    <t>L17WITS12GD</t>
  </si>
  <si>
    <t>GOLD/F</t>
  </si>
  <si>
    <t>17W GL TURTLENECK (GOLD)[GOLD/F]</t>
  </si>
  <si>
    <t>3-174222108599208</t>
  </si>
  <si>
    <t>17W GL TURTLENECK (BLACK)</t>
  </si>
  <si>
    <t>L17WITS12BK</t>
  </si>
  <si>
    <t>17W GL TURTLENECK (BLACK)[BLACK/F]</t>
  </si>
  <si>
    <t>3-174222108462208</t>
  </si>
  <si>
    <t>17W RB TURTLENECK (ORANGE)</t>
  </si>
  <si>
    <t>L17WITS11OR</t>
  </si>
  <si>
    <t>ORANGE/F</t>
  </si>
  <si>
    <t>17W RB TURTLENECK (ORANGE)[ORANGE/F]</t>
  </si>
  <si>
    <t>3-174222108469208</t>
  </si>
  <si>
    <t>17W RB TURTLENECK (IVORY)</t>
  </si>
  <si>
    <t>L17WITS11IV</t>
  </si>
  <si>
    <t>17W RB TURTLENECK (IVORY)[IVORY/F]</t>
  </si>
  <si>
    <t>3-174222108475208</t>
  </si>
  <si>
    <t>17W RB TURTLENECK (BROWN)</t>
  </si>
  <si>
    <t>L17WITS11BR</t>
  </si>
  <si>
    <t>BROWN/F</t>
  </si>
  <si>
    <t>17W RB TURTLENECK (BROWN)[BROWN/F]</t>
  </si>
  <si>
    <t>3-174222108301208</t>
  </si>
  <si>
    <t>17W VV TURTLENECK (PINK)</t>
  </si>
  <si>
    <t>L17WITS10PK</t>
  </si>
  <si>
    <t>17W VV TURTLENECK (PINK)[PINK/F]</t>
  </si>
  <si>
    <t>3-174222108374208</t>
  </si>
  <si>
    <t>17W VV TURTLENECK (BEIGE)</t>
  </si>
  <si>
    <t>L17WITS10BE</t>
  </si>
  <si>
    <t>17W VV TURTLENECK (BEIGE)[BEIGE/F]</t>
  </si>
  <si>
    <t>3-174222108274208</t>
  </si>
  <si>
    <t>17W ST TURTLENECK (BEIGE)</t>
  </si>
  <si>
    <t>L17WITS09BE</t>
  </si>
  <si>
    <t>17W ST TURTLENECK (BEIGE)[BEIGE/F]</t>
  </si>
  <si>
    <t>3-174222108191208</t>
  </si>
  <si>
    <t>17W ST TURTLENECK (WHITE)</t>
  </si>
  <si>
    <t>L17WITS08WH</t>
  </si>
  <si>
    <t>17W ST TURTLENECK (WHITE)[WHITE/F]</t>
  </si>
  <si>
    <t>3-174222108006208</t>
  </si>
  <si>
    <t>17W SO TURTLENECK (WINE)</t>
  </si>
  <si>
    <t>L17WITS07WN</t>
  </si>
  <si>
    <t>WINE/F</t>
  </si>
  <si>
    <t>17W SO TURTLENECK (WINE)[WINE/F]</t>
  </si>
  <si>
    <t>3-174222108069208</t>
  </si>
  <si>
    <t>17W SO TURTLENECK(IVORY)</t>
  </si>
  <si>
    <t>L17WITS07IV</t>
  </si>
  <si>
    <t>17W SO TURTLENECK(IVORY)[IVORY/F]</t>
  </si>
  <si>
    <t>3-174222108099208</t>
  </si>
  <si>
    <t>17W SO TURTLENECK(BLACK)</t>
  </si>
  <si>
    <t>L17WITS07BK</t>
  </si>
  <si>
    <t>17W SO TURTLENECK(BLACK)[BLACK/F]</t>
  </si>
  <si>
    <t>3-174332106692320</t>
  </si>
  <si>
    <t>17W GL SKIRT (GOLD)</t>
  </si>
  <si>
    <t>L17WISK04GD</t>
  </si>
  <si>
    <t>17W GL SKIRT (GOLD)[GOLD/F]</t>
  </si>
  <si>
    <t>3-174332106699320</t>
  </si>
  <si>
    <t>17W GL SKIRT (BLACK)</t>
  </si>
  <si>
    <t>L17WISK04BK</t>
  </si>
  <si>
    <t>17W GL SKIRT (BLACK)[BLACK/F]</t>
  </si>
  <si>
    <t>3-174332106595320</t>
  </si>
  <si>
    <t>17W CK SKIRT (GRAY)</t>
  </si>
  <si>
    <t>L17WISK03GY</t>
  </si>
  <si>
    <t>GRAY/F</t>
  </si>
  <si>
    <t>17W CK SKIRT (GRAY)[GRAY/F]</t>
  </si>
  <si>
    <t>3-174332106575320</t>
  </si>
  <si>
    <t>17W CK SKIRT (BROWN)</t>
  </si>
  <si>
    <t>L17WISK03BR</t>
  </si>
  <si>
    <t>17W CK SKIRT (BROWN)[BROWN/F]</t>
  </si>
  <si>
    <t>3-174332106599320</t>
  </si>
  <si>
    <t>17W CK SKIRT (BLACK)</t>
  </si>
  <si>
    <t>L17WISK03BK</t>
  </si>
  <si>
    <t>17W CK SKIRT (BLACK)[BLACK/F]</t>
  </si>
  <si>
    <t>3-174552100623120</t>
  </si>
  <si>
    <t>17W MUFFLER (SKY BLUE)</t>
  </si>
  <si>
    <t>L17WIAC01SB</t>
  </si>
  <si>
    <t>SKY BLUE/F</t>
  </si>
  <si>
    <t>17W MUFFLER (SKY BLUE)[SKY BLUE/F]</t>
  </si>
  <si>
    <t>3-174552100601120</t>
  </si>
  <si>
    <t>17W MUFFLER (PINK)</t>
  </si>
  <si>
    <t>L17WIAC01PK</t>
  </si>
  <si>
    <t>17W MUFFLER (PINK)[PINK/F]</t>
  </si>
  <si>
    <t>3-174552100669120</t>
  </si>
  <si>
    <t>17W MUFFLER (IVORY)</t>
  </si>
  <si>
    <t>L17WIAC01IV</t>
  </si>
  <si>
    <t>17W MUFFLER (IVORY)[IVORY/F]</t>
  </si>
  <si>
    <t>3-174552100698120</t>
  </si>
  <si>
    <t>17W MUFFLER (CHARCOAL)</t>
  </si>
  <si>
    <t>L17WIAC01CH</t>
  </si>
  <si>
    <t>CHARCOAL/F</t>
  </si>
  <si>
    <t>17W MUFFLER (CHARCOAL)[CHARCOAL/F]</t>
  </si>
  <si>
    <t>3-174552100625120</t>
  </si>
  <si>
    <t>17W MUFFLER (BLUE)</t>
  </si>
  <si>
    <t>L17WIAC01BL</t>
  </si>
  <si>
    <t>17W MUFFLER (BLUE)[BLUE/F]</t>
  </si>
  <si>
    <t>3-174552100699120</t>
  </si>
  <si>
    <t>17W MUFFLER (BLACK)</t>
  </si>
  <si>
    <t>L17WIAC01BK</t>
  </si>
  <si>
    <t>17W MUFFLER (BLACK)[BLACK/F]</t>
  </si>
  <si>
    <t>3-174552100674120</t>
  </si>
  <si>
    <t>17W MUFFLER (BEIGE)</t>
  </si>
  <si>
    <t>L17WIAC01BE</t>
  </si>
  <si>
    <t>17W MUFFLER (BEIGE)[BEIGE/F]</t>
  </si>
  <si>
    <t>3-174222104795208</t>
  </si>
  <si>
    <t>LA BUSTIER TOP (GRAY)</t>
  </si>
  <si>
    <t>L17WITS06GYF</t>
  </si>
  <si>
    <t>LA BUSTIER TOP (GRAY)[GRAY/FREE]</t>
  </si>
  <si>
    <t>3-174222104745208</t>
  </si>
  <si>
    <t>LA BUSTIER TOP (GREEN)</t>
  </si>
  <si>
    <t>L17WITS06GNF</t>
  </si>
  <si>
    <t>LA BUSTIER TOP (GREEN)[GREEN/FREE]</t>
  </si>
  <si>
    <t>3-174232102698208</t>
  </si>
  <si>
    <t>LA V-NECK HOODY (CHARCOL)</t>
  </si>
  <si>
    <t>L17WITS05CHF</t>
  </si>
  <si>
    <t>LA V-NECK HOODY (CHARCOL)[CHARCOAL/FREE]</t>
  </si>
  <si>
    <t>3-174232102699208</t>
  </si>
  <si>
    <t>LA V-NECK HOODY (BLACK)</t>
  </si>
  <si>
    <t>L17WITS05BKF</t>
  </si>
  <si>
    <t>LA V-NECK HOODY (BLACK)[BLACK/FREE]</t>
  </si>
  <si>
    <t>3-174232102501208</t>
  </si>
  <si>
    <t>LA HIGH NECK MTM (PINK)</t>
  </si>
  <si>
    <t>L17WITS04PKF</t>
  </si>
  <si>
    <t>LA HIGH NECK MTM (PINK)[PINK/FREE]</t>
  </si>
  <si>
    <t>3-174232102530208</t>
  </si>
  <si>
    <t>LA HIGH NECK MTM (NAVY)</t>
  </si>
  <si>
    <t>L17WITS04NVF</t>
  </si>
  <si>
    <t>LA HIGH NECK MTM (NAVY)[NAVY/FREE]</t>
  </si>
  <si>
    <t>3-174222104623208</t>
  </si>
  <si>
    <t>LA BELL SLEEVE T-SHIRT (SKY BLUE)</t>
  </si>
  <si>
    <t>L17WITS03SBF</t>
  </si>
  <si>
    <t>LA BELL SLEEVE T-SHIRT (SKY BLUE)[SKY BLUE/FREE]</t>
  </si>
  <si>
    <t>3-174222104675208</t>
  </si>
  <si>
    <t>LA BELL SLEEVE T-SHIRT (BROWN)</t>
  </si>
  <si>
    <t>L17WITS03BRF</t>
  </si>
  <si>
    <t>LA BELL SLEEVE T-SHIRT (BROWN)[BROWN/FREE]</t>
  </si>
  <si>
    <t>3-174222104591208</t>
  </si>
  <si>
    <t>LA POLO NECK T-SHIRT (WHIE)</t>
  </si>
  <si>
    <t>L17WITS02WHF</t>
  </si>
  <si>
    <t>LA POLO NECK T-SHIRT (WHIE)[WHITE/FREE]</t>
  </si>
  <si>
    <t>3-174222104561208</t>
  </si>
  <si>
    <t>LA POLO NECK T-SHIRT (RED)</t>
  </si>
  <si>
    <t>L17WITS02RDF</t>
  </si>
  <si>
    <t>LA POLO NECK T-SHIRT (RED)[RED/FREE]</t>
  </si>
  <si>
    <t>3-174222104530208</t>
  </si>
  <si>
    <t>LA POLO NECK T-SHIRT (NAVY)</t>
  </si>
  <si>
    <t>L17WITS02NVF</t>
  </si>
  <si>
    <t>LA POLO NECK T-SHIRT (NAVY)[NAVY/FREE]</t>
  </si>
  <si>
    <t>3-174222104423208</t>
  </si>
  <si>
    <t>LA HIGHNECK T-SHIRT (SKY BLUE)</t>
  </si>
  <si>
    <t>L17WITS01SBF</t>
  </si>
  <si>
    <t>LA HIGHNECK T-SHIRT (SKY BLUE)[SKY BLUE/FREE]</t>
  </si>
  <si>
    <t>3-174222104499208</t>
  </si>
  <si>
    <t>LA HIGHNECK T-SHIRT (BLACK)</t>
  </si>
  <si>
    <t>L17WITS01BKF</t>
  </si>
  <si>
    <t>LA HIGHNECK T-SHIRT (BLACK)[BLACK/FREE]</t>
  </si>
  <si>
    <t>3-174332103430320</t>
  </si>
  <si>
    <t>LA BELTED SKIRT (NAVY)</t>
  </si>
  <si>
    <t>L17WISK02NVF</t>
  </si>
  <si>
    <t>LA BELTED SKIRT (NAVY)[NAVY/FREE]</t>
  </si>
  <si>
    <t>3-174332103475320</t>
  </si>
  <si>
    <t>LA BELTED SKIRT (BROWN)</t>
  </si>
  <si>
    <t>L17WISK02BRF</t>
  </si>
  <si>
    <t>LA BELTED SKIRT (BROWN)[BROWN/FREE]</t>
  </si>
  <si>
    <t>3-174332103395208</t>
  </si>
  <si>
    <t>LA MERMAID SKIRT (GRAY)</t>
  </si>
  <si>
    <t>L17WISK01GYF</t>
  </si>
  <si>
    <t>LA MERMAID SKIRT (GRAY)[GRAY/FREE]</t>
  </si>
  <si>
    <t>3-174332103345208</t>
  </si>
  <si>
    <t>LA MERMAID SKIRT (GREEN)</t>
  </si>
  <si>
    <t>L17WISK01GNF</t>
  </si>
  <si>
    <t>LA MERMAID SKIRT (GREEN)[GREEN/FREE]</t>
  </si>
  <si>
    <t>3-174212101501208</t>
  </si>
  <si>
    <t>LA VELVET SHIRT (PINK)</t>
  </si>
  <si>
    <t>L17WISH02PKF</t>
  </si>
  <si>
    <t>LA VELVET SHIRT (PINK)[PINK/FREE]</t>
  </si>
  <si>
    <t>3-174212101599208</t>
  </si>
  <si>
    <t>LA VELVET SHIRT (BLACK)</t>
  </si>
  <si>
    <t>L17WISH02BKF</t>
  </si>
  <si>
    <t>LA VELVET SHIRT (BLACK)[BLACK/FREE]</t>
  </si>
  <si>
    <t>3-174212101406208</t>
  </si>
  <si>
    <t>LA BALLOON SLEEVE SHIRT (WINE)</t>
  </si>
  <si>
    <t>L17WISH01WNF</t>
  </si>
  <si>
    <t>LA BALLOON SLEEVE SHIRT (WINE)[WINE/FREE]</t>
  </si>
  <si>
    <t>3-174212101485208</t>
  </si>
  <si>
    <t>LA BALLOON SLEEVE SHIRT (KHAKI)</t>
  </si>
  <si>
    <t>L17WISH01KHF</t>
  </si>
  <si>
    <t>LA BALLOON SLEEVE SHIRT (KHAKI)[KHAKI/FREE]</t>
  </si>
  <si>
    <t>3-174322100925320</t>
  </si>
  <si>
    <t>LA WIDE CROPPED PANTS (BLUE)</t>
  </si>
  <si>
    <t>L17WIPT04BLF</t>
  </si>
  <si>
    <t>LA WIDE CROPPED PANTS (BLUE)[BLUE/FREE]</t>
  </si>
  <si>
    <t>3-174312101095320</t>
  </si>
  <si>
    <t>LA TU SLACKS (GRAY)</t>
  </si>
  <si>
    <t>L17WIPT03GYF</t>
  </si>
  <si>
    <t>LA TU SLACKS (GRAY)[GRAY/FREE]</t>
  </si>
  <si>
    <t>3-174312101075320</t>
  </si>
  <si>
    <t>LA TU SLACKS (BROWN)</t>
  </si>
  <si>
    <t>L17WIPT03BRF</t>
  </si>
  <si>
    <t>LA TU SLACKS (BROWN)[BROWN/FREE]</t>
  </si>
  <si>
    <t>3-174312100962320</t>
  </si>
  <si>
    <t>LA CORDUROY SLACKS (ORANGE)</t>
  </si>
  <si>
    <t>L17WIPT02ORF</t>
  </si>
  <si>
    <t>LA CORDUROY SLACKS (ORANGE)[ORANGE/FREE]</t>
  </si>
  <si>
    <t>3-174312100999320</t>
  </si>
  <si>
    <t>LA CORDUROY SLACKS (BLACK)</t>
  </si>
  <si>
    <t>L17WIPT02BKF</t>
  </si>
  <si>
    <t>LA CORDUROY SLACKS (BLACK)[BLACK/FREE]</t>
  </si>
  <si>
    <t>3-174312100899320</t>
  </si>
  <si>
    <t>LA FLARE SLACKS (BLACK)</t>
  </si>
  <si>
    <t>L17WIPT01BKF</t>
  </si>
  <si>
    <t>LA FLARE SLACKS (BLACK)[BLACK/FREE]</t>
  </si>
  <si>
    <t>3-174312100874320</t>
  </si>
  <si>
    <t>LA FLARE SLACKS (BEIGE)</t>
  </si>
  <si>
    <t>L17WIPT01BEF</t>
  </si>
  <si>
    <t>LA FLARE SLACKS (BEIGE)[BEIGE/FREE]</t>
  </si>
  <si>
    <t>3-174252102930208</t>
  </si>
  <si>
    <t>LA RING OPS (NAVY)</t>
  </si>
  <si>
    <t>L17WIOP02NVF</t>
  </si>
  <si>
    <t>LA RING OPS (NAVY)[NAVY/FREE]</t>
  </si>
  <si>
    <t>3-174252102985208</t>
  </si>
  <si>
    <t>LA RING OPS (KHAKI)</t>
  </si>
  <si>
    <t>L17WIOP02KHF</t>
  </si>
  <si>
    <t>LA RING OPS (KHAKI)[KHAKI/FREE]</t>
  </si>
  <si>
    <t>3-174252102861208</t>
  </si>
  <si>
    <t>LA V-NECK OPS (RED)</t>
  </si>
  <si>
    <t>L17WIOP01RDF</t>
  </si>
  <si>
    <t>LA V-NECK OPS (RED)[RED/FREE]</t>
  </si>
  <si>
    <t>3-174252102899208</t>
  </si>
  <si>
    <t>LA V-NECK OPS (BLACK)</t>
  </si>
  <si>
    <t>L17WIOP01BKF</t>
  </si>
  <si>
    <t>LA V-NECK OPS (BLACK)[BLACK/FREE]</t>
  </si>
  <si>
    <t>3-174132101585208</t>
  </si>
  <si>
    <t>LA FUR JACKET (KHAKI)</t>
  </si>
  <si>
    <t>L17WIJK01KHF</t>
  </si>
  <si>
    <t>LA FUR JACKET (KHAKI)[KHAKI/FREE]</t>
  </si>
  <si>
    <t>3-174132101574208</t>
  </si>
  <si>
    <t>LA FUR JACKET (BEIGE)</t>
  </si>
  <si>
    <t>L17WIJK01BEF</t>
  </si>
  <si>
    <t>LA FUR JACKET (BEIGE)[BEIGE/FREE]</t>
  </si>
  <si>
    <t>3-174112109830208</t>
  </si>
  <si>
    <t>LA DOUBLE COAT (NAVY)</t>
  </si>
  <si>
    <t>L17WICO09NVF</t>
  </si>
  <si>
    <t>LA DOUBLE COAT (NAVY)[NAVY/FREE]</t>
  </si>
  <si>
    <t>3-174112109775208</t>
  </si>
  <si>
    <t>LA DOUBLE COAT (BROWN)</t>
  </si>
  <si>
    <t>L17WICO08BRF</t>
  </si>
  <si>
    <t>LA DOUBLE COAT (BROWN)[BROWN/FREE]</t>
  </si>
  <si>
    <t>3-174112109601208</t>
  </si>
  <si>
    <t>LA BUTTON COAT (PINK)</t>
  </si>
  <si>
    <t>L17WICO07PKF</t>
  </si>
  <si>
    <t>LA BUTTON COAT (PINK)[PINK/FREE]</t>
  </si>
  <si>
    <t>3-174112109675208</t>
  </si>
  <si>
    <t>LA BUTTON COAT (BROWN)</t>
  </si>
  <si>
    <t>L17WICO07BRF</t>
  </si>
  <si>
    <t>LA BUTTON COAT (BROWN)[BROWN/FREE]</t>
  </si>
  <si>
    <t>3-174112109501208</t>
  </si>
  <si>
    <t>LA SINGLE COAT (PINK)</t>
  </si>
  <si>
    <t>L17WICO06PKF</t>
  </si>
  <si>
    <t>LA SINGLE COAT (PINK)[PINK/FREE]</t>
  </si>
  <si>
    <t>3-174112109569208</t>
  </si>
  <si>
    <t>LA SINGLE COAT (IVORY)</t>
  </si>
  <si>
    <t>L17WICO06IVF</t>
  </si>
  <si>
    <t>LA SINGLE COAT (IVORY)[IVORY/FREE]</t>
  </si>
  <si>
    <t>3-174112109299208</t>
  </si>
  <si>
    <t>LA LONG OVER COAT (BLACK)</t>
  </si>
  <si>
    <t>L17WICO05BKF</t>
  </si>
  <si>
    <t>LA LONG OVER COAT (BLACK)[BLACK/FREE]</t>
  </si>
  <si>
    <t>3-174112109199208</t>
  </si>
  <si>
    <t>LA SHORT OVER COAT (BLACK)</t>
  </si>
  <si>
    <t>L17WICO04BKF</t>
  </si>
  <si>
    <t>LA SHORT OVER COAT (BLACK)[BLACK/FREE]</t>
  </si>
  <si>
    <t>3-177112111191208</t>
  </si>
  <si>
    <t>LA SHORT OVER COAT (WHITE)</t>
  </si>
  <si>
    <t>L17WICO03WHF</t>
  </si>
  <si>
    <t>LA SHORT OVER COAT (WHITE)[WHITE/FREE]</t>
  </si>
  <si>
    <t>3-177112109895208</t>
  </si>
  <si>
    <t>L SINGLE HANDMADE COAT (GREY)</t>
  </si>
  <si>
    <t>L17WICO02GYF</t>
  </si>
  <si>
    <t>L SINGLE HANDMADE COAT (GREY)[GREY/FREE]</t>
  </si>
  <si>
    <t>3-177112109899208</t>
  </si>
  <si>
    <t>L SINGLE HANDMADE COAT (BLACK)</t>
  </si>
  <si>
    <t>L17WICO02BKF</t>
  </si>
  <si>
    <t>L SINGLE HANDMADE COAT (BLACK)[BLACK/FREE]</t>
  </si>
  <si>
    <t>3-177112109730208</t>
  </si>
  <si>
    <t>L S HANDMADE COAT (NAVY)</t>
  </si>
  <si>
    <t>L17WICO01NVF</t>
  </si>
  <si>
    <t>L S HANDMADE COAT (NAVY)[NAVY/FREE]</t>
  </si>
  <si>
    <t>3-177112109775208</t>
  </si>
  <si>
    <t>L S HANDMADE COAT (BROWN)</t>
  </si>
  <si>
    <t>L17WICO01BRF</t>
  </si>
  <si>
    <t>L S HANDMADE COAT (BROWN)[BROWN/FREE]</t>
  </si>
  <si>
    <t>3-164132100491208</t>
  </si>
  <si>
    <t>L SHORT MUSTANG (WHITE)</t>
  </si>
  <si>
    <t>L16WIJK01WHF</t>
  </si>
  <si>
    <t>L SHORT MUSTANG (WHITE)[WHITE/FREE]</t>
  </si>
  <si>
    <t>3-164132100430208</t>
  </si>
  <si>
    <t>L SHORT MUSTANG (NAVY)</t>
  </si>
  <si>
    <t>L16WIJK01NVF</t>
  </si>
  <si>
    <t>L SHORT MUSTANG (NAVY)[NAVY/FREE]</t>
  </si>
  <si>
    <t>3-164132100499208</t>
  </si>
  <si>
    <t>L SHORT MUSTANG (BLACK)</t>
  </si>
  <si>
    <t>L16WIJK01BKF</t>
  </si>
  <si>
    <t>L SHORT MUSTANG (BLACK)[BLACK/FREE]</t>
  </si>
  <si>
    <t>3-164112103085208</t>
  </si>
  <si>
    <t>L LONG MUSTANG COAT (KHAKI)</t>
  </si>
  <si>
    <t>L16WICO01KHF</t>
  </si>
  <si>
    <t>L LONG MUSTANG COAT (KHAKI)[KHAKI/FREE]</t>
  </si>
  <si>
    <t>3-164112103099208</t>
  </si>
  <si>
    <t>L LONG MUSTANG COAT (BLACK)</t>
  </si>
  <si>
    <t>L16WICO01BKF</t>
  </si>
  <si>
    <t>L LONG MUSTANG COAT (BLACK)[BLACK/FREE]</t>
  </si>
  <si>
    <t>L-SLONGRIDERBK</t>
  </si>
  <si>
    <t>LSLONGRIDERBK</t>
  </si>
  <si>
    <t>LS LONG RIDER BK</t>
  </si>
  <si>
    <t>LS LONG RIDER BK[BK]</t>
  </si>
  <si>
    <t>3-171132100399208</t>
  </si>
  <si>
    <t>LS SHORT RIDER BK</t>
  </si>
  <si>
    <t>LSSHORTRIDERBK</t>
  </si>
  <si>
    <t>BK/F</t>
  </si>
  <si>
    <t>LS SHORT RIDER BK[BK/F]</t>
  </si>
  <si>
    <t>3-173222103799208</t>
  </si>
  <si>
    <t>LE OFF SHOULDER (BLACK)</t>
  </si>
  <si>
    <t>L17AUTS11BKF</t>
  </si>
  <si>
    <t>LE OFF SHOULDER (BLACK)[BLACK/FREE]</t>
  </si>
  <si>
    <t>3-173222103769208</t>
  </si>
  <si>
    <t>LE OFF SHOULDER (IVORY)</t>
  </si>
  <si>
    <t>L17AUTS11BEF</t>
  </si>
  <si>
    <t>LE OFF SHOULDER (IVORY)[IVORY/FREE]</t>
  </si>
  <si>
    <t>3-173222104395208</t>
  </si>
  <si>
    <t>LE VELVET SLEEVELESS (GRAY)</t>
  </si>
  <si>
    <t>L17AUTS10GYF</t>
  </si>
  <si>
    <t>LE VELVET SLEEVELESS (GRAY)[GREY/FREE]</t>
  </si>
  <si>
    <t>3-173222104399208</t>
  </si>
  <si>
    <t>LE VELVET SLEEVELESS (BLACK)</t>
  </si>
  <si>
    <t>L17AUTS10BKF</t>
  </si>
  <si>
    <t>LE VELVET SLEEVELESS (BLACK)[BLACK/FREE]</t>
  </si>
  <si>
    <t>3-173222103306208</t>
  </si>
  <si>
    <t>LE BOAT NECK T-SHIRT (WINE)</t>
  </si>
  <si>
    <t>L17AUTS09WNF</t>
  </si>
  <si>
    <t>LE BOAT NECK T-SHIRT (WINE)[WINE/FREE]</t>
  </si>
  <si>
    <t>3-173222103361208</t>
  </si>
  <si>
    <t>LE BOAT NECK T-SHIRT (RED)</t>
  </si>
  <si>
    <t>L17AUTS09RDF</t>
  </si>
  <si>
    <t>LE BOAT NECK T-SHIRT (RED)[RED/FREE]</t>
  </si>
  <si>
    <t>3-173222103491208</t>
  </si>
  <si>
    <t>LE AMOUR T-SHIRT (WHITE)</t>
  </si>
  <si>
    <t>L17AUTS08WHF</t>
  </si>
  <si>
    <t>LE AMOUR T-SHIRT (WHITE)[WHITE/FREE]</t>
  </si>
  <si>
    <t>3-173222103474208</t>
  </si>
  <si>
    <t>LE AMOUR T-SHIRT (BEIGE)</t>
  </si>
  <si>
    <t>L17AUTS08BEF</t>
  </si>
  <si>
    <t>LE AMOUR T-SHIRT (BEIGE)[BEIGE/FREE]</t>
  </si>
  <si>
    <t>3-173222103591208</t>
  </si>
  <si>
    <t>LE COLLAR T-SHIRT (WHITE)</t>
  </si>
  <si>
    <t>L17AUTS07WHF</t>
  </si>
  <si>
    <t>LE COLLAR T-SHIRT (WHITE)[WHITE/FREE]</t>
  </si>
  <si>
    <t>3-173222103599208</t>
  </si>
  <si>
    <t>LE COLLAR T-SHIRT (BLACK)</t>
  </si>
  <si>
    <t>L17AUTS07BKF</t>
  </si>
  <si>
    <t>LE COLLAR T-SHIRT (BLACK)[BLACK/FREE]</t>
  </si>
  <si>
    <t>3-173222103574208</t>
  </si>
  <si>
    <t>LE COLLAR T-SHIRT (BEIGE)</t>
  </si>
  <si>
    <t>L17AUTS07BEF</t>
  </si>
  <si>
    <t>LE COLLAR T-SHIRT (BEIGE)[BEIGE/FREE]</t>
  </si>
  <si>
    <t>3-173232100462208</t>
  </si>
  <si>
    <t>LE CORDU SWEATSHIRT (ORANGE)</t>
  </si>
  <si>
    <t>L17AUTS06ORF</t>
  </si>
  <si>
    <t>LE CORDU SWEATSHIRT (ORANGE)[ORANGE/FREE]</t>
  </si>
  <si>
    <t>3-173232100469208</t>
  </si>
  <si>
    <t>LE CORDU SWEATSHIRT (IVORY)</t>
  </si>
  <si>
    <t>L17AUTS06IVF</t>
  </si>
  <si>
    <t>LE CORDU SWEATSHIRT (IVORY)[IVORY/FREE]</t>
  </si>
  <si>
    <t>3-173232100499208</t>
  </si>
  <si>
    <t>LE CORDU SWEATSHIRT (BLACK)</t>
  </si>
  <si>
    <t>L17AUTS06BKF</t>
  </si>
  <si>
    <t>LE CORDU SWEATSHIRT (BLACK)[BLACK/FREE]</t>
  </si>
  <si>
    <t>3-173232100530208</t>
  </si>
  <si>
    <t>LE COUPLE SWEATSHIRT (NAVY)</t>
  </si>
  <si>
    <t>L17AUTS05NVF</t>
  </si>
  <si>
    <t>LE COUPLE SWEATSHIRT (NAVY)[NAVY/FREE]</t>
  </si>
  <si>
    <t>3-173232100595208</t>
  </si>
  <si>
    <t>LE COUPLE SWEATSHIRT (GRAY)</t>
  </si>
  <si>
    <t>L17AUTS05GYF</t>
  </si>
  <si>
    <t>LE COUPLE SWEATSHIRT (GRAY)[GREY/FREE]</t>
  </si>
  <si>
    <t>3-173232100574208</t>
  </si>
  <si>
    <t>LE COUPLE SWEATSHIRT (BEIGE)</t>
  </si>
  <si>
    <t>L17AUTS05BEF</t>
  </si>
  <si>
    <t>LE COUPLE SWEATSHIRT (BEIGE)[BEIGE/FREE]</t>
  </si>
  <si>
    <t>3-173222103669208</t>
  </si>
  <si>
    <t>LE HIGH NECK T-SHIRT (IVORY)</t>
  </si>
  <si>
    <t>L17AUTS04IVF</t>
  </si>
  <si>
    <t>LE HIGH NECK T-SHIRT (IVORY)[IVORY/FREE]</t>
  </si>
  <si>
    <t>3-173222103699208</t>
  </si>
  <si>
    <t>LE HIGH NECK T-SHIRT (BLACK)</t>
  </si>
  <si>
    <t>L17AUTS04BKF</t>
  </si>
  <si>
    <t>LE HIGH NECK T-SHIRT (BLACK)[BLACK/FREE]</t>
  </si>
  <si>
    <t>3-173222103674208</t>
  </si>
  <si>
    <t>LE HIGH NECK T-SHIRT (BEIGE)</t>
  </si>
  <si>
    <t>L17AUTS04BEF</t>
  </si>
  <si>
    <t>LE HIGH NECK T-SHIRT (BEIGE)[BEIGE/FREE]</t>
  </si>
  <si>
    <t>3-173222103891208</t>
  </si>
  <si>
    <t>LE POMME T-SHIRT (WHITE)</t>
  </si>
  <si>
    <t>L17AUTS03WHF</t>
  </si>
  <si>
    <t>LE POMME T-SHIRT (WHITE)[WHITE/FREE]</t>
  </si>
  <si>
    <t>3-173222103861208</t>
  </si>
  <si>
    <t>LE POMME T-SHIRT (RED)</t>
  </si>
  <si>
    <t>L17AUTS03RDF</t>
  </si>
  <si>
    <t>LE POMME T-SHIRT (RED)[RED/FREE]</t>
  </si>
  <si>
    <t>3-173222103991208</t>
  </si>
  <si>
    <t>LE TU T-SHIRT (WHITE)</t>
  </si>
  <si>
    <t>L17AUTS02WHF</t>
  </si>
  <si>
    <t>LE TU T-SHIRT (WHITE)[WHITE/FREE]</t>
  </si>
  <si>
    <t>3-173222103998208</t>
  </si>
  <si>
    <t>LE TU T-SHIRT (CHARCOAL)</t>
  </si>
  <si>
    <t>L17AUTS02CHF</t>
  </si>
  <si>
    <t>LE TU T-SHIRT (CHARCOAL)[CHARCOAL/FREE]</t>
  </si>
  <si>
    <t>3-173222103999208</t>
  </si>
  <si>
    <t>LE TU T-SHIRT (BLACK)</t>
  </si>
  <si>
    <t>L17AUTS02BKF</t>
  </si>
  <si>
    <t>LE TU T-SHIRT (BLACK)[BLACK/FREE]</t>
  </si>
  <si>
    <t>3-173232100630208</t>
  </si>
  <si>
    <t>LE V NECK MTM (NAVY)</t>
  </si>
  <si>
    <t>L17AUTS01NVF</t>
  </si>
  <si>
    <t>LE V NECK MTM (NAVY)[NAVY/FREE]</t>
  </si>
  <si>
    <t>3-173232100674208</t>
  </si>
  <si>
    <t>LE V NECK MTM (BEIGE)</t>
  </si>
  <si>
    <t>L17AUTS01BEF</t>
  </si>
  <si>
    <t>LE V NECK MTM (BEIGE)[BEIGE/FREE]</t>
  </si>
  <si>
    <t>3-173332100730320</t>
  </si>
  <si>
    <t>LE WRAP SKIRT (NAVY)</t>
  </si>
  <si>
    <t>L17AUSK03NVF</t>
  </si>
  <si>
    <t>LE WRAP SKIRT (NAVY)[NAVY/FREE]</t>
  </si>
  <si>
    <t>3-173332100775320</t>
  </si>
  <si>
    <t>LE WRAP SKIRT (BROWN)</t>
  </si>
  <si>
    <t>L17AUSK03BRF</t>
  </si>
  <si>
    <t>LE WRAP SKIRT (BROWN)[BROWN/FREE]</t>
  </si>
  <si>
    <t>3-173332100595320</t>
  </si>
  <si>
    <t>LE LONG SKIRT (GRAY)</t>
  </si>
  <si>
    <t>L17AUSK02GYF</t>
  </si>
  <si>
    <t>LE LONG SKIRT (GRAY)[GREY/FREE]</t>
  </si>
  <si>
    <t>3-173332100599320</t>
  </si>
  <si>
    <t>LE LONG SKIRT (BLACK)</t>
  </si>
  <si>
    <t>L17AUSK02BKF</t>
  </si>
  <si>
    <t>LE LONG SKIRT (BLACK)[BLACK/FREE]</t>
  </si>
  <si>
    <t>3-173332100330320</t>
  </si>
  <si>
    <t>LE MINI SKIRT (NAVY)</t>
  </si>
  <si>
    <t>L17AUSK01NVF</t>
  </si>
  <si>
    <t>LE MINI SKIRT (NAVY)[NAVY/FREE]</t>
  </si>
  <si>
    <t>3-173332100374320</t>
  </si>
  <si>
    <t>LE MINI SKIRT (BEIGE)</t>
  </si>
  <si>
    <t>L17AUSK01BEF</t>
  </si>
  <si>
    <t>LE MINI SKIRT (BEIGE)[BEIGE/FREE]</t>
  </si>
  <si>
    <t>3-173212101691208</t>
  </si>
  <si>
    <t>LE OVER CUFFS SHIRT (WHITE)</t>
  </si>
  <si>
    <t>L17AUSH10WHF</t>
  </si>
  <si>
    <t>LE OVER CUFFS SHIRT (WHITE)[WHITE/FREE]</t>
  </si>
  <si>
    <t>3-173212101674208</t>
  </si>
  <si>
    <t>LE OVER CUFFS SHIRT (BEIGE)</t>
  </si>
  <si>
    <t>L17AUSH10BEF</t>
  </si>
  <si>
    <t>LE OVER CUFFS SHIRT (BEIGE)[BEIGE/FREE]</t>
  </si>
  <si>
    <t>3-173242100985208</t>
  </si>
  <si>
    <t>LE WRAP BLOUSE (KHAKI)</t>
  </si>
  <si>
    <t>L17AUSH09KHF</t>
  </si>
  <si>
    <t>LE WRAP BLOUSE (KHAKI)[KHAKI/FREE]</t>
  </si>
  <si>
    <t>3-173242100999208</t>
  </si>
  <si>
    <t>LE WRAP BLOUSE (BLACK)</t>
  </si>
  <si>
    <t>L17AUSH09BKF</t>
  </si>
  <si>
    <t>LE WRAP BLOUSE (BLACK)[BLACK/FREE]</t>
  </si>
  <si>
    <t>3-173212101462208</t>
  </si>
  <si>
    <t>LE OPEN COLLAR SHIRT (ORANGE)</t>
  </si>
  <si>
    <t>L17AUSH12ORF</t>
  </si>
  <si>
    <t>LE OPEN COLLAR SHIRT (ORANGE)[ORANGE/FREE]</t>
  </si>
  <si>
    <t>3-173212101430208</t>
  </si>
  <si>
    <t>LE OPEN COLLAR SHIRT (NAVY)</t>
  </si>
  <si>
    <t>L17AUSH12NVF</t>
  </si>
  <si>
    <t>LE OPEN COLLAR SHIRT (NAVY)[NAVY/FREE]</t>
  </si>
  <si>
    <t>3-173242100806208</t>
  </si>
  <si>
    <t>LE RIBBON BLOUSE (WINE)</t>
  </si>
  <si>
    <t>L17AUSH11WNF</t>
  </si>
  <si>
    <t>LE RIBBON BLOUSE (WINE)[WINE/FREE]</t>
  </si>
  <si>
    <t>3-173242100851208</t>
  </si>
  <si>
    <t>LE RIBBON BLOUSE (BLUE-GREEN)</t>
  </si>
  <si>
    <t>L17AUSH11BGF</t>
  </si>
  <si>
    <t>BLUE-GREEN/FREE</t>
  </si>
  <si>
    <t>LE RIBBON BLOUSE (BLUE-GREEN)[BLUE-GREEN/FREE]</t>
  </si>
  <si>
    <t>2018-03-22 오전 10:53:00</t>
  </si>
  <si>
    <t>3-173212101391208</t>
  </si>
  <si>
    <t>LE OVERSIZED SHIRT (WHITE)</t>
  </si>
  <si>
    <t>L17AUSH06WHF</t>
  </si>
  <si>
    <t>LE OVERSIZED SHIRT (WHITE)[WHITE/FREE]</t>
  </si>
  <si>
    <t>3-173212101323208</t>
  </si>
  <si>
    <t>LE OVERSIZED SHIRT (SKY BLUE)</t>
  </si>
  <si>
    <t>L17AUSH06SBF</t>
  </si>
  <si>
    <t>LE OVERSIZED SHIRT (SKY BLUE)[SKY BLUE/FREE]</t>
  </si>
  <si>
    <t>3-173322100125320</t>
  </si>
  <si>
    <t>LE STRAIGHT PANTS (BLUE)</t>
  </si>
  <si>
    <t>L17AUPT03BLF</t>
  </si>
  <si>
    <t>LE STRAIGHT PANTS (BLUE)[BLUE/FREE]</t>
  </si>
  <si>
    <t>3-173312100369320</t>
  </si>
  <si>
    <t>LE CROPPED PANTS (IVORY)</t>
  </si>
  <si>
    <t>L17AUPT02IVF</t>
  </si>
  <si>
    <t>LE CROPPED PANTS (IVORY)[IVORY/FREE]</t>
  </si>
  <si>
    <t>3-173312100399320</t>
  </si>
  <si>
    <t>LE CROPPED PANTS (BLACK)</t>
  </si>
  <si>
    <t>L17AUPT02BKF</t>
  </si>
  <si>
    <t>LE CROPPED PANTS (BLACK)[BLACK/FREE]</t>
  </si>
  <si>
    <t>3-173312100230320</t>
  </si>
  <si>
    <t>LE LONG SLACKS (NAVY)</t>
  </si>
  <si>
    <t>L17AUPT01NVF</t>
  </si>
  <si>
    <t>LE LONG SLACKS (NAVY)[NAVY/FREE]</t>
  </si>
  <si>
    <t>3-173312100299320</t>
  </si>
  <si>
    <t>LE LONG SLACKS (BLACK)</t>
  </si>
  <si>
    <t>L17AUPT01BKF</t>
  </si>
  <si>
    <t>LE LONG SLACKS (BLACK)[BLACK/FREE]</t>
  </si>
  <si>
    <t>3-173252101130208</t>
  </si>
  <si>
    <t>LE ZIP UP OPS (NAVY)</t>
  </si>
  <si>
    <t>L17AUOP06NVF</t>
  </si>
  <si>
    <t>LE ZIP UP OPS (NAVY)[NAVY/FREE]</t>
  </si>
  <si>
    <t>3-173252101185208</t>
  </si>
  <si>
    <t>LE ZIP UP OPS (BEIGE)</t>
  </si>
  <si>
    <t>L17AUOP06BEF</t>
  </si>
  <si>
    <t>LE ZIP UP OPS (BEIGE)[BEIGE/FREE]</t>
  </si>
  <si>
    <t>3-173252100830208</t>
  </si>
  <si>
    <t>LE LONG OPS (NAVY)</t>
  </si>
  <si>
    <t>L17AUOP05NVF</t>
  </si>
  <si>
    <t>LE LONG OPS (NAVY)[NAVY/FREE]</t>
  </si>
  <si>
    <t>3-173252100874208</t>
  </si>
  <si>
    <t>LE LONG OPS (BEIGE)</t>
  </si>
  <si>
    <t>L17AUOP05BEF</t>
  </si>
  <si>
    <t>LE LONG OPS (BEIGE)[BEIGE/FREE]</t>
  </si>
  <si>
    <t>3-173252100675208</t>
  </si>
  <si>
    <t>LE KNOT JUMPSUIT (BROWN)</t>
  </si>
  <si>
    <t>L17AUOP04BRF</t>
  </si>
  <si>
    <t>LE KNOT JUMPSUIT (BROWN)[BROWN/FREE]</t>
  </si>
  <si>
    <t>3-173252100699208</t>
  </si>
  <si>
    <t>LE KNOT JUMPSUIT (BLACK)</t>
  </si>
  <si>
    <t>L17AUOP04BKF</t>
  </si>
  <si>
    <t>LE KNOT JUMPSUIT (BLACK)[BLACK/FREE]</t>
  </si>
  <si>
    <t>3-173252100901208</t>
  </si>
  <si>
    <t>LE MOCK NECK OPS (PINK)</t>
  </si>
  <si>
    <t>L17AUOP03PKF</t>
  </si>
  <si>
    <t>LE MOCK NECK OPS (PINK)[PINK/FREE]</t>
  </si>
  <si>
    <t>3-173252100930208</t>
  </si>
  <si>
    <t>LE MOCK NECK OPS (NAVY)</t>
  </si>
  <si>
    <t>L17AUOP03NVF</t>
  </si>
  <si>
    <t>LE MOCK NECK OPS (NAVY)[NAVY/FREE]</t>
  </si>
  <si>
    <t>3-173252101099208</t>
  </si>
  <si>
    <t>LE WAPPEN OPS (BLACK)</t>
  </si>
  <si>
    <t>L17AUOP02BKF</t>
  </si>
  <si>
    <t>LE WAPPEN OPS (BLACK)[BLACK/FREE]</t>
  </si>
  <si>
    <t>3-173252101074208</t>
  </si>
  <si>
    <t>LE WAPPEN OPS (BEIGE)</t>
  </si>
  <si>
    <t>L17AUOP02BEF</t>
  </si>
  <si>
    <t>LE WAPPEN OPS (BEIGE)[BEIGE/FREE]</t>
  </si>
  <si>
    <t>3-173232100306208</t>
  </si>
  <si>
    <t>LE CARDIGAN (WINE)</t>
  </si>
  <si>
    <t>L17AUKN01WNF</t>
  </si>
  <si>
    <t>LE CARDIGAN (WINE)[WINE/FREE]</t>
  </si>
  <si>
    <t>3-173232100330208</t>
  </si>
  <si>
    <t>LE CARDIGAN (NAVY)</t>
  </si>
  <si>
    <t>L17AUKN01NVF</t>
  </si>
  <si>
    <t>LE CARDIGAN (NAVY)[NAVY/FREE]</t>
  </si>
  <si>
    <t>3-173132101099208</t>
  </si>
  <si>
    <t>L ESSENTIAL ZIP RIDER (LAMBSKIN) (BLACK)</t>
  </si>
  <si>
    <t>L17AUJK05BKF</t>
  </si>
  <si>
    <t>L ESSENTIAL ZIP RIDER (LAMBSKIN) (BLACK)[BLACK/FREE]</t>
  </si>
  <si>
    <t>3-173132100999208</t>
  </si>
  <si>
    <t>L ESSENTIAL ZIP RIDER (COWHIDE) (BLACK)</t>
  </si>
  <si>
    <t>L17AUJK04BKF</t>
  </si>
  <si>
    <t>L ESSENTIAL ZIP RIDER (COWHIDE) (BLACK)[BLACK/FREE]</t>
  </si>
  <si>
    <t>3-173112100199208</t>
  </si>
  <si>
    <t>LE OVER TRENCH COAT (BLACK)</t>
  </si>
  <si>
    <t>L17AUJK03BKF</t>
  </si>
  <si>
    <t>LE OVER TRENCH COAT (BLACK)[BLACK/FREE]</t>
  </si>
  <si>
    <t>3-173112100174208</t>
  </si>
  <si>
    <t>LE OVER TRENCH COAT (BEIGE)</t>
  </si>
  <si>
    <t>L17AUJK03BEF</t>
  </si>
  <si>
    <t>LE OVER TRENCH COAT (BEIGE)[BEIGE/FREE]</t>
  </si>
  <si>
    <t>3-176112102006208</t>
  </si>
  <si>
    <t>LP OVER TRENCH COAT (WINE)</t>
  </si>
  <si>
    <t>L15AUCO02WNF</t>
  </si>
  <si>
    <t>LP OVER TRENCH COAT (WINE)[WINE/FREE]</t>
  </si>
  <si>
    <t>3-173132100630208</t>
  </si>
  <si>
    <t>LE JACKET (NAVY)</t>
  </si>
  <si>
    <t>L17AUJK02NVF</t>
  </si>
  <si>
    <t>LE JACKET (NAVY)[NAVY/FREE]</t>
  </si>
  <si>
    <t>3-173132100674208</t>
  </si>
  <si>
    <t>LE JACKET (BEIGE)</t>
  </si>
  <si>
    <t>L17AUJK02BEF</t>
  </si>
  <si>
    <t>LE JACKET (BEIGE)[BEIGE/FREE]</t>
  </si>
  <si>
    <t>3-173122100199208</t>
  </si>
  <si>
    <t>LE CORDU MA-1 (BLACK)</t>
  </si>
  <si>
    <t>L17AUJK01BKF</t>
  </si>
  <si>
    <t>LE CORDU MA-1 (BLACK)[BLACK/FREE]</t>
  </si>
  <si>
    <t>3-173122100169208</t>
  </si>
  <si>
    <t>LE CORDU MA-1 (BEIGE)</t>
  </si>
  <si>
    <t>L17AUJK01BEF</t>
  </si>
  <si>
    <t>LE CORDU MA-1 (BEIGE)[BEIGE/FREE]</t>
  </si>
  <si>
    <t>3-157112107074208</t>
  </si>
  <si>
    <t>LP OVER TRENCH COAT(BEIGE)</t>
  </si>
  <si>
    <t>LPOVERTRENCHCOATBE</t>
  </si>
  <si>
    <t>LP OVER TRENCH COAT(BEIGE)[BEIGE/F]</t>
  </si>
  <si>
    <t>3-172222120861208</t>
  </si>
  <si>
    <t>[LARTIGENT]LB GLITTER SLEEVELESS(RED)</t>
  </si>
  <si>
    <t>L17SUTS07RDF</t>
  </si>
  <si>
    <t>[LARTIGENT]LB GLITTER SLEEVELESS(RED)[RED/FREE]</t>
  </si>
  <si>
    <t>3-172222120899208</t>
  </si>
  <si>
    <t>[LARTIGENT]LB GLITTER SLEEVELESS(BLACK)</t>
  </si>
  <si>
    <t>L17SUTS07BKF</t>
  </si>
  <si>
    <t>[LARTIGENT]LB GLITTER SLEEVELESS(BLACK)[BLACK/FREE]</t>
  </si>
  <si>
    <t>3-172222120499208</t>
  </si>
  <si>
    <t>[LARTIGENT]LB SHOULDER TOP(BLACK)</t>
  </si>
  <si>
    <t>L17SUTS06BKF</t>
  </si>
  <si>
    <t>[LARTIGENT]LB SHOULDER TOP(BLACK)[BLACK/FREE]</t>
  </si>
  <si>
    <t>3-172222120793208</t>
  </si>
  <si>
    <t>[LARTIGENT]LB GLITTER T-SHIRT(SILVER)</t>
  </si>
  <si>
    <t>L17SUTS05SVF</t>
  </si>
  <si>
    <t>SILVER/FREE</t>
  </si>
  <si>
    <t>[LARTIGENT]LB GLITTER T-SHIRT(SILVER)[SILVER/FREE]</t>
  </si>
  <si>
    <t>3-172222120792208</t>
  </si>
  <si>
    <t>[LARTIGENT]LB GLITTER T-SHIRT(GOLD)</t>
  </si>
  <si>
    <t>L17SUTS05GDF</t>
  </si>
  <si>
    <t>GOLD/FREE</t>
  </si>
  <si>
    <t>[LARTIGENT]LB GLITTER T-SHIRT(GOLD)[GOLD/FREE]</t>
  </si>
  <si>
    <t>3-172222120691208</t>
  </si>
  <si>
    <t>[LARTIGENT]LB VDQS T-SHIRT(WHITE)</t>
  </si>
  <si>
    <t>L17SUTS04WHF</t>
  </si>
  <si>
    <t>[LARTIGENT]LB VDQS T-SHIRT(WHITE)[WHITE/FREE]</t>
  </si>
  <si>
    <t>3-172222120699208</t>
  </si>
  <si>
    <t>[LARTIGENT]LB VDQS T-SHIRT(BLACK)</t>
  </si>
  <si>
    <t>L17SUTS04BKF</t>
  </si>
  <si>
    <t>[LARTIGENT]LB VDQS T-SHIRT(BLACK)[BLACK/FREE]</t>
  </si>
  <si>
    <t>3-172222120591208</t>
  </si>
  <si>
    <t>[LARTIGENT]LB AEQ T-SHIRT(WHITE)</t>
  </si>
  <si>
    <t>L17SUTS03WHF</t>
  </si>
  <si>
    <t>[LARTIGENT]LB AEQ T-SHIRT(WHITE)[WHITE/FREE]</t>
  </si>
  <si>
    <t>3-172222120561208</t>
  </si>
  <si>
    <t>[LARTIGENT]LB AEQ T-SHIRT(RED)</t>
  </si>
  <si>
    <t>L17SUTS03RDF</t>
  </si>
  <si>
    <t>[LARTIGENT]LB AEQ T-SHIRT(RED)[RED/FREE]</t>
  </si>
  <si>
    <t>3-172222120574208</t>
  </si>
  <si>
    <t>[LARTIGENT]LB AEQ T-SHIRT(BEIGE)</t>
  </si>
  <si>
    <t>L17SUTS03BEF</t>
  </si>
  <si>
    <t>[LARTIGENT]LB AEQ T-SHIRT(BEIGE)[BEIGE/FREE]</t>
  </si>
  <si>
    <t>3-172222120199208</t>
  </si>
  <si>
    <t>[LARTIGENT]LB RiVAGE T-SHIRT(RED)</t>
  </si>
  <si>
    <t>L17SUTS02RDF</t>
  </si>
  <si>
    <t>[LARTIGENT]LB RiVAGE T-SHIRT(RED)[RED/FREE]</t>
  </si>
  <si>
    <t>3-172222120191208</t>
  </si>
  <si>
    <t>[LARTIGENT]LB RiVAGE T-SHIRT(BEIGE)</t>
  </si>
  <si>
    <t>L17SUTS02BEF</t>
  </si>
  <si>
    <t>[LARTIGENT]LB RiVAGE T-SHIRT(BEIGE)[BEIGE/FREE]</t>
  </si>
  <si>
    <t>3-172222120091208</t>
  </si>
  <si>
    <t>[LARTIGENT]LB BASIC T-SHIRT(WHITE)</t>
  </si>
  <si>
    <t>L17SUTS01WHF</t>
  </si>
  <si>
    <t>[LARTIGENT]LB BASIC T-SHIRT(WHITE)[WHITE/FREE]</t>
  </si>
  <si>
    <t>3-172222120099208</t>
  </si>
  <si>
    <t>[LARTIGENT]LB BASIC T-SHIRT(BLACK)</t>
  </si>
  <si>
    <t>L17SUTS01BKF</t>
  </si>
  <si>
    <t>[LARTIGENT]LB BASIC T-SHIRT(BLACK)[BLACK/FREE]</t>
  </si>
  <si>
    <t>3-172212104491208</t>
  </si>
  <si>
    <t>[LARTIGENT]LB SET SHIRT(WHITE)</t>
  </si>
  <si>
    <t>L17SUSH03WHF</t>
  </si>
  <si>
    <t>[LARTIGENT]LB SET SHIRT(WHITE)[WHITE/FREE]</t>
  </si>
  <si>
    <t>3-172212104425208</t>
  </si>
  <si>
    <t>[LARTIGENT]LB SET SHIRT(BLUE)</t>
  </si>
  <si>
    <t>L17SUSH03BLF</t>
  </si>
  <si>
    <t>[LARTIGENT]LB SET SHIRT(BLUE)[BLUE/FREE]</t>
  </si>
  <si>
    <t>3-172212104474208</t>
  </si>
  <si>
    <t>[LARTIGENT]LB SET SHIRT(BEIGE)</t>
  </si>
  <si>
    <t>L17SUSH03BEF</t>
  </si>
  <si>
    <t>[LARTIGENT]LB SET SHIRT(BEIGE)[BEIGE/FREE]</t>
  </si>
  <si>
    <t>3-172212103791208</t>
  </si>
  <si>
    <t>[LARTIGENT]LB BELTED SHIRT(WHITE)</t>
  </si>
  <si>
    <t>L17SUSH02WHF</t>
  </si>
  <si>
    <t>[LARTIGENT]LB BELTED SHIRT(WHITE)[WHITE/FREE]</t>
  </si>
  <si>
    <t>3-172212103725208</t>
  </si>
  <si>
    <t>[LARTIGENT]LB BELTED SHIRT(BLUE)</t>
  </si>
  <si>
    <t>L17SUSH02BLF</t>
  </si>
  <si>
    <t>[LARTIGENT]LB BELTED SHIRT(BLUE)[BLUE/FREE]</t>
  </si>
  <si>
    <t>3-172242103230208</t>
  </si>
  <si>
    <t>[LARTIGENT]LB TIE BLOUSE(NAVY)</t>
  </si>
  <si>
    <t>L17SUSH01NVF</t>
  </si>
  <si>
    <t>[LARTIGENT]LB TIE BLOUSE(NAVY)[NAVY/FREE]</t>
  </si>
  <si>
    <t>3-172242103269208</t>
  </si>
  <si>
    <t>[LARTIGENT]LB TIE BLOUSE(IVORY)</t>
  </si>
  <si>
    <t>L17SUSH01IVF</t>
  </si>
  <si>
    <t>[LARTIGENT]LB TIE BLOUSE(IVORY)[IVORY/FREE]</t>
  </si>
  <si>
    <t>3-172342101991320</t>
  </si>
  <si>
    <t>[LARTIGENT]LB SET SHORTS(WHITE)</t>
  </si>
  <si>
    <t>L17SUPT04WHF</t>
  </si>
  <si>
    <t>[LARTIGENT]LB SET SHORTS(WHITE)[WHITE/FREE]</t>
  </si>
  <si>
    <t>3-172342101925320</t>
  </si>
  <si>
    <t>[LARTIGENT]LB SET SHORTS(BLUE)</t>
  </si>
  <si>
    <t>L17SUPT04BLF</t>
  </si>
  <si>
    <t>[LARTIGENT]LB SET SHORTS(BLUE)[BLUE/FREE]</t>
  </si>
  <si>
    <t>3-172342101974320</t>
  </si>
  <si>
    <t>[LARTIGENT]LB SET SHORTS(BEIGE)</t>
  </si>
  <si>
    <t>L17SUPT04BEF</t>
  </si>
  <si>
    <t>[LARTIGENT]LB SET SHORTS(BEIGE)[BEIGE/FREE]</t>
  </si>
  <si>
    <t>3-172342101661308</t>
  </si>
  <si>
    <t>[LARTIGENT]LB BELTED SHORTS(RED)</t>
  </si>
  <si>
    <t>L17SUPT03RDF</t>
  </si>
  <si>
    <t>[LARTIGENT]LB BELTED SHORTS(RED)[RED/FREE]</t>
  </si>
  <si>
    <t>3-172342101699308</t>
  </si>
  <si>
    <t>[LARTIGENT]LB BELTED SHORTS(BLACK)</t>
  </si>
  <si>
    <t>L17SUPT03BKF</t>
  </si>
  <si>
    <t>[LARTIGENT]LB BELTED SHORTS(BLACK)[BLACK/FREE]</t>
  </si>
  <si>
    <t>3-172312102091308</t>
  </si>
  <si>
    <t>[LARTIGENT]LB TU SLACKS(WHITE)</t>
  </si>
  <si>
    <t>L17SUPT02WHF</t>
  </si>
  <si>
    <t>[LARTIGENT]LB TU SLACKS(WHITE)[WHITE/FREE]</t>
  </si>
  <si>
    <t>3-172312102099308</t>
  </si>
  <si>
    <t>[LARTIGENT]LB TU SLACKS(BLACK)</t>
  </si>
  <si>
    <t>L17SUPT02BKF</t>
  </si>
  <si>
    <t>[LARTIGENT]LB TU SLACKS(BLACK)[BLACK/FREE]</t>
  </si>
  <si>
    <t>3-172322100225308</t>
  </si>
  <si>
    <t>[LARTIGENT]LB BOOTS CUT JEANS(BLUE)</t>
  </si>
  <si>
    <t>L17SUPT01BLF</t>
  </si>
  <si>
    <t>[LARTIGENT]LB BOOTS CUT JEANS(BLUE)[BLUE/FREE]</t>
  </si>
  <si>
    <t>3-172252108830208</t>
  </si>
  <si>
    <t>[LARTIGENT]LB STRIPE OPS(NAVY)</t>
  </si>
  <si>
    <t>L17SUOP04NVF</t>
  </si>
  <si>
    <t>[LARTIGENT]LB STRIPE OPS(NAVY)[NAVY/FREE]</t>
  </si>
  <si>
    <t>3-172252108930208</t>
  </si>
  <si>
    <t>[LARTIGENT]LB RIBBON OPS(NAVY)</t>
  </si>
  <si>
    <t>L17SUOP03NVF</t>
  </si>
  <si>
    <t>[LARTIGENT]LB RIBBON OPS(NAVY)[BLACK/FREE]</t>
  </si>
  <si>
    <t>3-172252108974208</t>
  </si>
  <si>
    <t>[LARTIGENT]LB RIBBON OPS(BEIGE)</t>
  </si>
  <si>
    <t>L17SUOP03BEF</t>
  </si>
  <si>
    <t>[LARTIGENT]LB RIBBON OPS(BEIGE)[BEIGE/FREE]</t>
  </si>
  <si>
    <t>3-172252108723208</t>
  </si>
  <si>
    <t>[LARTIGENT]LB SLIP OPS(SKY BLUE)</t>
  </si>
  <si>
    <t>L17SUOP02SBF</t>
  </si>
  <si>
    <t>[LARTIGENT]LB SLIP OPS(SKY BLUE)[SKY BLUE/FREE]</t>
  </si>
  <si>
    <t>3-172252108799208</t>
  </si>
  <si>
    <t>[LARTIGENT]LB SLIP OPS(BLACK)</t>
  </si>
  <si>
    <t>L17SUOP02BKF</t>
  </si>
  <si>
    <t>[LARTIGENT]LB SLIP OPS(BLACK)[BLACK/FREE]</t>
  </si>
  <si>
    <t>3-172252108665208</t>
  </si>
  <si>
    <t>[LARTIGENT]LB SHIRT OPS(YELLOW)</t>
  </si>
  <si>
    <t>L17SUOP01YEF</t>
  </si>
  <si>
    <t>[LARTIGENT]LB SHIRT OPS(YELLOW)[YELLOW/FREE]</t>
  </si>
  <si>
    <t>3-172252108623208</t>
  </si>
  <si>
    <t>[LARTIGENT]LB SHIRT OPS(SKY BLUE)</t>
  </si>
  <si>
    <t>L17SUOP01SBF</t>
  </si>
  <si>
    <t>[LARTIGENT]LB SHIRT OPS(SKY BLUE)[SKY BLUE/FREE]</t>
  </si>
  <si>
    <t>3-172522200230108</t>
  </si>
  <si>
    <t>[LARTIGENT]LB PANAMA HAT(NAVY)</t>
  </si>
  <si>
    <t>L17SUAC01NVF</t>
  </si>
  <si>
    <t>[LARTIGENT]LB PANAMA HAT(NAVY)[NAVY/FREE]</t>
  </si>
  <si>
    <t>KEYCLUE</t>
  </si>
  <si>
    <t>K-CE1725PTBR</t>
  </si>
  <si>
    <t>KCE1725PTBR</t>
  </si>
  <si>
    <t>겨울 와이드 밴딩 팬츠 BROWN/FREE</t>
  </si>
  <si>
    <t>겨울 와이드 밴딩 팬츠 BROWN/FREE[BROWN/FREE]</t>
  </si>
  <si>
    <t>K-CE1728MPWH</t>
  </si>
  <si>
    <t>KCE1728MPWH</t>
  </si>
  <si>
    <t>데일리 숏라인 머플러 WHITE/FREE</t>
  </si>
  <si>
    <t>데일리 숏라인 머플러 WHITE/FREE[WHITE/FREE]</t>
  </si>
  <si>
    <t>K-CE1728MPPK</t>
  </si>
  <si>
    <t>KCE1728MPPK</t>
  </si>
  <si>
    <t>데일리 숏라인 머플러 PINK/FREE</t>
  </si>
  <si>
    <t>데일리 숏라인 머플러 PINK/FREE[PINK/FREE]</t>
  </si>
  <si>
    <t>K-CE1728MPGY</t>
  </si>
  <si>
    <t>KCE1728MPGY</t>
  </si>
  <si>
    <t>데일리 숏라인 머플러 GRAY/FREE</t>
  </si>
  <si>
    <t>데일리 숏라인 머플러 GRAY/FREE[GRAY/FREE]</t>
  </si>
  <si>
    <t>K-CE1728MPBR</t>
  </si>
  <si>
    <t>KCE1728MPBR</t>
  </si>
  <si>
    <t>데일리 숏라인 머플러 BROWN/FREE</t>
  </si>
  <si>
    <t>데일리 숏라인 머플러 BROWN/FREE[BROWN/FREE]</t>
  </si>
  <si>
    <t>K-CE1728MPBK</t>
  </si>
  <si>
    <t>KCE1728MPBK</t>
  </si>
  <si>
    <t>데일리 숏라인 머플러 BLACK/FREE</t>
  </si>
  <si>
    <t>데일리 숏라인 머플러 BLACK/FREE[BLACK/FREE]</t>
  </si>
  <si>
    <t>K-CE1727MTBL</t>
  </si>
  <si>
    <t>KCE1727MTBL</t>
  </si>
  <si>
    <t>라이드 맨투맨 BLUE/FREE</t>
  </si>
  <si>
    <t>라이드 맨투맨 BLUE/FREE[BLUE/FREE]</t>
  </si>
  <si>
    <t>K-CE1727MTBR</t>
  </si>
  <si>
    <t>KCE1727MTBR</t>
  </si>
  <si>
    <t>라이드 맨투맨 BROWN/FREE</t>
  </si>
  <si>
    <t>라이드 맨투맨 BROWN/FREE[BROWN/FREE]</t>
  </si>
  <si>
    <t>K-CE1727MTPP</t>
  </si>
  <si>
    <t>KCE1727MTPP</t>
  </si>
  <si>
    <t>라이드 맨투맨 PURPLE/FREE</t>
  </si>
  <si>
    <t>라이드 맨투맨 PURPLE/FREE[PURPLE/FREE]</t>
  </si>
  <si>
    <t>K-CE1726KTWH</t>
  </si>
  <si>
    <t>KCE1726KTWH</t>
  </si>
  <si>
    <t>소프트 하프텍 니트 WHITE/FREE</t>
  </si>
  <si>
    <t>소프트 하프텍 니트 WHITE/FREE[WHITE/FREE]</t>
  </si>
  <si>
    <t>K-CE1726KTGY</t>
  </si>
  <si>
    <t>KCE1726KTGY</t>
  </si>
  <si>
    <t>소프트 하프텍 니트 GRAY/FREE</t>
  </si>
  <si>
    <t>소프트 하프텍 니트 GRAY/FREE[GRAY/FREE]</t>
  </si>
  <si>
    <t>K-CE1726KTBR</t>
  </si>
  <si>
    <t>KCE1726KTBR</t>
  </si>
  <si>
    <t>소프트 하프텍 니트 BROWN/FREE</t>
  </si>
  <si>
    <t>소프트 하프텍 니트 BROWN/FREE[BROWN/FREE]</t>
  </si>
  <si>
    <t>K-CE1725PTDB</t>
  </si>
  <si>
    <t>KCE1725PTDB</t>
  </si>
  <si>
    <t>겨울 와이드 밴딩 팬츠 DARK BEIGE/FREE</t>
  </si>
  <si>
    <t>DARK BEIGE/FREE</t>
  </si>
  <si>
    <t>겨울 와이드 밴딩 팬츠 DARK BEIGE/FREE[DARK BEIGE/FREE]</t>
  </si>
  <si>
    <t>K-CE1725PTBK</t>
  </si>
  <si>
    <t>KCE1725PTBK</t>
  </si>
  <si>
    <t>겨울 와이드 밴딩 팬츠 BLACK/FREE</t>
  </si>
  <si>
    <t>겨울 와이드 밴딩 팬츠 BLACK/FREE[BLACK/FREE]</t>
  </si>
  <si>
    <t>K-CE1724CTBK</t>
  </si>
  <si>
    <t>KCE1724CTBK</t>
  </si>
  <si>
    <t>필쏘굿 롱자켓 BLACK/FREE</t>
  </si>
  <si>
    <t>필쏘굿 롱자켓 BLACK/FREE[BLACK/FREE]</t>
  </si>
  <si>
    <t>K-CE1724CTBR</t>
  </si>
  <si>
    <t>KCE1724CTBR</t>
  </si>
  <si>
    <t>필쏘굿 롱자켓 BROWN/FREE</t>
  </si>
  <si>
    <t>필쏘굿 롱자켓 BROWN/FREE[BROWN/FREE]</t>
  </si>
  <si>
    <t>K-CE1723KTKH</t>
  </si>
  <si>
    <t>KCE1723KTKH</t>
  </si>
  <si>
    <t>슬림핏 터틀넥 KHAKI/FREE</t>
  </si>
  <si>
    <t>슬림핏 터틀넥 KHAKI/FREE[KHAKI/FREE]</t>
  </si>
  <si>
    <t>K-CE1723KTBL</t>
  </si>
  <si>
    <t>KCE1723KTBL</t>
  </si>
  <si>
    <t>슬림핏 터틀넥 BLUE/FREE</t>
  </si>
  <si>
    <t>슬림핏 터틀넥 BLUE/FREE[BLUE/FREE]</t>
  </si>
  <si>
    <t>K-CE1723KTBK</t>
  </si>
  <si>
    <t>KCE1723KTBK</t>
  </si>
  <si>
    <t>슬림핏 터틀넥 BLACK/FREE</t>
  </si>
  <si>
    <t>슬림핏 터틀넥 BLACK/FREE[BLACK/FREE]</t>
  </si>
  <si>
    <t>K-CE1723KTWH</t>
  </si>
  <si>
    <t>KCE1723KTWH</t>
  </si>
  <si>
    <t>슬림핏 터틀넥 WHITE/FREE</t>
  </si>
  <si>
    <t>슬림핏 터틀넥 WHITE/FREE[WHITE/FREE]</t>
  </si>
  <si>
    <t>K-CE1723KTPK</t>
  </si>
  <si>
    <t>KCE1723KTPK</t>
  </si>
  <si>
    <t>슬림핏 터틀넥 PINK/FREE</t>
  </si>
  <si>
    <t>슬림핏 터틀넥 PINK/FREE[PINK/FREE]</t>
  </si>
  <si>
    <t>K-CE1723KTBG</t>
  </si>
  <si>
    <t>KCE1723KTBG</t>
  </si>
  <si>
    <t>슬림핏 터틀넥 BEIGE/FREE</t>
  </si>
  <si>
    <t>슬림핏 터틀넥 BEIGE/FREE[BEIGE/FREE]</t>
  </si>
  <si>
    <t>K-CE1722MSTKH</t>
  </si>
  <si>
    <t>KCE1722MSTKH</t>
  </si>
  <si>
    <t>오프닝 무스탕 KHAKI/FREE</t>
  </si>
  <si>
    <t>오프닝 무스탕 KHAKI/FREE[KHAKI/FREE]</t>
  </si>
  <si>
    <t>K-CE1722MSTBK</t>
  </si>
  <si>
    <t>KCE1722MSTBK</t>
  </si>
  <si>
    <t>오프닝 무스탕 BLACK/FREE</t>
  </si>
  <si>
    <t>오프닝 무스탕 BLACK/FREE[BLACK/FREE]</t>
  </si>
  <si>
    <t>K-CE1722MSTBG</t>
  </si>
  <si>
    <t>KCE1722MSTBG</t>
  </si>
  <si>
    <t>오프닝 무스탕 BEIGE/FREE</t>
  </si>
  <si>
    <t>오프닝 무스탕 BEIGE/FREE[BEIGE/FREE]</t>
  </si>
  <si>
    <t>K-CE1721PDPKM</t>
  </si>
  <si>
    <t>KCE1721PDPKM</t>
  </si>
  <si>
    <t>키클루 완판요정 롱패딩 PINK/M</t>
  </si>
  <si>
    <t>키클루 완판요정 롱패딩 PINK/M[PINK/M]</t>
  </si>
  <si>
    <t>K-CE1721PDSBM</t>
  </si>
  <si>
    <t>KCE1721PDSBM</t>
  </si>
  <si>
    <t>키클루 완판요정 롱패딩 SKY BLUE/M</t>
  </si>
  <si>
    <t>SKY BLUE/M</t>
  </si>
  <si>
    <t>키클루 완판요정 롱패딩 SKY BLUE/M[SKY BLUE/M]</t>
  </si>
  <si>
    <t>K-CE1721PDWHM</t>
  </si>
  <si>
    <t>KCE1721PDWHM</t>
  </si>
  <si>
    <t>키클루 완판요정 롱패딩 WHITE/M</t>
  </si>
  <si>
    <t>키클루 완판요정 롱패딩 WHITE/M[WHITE/M]</t>
  </si>
  <si>
    <t>K-CE1721PDBKM</t>
  </si>
  <si>
    <t>KCE1721PDBKM</t>
  </si>
  <si>
    <t>키클루 완판요정 롱패딩 BLACK/M</t>
  </si>
  <si>
    <t>키클루 완판요정 롱패딩 BLACK/M[BLACK/M]</t>
  </si>
  <si>
    <t>K-CE1720PDPBL</t>
  </si>
  <si>
    <t>KCE1720PDPBL</t>
  </si>
  <si>
    <t>오버핏 양면 패딩 PINK+BLUE GREEN/L</t>
  </si>
  <si>
    <t>PINK+BLUE GREEN/L</t>
  </si>
  <si>
    <t>오버핏 양면 패딩 PINK+BLUE GREEN/L[PINK+BLUE GREEN/L]</t>
  </si>
  <si>
    <t>K-CE1720PDBOL</t>
  </si>
  <si>
    <t>KCE1720PDBOL</t>
  </si>
  <si>
    <t>오버핏 양면 패딩 BLACK+ORANGE/L</t>
  </si>
  <si>
    <t>BLACK+ORANGE/L</t>
  </si>
  <si>
    <t>오버핏 양면 패딩 BLACK+ORANGE/L[BLACK+ORANGE/L]</t>
  </si>
  <si>
    <t>K-CE178OPWN</t>
  </si>
  <si>
    <t>KCE178OPWN</t>
  </si>
  <si>
    <t>스위트 원피스(WINE)</t>
  </si>
  <si>
    <t>스위트 원피스(WINE)[WINE/FREE]</t>
  </si>
  <si>
    <t>K-CE178OPPK</t>
  </si>
  <si>
    <t>KCE178OPPK</t>
  </si>
  <si>
    <t>스위트 원피스(PINK)</t>
  </si>
  <si>
    <t>스위트 원피스(PINK)[PINK/FREE]</t>
  </si>
  <si>
    <t>K-CE178OPNY</t>
  </si>
  <si>
    <t>KCE178OPNY</t>
  </si>
  <si>
    <t>스위트 원피스(NAVY)</t>
  </si>
  <si>
    <t>스위트 원피스(NAVY)[NAVY/FREE]</t>
  </si>
  <si>
    <t>K-CE177TSPP</t>
  </si>
  <si>
    <t>KCE177TSPP</t>
  </si>
  <si>
    <t>레인보우 후드 (PURPLE)</t>
  </si>
  <si>
    <t>레인보우 후드 (PURPLE)[PURPLE/FREE]</t>
  </si>
  <si>
    <t>K-CE177TSBK</t>
  </si>
  <si>
    <t>KCE177TSBK</t>
  </si>
  <si>
    <t>레인보우 후드 (BLACK)</t>
  </si>
  <si>
    <t>레인보우 후드 (BLACK)[BLACK/FREE]</t>
  </si>
  <si>
    <t>K-CE177TSGY</t>
  </si>
  <si>
    <t>KCE177TSGY</t>
  </si>
  <si>
    <t>레인보우 후드 (GRAY)</t>
  </si>
  <si>
    <t>레인보우 후드 (GRAY)[GRAY/FREE]</t>
  </si>
  <si>
    <t>K-CE177TSYE</t>
  </si>
  <si>
    <t>KCE177TSYE</t>
  </si>
  <si>
    <t>레인보우 후드 (YELLOW)</t>
  </si>
  <si>
    <t>레인보우 후드 (YELLOW)[YELLOW/FREE]</t>
  </si>
  <si>
    <t>K-CE177TSPK</t>
  </si>
  <si>
    <t>KCE177TSPK</t>
  </si>
  <si>
    <t>레인보우 후드 (PINK)</t>
  </si>
  <si>
    <t>레인보우 후드 (PINK)[PINK/FREE]</t>
  </si>
  <si>
    <t>K-CE177TSWH</t>
  </si>
  <si>
    <t>KCE177TSWH</t>
  </si>
  <si>
    <t>레인보우 후드 (WHITE)</t>
  </si>
  <si>
    <t>레인보우 후드 (WHITE)[WHITE/FREE]</t>
  </si>
  <si>
    <t>K-CE176SKGN</t>
  </si>
  <si>
    <t>KCE176SKGN</t>
  </si>
  <si>
    <t>타탄치마바지 (GREEN)</t>
  </si>
  <si>
    <t>타탄치마바지 (GREEN)[GREEN/FREE]</t>
  </si>
  <si>
    <t>K-CE176SKWN</t>
  </si>
  <si>
    <t>KCE176SKWN</t>
  </si>
  <si>
    <t>타탄치마바지 (WINE)</t>
  </si>
  <si>
    <t>타탄치마바지 (WINE)[WINE/FREE]</t>
  </si>
  <si>
    <t>K-CE175OPPKM</t>
  </si>
  <si>
    <t>KCE175OPPKM</t>
  </si>
  <si>
    <t>레이스 원피스 (PINK)</t>
  </si>
  <si>
    <t>레이스 원피스 (PINK)[PINK/M]</t>
  </si>
  <si>
    <t>K-CE175OPPKS</t>
  </si>
  <si>
    <t>KCE175OPPKS</t>
  </si>
  <si>
    <t>레이스 원피스 (PINK)[PINK/S]</t>
  </si>
  <si>
    <t>K-CE175OPBKM</t>
  </si>
  <si>
    <t>KCE175OPBKM</t>
  </si>
  <si>
    <t>레이스 원피스 (BLACK)</t>
  </si>
  <si>
    <t>레이스 원피스 (BLACK)[BLACK/M]</t>
  </si>
  <si>
    <t>K-CE175OPBKS</t>
  </si>
  <si>
    <t>KCE175OPBKS</t>
  </si>
  <si>
    <t>레이스 원피스 (BLACK)[BLACK/S]</t>
  </si>
  <si>
    <t>K-CE174OPWN</t>
  </si>
  <si>
    <t>KCE174OPWN</t>
  </si>
  <si>
    <t>클래식 랩 원피스 (WINE)</t>
  </si>
  <si>
    <t>클래식 랩 원피스 (WINE)[WINE/FREE]</t>
  </si>
  <si>
    <t>K-CE174OPBG</t>
  </si>
  <si>
    <t>KCE174OPBG</t>
  </si>
  <si>
    <t>클래식 랩 원피스 (BEIGE)</t>
  </si>
  <si>
    <t>클래식 랩 원피스 (BEIGE)[BEIGE/FREE]</t>
  </si>
  <si>
    <t>K-CE173OPBR</t>
  </si>
  <si>
    <t>KCE173OPBR</t>
  </si>
  <si>
    <t>컷팅 랩 원피스 (BRICK RED)</t>
  </si>
  <si>
    <t>BRICK RED/FREE</t>
  </si>
  <si>
    <t>컷팅 랩 원피스 (BRICK RED)[BRICK RED/FREE]</t>
  </si>
  <si>
    <t>K-CE173OPGN</t>
  </si>
  <si>
    <t>KCE173OPGN</t>
  </si>
  <si>
    <t>컷팅 랩 원피스 (DEEP GREEN)</t>
  </si>
  <si>
    <t>DEEP GREEN/FREE</t>
  </si>
  <si>
    <t>컷팅 랩 원피스 (DEEP GREEN)[DEEP GREEN/FREE]</t>
  </si>
  <si>
    <t>K-CE172SKBKS</t>
  </si>
  <si>
    <t>KCE172SKBKS</t>
  </si>
  <si>
    <t>언발란스 러플 스커트 (BLACK)</t>
  </si>
  <si>
    <t>언발란스 러플 스커트 (BLACK)[BLACK/FREE]</t>
  </si>
  <si>
    <t>K-CE172SKBRS</t>
  </si>
  <si>
    <t>KCE172SKBRS</t>
  </si>
  <si>
    <t>언발란스 러플 스커트 (BROWN)</t>
  </si>
  <si>
    <t>언발란스 러플 스커트 (BROWN)[BROWN/FREE]</t>
  </si>
  <si>
    <t>K-CE17CDGRD</t>
  </si>
  <si>
    <t>KCE17CDGRD</t>
  </si>
  <si>
    <t>브이넥버튼업 프릴가디건 (RED)</t>
  </si>
  <si>
    <t>브이넥버튼업 프릴가디건 (RED)[RED/FREE]</t>
  </si>
  <si>
    <t>K-CE17CDGNY</t>
  </si>
  <si>
    <t>KCE17CDGNY</t>
  </si>
  <si>
    <t>브이넥버튼업 프릴가디건 (NAVY)</t>
  </si>
  <si>
    <t>브이넥버튼업 프릴가디건 (NAVY)[NAVY/FREE]</t>
  </si>
  <si>
    <t>K-CE17CDGWH</t>
  </si>
  <si>
    <t>KCE17CDGWH</t>
  </si>
  <si>
    <t>브이넥버튼업 프릴가디건 (WHITE)</t>
  </si>
  <si>
    <t>브이넥버튼업 프릴가디건 (WHITE)[WHITE/FREE]</t>
  </si>
  <si>
    <t>J-GUSAR124342704SV</t>
  </si>
  <si>
    <t>JGUSAR124342704SV</t>
  </si>
  <si>
    <t>JG-USAR124342704SV</t>
  </si>
  <si>
    <t>SV</t>
  </si>
  <si>
    <t>JG-USAR124342704SV[SV]</t>
  </si>
  <si>
    <t>J-GUSAR1253060901SV</t>
  </si>
  <si>
    <t>JGUSAR1253060901SV</t>
  </si>
  <si>
    <t>JG-USAR1253060901SV</t>
  </si>
  <si>
    <t>JG-USAR1253060901SV[SV]</t>
  </si>
  <si>
    <t>J-GUSAE1242A139BK</t>
  </si>
  <si>
    <t>JGUSAE1242A139BK</t>
  </si>
  <si>
    <t>JG-USAE1242A139BK[BK]</t>
  </si>
  <si>
    <t>J-GUSAE1235A164GD</t>
  </si>
  <si>
    <t>JGUSAE1235A164GD</t>
  </si>
  <si>
    <t>JG-USAE1235A164GD</t>
  </si>
  <si>
    <t>JG-USAE1235A164GD[GD]</t>
  </si>
  <si>
    <t>J-GUSAE1239A162PK</t>
  </si>
  <si>
    <t>JGUSAE1239A162PK</t>
  </si>
  <si>
    <t>JG-USAE1239A162PK</t>
  </si>
  <si>
    <t>JG-USAE1239A162PK[PK]</t>
  </si>
  <si>
    <t>J-GUSAE1227A188PK</t>
  </si>
  <si>
    <t>JGUSAE1227A188PK</t>
  </si>
  <si>
    <t>JG-USAE1227A188PK</t>
  </si>
  <si>
    <t>JG-USAE1227A188PK[PK]</t>
  </si>
  <si>
    <t>J-GUSAE1240A166WH</t>
  </si>
  <si>
    <t>JGUSAE1240A166WH</t>
  </si>
  <si>
    <t>JG-USAE1240A166WH</t>
  </si>
  <si>
    <t>JG-USAE1240A166WH[WH]</t>
  </si>
  <si>
    <t>J-GUSAE1225A121WH</t>
  </si>
  <si>
    <t>JGUSAE1225A121WH</t>
  </si>
  <si>
    <t>JG-USAE1225A121WH</t>
  </si>
  <si>
    <t>JG-USAE1225A121WH[WH]</t>
  </si>
  <si>
    <t>J-GUSAE1237A149GD</t>
  </si>
  <si>
    <t>JGUSAE1237A149GD</t>
  </si>
  <si>
    <t>JG-USAE1237A149GD</t>
  </si>
  <si>
    <t>JG-USAE1237A149GD[GD]</t>
  </si>
  <si>
    <t>J-GUSAE1233A026SV</t>
  </si>
  <si>
    <t>JGUSAE1233A026SV</t>
  </si>
  <si>
    <t>JG-USAE1233A026SV</t>
  </si>
  <si>
    <t>JG-USAE1233A026SV[SV]</t>
  </si>
  <si>
    <t>J-GUSAE1232A127BK</t>
  </si>
  <si>
    <t>JGUSAE1232A127BK</t>
  </si>
  <si>
    <t>JG-USAE1232A127BK</t>
  </si>
  <si>
    <t>JG-USAE1232A127BK[BK]</t>
  </si>
  <si>
    <t>J-GUSAR124342704RG</t>
  </si>
  <si>
    <t>JGUSAR124342704RG</t>
  </si>
  <si>
    <t>JG-USAR124342704RG</t>
  </si>
  <si>
    <t>RG</t>
  </si>
  <si>
    <t>JG-USAR124342704RG[RG]</t>
  </si>
  <si>
    <t>J-GUSAE1225A052YE</t>
  </si>
  <si>
    <t>JGUSAE1225A052YE</t>
  </si>
  <si>
    <t>JG-USAE1225A052YE</t>
  </si>
  <si>
    <t>YE</t>
  </si>
  <si>
    <t>JG-USAE1225A052YE[YE]</t>
  </si>
  <si>
    <t>J-GUSAE1227A145GR</t>
  </si>
  <si>
    <t>JGUSAE1227A145GR</t>
  </si>
  <si>
    <t>JG-USAE1227A145GR</t>
  </si>
  <si>
    <t>GR</t>
  </si>
  <si>
    <t>JG-USAE1227A145GR[GR]</t>
  </si>
  <si>
    <t>J-GUSAR123042702GD</t>
  </si>
  <si>
    <t>JGUSAR123042702GD</t>
  </si>
  <si>
    <t>JG-USAR123042702GD</t>
  </si>
  <si>
    <t>JG-USAR123042702GD[GD]</t>
  </si>
  <si>
    <t>J-GUSAR123042702SV</t>
  </si>
  <si>
    <t>JGUSAR123042702SV</t>
  </si>
  <si>
    <t>JG-USAR123042702SV</t>
  </si>
  <si>
    <t>JG-USAR123042702SV[SV]</t>
  </si>
  <si>
    <t>J-GUSAE1242A141GR</t>
  </si>
  <si>
    <t>JGUSAE1242A141GR</t>
  </si>
  <si>
    <t>JG-USAE1242A141GR</t>
  </si>
  <si>
    <t>JG-USAE1242A141GR[GR]</t>
  </si>
  <si>
    <t>J-GUSAE1232A128GR</t>
  </si>
  <si>
    <t>JGUSAE1232A128GR</t>
  </si>
  <si>
    <t>JG-USAE1232A128GR</t>
  </si>
  <si>
    <t>JG-USAE1232A128GR[GR]</t>
  </si>
  <si>
    <t>J-GUSAE1223A056WN</t>
  </si>
  <si>
    <t>JGUSAE1223A056WN</t>
  </si>
  <si>
    <t>JG-USAE1223A056WN</t>
  </si>
  <si>
    <t>WN</t>
  </si>
  <si>
    <t>JG-USAE1223A056WN[WN]</t>
  </si>
  <si>
    <t>J-GUSAR122542703GD</t>
  </si>
  <si>
    <t>JGUSAR122542703GD</t>
  </si>
  <si>
    <t>JG-USAR122542703GD</t>
  </si>
  <si>
    <t>JG-USAR122542703GD[GD]</t>
  </si>
  <si>
    <t>J-GUSAR1220A037SV</t>
  </si>
  <si>
    <t>JGUSAR1220A037SV</t>
  </si>
  <si>
    <t>JG-USAR1220A037SV</t>
  </si>
  <si>
    <t>JG-USAR1220A037SV[SV]</t>
  </si>
  <si>
    <t>J-GUSAR1223A032GD</t>
  </si>
  <si>
    <t>JGUSAR1223A032GD</t>
  </si>
  <si>
    <t>JG-USAR1223A032GD</t>
  </si>
  <si>
    <t>JG-USAR1223A032GD[GD]</t>
  </si>
  <si>
    <t>J-GUSAR125342705RG</t>
  </si>
  <si>
    <t>JGUSAR125342705RG</t>
  </si>
  <si>
    <t>JG-USAR125342705RG</t>
  </si>
  <si>
    <t>JG-USAR125342705RG[RG]</t>
  </si>
  <si>
    <t>J-GUSAE1223060908SV</t>
  </si>
  <si>
    <t>JGUSAE1223060908SV</t>
  </si>
  <si>
    <t>JG-USAE1223060908SV</t>
  </si>
  <si>
    <t>JG-USAE1223060908SV[SV]</t>
  </si>
  <si>
    <t>J-GUSAE1233A042SV</t>
  </si>
  <si>
    <t>JGUSAE1233A042SV</t>
  </si>
  <si>
    <t>JG-USAE1233A042SV</t>
  </si>
  <si>
    <t>JG-USAE1233A042SV[SV]</t>
  </si>
  <si>
    <t>J-GUSAE1225A068SV</t>
  </si>
  <si>
    <t>JGUSAE1225A068SV</t>
  </si>
  <si>
    <t>JG-USAE1225A068SV</t>
  </si>
  <si>
    <t>JG-USAE1225A068SV[SV]</t>
  </si>
  <si>
    <t>J-GUSAR122542703SV</t>
  </si>
  <si>
    <t>JGUSAR122542703SV</t>
  </si>
  <si>
    <t>JG-USAR122542703SV[SV]</t>
  </si>
  <si>
    <t>J-GUSAE122551503SV</t>
  </si>
  <si>
    <t>JGUSAE122551503SV</t>
  </si>
  <si>
    <t>JG-USAE122551503SV</t>
  </si>
  <si>
    <t>JG-USAE122551503SV[SV]</t>
  </si>
  <si>
    <t>J-GUSAE122751505SV</t>
  </si>
  <si>
    <t>JGUSAE122751505SV</t>
  </si>
  <si>
    <t>JG-USAE122751505SV</t>
  </si>
  <si>
    <t>JG-USAE122751505SV[SV]</t>
  </si>
  <si>
    <t>J-GUSAR123042702RG</t>
  </si>
  <si>
    <t>JGUSAR123042702RG</t>
  </si>
  <si>
    <t>JG-USAR123042702RG</t>
  </si>
  <si>
    <t>JG-USAR123042702RG[RG]</t>
  </si>
  <si>
    <t>J-GUSAE1227060904SV</t>
  </si>
  <si>
    <t>JGUSAE1227060904SV</t>
  </si>
  <si>
    <t>JG-USAE1227060904SV</t>
  </si>
  <si>
    <t>JG-USAE1227060904SV[SV]</t>
  </si>
  <si>
    <t>J-GUSAE123021501SV</t>
  </si>
  <si>
    <t>JGUSAE123021501SV</t>
  </si>
  <si>
    <t>JG-USAE123021501SV</t>
  </si>
  <si>
    <t>JG-USAE123021501SV[SV]</t>
  </si>
  <si>
    <t>J-GUSAR1220A029GD</t>
  </si>
  <si>
    <t>JGUSAR1220A029GD</t>
  </si>
  <si>
    <t>JG-USAR1220A029GD</t>
  </si>
  <si>
    <t>JG-USAR1220A029GD[GD]</t>
  </si>
  <si>
    <t>J-GUSAR1220A030RG</t>
  </si>
  <si>
    <t>JGUSAR1220A030RG</t>
  </si>
  <si>
    <t>JG-USAR1220A030RG</t>
  </si>
  <si>
    <t>JG-USAR1220A030RG[RG]</t>
  </si>
  <si>
    <t>J-GUSAE1223A057GR</t>
  </si>
  <si>
    <t>JGUSAE1223A057GR</t>
  </si>
  <si>
    <t>JG-USAE1223A057GR</t>
  </si>
  <si>
    <t>JG-USAE1223A057GR[GR]</t>
  </si>
  <si>
    <t>J-GUSAE1225060902RG</t>
  </si>
  <si>
    <t>JGUSAE1225060902RG</t>
  </si>
  <si>
    <t>JG-USAE1225060902RG</t>
  </si>
  <si>
    <t>JG-USAE1225060902RG[RG]</t>
  </si>
  <si>
    <t>J-GUSAE123A057GR</t>
  </si>
  <si>
    <t>JGUSAE123A057GR</t>
  </si>
  <si>
    <t>JG-USAE123A057GR</t>
  </si>
  <si>
    <t>JG-USAE123A057GR[GR]</t>
  </si>
  <si>
    <t>J-GUSAE1227A055BK</t>
  </si>
  <si>
    <t>JGUSAE1227A055BK</t>
  </si>
  <si>
    <t>JG-USAE1227A055BK</t>
  </si>
  <si>
    <t>JG-USAE1227A055BK[BK]</t>
  </si>
  <si>
    <t>J-GUSAE1230060905SV</t>
  </si>
  <si>
    <t>JGUSAE1230060905SV</t>
  </si>
  <si>
    <t>JG-USAE1230060905SV</t>
  </si>
  <si>
    <t>JG-USAE1230060905SV[SV]</t>
  </si>
  <si>
    <t>J-GUSAE1225A046WN</t>
  </si>
  <si>
    <t>JGUSAE1225A046WN</t>
  </si>
  <si>
    <t>JG-USAE1225A046WN</t>
  </si>
  <si>
    <t>JG-USAE1225A046WN[WN]</t>
  </si>
  <si>
    <t>J-GUSAEPST00412SV</t>
  </si>
  <si>
    <t>JGUSAEPST00412SV</t>
  </si>
  <si>
    <t>JG-USAEPST00412SV</t>
  </si>
  <si>
    <t>JG-USAEPST00412SV[SV]</t>
  </si>
  <si>
    <t>J-GUSAE1217A011RD</t>
  </si>
  <si>
    <t>JGUSAE1217A011RD</t>
  </si>
  <si>
    <t>JG-USAE1217A011RD</t>
  </si>
  <si>
    <t>JG-USAE1217A011RD[RD]</t>
  </si>
  <si>
    <t>J-GUSAE1225A051OG</t>
  </si>
  <si>
    <t>JGUSAE1225A051OG</t>
  </si>
  <si>
    <t>JG-USAE1225A051OG</t>
  </si>
  <si>
    <t>OG</t>
  </si>
  <si>
    <t>JG-USAE1225A051OG[OG]</t>
  </si>
  <si>
    <t>J-GUSAE1227060904RG</t>
  </si>
  <si>
    <t>JGUSAE1227060904RG</t>
  </si>
  <si>
    <t>JG-USAE1227060904RG</t>
  </si>
  <si>
    <t>JG-USAE1227060904RG[RG]</t>
  </si>
  <si>
    <t>J-GUSAR1223A031SV</t>
  </si>
  <si>
    <t>JGUSAR1223A031SV</t>
  </si>
  <si>
    <t>JG-USAR1223A031SV</t>
  </si>
  <si>
    <t>JG-USAR1223A031SV[SV]</t>
  </si>
  <si>
    <t>J-GUSAE1225A066SV</t>
  </si>
  <si>
    <t>JGUSAE1225A066SV</t>
  </si>
  <si>
    <t>JG-USAE1225A066SV</t>
  </si>
  <si>
    <t>JG-USAE1225A066SV[SV]</t>
  </si>
  <si>
    <t>J-GUSAE1225A044SV</t>
  </si>
  <si>
    <t>JGUSAE1225A044SV</t>
  </si>
  <si>
    <t>JG-USAE1225A044SV</t>
  </si>
  <si>
    <t>SILVER/F</t>
  </si>
  <si>
    <t>JG-USAE1225A044SV[SILVER/F]</t>
  </si>
  <si>
    <t>J-GUSAE1227A072SV</t>
  </si>
  <si>
    <t>JGUSAE1227A072SV</t>
  </si>
  <si>
    <t>JG-USAE1227A072SV</t>
  </si>
  <si>
    <t>JG-USAE1227A072SV[SV]</t>
  </si>
  <si>
    <t>J-GUSAR1220A038RG</t>
  </si>
  <si>
    <t>JGUSAR1220A038RG</t>
  </si>
  <si>
    <t>JG-USAR1220A038RG</t>
  </si>
  <si>
    <t>JG-USAR1220A038RG[RG]</t>
  </si>
  <si>
    <t>J-GUSAR123A033RG</t>
  </si>
  <si>
    <t>JGUSAR123A033RG</t>
  </si>
  <si>
    <t>JG-USAR123A033RG</t>
  </si>
  <si>
    <t>JG-USAR123A033RG[RG]</t>
  </si>
  <si>
    <t>J-GUSAR1220A039GD</t>
  </si>
  <si>
    <t>JGUSAR1220A039GD</t>
  </si>
  <si>
    <t>JG-USAR1220A039GD</t>
  </si>
  <si>
    <t>JG-USAR1220A039GD[GD]</t>
  </si>
  <si>
    <t>J-GUSAE1225A071RG</t>
  </si>
  <si>
    <t>JGUSAE1225A071RG</t>
  </si>
  <si>
    <t>JG-USAE1225A071RG</t>
  </si>
  <si>
    <t>JG-USAE1225A071RG[RG]</t>
  </si>
  <si>
    <t>J-GUSAE1225A067RG</t>
  </si>
  <si>
    <t>JGUSAE1225A067RG</t>
  </si>
  <si>
    <t>JG-USAE1225A067RG</t>
  </si>
  <si>
    <t>JG-USAE1225A067RG[RG]</t>
  </si>
  <si>
    <t>J-GUSAR1220A035RG</t>
  </si>
  <si>
    <t>JG-USAR1220A035RG</t>
  </si>
  <si>
    <t>JG-USAR1220A035RG[RG]</t>
  </si>
  <si>
    <t>J-GUSAE1223A001RD</t>
  </si>
  <si>
    <t>JGUSAE1223A001RD</t>
  </si>
  <si>
    <t>JG-USAE1223A001RD</t>
  </si>
  <si>
    <t>JG-USAE1223A001RD[RD]</t>
  </si>
  <si>
    <t>J-GUSAE1227A073RG</t>
  </si>
  <si>
    <t>JGUSAE1227A073RG</t>
  </si>
  <si>
    <t>JG-USAE1227A073RG</t>
  </si>
  <si>
    <t>JG-USAE1227A073RG[RG]</t>
  </si>
  <si>
    <t>J-GUSAR1220A036GD</t>
  </si>
  <si>
    <t>JGUSAR1220A036GD</t>
  </si>
  <si>
    <t>JG-USAR1220A036GD</t>
  </si>
  <si>
    <t>JG-USAR1220A036GD[GD]</t>
  </si>
  <si>
    <t>J-GUSAR1220A034SV</t>
  </si>
  <si>
    <t>JGUSAR1220A034SV</t>
  </si>
  <si>
    <t>JG-USAR1220A034SV</t>
  </si>
  <si>
    <t>JG-USAR1220A034SV[SV]</t>
  </si>
  <si>
    <t>J-GUSAE1225A070SV</t>
  </si>
  <si>
    <t>JGUSAE1225A070SV</t>
  </si>
  <si>
    <t>JG-USAE1225A070SV</t>
  </si>
  <si>
    <t>JG-USAE1225A070SV[SV]</t>
  </si>
  <si>
    <t>J-GUSAE12203101SV</t>
  </si>
  <si>
    <t>JGUSAE12203101SV</t>
  </si>
  <si>
    <t>JG-USAE12203101SV</t>
  </si>
  <si>
    <t>JG-USAE12203101SV[SV]</t>
  </si>
  <si>
    <t>J-GUSAE1223060907BK</t>
  </si>
  <si>
    <t>JGUSAE1223060907BK</t>
  </si>
  <si>
    <t>JG-USAE1223060907BK</t>
  </si>
  <si>
    <t>JG-USAE1223060907BK[BK]</t>
  </si>
  <si>
    <t>J-GUSABPST00304SV</t>
  </si>
  <si>
    <t>JGUSABPST00304SV</t>
  </si>
  <si>
    <t>JG-USABPST00304SV</t>
  </si>
  <si>
    <t>JG-USABPST00304SV[SV]</t>
  </si>
  <si>
    <t>J-GUSAE1217A016PK</t>
  </si>
  <si>
    <t>JGUSAE1217A016PK</t>
  </si>
  <si>
    <t>JG-USAE1217A016PK</t>
  </si>
  <si>
    <t>JG-USAE1217A016PK[PK]</t>
  </si>
  <si>
    <t>J-GUSAE1225A050GR</t>
  </si>
  <si>
    <t>JGUSAE1225A050GR</t>
  </si>
  <si>
    <t>JG-USAE1225A050GR</t>
  </si>
  <si>
    <t>JG-USAE1225A050GR[GR]</t>
  </si>
  <si>
    <t>J-GUSAE1225A049GY</t>
  </si>
  <si>
    <t>JGUSAE1225A049GY</t>
  </si>
  <si>
    <t>JG-USAE1225A049GY</t>
  </si>
  <si>
    <t>GY</t>
  </si>
  <si>
    <t>JG-USAE1225A049GY[GY]</t>
  </si>
  <si>
    <t>J-GUSAE122551502SV</t>
  </si>
  <si>
    <t>JGUSAE122551502SV</t>
  </si>
  <si>
    <t>JG-USAE122551502SV</t>
  </si>
  <si>
    <t>JG-USAE122551502SV[SV]</t>
  </si>
  <si>
    <t>J-GUSAE1225A051OR</t>
  </si>
  <si>
    <t>JGUSAE1225A051OR</t>
  </si>
  <si>
    <t>JG-USAE1225A051OR</t>
  </si>
  <si>
    <t>OR</t>
  </si>
  <si>
    <t>JG-USAE1225A051OR[OR]</t>
  </si>
  <si>
    <t>J-GUSAEPST00910GD</t>
  </si>
  <si>
    <t>JGUSAEPST00910GD</t>
  </si>
  <si>
    <t>JG-USAEPST00910GD</t>
  </si>
  <si>
    <t>JG-USAEPST00910GD[GD]</t>
  </si>
  <si>
    <t>J-GUSABPST00304RG</t>
  </si>
  <si>
    <t>JGUSABPST00304RG</t>
  </si>
  <si>
    <t>JG-USABPST00304RG</t>
  </si>
  <si>
    <t>JG-USABPST00304RG[RG]</t>
  </si>
  <si>
    <t>J-GUSAR1223A033RG</t>
  </si>
  <si>
    <t>JGUSAR1223A033RG</t>
  </si>
  <si>
    <t>JG-USAR1223A033RG</t>
  </si>
  <si>
    <t>JG-USAR1223A033RG[RG]</t>
  </si>
  <si>
    <t>J-GUSAEPST00910RG</t>
  </si>
  <si>
    <t>JGUSAEPST00910RG</t>
  </si>
  <si>
    <t>JG-USAEPST00910RG</t>
  </si>
  <si>
    <t>JG-USAEPST00910RG[RG]</t>
  </si>
  <si>
    <t>J-GUSAE1217A015BL</t>
  </si>
  <si>
    <t>JGUSAE1217A015BL</t>
  </si>
  <si>
    <t>JG-USAE1217A015BL</t>
  </si>
  <si>
    <t>JG-USAE1217A015BL[BL]</t>
  </si>
  <si>
    <t>J-GUSAE1223A006PK</t>
  </si>
  <si>
    <t>JGUSAE1223A006PK</t>
  </si>
  <si>
    <t>JG-USAE1223A006PK</t>
  </si>
  <si>
    <t>JG-USAE1223A006PK[PK]</t>
  </si>
  <si>
    <t>J-GUSAE1220A008RD</t>
  </si>
  <si>
    <t>JGUSAE1220A008RD</t>
  </si>
  <si>
    <t>JG-USAE1220A008RD</t>
  </si>
  <si>
    <t>JG-USAE1220A008RD[RD]</t>
  </si>
  <si>
    <t>J-GUSAEPST00601SV</t>
  </si>
  <si>
    <t>JGUSAEPST00601SV</t>
  </si>
  <si>
    <t>JG-USAEPST00601SV</t>
  </si>
  <si>
    <t>JG-USAEPST00601SV[SV]</t>
  </si>
  <si>
    <t>J-GUSAEPST00601GD</t>
  </si>
  <si>
    <t>JGUSAEPST00601GD</t>
  </si>
  <si>
    <t>JG-USAEPST00601GD</t>
  </si>
  <si>
    <t>JG-USAEPST00601GD[GD]</t>
  </si>
  <si>
    <t>J-GUSAEPST00601RG</t>
  </si>
  <si>
    <t>JGUSAEPST00601RG</t>
  </si>
  <si>
    <t>JG-USAEPST00601RG</t>
  </si>
  <si>
    <t>JG-USAEPST00601RG[RG]</t>
  </si>
  <si>
    <t>J-GUSAE1225060902SV</t>
  </si>
  <si>
    <t>JGUSAE1225060902SV</t>
  </si>
  <si>
    <t>JG-USAE1225060902SV</t>
  </si>
  <si>
    <t>JG-USAE1225060902SV[SV]</t>
  </si>
  <si>
    <t>J-GUSABPST00114GD</t>
  </si>
  <si>
    <t>JGUSABPST00114GD</t>
  </si>
  <si>
    <t>JG-USABPST00114GD</t>
  </si>
  <si>
    <t>JG-USABPST00114GD[GD]</t>
  </si>
  <si>
    <t>J-GUSAR122542703RG</t>
  </si>
  <si>
    <t>JGUSAR122542703RG</t>
  </si>
  <si>
    <t>JG-USAR122542703RG</t>
  </si>
  <si>
    <t>JG-USAR122542703RG[RG]</t>
  </si>
  <si>
    <t>J-GUSAEPST00412RG</t>
  </si>
  <si>
    <t>JGUSAEPST00412RG</t>
  </si>
  <si>
    <t>JG-USAEPST00412RG</t>
  </si>
  <si>
    <t>JG-USAEPST00412RG[RG]</t>
  </si>
  <si>
    <t>J-GUSABPST00114RG</t>
  </si>
  <si>
    <t>JGUSABPST00114RG</t>
  </si>
  <si>
    <t>JG-USABPST00114RG</t>
  </si>
  <si>
    <t>JG-USABPST00114RG[RG]</t>
  </si>
  <si>
    <t>J-GUSAE1223060906WH</t>
  </si>
  <si>
    <t>JGUSAE1223060906WH</t>
  </si>
  <si>
    <t>JG-USAE1223060906WH</t>
  </si>
  <si>
    <t>JG-USAE1223060906WH[WH]</t>
  </si>
  <si>
    <t>J-GUSABPST00114SV</t>
  </si>
  <si>
    <t>JGUSABPST00114SV</t>
  </si>
  <si>
    <t>JG-USABPST00114SV</t>
  </si>
  <si>
    <t>JG-USABPST00114SV[SV]</t>
  </si>
  <si>
    <t>J-GUSAEPST00412GD</t>
  </si>
  <si>
    <t>JGUSAEPST00412GD</t>
  </si>
  <si>
    <t>JG-USAEPST00412GD</t>
  </si>
  <si>
    <t>JG-USAEPST00412GD[GD]</t>
  </si>
  <si>
    <t>J-GUSAE1223060906RD</t>
  </si>
  <si>
    <t>JGUSAE1223060906RD</t>
  </si>
  <si>
    <t>JG-USAE1223060906RD</t>
  </si>
  <si>
    <t>JG-USAE1223060906RD[RD]</t>
  </si>
  <si>
    <t>J-GUSAE1230060903SV</t>
  </si>
  <si>
    <t>JGUSAE1230060903SV</t>
  </si>
  <si>
    <t>JG-USAE1230060903SV</t>
  </si>
  <si>
    <t>JG-USAE1230060903SV[silver]</t>
  </si>
  <si>
    <t>J-GUSABPST00203RG</t>
  </si>
  <si>
    <t>JGUSABPST00203RG</t>
  </si>
  <si>
    <t>JG-USABPST00203RG</t>
  </si>
  <si>
    <t>rose gold</t>
  </si>
  <si>
    <t>JG-USABPST00203RG[rose gold]</t>
  </si>
  <si>
    <t>J-GUSABPST00203SV</t>
  </si>
  <si>
    <t>JGUSABPST00203SV</t>
  </si>
  <si>
    <t>JG-USABPST00203SV</t>
  </si>
  <si>
    <t>JG-USABPST00203SV[silver]</t>
  </si>
  <si>
    <t>J-GUSARPST00406RG</t>
  </si>
  <si>
    <t>JGUSARPST00406RG</t>
  </si>
  <si>
    <t>JG-USARPST00406RG</t>
  </si>
  <si>
    <t>JG-USARPST00406RG[rose gold]</t>
  </si>
  <si>
    <t>J-GUSARPST00406SV</t>
  </si>
  <si>
    <t>JGUSARPST00406SV</t>
  </si>
  <si>
    <t>JG-USARPST00406SV</t>
  </si>
  <si>
    <t>JG-USARPST00406SV[silver]</t>
  </si>
  <si>
    <t>J-GUSAE122742709RG</t>
  </si>
  <si>
    <t>JGUSAE122742709RG</t>
  </si>
  <si>
    <t>JG-USAE122742709RG</t>
  </si>
  <si>
    <t>ROSE GOLD</t>
  </si>
  <si>
    <t>JG-USAE122742709RG[ROSE GOLD]</t>
  </si>
  <si>
    <t>J-GUSAE122742709SV</t>
  </si>
  <si>
    <t>JGUSAE122742709SV</t>
  </si>
  <si>
    <t>JG-USAE122742709SV</t>
  </si>
  <si>
    <t>JG-USAE122742709SV[silver]</t>
  </si>
  <si>
    <t>J-GUSARPST00202GD</t>
  </si>
  <si>
    <t>JGUSARPST00202GD</t>
  </si>
  <si>
    <t>JG-USARPST00202GD</t>
  </si>
  <si>
    <t>JG-USARPST00202GD[gold]</t>
  </si>
  <si>
    <t>J-GUSARPST00202SV</t>
  </si>
  <si>
    <t>JGUSARPST00202SV</t>
  </si>
  <si>
    <t>JG-USARPST00202SV</t>
  </si>
  <si>
    <t>JG-USARPST00202SV[silver]</t>
  </si>
  <si>
    <t>J-GUSAE122542712SV</t>
  </si>
  <si>
    <t>JGUSAE122542712SV</t>
  </si>
  <si>
    <t>JG-USAE122542712SV</t>
  </si>
  <si>
    <t>JG-USAE122542712SV[silver]</t>
  </si>
  <si>
    <t>J-GUSAE1235061908GD</t>
  </si>
  <si>
    <t>JGUSAE1235061908GD</t>
  </si>
  <si>
    <t>JG-USAE1235061908GD-SET</t>
  </si>
  <si>
    <t>JG-USAE1235061908GD-SET[gold]</t>
  </si>
  <si>
    <t>J-GUSAE1235061907SV</t>
  </si>
  <si>
    <t>JGUSAE1235061907SV</t>
  </si>
  <si>
    <t>JG-USAE1235061907SV-SET</t>
  </si>
  <si>
    <t>JG-USAE1235061907SV-SET[silver]</t>
  </si>
  <si>
    <t>J-GUSAE1235061906GD</t>
  </si>
  <si>
    <t>JGUSAE1235061906GD</t>
  </si>
  <si>
    <t>JG-USAE1235061906GD-SET</t>
  </si>
  <si>
    <t>JG-USAE1235061906GD-SET[gold]</t>
  </si>
  <si>
    <t>J-GUSAE1235061905SV</t>
  </si>
  <si>
    <t>JGUSAE1235061905SV</t>
  </si>
  <si>
    <t>JG-USAE1235061905SV-SET</t>
  </si>
  <si>
    <t>JG-USAE1235061905SV-SET[silver]</t>
  </si>
  <si>
    <t>J-GUSAE1230061904GD</t>
  </si>
  <si>
    <t>JGUSAE1230061904GD</t>
  </si>
  <si>
    <t>JG-USAE1230061904GD-SET</t>
  </si>
  <si>
    <t>JG-USAE1230061904GD-SET[gold]</t>
  </si>
  <si>
    <t>J-GUSAE1230061903SV</t>
  </si>
  <si>
    <t>JGUSAE1230061903SV</t>
  </si>
  <si>
    <t>JG-USAE1230061903SV-SET</t>
  </si>
  <si>
    <t>JG-USAE1230061903SV-SET[silver]</t>
  </si>
  <si>
    <t>J-GUSAE1230061902GD</t>
  </si>
  <si>
    <t>JGUSAE1230061902GD</t>
  </si>
  <si>
    <t>JG-USAE1230061902GD-SET</t>
  </si>
  <si>
    <t>JG-USAE1230061902GD-SET[gold]</t>
  </si>
  <si>
    <t>J-GUSAE1230061901SV</t>
  </si>
  <si>
    <t>JGUSAE1230061901SV</t>
  </si>
  <si>
    <t>JG-USAE1230061901SV-SET</t>
  </si>
  <si>
    <t>JG-USAE1230061901SV-SET[silver]</t>
  </si>
  <si>
    <t>J-GUSAE122742711GD</t>
  </si>
  <si>
    <t>JGUSAE122742711GD</t>
  </si>
  <si>
    <t>JG-USAE122742711GD</t>
  </si>
  <si>
    <t>JG-USAE122742711GD[GD]</t>
  </si>
  <si>
    <t>J-GUSAE122742709GD</t>
  </si>
  <si>
    <t>JGUSAE122742709GD</t>
  </si>
  <si>
    <t>JG-USAE122742709GD</t>
  </si>
  <si>
    <t>JG-USAE122742709GD[GD]</t>
  </si>
  <si>
    <t>J-GUSAE1230060903RG</t>
  </si>
  <si>
    <t>JGUSAE1230060903RG</t>
  </si>
  <si>
    <t>JG-USAE1230060903RG</t>
  </si>
  <si>
    <t>JG-USAE1230060903RG[RG]</t>
  </si>
  <si>
    <t>J-GUSARPST00406GD</t>
  </si>
  <si>
    <t>JGUSARPST00406GD</t>
  </si>
  <si>
    <t>JG-USARPST00406GD</t>
  </si>
  <si>
    <t>JG-USARPST00406GD[GD]</t>
  </si>
  <si>
    <t>J-GUSABPST00203GD</t>
  </si>
  <si>
    <t>JGUSABPST00203GD</t>
  </si>
  <si>
    <t>JG-USABPST00203GD</t>
  </si>
  <si>
    <t>JG-USABPST00203GD[GD]</t>
  </si>
  <si>
    <t>J-GUSARPST00307GD</t>
  </si>
  <si>
    <t>JGUSARPST00307GD</t>
  </si>
  <si>
    <t>JG-USARPST00307GD</t>
  </si>
  <si>
    <t>JG-USARPST00307GD[GD]</t>
  </si>
  <si>
    <t>J-GUSAE122742708RG</t>
  </si>
  <si>
    <t>JGUSAE122742708RG</t>
  </si>
  <si>
    <t>JG-USAE122742708RG</t>
  </si>
  <si>
    <t>JG-USAE122742708RG[RG]</t>
  </si>
  <si>
    <t>J-GUSAE122542712GD</t>
  </si>
  <si>
    <t>JGUSAE122542712GD</t>
  </si>
  <si>
    <t>JG-USAE122542712GD</t>
  </si>
  <si>
    <t>JG-USAE122542712GD[GD]</t>
  </si>
  <si>
    <t>J-GUSARPST00307RG</t>
  </si>
  <si>
    <t>JGUSARPST00307RG</t>
  </si>
  <si>
    <t>JG-USARPST00307RG</t>
  </si>
  <si>
    <t>JG-USARPST00307RG[RG]</t>
  </si>
  <si>
    <t>J-GUSARPST00202RG</t>
  </si>
  <si>
    <t>JGUSARPST00202RG</t>
  </si>
  <si>
    <t>JG-USARPST00202RG</t>
  </si>
  <si>
    <t>JG-USARPST00202RG[RG]</t>
  </si>
  <si>
    <t>J-GUSARPST00307SV</t>
  </si>
  <si>
    <t>JGUSARPST00307SV</t>
  </si>
  <si>
    <t>JG-USARPST00307SV</t>
  </si>
  <si>
    <t>JG-USARPST00307SV[SV]</t>
  </si>
  <si>
    <t>J-GUSAE122732803RG</t>
  </si>
  <si>
    <t>JGUSAE122732803RG</t>
  </si>
  <si>
    <t>JG-USAE122732803RG</t>
  </si>
  <si>
    <t>rose gold/F</t>
  </si>
  <si>
    <t>JG-USAE122732803RG[rose gold/F]</t>
  </si>
  <si>
    <t>J-GUSAE122732803SV</t>
  </si>
  <si>
    <t>JGUSAE122732803SV</t>
  </si>
  <si>
    <t>JG-USAE122732803SV</t>
  </si>
  <si>
    <t>silver/F</t>
  </si>
  <si>
    <t>JG-USAE122732803SV[silver/F]</t>
  </si>
  <si>
    <t>J-GUSAE123032802RG</t>
  </si>
  <si>
    <t>JGUSAE123032802RG</t>
  </si>
  <si>
    <t>JG-USAE123032802RG</t>
  </si>
  <si>
    <t>JG-USAE123032802RG[rose gold/F]</t>
  </si>
  <si>
    <t>J-GUSAE123032802GD</t>
  </si>
  <si>
    <t>JGUSAE123032802GD</t>
  </si>
  <si>
    <t>JG-USAE123032802GD</t>
  </si>
  <si>
    <t>gold/F</t>
  </si>
  <si>
    <t>JG-USAE123032802GD[gold/F]</t>
  </si>
  <si>
    <t>J-GUSAE123032802SV</t>
  </si>
  <si>
    <t>JGUSAE123032802SV</t>
  </si>
  <si>
    <t>JG-USAE123032802SV</t>
  </si>
  <si>
    <t>JG-USAE123032802SV[silver/F]</t>
  </si>
  <si>
    <t>J-GUSAB123332801RD</t>
  </si>
  <si>
    <t>JGUSAB123332801RD</t>
  </si>
  <si>
    <t>JG-USAB123332801RD</t>
  </si>
  <si>
    <t>JG-USAB123332801RD[rose gold/F]</t>
  </si>
  <si>
    <t>J-GUSAB123332801GD</t>
  </si>
  <si>
    <t>JGUSAB123332801GD</t>
  </si>
  <si>
    <t>JG-USAB123332801GD</t>
  </si>
  <si>
    <t>JG-USAB123332801GD[gold/F]</t>
  </si>
  <si>
    <t>J-GUSAB123332801SV</t>
  </si>
  <si>
    <t>JGUSAB123332801SV</t>
  </si>
  <si>
    <t>JG-USAB123332801SV</t>
  </si>
  <si>
    <t>JG-USAB123332801SV[silver/F]</t>
  </si>
  <si>
    <t>J-GNSNAKECHOKERBK</t>
  </si>
  <si>
    <t>JGNSNAKECHOKERBK</t>
  </si>
  <si>
    <t>JGN-SNAKECHOKERBK</t>
  </si>
  <si>
    <t>JGN-SNAKECHOKERBK[BLACK/F]</t>
  </si>
  <si>
    <t>J-GUSAE12253102GD</t>
  </si>
  <si>
    <t>JGUSAE12253102GD</t>
  </si>
  <si>
    <t>JG-USAE12253102GD</t>
  </si>
  <si>
    <t>JG-USAE12253102GD[gold/F]</t>
  </si>
  <si>
    <t>J-GUSAE12253102SV</t>
  </si>
  <si>
    <t>JGUSAE12253102SV</t>
  </si>
  <si>
    <t>JG-USAE12253102SV</t>
  </si>
  <si>
    <t>JG-USAE12253102SV[silver/F]</t>
  </si>
  <si>
    <t>J-GUSAE12203101GD</t>
  </si>
  <si>
    <t>JGUSAE12203101GD</t>
  </si>
  <si>
    <t>JG-USAE12203101GD</t>
  </si>
  <si>
    <t>JG-USAE12203101GD[gold/F]</t>
  </si>
  <si>
    <t>J-GUSAE12203051SV</t>
  </si>
  <si>
    <t>JGUSAE12203051SV</t>
  </si>
  <si>
    <t>JG-USAE12203051SV</t>
  </si>
  <si>
    <t>JG-USAE12203051SV[silver/F]</t>
  </si>
  <si>
    <t>J-GUSAE12303233RG</t>
  </si>
  <si>
    <t>JGUSAE12303233RG</t>
  </si>
  <si>
    <t>JG-USAE12303233RG</t>
  </si>
  <si>
    <t>JG-USAE12303233RG[rose gold/F]</t>
  </si>
  <si>
    <t>J-GUSAE12303232GD</t>
  </si>
  <si>
    <t>JGUSAE12303232GD</t>
  </si>
  <si>
    <t>JG-USAE12303232GD</t>
  </si>
  <si>
    <t>JG-USAE12303232GD[gold/F]</t>
  </si>
  <si>
    <t>J-GUSAE12303231SV</t>
  </si>
  <si>
    <t>JGUSAE12303231SV</t>
  </si>
  <si>
    <t>JG-USAE12303231SV</t>
  </si>
  <si>
    <t>JG-USAE12303231SV[silver/F]</t>
  </si>
  <si>
    <t>J-GUSAE12203233RG</t>
  </si>
  <si>
    <t>JGUSAE12203233RG</t>
  </si>
  <si>
    <t>JG-USAE12203233RG</t>
  </si>
  <si>
    <t>JG-USAE12203233RG[rose gold/F]</t>
  </si>
  <si>
    <t>J-GUSAE12203232GD</t>
  </si>
  <si>
    <t>JGUSAE12203232GD</t>
  </si>
  <si>
    <t>JG-USAE12203232GD</t>
  </si>
  <si>
    <t>JG-USAE12203232GD[gold/F]</t>
  </si>
  <si>
    <t>J-GUSAE12203231SV</t>
  </si>
  <si>
    <t>JGUSAE12203231SV</t>
  </si>
  <si>
    <t>JG-USAE12203231SV</t>
  </si>
  <si>
    <t>JG-USAE12203231SV[silver/F]</t>
  </si>
  <si>
    <t>J-GUSAE12253025RG</t>
  </si>
  <si>
    <t>JGUSAE12253025RG</t>
  </si>
  <si>
    <t>JG-USAE12253025RG</t>
  </si>
  <si>
    <t>rosegold+white/F</t>
  </si>
  <si>
    <t>JG-USAE12253025RG[rosegold+white/F]</t>
  </si>
  <si>
    <t>J-GUSAE12253025SV</t>
  </si>
  <si>
    <t>JGUSAE12253025SV</t>
  </si>
  <si>
    <t>JG-USAE12253025SV</t>
  </si>
  <si>
    <t>silver+black/F</t>
  </si>
  <si>
    <t>JG-USAE12253025SV[silver+black/F]</t>
  </si>
  <si>
    <t>J-GUSAE12203024RG</t>
  </si>
  <si>
    <t>JGUSAE12203024RG</t>
  </si>
  <si>
    <t>JG-USAE12203024RG</t>
  </si>
  <si>
    <t>rosegold/F</t>
  </si>
  <si>
    <t>JG-USAE12203024RG[rosegold/F]</t>
  </si>
  <si>
    <t>J-GUSAE12203024SV</t>
  </si>
  <si>
    <t>JGUSAE12203024SV</t>
  </si>
  <si>
    <t>JG-USAE12203024SV</t>
  </si>
  <si>
    <t>JG-USAE12203024SV[silver/F]</t>
  </si>
  <si>
    <t>J-GUSAE12203023GD</t>
  </si>
  <si>
    <t>JGUSAE12203023GD</t>
  </si>
  <si>
    <t>JG-USAE12203023GD</t>
  </si>
  <si>
    <t>JG-USAE12203023GD[gold/F]</t>
  </si>
  <si>
    <t>J-GUSAE12203023RG</t>
  </si>
  <si>
    <t>JGUSAE12203023RG</t>
  </si>
  <si>
    <t>JG-USAE12203023RG</t>
  </si>
  <si>
    <t>JG-USAE12203023RG[rosegold/F]</t>
  </si>
  <si>
    <t>J-GUSAE12203023SV</t>
  </si>
  <si>
    <t>JGUSAE12203023SV</t>
  </si>
  <si>
    <t>JG-USAE12203023SV</t>
  </si>
  <si>
    <t>JG-USAE12203023SV[silver/F]</t>
  </si>
  <si>
    <t>J-GUSAE12203022GD</t>
  </si>
  <si>
    <t>JGUSAE12203022GD</t>
  </si>
  <si>
    <t>JG-USAE12203022GD</t>
  </si>
  <si>
    <t>JG-USAE12203022GD[gold/F]</t>
  </si>
  <si>
    <t>J-GUSAE12203022RG</t>
  </si>
  <si>
    <t>JGUSAE12203022RG</t>
  </si>
  <si>
    <t>JG-USAE12203022RG</t>
  </si>
  <si>
    <t>JG-USAE12203022RG[rosegold/F]</t>
  </si>
  <si>
    <t>J-GUSAE12203022SV</t>
  </si>
  <si>
    <t>JGUSAE12203022SV</t>
  </si>
  <si>
    <t>JG-USAE12203022SV</t>
  </si>
  <si>
    <t>JG-USAE12203022SV[silver/F]</t>
  </si>
  <si>
    <t>J-GUSAE12153021PK</t>
  </si>
  <si>
    <t>JGUSAE12153021PK</t>
  </si>
  <si>
    <t>JG-USAE12153021PK</t>
  </si>
  <si>
    <t>gold+pink/F</t>
  </si>
  <si>
    <t>JG-USAE12153021PK[gold+pink/F]</t>
  </si>
  <si>
    <t>J-GUSAE12153021RD</t>
  </si>
  <si>
    <t>JGUSAE12153021RD</t>
  </si>
  <si>
    <t>JG-USAE12153021RD</t>
  </si>
  <si>
    <t>gold+red/F</t>
  </si>
  <si>
    <t>JG-USAE12153021RD[gold+red/F]</t>
  </si>
  <si>
    <t>J-GUSAE12153021BK</t>
  </si>
  <si>
    <t>JGUSAE12153021BK</t>
  </si>
  <si>
    <t>JG-USAE12153021BK</t>
  </si>
  <si>
    <t>gold+black/F</t>
  </si>
  <si>
    <t>JG-USAE12153021BK[gold+black/F]</t>
  </si>
  <si>
    <t>J-GUSAN12282215GD</t>
  </si>
  <si>
    <t>JGUSAN12282215GD</t>
  </si>
  <si>
    <t>JG-USAN12282215GD</t>
  </si>
  <si>
    <t>JG-USAN12282215GD[GOLD/F]</t>
  </si>
  <si>
    <t>J-GUSAN12282215SV</t>
  </si>
  <si>
    <t>JGUSAN12282215SV</t>
  </si>
  <si>
    <t>JG-USAN12282215SV</t>
  </si>
  <si>
    <t>JG-USAN12282215SV[SILVER/F]</t>
  </si>
  <si>
    <t>J-GUSAB12202214GD</t>
  </si>
  <si>
    <t>JGUSAB12202214GD</t>
  </si>
  <si>
    <t>JG-USAB12202214GD</t>
  </si>
  <si>
    <t>JG-USAB12202214GD[GOLD/F]</t>
  </si>
  <si>
    <t>J-GUSAB12202214SV</t>
  </si>
  <si>
    <t>JGUSAB12202214SV</t>
  </si>
  <si>
    <t>JG-USAB12202214SV[SILVER/F]</t>
  </si>
  <si>
    <t>J-GUSAB12282213GD</t>
  </si>
  <si>
    <t>JGUSAB12282213GD</t>
  </si>
  <si>
    <t>JG-USAB12282213GD</t>
  </si>
  <si>
    <t>JG-USAB12282213GD[GOLD/F]</t>
  </si>
  <si>
    <t>J-GUSAB12282213SV</t>
  </si>
  <si>
    <t>JGUSAB12282213SV</t>
  </si>
  <si>
    <t>JG-USAB12282213SV</t>
  </si>
  <si>
    <t>JG-USAB12282213SV[SILVER/F]</t>
  </si>
  <si>
    <t>J-GUSAE12202212GD</t>
  </si>
  <si>
    <t>JGUSAE12202212GD</t>
  </si>
  <si>
    <t>JG-USAE12202212GD</t>
  </si>
  <si>
    <t>JG-USAE12202212GD[GOLD/F]</t>
  </si>
  <si>
    <t>J-GUSAE12202212SV</t>
  </si>
  <si>
    <t>JGUSAE12202212SV</t>
  </si>
  <si>
    <t>JG-USAE12202212SV</t>
  </si>
  <si>
    <t>JG-USAE12202212SV[SILVER/F]</t>
  </si>
  <si>
    <t>J-GUSAE12202211GD</t>
  </si>
  <si>
    <t>JGUSAE12202211GD</t>
  </si>
  <si>
    <t>JG-USAE12202211GD</t>
  </si>
  <si>
    <t>JG-USAE12202211GD[GOLD/F]</t>
  </si>
  <si>
    <t>J-GUSAE12202211SV</t>
  </si>
  <si>
    <t>JGUSAE12202211SV</t>
  </si>
  <si>
    <t>JG-USAE12202211SV</t>
  </si>
  <si>
    <t>JG-USAE12202211SV[SILVER/F]</t>
  </si>
  <si>
    <t>J-GUSAE1220203RD</t>
  </si>
  <si>
    <t>JGUSAE1220203RD</t>
  </si>
  <si>
    <t>JG-USAE1220203RD</t>
  </si>
  <si>
    <t>ROSE GOLD/F</t>
  </si>
  <si>
    <t>JG-USAE1220203RD[ROSE GOLD/F]</t>
  </si>
  <si>
    <t>J-GUSAE1220202RD</t>
  </si>
  <si>
    <t>JGUSAE1220202RD</t>
  </si>
  <si>
    <t>JG-USAE1220202RD</t>
  </si>
  <si>
    <t>JG-USAE1220202RD[ROSE GOLD/F]</t>
  </si>
  <si>
    <t>J-GUSAE1220203GD</t>
  </si>
  <si>
    <t>JGUSAE1220203GD</t>
  </si>
  <si>
    <t>JG-USAE1220203GD</t>
  </si>
  <si>
    <t>JG-USAE1220203GD[GOLD/F]</t>
  </si>
  <si>
    <t>J-GUSAE1220203SV</t>
  </si>
  <si>
    <t>JGUSAE1220203SV</t>
  </si>
  <si>
    <t>JG-USAE1220203SV</t>
  </si>
  <si>
    <t>JG-USAE1220203SV[BLACK/F]</t>
  </si>
  <si>
    <t>J-GUSAE1220202SV</t>
  </si>
  <si>
    <t>JGUSAE1220202SV</t>
  </si>
  <si>
    <t>JG-USAE1220202SV</t>
  </si>
  <si>
    <t>black+multi/F</t>
  </si>
  <si>
    <t>JG-USAE1220202SV[black+multi/F]</t>
  </si>
  <si>
    <t>J-GBANGLESGD</t>
  </si>
  <si>
    <t>JGBANGLESGD</t>
  </si>
  <si>
    <t>JG-BANGLESGD</t>
  </si>
  <si>
    <t>JG-BANGLESGD[GOLD/F]</t>
  </si>
  <si>
    <t>J-GBANGLESSV</t>
  </si>
  <si>
    <t>JGBANGLESSV</t>
  </si>
  <si>
    <t>JG-BANGLESSV</t>
  </si>
  <si>
    <t>JG-BANGLESSV[SILVER/F]</t>
  </si>
  <si>
    <t>J-GUSAB122001BK</t>
  </si>
  <si>
    <t>JGUSAB122001BK</t>
  </si>
  <si>
    <t>JG-USAB122001BK</t>
  </si>
  <si>
    <t>JG-USAB122001BK[BLACK/F]</t>
  </si>
  <si>
    <t>J-GUSAN122501BK</t>
  </si>
  <si>
    <t>JGUSAN122501BK</t>
  </si>
  <si>
    <t>JG-USAN122501BK</t>
  </si>
  <si>
    <t>JG-USAN122501BK[BLACK/F]</t>
  </si>
  <si>
    <t>J-GBBMGM121801BM</t>
  </si>
  <si>
    <t>JGBBMGM121801BM</t>
  </si>
  <si>
    <t>JGB-BMGM121801BM</t>
  </si>
  <si>
    <t>JGB-BMGM121801BM[black+multi/F]</t>
  </si>
  <si>
    <t>J-GBBMGM121801GM</t>
  </si>
  <si>
    <t>JGBBMGM121801GM</t>
  </si>
  <si>
    <t>JGB-BMGM121801GM</t>
  </si>
  <si>
    <t>gold+multi/F</t>
  </si>
  <si>
    <t>JGB-BMGM121801GM[gold+multi/F]</t>
  </si>
  <si>
    <t>J-GNBMGM122801BM</t>
  </si>
  <si>
    <t>JGNBMGM122801BM</t>
  </si>
  <si>
    <t>JGN-BMGM122801BM</t>
  </si>
  <si>
    <t>JGN-BMGM122801BM[black+multi/F]</t>
  </si>
  <si>
    <t>J-GNBMGM122801GM</t>
  </si>
  <si>
    <t>JGNBMGM122801GM</t>
  </si>
  <si>
    <t>JGN-BMGM122801GM</t>
  </si>
  <si>
    <t>JGN-BMGM122801GM[gold+multi/F]</t>
  </si>
  <si>
    <t>J-GRBMGM122501BM</t>
  </si>
  <si>
    <t>JGRBMGM122501BM</t>
  </si>
  <si>
    <t>JGR-BMGM122501BM</t>
  </si>
  <si>
    <t>JGR-BMGM122501BM[black+multi/F]</t>
  </si>
  <si>
    <t>J-GRBMGM122501GM</t>
  </si>
  <si>
    <t>JGRBMGM122501GM</t>
  </si>
  <si>
    <t>JGR-BMGM122501GM</t>
  </si>
  <si>
    <t>JGR-BMGM122501GM[gold+multi/F]</t>
  </si>
  <si>
    <t>J-GNSNAKECHOKERRG</t>
  </si>
  <si>
    <t>JGNSNAKECHOKERRG</t>
  </si>
  <si>
    <t>JGN-SNAKECHOKERRG</t>
  </si>
  <si>
    <t>ROSEGOLD/F</t>
  </si>
  <si>
    <t>JGN-SNAKECHOKERRG[ROSEGOLD/F]</t>
  </si>
  <si>
    <t>J-GNSNAKECHOKERSV</t>
  </si>
  <si>
    <t>JGNSNAKECHOKERSV</t>
  </si>
  <si>
    <t>JGN-SNAKECHOKERSV</t>
  </si>
  <si>
    <t>JGN-SNAKECHOKERSV[SILVER/F]</t>
  </si>
  <si>
    <t>J-GNSNAKECHOKERGD</t>
  </si>
  <si>
    <t>JGNSNAKECHOKERGD</t>
  </si>
  <si>
    <t>JGN-SNAKECHOKERGD</t>
  </si>
  <si>
    <t>JGN-SNAKECHOKERGD[GOLD/F]</t>
  </si>
  <si>
    <t>J-GBTWIN124801BK</t>
  </si>
  <si>
    <t>JGBTWIN124801BK</t>
  </si>
  <si>
    <t>JGB-TWIN124801BK</t>
  </si>
  <si>
    <t>JGB-TWIN124801BK[BLACK/F]</t>
  </si>
  <si>
    <t>J-GBTWIN124801RD</t>
  </si>
  <si>
    <t>JGBTWIN124801RD</t>
  </si>
  <si>
    <t>JGB-TWIN124801RD</t>
  </si>
  <si>
    <t>JGB-TWIN124801RD[RED/F]</t>
  </si>
  <si>
    <t>J-GBTWIN124801WT</t>
  </si>
  <si>
    <t>JGBTWIN124801WT</t>
  </si>
  <si>
    <t>JGB-TWIN124801WT</t>
  </si>
  <si>
    <t>JGB-TWIN124801WT[WHITE/F]</t>
  </si>
  <si>
    <t>J-GETWIN123201BK</t>
  </si>
  <si>
    <t>JGETWIN123201BK</t>
  </si>
  <si>
    <t>JGE-TWIN123201BK</t>
  </si>
  <si>
    <t>JGE-TWIN123201BK[BLACK/F]</t>
  </si>
  <si>
    <t>J-GETWIN123201RD</t>
  </si>
  <si>
    <t>JGETWIN123201RD</t>
  </si>
  <si>
    <t>JGE-TWIN123201RD</t>
  </si>
  <si>
    <t>JGE-TWIN123201RD[RED/F]</t>
  </si>
  <si>
    <t>J-GETWIN123201WT</t>
  </si>
  <si>
    <t>JGETWIN123201WT</t>
  </si>
  <si>
    <t>JGE-TWIN123201WT</t>
  </si>
  <si>
    <t>JGE-TWIN123201WT[WHITE/F]</t>
  </si>
  <si>
    <t>J-GUSAR121001RG</t>
  </si>
  <si>
    <t>JGUSAR121001RG</t>
  </si>
  <si>
    <t>JG-USAR121001RG</t>
  </si>
  <si>
    <t>JG-USAR121001RG[ROSEGOLD/F]</t>
  </si>
  <si>
    <t>J-GUSAR121001SV</t>
  </si>
  <si>
    <t>JGUSAR121001SV</t>
  </si>
  <si>
    <t>JG-USAR121001SV</t>
  </si>
  <si>
    <t>JG-USAR121001SV[SILVER/F]</t>
  </si>
  <si>
    <t>J-GUSAR121001GD</t>
  </si>
  <si>
    <t>JGUSAR121001GD</t>
  </si>
  <si>
    <t>JG-USAR121001GD</t>
  </si>
  <si>
    <t>JG-USAR121001GD[GOLD/F]</t>
  </si>
  <si>
    <t>J-GUSAR122002RG</t>
  </si>
  <si>
    <t>JGUSAR122002RG</t>
  </si>
  <si>
    <t>JG-USAR122002RG</t>
  </si>
  <si>
    <t>JG-USAR122002RG[ROSEGOLD/F]</t>
  </si>
  <si>
    <t>J-GUSAR122002SV</t>
  </si>
  <si>
    <t>JGUSAR122002SV</t>
  </si>
  <si>
    <t>JG-USAR122002SV</t>
  </si>
  <si>
    <t>JG-USAR122002SV[SILVER/F]</t>
  </si>
  <si>
    <t>J-GUSAR122002GD</t>
  </si>
  <si>
    <t>JGUSAR122002GD</t>
  </si>
  <si>
    <t>JG-USAR122002GD</t>
  </si>
  <si>
    <t>JG-USAR122002GD[GOLD/F]</t>
  </si>
  <si>
    <t>J-GUSAR122001RG</t>
  </si>
  <si>
    <t>JGUSAR122001RG</t>
  </si>
  <si>
    <t>JG-USAR122001RG</t>
  </si>
  <si>
    <t>JG-USAR122001RG[ROSEGOLD/F]</t>
  </si>
  <si>
    <t>J-GUSAR122001SV</t>
  </si>
  <si>
    <t>JGUSAR122001SV</t>
  </si>
  <si>
    <t>JG-USAR122001SV</t>
  </si>
  <si>
    <t>JG-USAR122001SV[SILVER/F]</t>
  </si>
  <si>
    <t>J-GUSAR122001GD</t>
  </si>
  <si>
    <t>JGUSAR122001GD</t>
  </si>
  <si>
    <t>JG-USAR122001GD</t>
  </si>
  <si>
    <t>JG-USAR122001GD[GOLD/F]</t>
  </si>
  <si>
    <t>J-GUSAE122004SV</t>
  </si>
  <si>
    <t>JGUSAE122004SV</t>
  </si>
  <si>
    <t>JG-USAE122004SV</t>
  </si>
  <si>
    <t>JG-USAE122004SV[SILVER/F]</t>
  </si>
  <si>
    <t>J-GUSAE122004GD</t>
  </si>
  <si>
    <t>JGUSAE122004GD</t>
  </si>
  <si>
    <t>JG-USAE122004GD</t>
  </si>
  <si>
    <t>JG-USAE122004GD[GOLD/F]</t>
  </si>
  <si>
    <t>J-GUSAE122003RG</t>
  </si>
  <si>
    <t>JGUSAE122003RG</t>
  </si>
  <si>
    <t>JG-USAE122003RG</t>
  </si>
  <si>
    <t>JG-USAE122003RG[ROSEGOLD/F]</t>
  </si>
  <si>
    <t>J-GUSAE122003SV</t>
  </si>
  <si>
    <t>JGUSAE122003SV</t>
  </si>
  <si>
    <t>JG-USAE122003SV</t>
  </si>
  <si>
    <t>JG-USAE122003SV[SILVER/F]</t>
  </si>
  <si>
    <t>J-GUSAE122003GD</t>
  </si>
  <si>
    <t>JGUSAE122003GD</t>
  </si>
  <si>
    <t>JG-USAE122003GD</t>
  </si>
  <si>
    <t>JG-USAE122003GD[GOLD/F]</t>
  </si>
  <si>
    <t>J-GUSAE122501RG</t>
  </si>
  <si>
    <t>JGUSAE122501RG</t>
  </si>
  <si>
    <t>JG-USAE122501RG</t>
  </si>
  <si>
    <t>JG-USAE122501RG[ROSEGOLD/F]</t>
  </si>
  <si>
    <t>J-GUSAE122501SV</t>
  </si>
  <si>
    <t>JGUSAE122501SV</t>
  </si>
  <si>
    <t>JG-USAE122501SV</t>
  </si>
  <si>
    <t>JG-USAE122501SV[SILVER/F]</t>
  </si>
  <si>
    <t>J-GUSAE122501GD</t>
  </si>
  <si>
    <t>JGUSAE122501GD</t>
  </si>
  <si>
    <t>JG-USAE122501GD</t>
  </si>
  <si>
    <t>JG-USAE122501GD[GOLD/F]</t>
  </si>
  <si>
    <t>J-GUSAE122001RG</t>
  </si>
  <si>
    <t>JGUSAE122001RG</t>
  </si>
  <si>
    <t>JG-USAE122001RG</t>
  </si>
  <si>
    <t>JG-USAE122001RG[ROSEGOLD/F]</t>
  </si>
  <si>
    <t>J-GUSAE122001SV</t>
  </si>
  <si>
    <t>JGUSAE122001SV</t>
  </si>
  <si>
    <t>JG-USAE122001SV</t>
  </si>
  <si>
    <t>JG-USAE122001SV[SILVER/F]</t>
  </si>
  <si>
    <t>J-GUSAE122001GD</t>
  </si>
  <si>
    <t>JGUSAE122001GD</t>
  </si>
  <si>
    <t>JG-USAE122001GD</t>
  </si>
  <si>
    <t>JG-USAE122001GD[GOLD/F]</t>
  </si>
  <si>
    <t>GRANDBATTEMENT</t>
  </si>
  <si>
    <t>S-S1727M</t>
  </si>
  <si>
    <t>STAFF SAFETY T-shirts</t>
  </si>
  <si>
    <t>SS1727M</t>
  </si>
  <si>
    <t>neon green/L</t>
  </si>
  <si>
    <t>STAFF SAFETY T-shirts[neon green/L]</t>
  </si>
  <si>
    <t>S-S1726M</t>
  </si>
  <si>
    <t>SS1726M</t>
  </si>
  <si>
    <t>REVERSE PART T-shirts</t>
  </si>
  <si>
    <t>M</t>
  </si>
  <si>
    <t>REVERSE PART T-shirts[M]</t>
  </si>
  <si>
    <t>S-S1725BKL</t>
  </si>
  <si>
    <t>SS1725BKL</t>
  </si>
  <si>
    <t>SENIOR DENIM jacke</t>
  </si>
  <si>
    <t>SENIOR DENIM jacke[BLACK/L]</t>
  </si>
  <si>
    <t>S-S1725BKM</t>
  </si>
  <si>
    <t>SS1725BKM</t>
  </si>
  <si>
    <t>SENIOR DENIM jacke[BLACK/M]</t>
  </si>
  <si>
    <t>S-S1724WTL</t>
  </si>
  <si>
    <t>SS1724WTL</t>
  </si>
  <si>
    <t>SENIOR DENIM jacke[WHITE/L]</t>
  </si>
  <si>
    <t>S-S1724WTM</t>
  </si>
  <si>
    <t>SS1724WTM</t>
  </si>
  <si>
    <t>SENIOR DENIM jacke[WHITE/M]</t>
  </si>
  <si>
    <t>S-S1723CRF</t>
  </si>
  <si>
    <t>SS1723CRF</t>
  </si>
  <si>
    <t>CLASS BAG2</t>
  </si>
  <si>
    <t>CLEAR/FREE</t>
  </si>
  <si>
    <t>CLASS BAG2[CLEAR/FREE]</t>
  </si>
  <si>
    <t>S-S1722CRF</t>
  </si>
  <si>
    <t>SS1722CRF</t>
  </si>
  <si>
    <t>CLASS BAG1</t>
  </si>
  <si>
    <t>CLASS BAG1[CLEAR/FREE]</t>
  </si>
  <si>
    <t>S-S1721BKL</t>
  </si>
  <si>
    <t>SS1721BKL</t>
  </si>
  <si>
    <t>gbt souvenir 2 t-shirts</t>
  </si>
  <si>
    <t>gbt souvenir 2 t-shirts[BLACK/L]</t>
  </si>
  <si>
    <t>S-S1721BKM</t>
  </si>
  <si>
    <t>SS1721BKM</t>
  </si>
  <si>
    <t>gbt souvenir 2 t-shirts[BLACK/M]</t>
  </si>
  <si>
    <t>S-S1720GRL</t>
  </si>
  <si>
    <t>SS1720GRL</t>
  </si>
  <si>
    <t>GREY/L</t>
  </si>
  <si>
    <t>gbt souvenir 2 t-shirts[GREY/L]</t>
  </si>
  <si>
    <t>S-S1720GRM</t>
  </si>
  <si>
    <t>SS1720GRM</t>
  </si>
  <si>
    <t>GREY/M</t>
  </si>
  <si>
    <t>gbt souvenir 2 t-shirts[GREY/M]</t>
  </si>
  <si>
    <t>S-S1719WTL</t>
  </si>
  <si>
    <t>SS1719WTL</t>
  </si>
  <si>
    <t>gbt souvenir 2 t-shirts[WHITE/L]</t>
  </si>
  <si>
    <t>S-S1719WTM</t>
  </si>
  <si>
    <t>SS1719WTM</t>
  </si>
  <si>
    <t>gbt souvenir 2 t-shirts[WHITE/M]</t>
  </si>
  <si>
    <t>S-S1716BLL</t>
  </si>
  <si>
    <t>SS1716BLL</t>
  </si>
  <si>
    <t>backstage service pocket shirts</t>
  </si>
  <si>
    <t>BLUE STRIPE/L</t>
  </si>
  <si>
    <t>backstage service pocket shirts[BLUE STRIPE/L]</t>
  </si>
  <si>
    <t>S-S1716BLM</t>
  </si>
  <si>
    <t>SS1716BLM</t>
  </si>
  <si>
    <t>BLUE STRIPE/M</t>
  </si>
  <si>
    <t>backstage service pocket shirts[BLUE STRIPE/M]</t>
  </si>
  <si>
    <t>S-S1715GRL</t>
  </si>
  <si>
    <t>SS1715GRL</t>
  </si>
  <si>
    <t>GREEN CHECK/L</t>
  </si>
  <si>
    <t>backstage service pocket shirts[GREEN CHECK/L]</t>
  </si>
  <si>
    <t>S-S1715GRM</t>
  </si>
  <si>
    <t>SS1715GRM</t>
  </si>
  <si>
    <t>GREEN CHECK/M</t>
  </si>
  <si>
    <t>backstage service pocket shirts[GREEN CHECK/M]</t>
  </si>
  <si>
    <t>S-S1714BLL</t>
  </si>
  <si>
    <t>SS1714BLL</t>
  </si>
  <si>
    <t>backstage long shirts</t>
  </si>
  <si>
    <t>backstage long shirts[BLUE STRIPE/L]</t>
  </si>
  <si>
    <t>S-S1714BLM</t>
  </si>
  <si>
    <t>SS1714BLM</t>
  </si>
  <si>
    <t>backstage long shirts[BLUE STRIPE/M]</t>
  </si>
  <si>
    <t>S-S1713GRL</t>
  </si>
  <si>
    <t>SS1713GRL</t>
  </si>
  <si>
    <t>backstage long shirts[GREEN CHECK/L]</t>
  </si>
  <si>
    <t>S-S1713GRM</t>
  </si>
  <si>
    <t>SS1713GRM</t>
  </si>
  <si>
    <t>backstage long shirts[GREEN CHECK/M]</t>
  </si>
  <si>
    <t>S-S1712WTF</t>
  </si>
  <si>
    <t>SS1712WTF</t>
  </si>
  <si>
    <t>backstage utility vest</t>
  </si>
  <si>
    <t>backstage utility vest[WHITE/FREE]</t>
  </si>
  <si>
    <t>S-S171BKF</t>
  </si>
  <si>
    <t>SS171BKF</t>
  </si>
  <si>
    <t>backstage utility vest[BLACK/FREE]</t>
  </si>
  <si>
    <t>S-S1710WTL</t>
  </si>
  <si>
    <t>SS1710WTL</t>
  </si>
  <si>
    <t>class coach jacket</t>
  </si>
  <si>
    <t>class coach jacket[WHITE/L]</t>
  </si>
  <si>
    <t>S-S1710WTM</t>
  </si>
  <si>
    <t>SS1710WTM</t>
  </si>
  <si>
    <t>class coach jacket[WHITE/M]</t>
  </si>
  <si>
    <t>S-S1709BKL</t>
  </si>
  <si>
    <t>SS1709BKL</t>
  </si>
  <si>
    <t>class coach jacket[BLACK/L]</t>
  </si>
  <si>
    <t>S-S1709BKM</t>
  </si>
  <si>
    <t>SS1709BKM</t>
  </si>
  <si>
    <t>class coach jacket[BLACK/M]</t>
  </si>
  <si>
    <t>S-S1706GRL</t>
  </si>
  <si>
    <t>SS1706GRL</t>
  </si>
  <si>
    <t>gbt souvenir 1 swaet shirts</t>
  </si>
  <si>
    <t>gbt souvenir 1 swaet shirts[GREY/L]</t>
  </si>
  <si>
    <t>S-S1706GRM</t>
  </si>
  <si>
    <t>SS1706GRM</t>
  </si>
  <si>
    <t>gbt souvenir 1 swaet shirts[GREY/M]</t>
  </si>
  <si>
    <t>S-S1705NVL</t>
  </si>
  <si>
    <t>SS1705NVL</t>
  </si>
  <si>
    <t>gbt souvenir 1 swaet shirts[NAVY/L]</t>
  </si>
  <si>
    <t>S-S1705NVM</t>
  </si>
  <si>
    <t>SS1705NVM</t>
  </si>
  <si>
    <t>gbt souvenir 1 swaet shirts[NAVY/M]</t>
  </si>
  <si>
    <t>S-S1702GRL</t>
  </si>
  <si>
    <t>SS1702GRL</t>
  </si>
  <si>
    <t>break time coat</t>
  </si>
  <si>
    <t>break time coat[GREEN/L]</t>
  </si>
  <si>
    <t>S-S1702GRM</t>
  </si>
  <si>
    <t>SS1702GRM</t>
  </si>
  <si>
    <t>break time coat[GREEN/M]</t>
  </si>
  <si>
    <t>S-S1701NVL</t>
  </si>
  <si>
    <t>SS1701NVL</t>
  </si>
  <si>
    <t>break time coat[NAVY/L]</t>
  </si>
  <si>
    <t>S-S1701NVM</t>
  </si>
  <si>
    <t>SS1701NVM</t>
  </si>
  <si>
    <t>break time coat[NAVY/M]</t>
  </si>
  <si>
    <t>f-w1605BLL</t>
  </si>
  <si>
    <t>fw1605BLL</t>
  </si>
  <si>
    <t>DA VINCHY shirt</t>
  </si>
  <si>
    <t>DA VINCHY shirt[BLUE/L]</t>
  </si>
  <si>
    <t>S-S1708GRL</t>
  </si>
  <si>
    <t>SS1708GRL</t>
  </si>
  <si>
    <t>warm up sweat shirts</t>
  </si>
  <si>
    <t>warm up sweat shirts[GREY/L]</t>
  </si>
  <si>
    <t>S-S1708GRM</t>
  </si>
  <si>
    <t>SS1708GRM</t>
  </si>
  <si>
    <t>warm up sweat shirts[GREY/M]</t>
  </si>
  <si>
    <t>S-S1707BKL</t>
  </si>
  <si>
    <t>SS1707BKL</t>
  </si>
  <si>
    <t>warm up sweat shirts[BLACK/L]</t>
  </si>
  <si>
    <t>S-S1707BKM</t>
  </si>
  <si>
    <t>SS1707BKM</t>
  </si>
  <si>
    <t>BK/M</t>
  </si>
  <si>
    <t>warm up sweat shirts[BK/M]</t>
  </si>
  <si>
    <t>GENERALCOTTON</t>
  </si>
  <si>
    <t>G-C7F3HP06OGL</t>
  </si>
  <si>
    <t>GC7F3HP06OGL</t>
  </si>
  <si>
    <t>HOOD ZIPUP OG_(L)</t>
  </si>
  <si>
    <t>HOOD ZIPUP OG_(L)[ORANGE/L]</t>
  </si>
  <si>
    <t>G-C7F3HP06OGM</t>
  </si>
  <si>
    <t>GC7F3HP06OGM</t>
  </si>
  <si>
    <t>HOOD ZIPUP OG_(M)</t>
  </si>
  <si>
    <t>HOOD ZIPUP OG_(M)[ORANGE/M]</t>
  </si>
  <si>
    <t>G-C7F3HP05PPL</t>
  </si>
  <si>
    <t>GC7F3HP05PPL</t>
  </si>
  <si>
    <t>HOOD ZIPUP PP_(L)</t>
  </si>
  <si>
    <t>PURPLE/L</t>
  </si>
  <si>
    <t>HOOD ZIPUP PP_(L)[PURPLE/L]</t>
  </si>
  <si>
    <t>G-C7F3HP05PPM</t>
  </si>
  <si>
    <t>GC7F3HP05PPM</t>
  </si>
  <si>
    <t>HOOD ZIPUP PP_(M)</t>
  </si>
  <si>
    <t>PURPLE/M</t>
  </si>
  <si>
    <t>HOOD ZIPUP PP_(M)[PURPLE/M]</t>
  </si>
  <si>
    <t>G-C7F3HP04BLL</t>
  </si>
  <si>
    <t>GC7F3HP04BLL</t>
  </si>
  <si>
    <t>HOOD ZIPUP BL_(L)</t>
  </si>
  <si>
    <t>HOOD ZIPUP BL_(L)[BLUE/L]</t>
  </si>
  <si>
    <t>G-C7F3HP04BLM</t>
  </si>
  <si>
    <t>GC7F3HP04BLM</t>
  </si>
  <si>
    <t>HOOD ZIPUP BL_(M)</t>
  </si>
  <si>
    <t>HOOD ZIPUP BL_(M)[BLUE/M]</t>
  </si>
  <si>
    <t>G-C7F3HP03GYL</t>
  </si>
  <si>
    <t>GC7F3HP03GYL</t>
  </si>
  <si>
    <t>HOOD ZIPUP GY_(L)</t>
  </si>
  <si>
    <t>HOOD ZIPUP GY_(L)[GRAY/L]</t>
  </si>
  <si>
    <t>G-C7F3HP03GYM</t>
  </si>
  <si>
    <t>GC7F3HP03GYM</t>
  </si>
  <si>
    <t>HOOD ZIPUP GY_(M)</t>
  </si>
  <si>
    <t>HOOD ZIPUP GY_(M)[GRAY/M]</t>
  </si>
  <si>
    <t>G-C7F3HP02WHL</t>
  </si>
  <si>
    <t>GC7F3HP02WHL</t>
  </si>
  <si>
    <t>HOOD ZIPUP WH_(L)</t>
  </si>
  <si>
    <t>white/L</t>
  </si>
  <si>
    <t>HOOD ZIPUP WH_(L)[white/L]</t>
  </si>
  <si>
    <t>G-C7F3HP02WHM</t>
  </si>
  <si>
    <t>GC7F3HP02WHM</t>
  </si>
  <si>
    <t>HOOD ZIPUP WH_(M)</t>
  </si>
  <si>
    <t>white/M</t>
  </si>
  <si>
    <t>HOOD ZIPUP WH_(M)[white/M]</t>
  </si>
  <si>
    <t>G-C7F3HP01BKL</t>
  </si>
  <si>
    <t>GC7F3HP01BKL</t>
  </si>
  <si>
    <t>HOOD ZIPUP BK_(L)</t>
  </si>
  <si>
    <t>HOOD ZIPUP BK_(L)[BLACK/L]</t>
  </si>
  <si>
    <t>G-C7F3HP01BKM</t>
  </si>
  <si>
    <t>GC7F3HP01BKM</t>
  </si>
  <si>
    <t>HOOD ZIPUP BK_(M)</t>
  </si>
  <si>
    <t>HOOD ZIPUP BK_(M)[BLACK/M]</t>
  </si>
  <si>
    <t>G-C7F3PT33NVXL</t>
  </si>
  <si>
    <t>GC7F3PT33NVXL</t>
  </si>
  <si>
    <t>와이드팬츠 NAVY_(XL)</t>
  </si>
  <si>
    <t>와이드팬츠 NAVY_(XL)[NAVY/XL]</t>
  </si>
  <si>
    <t>G-C7F3PT33NVL</t>
  </si>
  <si>
    <t>GC7F3PT33NVL</t>
  </si>
  <si>
    <t>와이드팬츠 NAVY_(L)</t>
  </si>
  <si>
    <t>와이드팬츠 NAVY_(L)[NAVY/L]</t>
  </si>
  <si>
    <t>G-C7F3PT33NVM</t>
  </si>
  <si>
    <t>GC7F3PT33NVM</t>
  </si>
  <si>
    <t>와이드팬츠 NAVY_(M)</t>
  </si>
  <si>
    <t>와이드팬츠 NAVY_(M)[NAVY/M]</t>
  </si>
  <si>
    <t>G-C7F3PT32BKXL</t>
  </si>
  <si>
    <t>GC7F3PT32BKXL</t>
  </si>
  <si>
    <t>와이드팬츠 BLACK_(XL)</t>
  </si>
  <si>
    <t>BLACK/XL</t>
  </si>
  <si>
    <t>와이드팬츠 BLACK_(XL)[BLACK/XL]</t>
  </si>
  <si>
    <t>G-C7F3PT32BKL</t>
  </si>
  <si>
    <t>GC7F3PT32BKL</t>
  </si>
  <si>
    <t>와이드팬츠 BLACK_(L)</t>
  </si>
  <si>
    <t>와이드팬츠 BLACK_(L)[BLACK/L]</t>
  </si>
  <si>
    <t>G-C7F3PT32BKM</t>
  </si>
  <si>
    <t>GC7F3PT32BKM</t>
  </si>
  <si>
    <t>와이드팬츠 BLACK_(M)</t>
  </si>
  <si>
    <t>와이드팬츠 BLACK_(M)[BLACK/M]</t>
  </si>
  <si>
    <t>G-C7F3PT33KHXL</t>
  </si>
  <si>
    <t>GC7F3PT33KHXL</t>
  </si>
  <si>
    <t>와이드팬츠 KHAKI_(XL)</t>
  </si>
  <si>
    <t>KHAKI/XL</t>
  </si>
  <si>
    <t>와이드팬츠 KHAKI_(XL)[KHAKI/XL]</t>
  </si>
  <si>
    <t>G-C7F3PT33KHL</t>
  </si>
  <si>
    <t>GC7F3PT33KHL</t>
  </si>
  <si>
    <t>와이드팬츠 KHAKI_(L)</t>
  </si>
  <si>
    <t>와이드팬츠 KHAKI_(L)[KHAKI/L]</t>
  </si>
  <si>
    <t>G-C7F3PT33KHM</t>
  </si>
  <si>
    <t>GC7F3PT33KHM</t>
  </si>
  <si>
    <t>와이드팬츠 KHAKI_(M)</t>
  </si>
  <si>
    <t>와이드팬츠 KHAKI_(M)[KHAKI/M]</t>
  </si>
  <si>
    <t>G-C7F3PT32BGXL</t>
  </si>
  <si>
    <t>GC7F3PT32BGXL</t>
  </si>
  <si>
    <t>와이드팬츠 BEIGE_(XL)</t>
  </si>
  <si>
    <t>Beige/XL</t>
  </si>
  <si>
    <t>와이드팬츠 BEIGE_(XL)[Beige/XL]</t>
  </si>
  <si>
    <t>G-C7F3PT32BGL</t>
  </si>
  <si>
    <t>GC7F3PT32BGL</t>
  </si>
  <si>
    <t>와이드팬츠 BEIGE_(L)</t>
  </si>
  <si>
    <t>Beige/L</t>
  </si>
  <si>
    <t>와이드팬츠 BEIGE_(L)[Beige/L]</t>
  </si>
  <si>
    <t>G-C7F3PT32BGM</t>
  </si>
  <si>
    <t>GC7F3PT32BGM</t>
  </si>
  <si>
    <t>와이드팬츠 BEIGE_(M)</t>
  </si>
  <si>
    <t>Beige/M</t>
  </si>
  <si>
    <t>와이드팬츠 BEIGE_(M)[Beige/M]</t>
  </si>
  <si>
    <t>G-C7F3NB28RDL</t>
  </si>
  <si>
    <t>GC7F3NB28RDL</t>
  </si>
  <si>
    <t>check Shirt RD_(L)</t>
  </si>
  <si>
    <t>red/L</t>
  </si>
  <si>
    <t>check Shirt RD_(L)[red/L]</t>
  </si>
  <si>
    <t>G-C7F3NB28RDM</t>
  </si>
  <si>
    <t>GC7F3NB28RDM</t>
  </si>
  <si>
    <t>check Shirt RD_(M)</t>
  </si>
  <si>
    <t>red/M</t>
  </si>
  <si>
    <t>check Shirt RD_(M)[red/M]</t>
  </si>
  <si>
    <t>G-C7F3NB27GYL</t>
  </si>
  <si>
    <t>GC7F3NB27GYL</t>
  </si>
  <si>
    <t>check Shirt Gray_(L)</t>
  </si>
  <si>
    <t>Navy/L</t>
  </si>
  <si>
    <t>check Shirt Gray_(L)[Navy/L]</t>
  </si>
  <si>
    <t>G-C7F3NB27GYM</t>
  </si>
  <si>
    <t>GC7F3NB27GYM</t>
  </si>
  <si>
    <t>check Shirt Gray_(M)</t>
  </si>
  <si>
    <t>Navy/M</t>
  </si>
  <si>
    <t>check Shirt Gray_(M)[Navy/M]</t>
  </si>
  <si>
    <t>G-C7F3NB26GNL</t>
  </si>
  <si>
    <t>GC7F3NB26GNL</t>
  </si>
  <si>
    <t>check Shirt GR_(L)</t>
  </si>
  <si>
    <t>check Shirt GR_(L)[GREEN/L]</t>
  </si>
  <si>
    <t>G-C7F3NB26GNM</t>
  </si>
  <si>
    <t>GC7F3NB26GNM</t>
  </si>
  <si>
    <t>check Shirt GR_(M)</t>
  </si>
  <si>
    <t>check Shirt GR_(M)[GREEN/M]</t>
  </si>
  <si>
    <t>G-C7F3NB25NYL</t>
  </si>
  <si>
    <t>GC7F3NB25NYL</t>
  </si>
  <si>
    <t>check Shirt NV_(L)</t>
  </si>
  <si>
    <t>check Shirt NV_(L)[Navy/L]</t>
  </si>
  <si>
    <t>G-C7F3NB25NYM</t>
  </si>
  <si>
    <t>GC7F3NB25NYM</t>
  </si>
  <si>
    <t>check Shirt NV_(M)</t>
  </si>
  <si>
    <t>check Shirt NV_(M)[Navy/M]</t>
  </si>
  <si>
    <t>G-C7F3MM24GYL</t>
  </si>
  <si>
    <t>GC7F3MM24GYL</t>
  </si>
  <si>
    <t>Shirt MTM Gray_(L)</t>
  </si>
  <si>
    <t>Gray/L</t>
  </si>
  <si>
    <t>Shirt MTM Gray_(L)[Gray/L]</t>
  </si>
  <si>
    <t>G-C7F3MM24GYM</t>
  </si>
  <si>
    <t>GC7F3MM24GYM</t>
  </si>
  <si>
    <t>Shirt MTM Gray_(M)</t>
  </si>
  <si>
    <t>Gray/M</t>
  </si>
  <si>
    <t>Shirt MTM Gray_(M)[Gray/M]</t>
  </si>
  <si>
    <t>G-C7F3MM23KHL</t>
  </si>
  <si>
    <t>GC7F3MM23KHL</t>
  </si>
  <si>
    <t>Shirt MTM kk_(L)</t>
  </si>
  <si>
    <t>Shirt MTM kk_(L)[KHAKI/L]</t>
  </si>
  <si>
    <t>G-C7F3MM23KHM</t>
  </si>
  <si>
    <t>GC7F3MM23KHM</t>
  </si>
  <si>
    <t>Shirt MTM kk_(M)</t>
  </si>
  <si>
    <t>Shirt MTM kk_(M)[KHAKI/M]</t>
  </si>
  <si>
    <t>G-C7F3SC47WHF</t>
  </si>
  <si>
    <t>GC7F3SC47WHF</t>
  </si>
  <si>
    <t>WAVE SOCKS _ RD</t>
  </si>
  <si>
    <t>WAVE SOCKS _ RD[RED/FREE]</t>
  </si>
  <si>
    <t>G-C7F3SC46WHF</t>
  </si>
  <si>
    <t>GC7F3SC46WHF</t>
  </si>
  <si>
    <t>WAVE SOCKS _ BL</t>
  </si>
  <si>
    <t>WAVE SOCKS _ BL[BLUE/FREE]</t>
  </si>
  <si>
    <t>G-C7F3SC45WHF</t>
  </si>
  <si>
    <t>GC7F3SC45WHF</t>
  </si>
  <si>
    <t>WAVE SOCKS _ BK</t>
  </si>
  <si>
    <t>WAVE SOCKS _ BK[BLACK/FREE]</t>
  </si>
  <si>
    <t>G-C7F3MC42RDF</t>
  </si>
  <si>
    <t>GC7F3MC42RDF</t>
  </si>
  <si>
    <t>LIGHT SLEEVES LAYERED_RD</t>
  </si>
  <si>
    <t>LIGHT SLEEVES LAYERED_RD[RED/FREE]</t>
  </si>
  <si>
    <t>G-C7F3MC41BLF</t>
  </si>
  <si>
    <t>GC7F3MC41BLF</t>
  </si>
  <si>
    <t>LIGHT SLEEVES LAYERED_BL</t>
  </si>
  <si>
    <t>LIGHT SLEEVES LAYERED_BL[BLUE/FREE]</t>
  </si>
  <si>
    <t>G-C7F3MC40BKF</t>
  </si>
  <si>
    <t>GC7F3MC40BKF</t>
  </si>
  <si>
    <t>LIGHT SLEEVES LAYERED_BK</t>
  </si>
  <si>
    <t>BK/FREE</t>
  </si>
  <si>
    <t>LIGHT SLEEVES LAYERED_BK[BK/FREE]</t>
  </si>
  <si>
    <t>G-C7F3CP35BKF</t>
  </si>
  <si>
    <t>GC7F3CP35BKF</t>
  </si>
  <si>
    <t>WAVE BALLCAP B(FRE)</t>
  </si>
  <si>
    <t>WAVE BALLCAP B(FRE)[BLACK/FREE]</t>
  </si>
  <si>
    <t>G-C7F3CP34WHF</t>
  </si>
  <si>
    <t>GC7F3CP34WHF</t>
  </si>
  <si>
    <t>WAVE BALLCAP W(FRE)</t>
  </si>
  <si>
    <t>WAVE BALLCAP W(FRE)[white/FREE]</t>
  </si>
  <si>
    <t>G-C7F3PT31DBL</t>
  </si>
  <si>
    <t>GC7F3PT31DBL</t>
  </si>
  <si>
    <t>Track Pants _ DB(L)</t>
  </si>
  <si>
    <t>Track Pants _ DB(L)[BLACK/L]</t>
  </si>
  <si>
    <t>G-C7F3PT31DBM</t>
  </si>
  <si>
    <t>GC7F3PT31DBM</t>
  </si>
  <si>
    <t>Track Pants _ DB(M)</t>
  </si>
  <si>
    <t>Track Pants _ DB(M)[BLACK/M]</t>
  </si>
  <si>
    <t>G-C7F3PT30GYL</t>
  </si>
  <si>
    <t>GC7F3PT30GYL</t>
  </si>
  <si>
    <t>Track Pants _ Gray(L)</t>
  </si>
  <si>
    <t>Track Pants _ Gray(L)[gray/L]</t>
  </si>
  <si>
    <t>G-C7F3PT30GYM</t>
  </si>
  <si>
    <t>GC7F3PT30GYM</t>
  </si>
  <si>
    <t>Track Pants _ Gray(M)</t>
  </si>
  <si>
    <t>Track Pants _ Gray(M)[gray/M]</t>
  </si>
  <si>
    <t>G-C7F3PT29BKL</t>
  </si>
  <si>
    <t>GC7F3PT29BKL</t>
  </si>
  <si>
    <t>Track Pants _ B(L)</t>
  </si>
  <si>
    <t>Track Pants _ B(L)[BLACK/L]</t>
  </si>
  <si>
    <t>G-C7F3PT29BKM</t>
  </si>
  <si>
    <t>GC7F3PT29BKM</t>
  </si>
  <si>
    <t>Track Pants _ B(M)</t>
  </si>
  <si>
    <t>Track Pants _ B(M)[BLACK/M]</t>
  </si>
  <si>
    <t>G-C7F3MM22WHL</t>
  </si>
  <si>
    <t>GC7F3MM22WHL</t>
  </si>
  <si>
    <t>Shirt MTM W_(L)</t>
  </si>
  <si>
    <t>Shirt MTM W_(L)[white/L]</t>
  </si>
  <si>
    <t>G-C7F3MM22WHM</t>
  </si>
  <si>
    <t>GC7F3MM22WHM</t>
  </si>
  <si>
    <t>Shirt MTM W_(M)</t>
  </si>
  <si>
    <t>Shirt MTM W_(M)[white/M]</t>
  </si>
  <si>
    <t>G-C7F3MM21BKL</t>
  </si>
  <si>
    <t>GC7F3MM21BKL</t>
  </si>
  <si>
    <t>Shirt MTM B_(L)</t>
  </si>
  <si>
    <t>Shirt MTM B_(L)[BLACK/L]</t>
  </si>
  <si>
    <t>G-C7F3MM21BKM</t>
  </si>
  <si>
    <t>GC7F3MM21BKM</t>
  </si>
  <si>
    <t>Shirt MTM B_(M)</t>
  </si>
  <si>
    <t>Shirt MTM B_(M)[BLACK/M]</t>
  </si>
  <si>
    <t>G-C7F3MM20PPL</t>
  </si>
  <si>
    <t>GC7F3MM20PPL</t>
  </si>
  <si>
    <t>OVER Sleeve 7부_PP(L)</t>
  </si>
  <si>
    <t>OVER Sleeve 7부_PP(L)[PURPLE/L]</t>
  </si>
  <si>
    <t>G-C7F3MM20PPM</t>
  </si>
  <si>
    <t>GC7F3MM20PPM</t>
  </si>
  <si>
    <t>OVER Sleeve 7부_PP(M)</t>
  </si>
  <si>
    <t>OVER Sleeve 7부_PP(M)[PURPLE/M]</t>
  </si>
  <si>
    <t>G-C7F3MM19WHL</t>
  </si>
  <si>
    <t>GC7F3MM19WHL</t>
  </si>
  <si>
    <t>OVER Sleeve 7부_W(L)</t>
  </si>
  <si>
    <t>OVER Sleeve 7부_W(L)[white/L]</t>
  </si>
  <si>
    <t>G-C7F3MM19WHM</t>
  </si>
  <si>
    <t>GC7F3MM19WHM</t>
  </si>
  <si>
    <t>OVER Sleeve 7부_W(M)</t>
  </si>
  <si>
    <t>OVER Sleeve 7부_W(M)[white/M]</t>
  </si>
  <si>
    <t>G-C7F3MM18BKL</t>
  </si>
  <si>
    <t>GC7F3MM18BKL</t>
  </si>
  <si>
    <t>OVER Sleeve 7부_B(L)</t>
  </si>
  <si>
    <t>OVER Sleeve 7부_B(L)[BLACK/L]</t>
  </si>
  <si>
    <t>G-C7F3MM18BKM</t>
  </si>
  <si>
    <t>GC7F3MM18BKM</t>
  </si>
  <si>
    <t>OVER Sleeve 7부_B(M)</t>
  </si>
  <si>
    <t>OVER Sleeve 7부_B(M)[BLACK/M]</t>
  </si>
  <si>
    <t>G-C7F3MM17ORL</t>
  </si>
  <si>
    <t>GC7F3MM17ORL</t>
  </si>
  <si>
    <t>OVER MTM _OG(L)</t>
  </si>
  <si>
    <t>OVER MTM _OG(L)[ORANGE/L]</t>
  </si>
  <si>
    <t>G-C7F3MM17ORM</t>
  </si>
  <si>
    <t>GC7F3MM17ORM</t>
  </si>
  <si>
    <t>OVER MTM _OG(M)</t>
  </si>
  <si>
    <t>OVER MTM _OG(M)[ORANGE/M]</t>
  </si>
  <si>
    <t>G-C7F3MM16WHL</t>
  </si>
  <si>
    <t>GC7F3MM16WHL</t>
  </si>
  <si>
    <t>OVER MTM _W(L)</t>
  </si>
  <si>
    <t>OVER MTM _W(L)[white/L]</t>
  </si>
  <si>
    <t>G-C7F3MM16WHM</t>
  </si>
  <si>
    <t>GC7F3MM16WHM</t>
  </si>
  <si>
    <t>OVER MTM _W(M)</t>
  </si>
  <si>
    <t>OVER MTM _W(M)[white/M]</t>
  </si>
  <si>
    <t>G-C7F3MM15BKL</t>
  </si>
  <si>
    <t>GC7F3MM15BKL</t>
  </si>
  <si>
    <t>OVER MTM _B(L)</t>
  </si>
  <si>
    <t>OVER MTM _B(L)[BLACK/L]</t>
  </si>
  <si>
    <t>G-C7F3MM15BKM</t>
  </si>
  <si>
    <t>GC7F3MM15BKM</t>
  </si>
  <si>
    <t>OVER MTM _B(M)</t>
  </si>
  <si>
    <t>OVER MTM _B(M)[BLACK/M]</t>
  </si>
  <si>
    <t>G-C7F3HD14GYL</t>
  </si>
  <si>
    <t>GC7F3HD14GYL</t>
  </si>
  <si>
    <t>Loop HD_Gray(L)</t>
  </si>
  <si>
    <t>Loop HD_Gray(L)[GRAY/L]</t>
  </si>
  <si>
    <t>G-C7F3HD14GYM</t>
  </si>
  <si>
    <t>GC7F3HD14GYM</t>
  </si>
  <si>
    <t>Loop HD_Gray(M)</t>
  </si>
  <si>
    <t>Loop HD_Gray(M)[GRAY/M]</t>
  </si>
  <si>
    <t>G-C7F3HD13BKL</t>
  </si>
  <si>
    <t>GC7F3HD13BKL</t>
  </si>
  <si>
    <t>Loop HD_B(L)</t>
  </si>
  <si>
    <t>Loop HD_B(L)[BLACK/L]</t>
  </si>
  <si>
    <t>G-C7F3HD13BKM</t>
  </si>
  <si>
    <t>GC7F3HD13BKM</t>
  </si>
  <si>
    <t>Loop HD_B(M)</t>
  </si>
  <si>
    <t>Loop HD_B(M)[BLACK/M]</t>
  </si>
  <si>
    <t>G-C7F3MM12GYL</t>
  </si>
  <si>
    <t>GC7F3MM12GYL</t>
  </si>
  <si>
    <t>Loop MTM_Gray(L)</t>
  </si>
  <si>
    <t>Loop MTM_Gray(L)[GRAY/L]</t>
  </si>
  <si>
    <t>G-C7F3MM12GYM</t>
  </si>
  <si>
    <t>GC7F3MM12GYM</t>
  </si>
  <si>
    <t>Loop MTM_Gray(M)</t>
  </si>
  <si>
    <t>Loop MTM_Gray(M)[GRAY/M]</t>
  </si>
  <si>
    <t>G-C7F3MM11BKL</t>
  </si>
  <si>
    <t>GC7F3MM11BKL</t>
  </si>
  <si>
    <t>Loop MTM_B(L)</t>
  </si>
  <si>
    <t>Loop MTM_B(L)[BLACK/L]</t>
  </si>
  <si>
    <t>G-C7F3MM11BKM</t>
  </si>
  <si>
    <t>GC7F3MM11BKM</t>
  </si>
  <si>
    <t>Loop MTM_B(M)</t>
  </si>
  <si>
    <t>Loop MTM_B(M)[BLACK/M]</t>
  </si>
  <si>
    <t>G-C7F3MM10WHL</t>
  </si>
  <si>
    <t>GC7F3MM10WHL</t>
  </si>
  <si>
    <t>WAVE mtm_W(L)</t>
  </si>
  <si>
    <t>WAVE mtm_W(L)[white/L]</t>
  </si>
  <si>
    <t>G-C7F3MM10WHM</t>
  </si>
  <si>
    <t>GC7F3MM10WHM</t>
  </si>
  <si>
    <t>WAVE mtm_W(M)</t>
  </si>
  <si>
    <t>WAVE mtm_W(M)[white/M]</t>
  </si>
  <si>
    <t>G-C7F3MM09DBL</t>
  </si>
  <si>
    <t>GC7F3MM09DBL</t>
  </si>
  <si>
    <t>WAVE mtm_DB(L)</t>
  </si>
  <si>
    <t>DARKBLACK/L</t>
  </si>
  <si>
    <t>WAVE mtm_DB(L)[DARKBLACK/L]</t>
  </si>
  <si>
    <t>G-C7F3MM09DBM</t>
  </si>
  <si>
    <t>GC7F3MM09DBM</t>
  </si>
  <si>
    <t>WAVE mtm_DB(M)</t>
  </si>
  <si>
    <t>DARKBLACK/M</t>
  </si>
  <si>
    <t>WAVE mtm_DB(M)[DARKBLACK/M]</t>
  </si>
  <si>
    <t>G-C7F3HD08RDL</t>
  </si>
  <si>
    <t>GC7F3HD08RDL</t>
  </si>
  <si>
    <t>OGHD_RD(L)</t>
  </si>
  <si>
    <t>OGHD_RD(L)[RED/L]</t>
  </si>
  <si>
    <t>G-C7F3HD08RDM</t>
  </si>
  <si>
    <t>GC7F3HD08RDM</t>
  </si>
  <si>
    <t>OGHD_RD(M)</t>
  </si>
  <si>
    <t>OGHD_RD(M)[RED/M]</t>
  </si>
  <si>
    <t>G-C7F3HD07BLL</t>
  </si>
  <si>
    <t>GC7F3HD07BLL</t>
  </si>
  <si>
    <t>OGHD_BL(L)</t>
  </si>
  <si>
    <t>OGHD_BL(L)[BLUE/L]</t>
  </si>
  <si>
    <t>G-C7F3HD07BLM</t>
  </si>
  <si>
    <t>GC7F3HD07BLM</t>
  </si>
  <si>
    <t>OGHD_BL(M)</t>
  </si>
  <si>
    <t>OGHD_BL(M)[BLUE/M]</t>
  </si>
  <si>
    <t>G-C7F3HD06GNL</t>
  </si>
  <si>
    <t>GC7F3HD06GNL</t>
  </si>
  <si>
    <t>OGHD_GR(L)</t>
  </si>
  <si>
    <t>OGHD_GR(L)[GREEN/L]</t>
  </si>
  <si>
    <t>G-C7F3HD06GNM</t>
  </si>
  <si>
    <t>GC7F3HD06GNM</t>
  </si>
  <si>
    <t>OGHD_GR(M)</t>
  </si>
  <si>
    <t>OGHD_GR(M)[GREEN/M]</t>
  </si>
  <si>
    <t>G-C7F3HD05DBL</t>
  </si>
  <si>
    <t>GC7F3HD05DBL</t>
  </si>
  <si>
    <t>OGHD_DB(L)</t>
  </si>
  <si>
    <t>OGHD_DB(L)[DARKBLACK/L]</t>
  </si>
  <si>
    <t>G-C7F3HD05DBM</t>
  </si>
  <si>
    <t>GC7F3HD05DBM</t>
  </si>
  <si>
    <t>OGHD_DB(M)</t>
  </si>
  <si>
    <t>OGHD_DB(M)[DARKBLACK/M]</t>
  </si>
  <si>
    <t>G-C7F3MM04MUL</t>
  </si>
  <si>
    <t>GC7F3MM04MUL</t>
  </si>
  <si>
    <t>OGM_MU(L)</t>
  </si>
  <si>
    <t>MUSTARD/L</t>
  </si>
  <si>
    <t>OGM_MU(L)[MUSTARD/L]</t>
  </si>
  <si>
    <t>G-C7F3MM04MUM</t>
  </si>
  <si>
    <t>GC7F3MM04MUM</t>
  </si>
  <si>
    <t>OGM_MU(M)</t>
  </si>
  <si>
    <t>MUSTARD/M</t>
  </si>
  <si>
    <t>OGM_MU(M)[MUSTARD/M]</t>
  </si>
  <si>
    <t>G-C7F3MM03NYL</t>
  </si>
  <si>
    <t>GC7F3MM03NYL</t>
  </si>
  <si>
    <t>OGM_NY(L)</t>
  </si>
  <si>
    <t>OGM_NY(L)[Navy/L]</t>
  </si>
  <si>
    <t>G-C7F3MM03NYM</t>
  </si>
  <si>
    <t>GC7F3MM03NYM</t>
  </si>
  <si>
    <t>OGM_NY(M)</t>
  </si>
  <si>
    <t>OGM_NY(M)[Navy/M]</t>
  </si>
  <si>
    <t>G-C7F3MM02DBL</t>
  </si>
  <si>
    <t>GC7F3MM02DBL</t>
  </si>
  <si>
    <t>OGM_DB(L)</t>
  </si>
  <si>
    <t>OGM_DB(L)[DARKBLACK/L]</t>
  </si>
  <si>
    <t>G-C7F3MM02DBM</t>
  </si>
  <si>
    <t>GC7F3MM02DBM</t>
  </si>
  <si>
    <t>OGM_DB(M)</t>
  </si>
  <si>
    <t>OGM_DB(M)[DARKBLACK/M]</t>
  </si>
  <si>
    <t>G-C7F3MM01IVL</t>
  </si>
  <si>
    <t>OGM_iv(L)</t>
  </si>
  <si>
    <t>GC7F3MM01IVL</t>
  </si>
  <si>
    <t>ivory/L</t>
  </si>
  <si>
    <t>OGM_iv(L)[ivory/L]</t>
  </si>
  <si>
    <t>G-C7F3MM01IVM</t>
  </si>
  <si>
    <t>GC7F3MM01IVM</t>
  </si>
  <si>
    <t>OGM_iv(M)</t>
  </si>
  <si>
    <t>OGM_iv(M)[ivory/M]</t>
  </si>
  <si>
    <t>1-6FW16</t>
  </si>
  <si>
    <t>16FW16</t>
  </si>
  <si>
    <t>16-[wool Knit] NOON Blue</t>
  </si>
  <si>
    <t>16-[wool Knit] NOON Blue[BLUE/FREE]</t>
  </si>
  <si>
    <t>1-6FW12</t>
  </si>
  <si>
    <t>16FW12</t>
  </si>
  <si>
    <t>12-Original Gray Hoodie</t>
  </si>
  <si>
    <t>Gray</t>
  </si>
  <si>
    <t>12-Original Gray Hoodie[Gray]</t>
  </si>
  <si>
    <t>1-6FW09</t>
  </si>
  <si>
    <t>16FW09</t>
  </si>
  <si>
    <t>9-Original Beige</t>
  </si>
  <si>
    <t>Beige</t>
  </si>
  <si>
    <t>9-Original Beige[Beige]</t>
  </si>
  <si>
    <t>1-6FW19</t>
  </si>
  <si>
    <t>16FW19</t>
  </si>
  <si>
    <t>19-[wool Knit] NOON mustard pola</t>
  </si>
  <si>
    <t>19-[wool Knit] NOON mustard pola[MUSTARD/FREE]</t>
  </si>
  <si>
    <t>1-7SS0416</t>
  </si>
  <si>
    <t>17SS0416</t>
  </si>
  <si>
    <t>16. Amen (black)</t>
  </si>
  <si>
    <t>16. Amen (black)[black/M]</t>
  </si>
  <si>
    <t>1-6FW14</t>
  </si>
  <si>
    <t>16FW14</t>
  </si>
  <si>
    <t>14- NOON Red Hoodie</t>
  </si>
  <si>
    <t>14- NOON Red Hoodie[RED/FREE]</t>
  </si>
  <si>
    <t>1-6FW08</t>
  </si>
  <si>
    <t>16FW08</t>
  </si>
  <si>
    <t>8- Original Navy</t>
  </si>
  <si>
    <t>8- Original Navy[NAVY/FREE]</t>
  </si>
  <si>
    <t>1-6FW01</t>
  </si>
  <si>
    <t>16FW01</t>
  </si>
  <si>
    <t>1-NOON Blue T</t>
  </si>
  <si>
    <t>1-NOON Blue T[BLUE/FREE]</t>
  </si>
  <si>
    <t>1-7SS0410</t>
  </si>
  <si>
    <t>17SS0410</t>
  </si>
  <si>
    <t>THE BIBLE (GRAY)</t>
  </si>
  <si>
    <t>THE BIBLE (GRAY)[gray/M]</t>
  </si>
  <si>
    <t>1-7SS0409</t>
  </si>
  <si>
    <t>17SS0409</t>
  </si>
  <si>
    <t>THE BIBLE (WHITE)</t>
  </si>
  <si>
    <t>THE BIBLE (WHITE)[white/M]</t>
  </si>
  <si>
    <t>1-7SS0418</t>
  </si>
  <si>
    <t>17SS0418</t>
  </si>
  <si>
    <t>SCAR (Gray)</t>
  </si>
  <si>
    <t>SCAR (Gray)[Gray/M]</t>
  </si>
  <si>
    <t>1-7SS0407</t>
  </si>
  <si>
    <t>17SS0407</t>
  </si>
  <si>
    <t>Tears (white) 공용</t>
  </si>
  <si>
    <t>Tears (white) 공용[white/L]</t>
  </si>
  <si>
    <t>1-7SS0408</t>
  </si>
  <si>
    <t>Tears (NAVY)</t>
  </si>
  <si>
    <t>17SS0408</t>
  </si>
  <si>
    <t>Tears (NAVY)[navy/L]</t>
  </si>
  <si>
    <t>1-7SS0405</t>
  </si>
  <si>
    <t>ROMANS CROSS (WHITE)</t>
  </si>
  <si>
    <t>17SS0405</t>
  </si>
  <si>
    <t>white/black/L</t>
  </si>
  <si>
    <t>ROMANS CROSS (WHITE)[white/black/L]</t>
  </si>
  <si>
    <t>1-7SS0401</t>
  </si>
  <si>
    <t>STITCH (WHITE/BLACK)</t>
  </si>
  <si>
    <t>17SS0401</t>
  </si>
  <si>
    <t>STITCH (WHITE/BLACK)[white/black/L]</t>
  </si>
  <si>
    <t>1-7SS0406</t>
  </si>
  <si>
    <t>17SS0406</t>
  </si>
  <si>
    <t>ROMANS T CROSS (BLACK)</t>
  </si>
  <si>
    <t>ROMANS T CROSS (BLACK)[BLACK/L]</t>
  </si>
  <si>
    <t>GEMMAALUS</t>
  </si>
  <si>
    <t>G-E17SSER01CRFR</t>
  </si>
  <si>
    <t>GE17SSER01CRFR</t>
  </si>
  <si>
    <t>TL901CR</t>
  </si>
  <si>
    <t>CRYSTAL/FREE</t>
  </si>
  <si>
    <t>TL901CR[CRYSTAL/FREE]</t>
  </si>
  <si>
    <t>G-E17SSNC05CRFR</t>
  </si>
  <si>
    <t>GE17SSNC05CRFR</t>
  </si>
  <si>
    <t>WN705CR</t>
  </si>
  <si>
    <t>CR</t>
  </si>
  <si>
    <t>WN705CR[CR]</t>
  </si>
  <si>
    <t>G-E18SSBC01JQFR</t>
  </si>
  <si>
    <t>GE18SSBC01JQFR</t>
  </si>
  <si>
    <t>NR100JQ</t>
  </si>
  <si>
    <t>JONQUIL/FREE</t>
  </si>
  <si>
    <t>NR100JQ[JONQUIL/FREE]</t>
  </si>
  <si>
    <t>G-E18SSRN01YEFR</t>
  </si>
  <si>
    <t>GE18SSRN01YEFR</t>
  </si>
  <si>
    <t>NR200YE</t>
  </si>
  <si>
    <t>NR200YE[YELLOW/FREE]</t>
  </si>
  <si>
    <t>G-E18SSBR03GDFR</t>
  </si>
  <si>
    <t>GE18SSBR03GDFR</t>
  </si>
  <si>
    <t>NR501GD</t>
  </si>
  <si>
    <t>NR501GD[GOLD/FREE]</t>
  </si>
  <si>
    <t>G-E18SSBR02RDFR</t>
  </si>
  <si>
    <t>GE18SSBR02RDFR</t>
  </si>
  <si>
    <t>NR500RD</t>
  </si>
  <si>
    <t>NR500RD[RED/FREE]</t>
  </si>
  <si>
    <t>G-E18SSBR01GRFR</t>
  </si>
  <si>
    <t>GE18SSBR01GRFR</t>
  </si>
  <si>
    <t>NR500GR</t>
  </si>
  <si>
    <t>NR500GR[GREEN/FREE]</t>
  </si>
  <si>
    <t>G-E18SSHP03GDFR</t>
  </si>
  <si>
    <t>GE18SSHP03GDFR</t>
  </si>
  <si>
    <t>NR805GD</t>
  </si>
  <si>
    <t>GD/FREE</t>
  </si>
  <si>
    <t>NR805GD[GD/FREE]</t>
  </si>
  <si>
    <t>G-E18SSHP02CRFR</t>
  </si>
  <si>
    <t>GE18SSHP02CRFR</t>
  </si>
  <si>
    <t>NR804CR</t>
  </si>
  <si>
    <t>NR804CR[CRYSTAL/FREE]</t>
  </si>
  <si>
    <t>G-E18SSHP01WHFR</t>
  </si>
  <si>
    <t>GE18SSHP01WHFR</t>
  </si>
  <si>
    <t>NR803WH</t>
  </si>
  <si>
    <t>NR803WH[WHITE/FREE]</t>
  </si>
  <si>
    <t>G-E18SSHB03GD</t>
  </si>
  <si>
    <t>GE18SSHB03GD</t>
  </si>
  <si>
    <t>NR802GD</t>
  </si>
  <si>
    <t>NR802GD[GOLD/FREE]</t>
  </si>
  <si>
    <t>G-E18SSHB02GDFR</t>
  </si>
  <si>
    <t>GE18SSHB02GDFR</t>
  </si>
  <si>
    <t>NR801GD</t>
  </si>
  <si>
    <t>NR801GD[GOLD/FREE]</t>
  </si>
  <si>
    <t>G-E18SSHB01GDFR</t>
  </si>
  <si>
    <t>GE18SSHB01GDFR</t>
  </si>
  <si>
    <t>NR800GD</t>
  </si>
  <si>
    <t>NR800GD[GOLD/FREE]</t>
  </si>
  <si>
    <t>G-E18SSNC01WHFR</t>
  </si>
  <si>
    <t>GE18SSNC01WHFR</t>
  </si>
  <si>
    <t>NR700WH</t>
  </si>
  <si>
    <t>NR700WH[WHITE/FREE]</t>
  </si>
  <si>
    <t>G-E18SSER22YEFR</t>
  </si>
  <si>
    <t>GE18SSER22YEFR</t>
  </si>
  <si>
    <t>SO900YE</t>
  </si>
  <si>
    <t>SO900YE[YELLOW/FREE]</t>
  </si>
  <si>
    <t>G-E18SSER21RDFR</t>
  </si>
  <si>
    <t>GE18SSER21RDFR</t>
  </si>
  <si>
    <t>NR930RD</t>
  </si>
  <si>
    <t>NR930RD[RED/FREE]</t>
  </si>
  <si>
    <t>G-E18SSER20CRFR</t>
  </si>
  <si>
    <t>GE18SSER20CRFR</t>
  </si>
  <si>
    <t>NR929CR</t>
  </si>
  <si>
    <t>NR929CR[CRYSTAL/FREE]</t>
  </si>
  <si>
    <t>G-E18SSER20BUFR</t>
  </si>
  <si>
    <t>GE18SSER20BUFR</t>
  </si>
  <si>
    <t>NR929BU</t>
  </si>
  <si>
    <t>NR929BU[BLUE/FREE]</t>
  </si>
  <si>
    <t>G-E18SSER19WHFR</t>
  </si>
  <si>
    <t>GE18SSER19WHFR</t>
  </si>
  <si>
    <t>NR923WH</t>
  </si>
  <si>
    <t>NR923WH[WHITE/FREE]</t>
  </si>
  <si>
    <t>G-E18SSER18WHFR</t>
  </si>
  <si>
    <t>GE18SSER18WHFR</t>
  </si>
  <si>
    <t>NR922WH</t>
  </si>
  <si>
    <t>NR922WH[WHITE/FREE]</t>
  </si>
  <si>
    <t>G-E18SSER17WHFR</t>
  </si>
  <si>
    <t>GE18SSER17WHFR</t>
  </si>
  <si>
    <t>NR921WH</t>
  </si>
  <si>
    <t>NR921WH[WHITE/FREE]</t>
  </si>
  <si>
    <t>G-E18SSER16WHFR</t>
  </si>
  <si>
    <t>GE18SSER16WHFR</t>
  </si>
  <si>
    <t>NR919WH</t>
  </si>
  <si>
    <t>NR919WH[WHITE/FREE]</t>
  </si>
  <si>
    <t>G-E18SSER15WHFR</t>
  </si>
  <si>
    <t>GE18SSER15WHFR</t>
  </si>
  <si>
    <t>NR917WH</t>
  </si>
  <si>
    <t>NR917WH[WHITE/FREE]</t>
  </si>
  <si>
    <t>G-E18SSER14CRFR</t>
  </si>
  <si>
    <t>GE18SSER14CRFR</t>
  </si>
  <si>
    <t>NR916CR</t>
  </si>
  <si>
    <t>NR916CR[CRYSTAL/FREE]</t>
  </si>
  <si>
    <t>G-E18SSER13CRFR</t>
  </si>
  <si>
    <t>GE18SSER13CRFR</t>
  </si>
  <si>
    <t>NR915CR</t>
  </si>
  <si>
    <t>NR915CR[CRYSTAL/FREE]</t>
  </si>
  <si>
    <t>G-E18SSER12BUFR</t>
  </si>
  <si>
    <t>GE18SSER12BUFR</t>
  </si>
  <si>
    <t>NR914BU</t>
  </si>
  <si>
    <t>NR914BU[BLUE/FREE]</t>
  </si>
  <si>
    <t>G-E18SSER11BUFR</t>
  </si>
  <si>
    <t>GE18SSER11BUFR</t>
  </si>
  <si>
    <t>NR911BU</t>
  </si>
  <si>
    <t>NR911BU[BLUE/FREE]</t>
  </si>
  <si>
    <t>G-E18SSER11YEFR</t>
  </si>
  <si>
    <t>GE18SSER11YEFR</t>
  </si>
  <si>
    <t>NR911YE</t>
  </si>
  <si>
    <t>NR911YE[YELLOW/FREE]</t>
  </si>
  <si>
    <t>G-E18SSER10YEFR</t>
  </si>
  <si>
    <t>GE18SSER10YEFR</t>
  </si>
  <si>
    <t>NR910YE</t>
  </si>
  <si>
    <t>NR910YE[YELLOW/FREE]</t>
  </si>
  <si>
    <t>G-E18SSER09YEFR</t>
  </si>
  <si>
    <t>GE18SSER09YEFR</t>
  </si>
  <si>
    <t>NR909YE</t>
  </si>
  <si>
    <t>NR909YE[YELLOW/FREE]</t>
  </si>
  <si>
    <t>G-E18SSER08YEFR</t>
  </si>
  <si>
    <t>GE18SSER08YEFR</t>
  </si>
  <si>
    <t>NR908YE</t>
  </si>
  <si>
    <t>NR908YE[YELLOW/FREE]</t>
  </si>
  <si>
    <t>G-E18SSER07YEFR</t>
  </si>
  <si>
    <t>GE18SSER07YEFR</t>
  </si>
  <si>
    <t>NR907YE</t>
  </si>
  <si>
    <t>NR907YE[YELLOW/FREE]</t>
  </si>
  <si>
    <t>G-E18SSER06WHFR</t>
  </si>
  <si>
    <t>GE18SSER06WHFR</t>
  </si>
  <si>
    <t>NR906WH</t>
  </si>
  <si>
    <t>NR906WH[WHITE/FREE]</t>
  </si>
  <si>
    <t>G-E18SSER05YEFR</t>
  </si>
  <si>
    <t>GE18SSER05YEFR</t>
  </si>
  <si>
    <t>NR901YE</t>
  </si>
  <si>
    <t>NR901YE[YELLOW/FREE]</t>
  </si>
  <si>
    <t>G-E18SSER04WHFR</t>
  </si>
  <si>
    <t>GE18SSER04WHFR</t>
  </si>
  <si>
    <t>NR918WH</t>
  </si>
  <si>
    <t>NR918WH[WHITE/FREE]</t>
  </si>
  <si>
    <t>G-E18SSER03WHFR</t>
  </si>
  <si>
    <t>GE18SSER03WHFR</t>
  </si>
  <si>
    <t>NR903WH</t>
  </si>
  <si>
    <t>NR903WH[YELLOW/FREE]</t>
  </si>
  <si>
    <t>G-E18SSER02YEFR</t>
  </si>
  <si>
    <t>GE18SSER02YEFR</t>
  </si>
  <si>
    <t>NR900YE</t>
  </si>
  <si>
    <t>NR900YE[YELLOW/FREE]</t>
  </si>
  <si>
    <t>G-E18SSER01WHFR</t>
  </si>
  <si>
    <t>GE18SSER01WHFR</t>
  </si>
  <si>
    <t>NR902WH</t>
  </si>
  <si>
    <t>NR902WH[WHITE/FREE]</t>
  </si>
  <si>
    <t>G-E17SSER02GDFR</t>
  </si>
  <si>
    <t>GE17SSER02GDFR</t>
  </si>
  <si>
    <t>WN902GD</t>
  </si>
  <si>
    <t>WN902GD[WN902GD]</t>
  </si>
  <si>
    <t>G-E17SSBG01GDFR</t>
  </si>
  <si>
    <t>GE17SSBG01GDFR</t>
  </si>
  <si>
    <t>WN501GD</t>
  </si>
  <si>
    <t>WN501GD[GOLD/FREE]</t>
  </si>
  <si>
    <t>G-E17SSER01LSFR</t>
  </si>
  <si>
    <t>GE17SSER01LSFR</t>
  </si>
  <si>
    <t>TL901LS</t>
  </si>
  <si>
    <t>LIGHT SIAM/FREE</t>
  </si>
  <si>
    <t>TL901LS[LIGHT SIAM/FREE]</t>
  </si>
  <si>
    <t>G-E17SSER10WHFR</t>
  </si>
  <si>
    <t>GE17SSER10WHFR</t>
  </si>
  <si>
    <t>SL910WH</t>
  </si>
  <si>
    <t>SL910WH[WH]</t>
  </si>
  <si>
    <t>G-E17SSER00LSFR</t>
  </si>
  <si>
    <t>GE17SSER00LSFR</t>
  </si>
  <si>
    <t>TL900LS</t>
  </si>
  <si>
    <t>LIGHT SIAM</t>
  </si>
  <si>
    <t>TL900LS[LIGHT SIAM]</t>
  </si>
  <si>
    <t>G-E17SSER20LSFR</t>
  </si>
  <si>
    <t>GE17SSER20LSFR</t>
  </si>
  <si>
    <t>TL920LS</t>
  </si>
  <si>
    <t>LIGHT SIAM/F</t>
  </si>
  <si>
    <t>TL920LS[LIGHT SIAM/F]</t>
  </si>
  <si>
    <t>G-E17SSBC01LSFR</t>
  </si>
  <si>
    <t>GE17SSBC01LSFR</t>
  </si>
  <si>
    <t>TL101LS</t>
  </si>
  <si>
    <t>TL101LS[LIGHT SIAM/F]</t>
  </si>
  <si>
    <t>BIENVETU</t>
  </si>
  <si>
    <t>B-V0TES</t>
  </si>
  <si>
    <t>Triangle Earrings Gold</t>
  </si>
  <si>
    <t>BV_TES</t>
  </si>
  <si>
    <t>GOLD</t>
  </si>
  <si>
    <t>Triangle Earrings Gold[GOLD]</t>
  </si>
  <si>
    <t>B-V0TEG</t>
  </si>
  <si>
    <t>Triangle Earrings Silver</t>
  </si>
  <si>
    <t>BV_TEG</t>
  </si>
  <si>
    <t>SIVER</t>
  </si>
  <si>
    <t>Triangle Earrings Silver[SIVER]</t>
  </si>
  <si>
    <t>B-L0LG0S</t>
  </si>
  <si>
    <t>BL_LOGO_SILVER</t>
  </si>
  <si>
    <t>BL0LG0S</t>
  </si>
  <si>
    <t>SILVER</t>
  </si>
  <si>
    <t>BL_LOGO_SILVER[SILVER]</t>
  </si>
  <si>
    <t>B-L0LG0G</t>
  </si>
  <si>
    <t>BL_LOGO_GOLD</t>
  </si>
  <si>
    <t>BL0LG0G</t>
  </si>
  <si>
    <t>BL_LOGO_GOLD[GOLD]</t>
  </si>
  <si>
    <t>B-L0SQ0S</t>
  </si>
  <si>
    <t>BL_SQUARE_SILVER</t>
  </si>
  <si>
    <t>BL0SQ0S</t>
  </si>
  <si>
    <t>BL_SQUARE_SILVER[SILVER]</t>
  </si>
  <si>
    <t>B-L0SQ0G</t>
  </si>
  <si>
    <t>BL_SQUARE_GOLD</t>
  </si>
  <si>
    <t>BL0SQ0G</t>
  </si>
  <si>
    <t>BL_SQUARE_GOLD[GOLD]</t>
  </si>
  <si>
    <t>B-L0RT0S</t>
  </si>
  <si>
    <t>BL_RT_SILVER</t>
  </si>
  <si>
    <t>BL0RT0S</t>
  </si>
  <si>
    <t>BL_RT_SILVER[SILVER]</t>
  </si>
  <si>
    <t>B-L0RT0G</t>
  </si>
  <si>
    <t>BL_RT_GOLD</t>
  </si>
  <si>
    <t>BL0RT0G</t>
  </si>
  <si>
    <t>BL_RT_GOLD[GOLD]</t>
  </si>
  <si>
    <t>B-VRTS028</t>
  </si>
  <si>
    <t>Rectang Single</t>
  </si>
  <si>
    <t>BVRTS028</t>
  </si>
  <si>
    <t>28.Espresso_Single_Silver</t>
  </si>
  <si>
    <t>Rectang Single[28.Espresso_Single_Silver]</t>
  </si>
  <si>
    <t>B-VRTS020</t>
  </si>
  <si>
    <t>BVRTS020</t>
  </si>
  <si>
    <t>20.Purple_Single_Silver</t>
  </si>
  <si>
    <t>Rectang Single[20.Purple_Single_Silver]</t>
  </si>
  <si>
    <t>B-VRTS018</t>
  </si>
  <si>
    <t>BVRTS018</t>
  </si>
  <si>
    <t>18.Navy_Single_Silver</t>
  </si>
  <si>
    <t>Rectang Single[18.Navy_Single_Silver]</t>
  </si>
  <si>
    <t>B-VRTS016</t>
  </si>
  <si>
    <t>BVRTS016</t>
  </si>
  <si>
    <t>16.Skyblue_Single_Silver</t>
  </si>
  <si>
    <t>Rectang Single[16.Skyblue_Single_Silver]</t>
  </si>
  <si>
    <t>B-VRTS015</t>
  </si>
  <si>
    <t>BVRTS015</t>
  </si>
  <si>
    <t>15.Turquois_Single_Silver</t>
  </si>
  <si>
    <t>Rectang Single[15.Turquois_Single_Silver]</t>
  </si>
  <si>
    <t>B-VRTS011</t>
  </si>
  <si>
    <t>BVRTS011</t>
  </si>
  <si>
    <t>11.Khaki_Single_Silver</t>
  </si>
  <si>
    <t>Rectang Single[11.Khaki_Single_Silver]</t>
  </si>
  <si>
    <t>B-VRTS010</t>
  </si>
  <si>
    <t>BVRTS010</t>
  </si>
  <si>
    <t>10.Green_Single_Silver</t>
  </si>
  <si>
    <t>Rectang Single[10.Green_Single_Silver]</t>
  </si>
  <si>
    <t>B-VRTS07</t>
  </si>
  <si>
    <t>BVRTS07</t>
  </si>
  <si>
    <t>7.Tangerine_Single_Silver</t>
  </si>
  <si>
    <t>Rectang Single[7.Tangerine_Single_Silver]</t>
  </si>
  <si>
    <t>B-VRTS06</t>
  </si>
  <si>
    <t>BVRTS06</t>
  </si>
  <si>
    <t>6.Orange_Single_Silver</t>
  </si>
  <si>
    <t>Rectang Single[6.Orange_Single_Silver]</t>
  </si>
  <si>
    <t>B-VRTS01</t>
  </si>
  <si>
    <t>BVRTS01</t>
  </si>
  <si>
    <t>1.Red_Rectang_Single_Silver</t>
  </si>
  <si>
    <t>Rectang Single[1.Red_Rectang_Single_Silver]</t>
  </si>
  <si>
    <t>B-VRTD033</t>
  </si>
  <si>
    <t>Rectang Double</t>
  </si>
  <si>
    <t>BVRTD033</t>
  </si>
  <si>
    <t>33.Black_Double_Silver</t>
  </si>
  <si>
    <t>Rectang Double[33.Black_Double_Silver]</t>
  </si>
  <si>
    <t>B-VRTD031</t>
  </si>
  <si>
    <t>BVRTD031</t>
  </si>
  <si>
    <t>31.Light Gray_Double_Silver</t>
  </si>
  <si>
    <t>Rectang Double[31.Light Gray_Double_Silver]</t>
  </si>
  <si>
    <t>B-VRTD030</t>
  </si>
  <si>
    <t>BVRTD030</t>
  </si>
  <si>
    <t>30.White_Double_Silver</t>
  </si>
  <si>
    <t>Rectang Double[30.White_Double_Silver]</t>
  </si>
  <si>
    <t>B-VRTD017</t>
  </si>
  <si>
    <t>BVRTD017</t>
  </si>
  <si>
    <t>17.Cobalt_Double_Silver</t>
  </si>
  <si>
    <t>Rectang Double[17.Cobalt_Double_Silver]</t>
  </si>
  <si>
    <t>B-VRTD014</t>
  </si>
  <si>
    <t>BVRTD014</t>
  </si>
  <si>
    <t>14.Mint_Double_Silver</t>
  </si>
  <si>
    <t>Rectang Double[14.Mint_Double_Silver]</t>
  </si>
  <si>
    <t>B-VRTD05</t>
  </si>
  <si>
    <t>BVRTD05</t>
  </si>
  <si>
    <t>5.Baby Pink_Rectang_Double_Silver</t>
  </si>
  <si>
    <t>Rectang Double[5.Baby Pink_Rectang_Double_Silver]</t>
  </si>
  <si>
    <t>B-VRTD04</t>
  </si>
  <si>
    <t>BVRTD04</t>
  </si>
  <si>
    <t>4.Peach Pink_Rectang_Double_Silver</t>
  </si>
  <si>
    <t>Rectang Double[4.Peach Pink_Rectang_Double_Silver]</t>
  </si>
  <si>
    <t>B-VRTD03</t>
  </si>
  <si>
    <t>BVRTD03</t>
  </si>
  <si>
    <t>3.Bubble Gum _Rectang_Double_Silver</t>
  </si>
  <si>
    <t>Rectang Double[3.Bubble Gum _Rectang_Double_Silver]</t>
  </si>
  <si>
    <t>B-VRTD02</t>
  </si>
  <si>
    <t>BVRTD02</t>
  </si>
  <si>
    <t>2.Cherry Pink _Rectang_Double_Silver</t>
  </si>
  <si>
    <t>Rectang Double[2.Cherry Pink _Rectang_Double_Silver]</t>
  </si>
  <si>
    <t>B-VRTD01</t>
  </si>
  <si>
    <t>BVRTD01</t>
  </si>
  <si>
    <t>BVRTD_1</t>
  </si>
  <si>
    <t>1.Red_Rectang_Double_Silver</t>
  </si>
  <si>
    <t>Rectang Double[1.Red_Rectang_Double_Silver]</t>
  </si>
  <si>
    <t>3-174112112775208</t>
  </si>
  <si>
    <t>BASIC RUFFLE COAT BROWN</t>
  </si>
  <si>
    <t>BS17FW-CT03BR</t>
  </si>
  <si>
    <t>BASIC RUFFLE COAT BROWN[BROWN/FREE]</t>
  </si>
  <si>
    <t>3-174132102899208</t>
  </si>
  <si>
    <t>TWO WAY MUSTANG BLACK</t>
  </si>
  <si>
    <t>BS17FW-CT02BK</t>
  </si>
  <si>
    <t>TWO WAY MUSTANG BLACK[BLACK/FREE]</t>
  </si>
  <si>
    <t>3-174252105495120</t>
  </si>
  <si>
    <t>SAILOR SHIRTS ONEPIECE GREY</t>
  </si>
  <si>
    <t>BS17FW-OP06GY</t>
  </si>
  <si>
    <t>SAILOR SHIRTS ONEPIECE GREY[GREY/FREE]</t>
  </si>
  <si>
    <t>3-174252105499120</t>
  </si>
  <si>
    <t>SAILOR SHIRTS ONEPIECE BLACK</t>
  </si>
  <si>
    <t>BS17FW-OP06BK</t>
  </si>
  <si>
    <t>SAILOR SHIRTS ONEPIECE BLACK[BLACK/FREE]</t>
  </si>
  <si>
    <t>3-174252106199208</t>
  </si>
  <si>
    <t>DIAGONAL ONEPIECE BLACK</t>
  </si>
  <si>
    <t>BS17FW-OP05BK</t>
  </si>
  <si>
    <t>DIAGONAL ONEPIECE BLACK[BLACK/FREE]</t>
  </si>
  <si>
    <t>3-174252106175208</t>
  </si>
  <si>
    <t>DIAGONAL ONEPIECE BROWN</t>
  </si>
  <si>
    <t>BS17FW-OP05BR</t>
  </si>
  <si>
    <t>DIAGONAL ONEPIECE BROWN[BROWN/FREE]</t>
  </si>
  <si>
    <t>3-174252105395120</t>
  </si>
  <si>
    <t>TIE BELT ONEPIECE ORANGE</t>
  </si>
  <si>
    <t>BS17FW-OP04OR</t>
  </si>
  <si>
    <t>TIE BELT ONEPIECE ORANGE[ORANGE/FREE]</t>
  </si>
  <si>
    <t>3-174252105399120</t>
  </si>
  <si>
    <t>TIE BELT ONEPIECE BROWN</t>
  </si>
  <si>
    <t>BS17FW-OP04BR</t>
  </si>
  <si>
    <t>TIE BELT ONEPIECE BROWN[BROWN/FREE]</t>
  </si>
  <si>
    <t>3-174252105299208</t>
  </si>
  <si>
    <t>VELVET SHIRRING ONEPIECE BLACK</t>
  </si>
  <si>
    <t>BS17FW-OP03BK</t>
  </si>
  <si>
    <t>VELVET SHIRRING ONEPIECE BLACK[BLACK/FREE]</t>
  </si>
  <si>
    <t>3-174232105561208</t>
  </si>
  <si>
    <t>HIGH NECK TUCK MTM RED</t>
  </si>
  <si>
    <t>BS17FW-MT03RD</t>
  </si>
  <si>
    <t>HIGH NECK TUCK MTM RED[RED/FREE]</t>
  </si>
  <si>
    <t>3-174232105599208</t>
  </si>
  <si>
    <t>HIGH NECK TUCK MTM BLACK</t>
  </si>
  <si>
    <t>BS17FW-MT03BK</t>
  </si>
  <si>
    <t>HIGH NECK TUCK MTM BLACK[BLACK/FREE]</t>
  </si>
  <si>
    <t>3-174232105491208</t>
  </si>
  <si>
    <t>NECK POINT POLA T WHITE</t>
  </si>
  <si>
    <t>BS17FW-TS02WH</t>
  </si>
  <si>
    <t>NECK POINT POLA T WHITE[WHITE/FREE]</t>
  </si>
  <si>
    <t>3-174232105499208</t>
  </si>
  <si>
    <t>NECK POINT POLA T BLACK</t>
  </si>
  <si>
    <t>BS17FW-TS02BK</t>
  </si>
  <si>
    <t>NECK POINT POLA T BLACK[BLACK/FREE]</t>
  </si>
  <si>
    <t>3-174212103101208</t>
  </si>
  <si>
    <t>RAYERED SHIRTS PINK</t>
  </si>
  <si>
    <t>BS17FW-SH07PK</t>
  </si>
  <si>
    <t>RAYERED SHIRTS PINK[PINK/FREE]</t>
  </si>
  <si>
    <t>3-174212103191208</t>
  </si>
  <si>
    <t>RAYERED SHIRTS WHITE</t>
  </si>
  <si>
    <t>BS17FW-SH07WH</t>
  </si>
  <si>
    <t>RAYERED SHIRTS WHITE[WHITE/FREE]</t>
  </si>
  <si>
    <t>3-174212103095208</t>
  </si>
  <si>
    <t>HIGH NECK RUFFLE BLOUSE GREY</t>
  </si>
  <si>
    <t>BS17FW-SH06GY</t>
  </si>
  <si>
    <t>HIGH NECK RUFFLE BLOUSE GREY[GREY/FREE]</t>
  </si>
  <si>
    <t>3-174212103003208</t>
  </si>
  <si>
    <t>HIGH NECK RUFFLE BLOUSE 
LIGHT PURPLE</t>
  </si>
  <si>
    <t>BS17FW-SH06PU</t>
  </si>
  <si>
    <t>LIGHT  PURPLE/FREE</t>
  </si>
  <si>
    <t>HIGH NECK RUFFLE BLOUSE 
LIGHT PURPLE[LIGHT  PURPLE/FREE]</t>
  </si>
  <si>
    <t>3-174212102995208</t>
  </si>
  <si>
    <t>RUFFLE COLLAR SHIRTS GREY</t>
  </si>
  <si>
    <t>BS17FW-SH05GY</t>
  </si>
  <si>
    <t>RUFFLE COLLAR SHIRTS GREY[GREY/FREE]</t>
  </si>
  <si>
    <t>3-174212102991208</t>
  </si>
  <si>
    <t>RUFFLE COLLAR SHIRTS WHITE</t>
  </si>
  <si>
    <t>BS17FW-SH05WH</t>
  </si>
  <si>
    <t>RUFFLE COLLAR SHIRTS WHITE[WHITE/FREE]</t>
  </si>
  <si>
    <t>3-174332105795320</t>
  </si>
  <si>
    <t>UNBAL BUTTON SKIRT GREY</t>
  </si>
  <si>
    <t>BS17FW-SK05GY</t>
  </si>
  <si>
    <t>UNBAL BUTTON SKIRT GREY[GREY/FREE]</t>
  </si>
  <si>
    <t>3-174332105799320</t>
  </si>
  <si>
    <t>UNBAL BUTTON SKIRT BLACK</t>
  </si>
  <si>
    <t>BS17FW-SK05BK</t>
  </si>
  <si>
    <t>UNBAL BUTTON SKIRT BLACK[BLACK/FREE]</t>
  </si>
  <si>
    <t>3-174352100675320</t>
  </si>
  <si>
    <t>TIM MINI SKIRT BROWN</t>
  </si>
  <si>
    <t>BS17FW-SK04BR</t>
  </si>
  <si>
    <t>TIM MINI SKIRT BROWN[BROWN/FREE]</t>
  </si>
  <si>
    <t>3-174352100699320</t>
  </si>
  <si>
    <t>TIM MINI SKIRT BLACK</t>
  </si>
  <si>
    <t>BS17FW-SK04BK</t>
  </si>
  <si>
    <t>TIM MINI SKIRT BLACK[BLACK/FREE]</t>
  </si>
  <si>
    <t>3-174332105699320</t>
  </si>
  <si>
    <t>VELVET SHIRRING SKIRT BLACK</t>
  </si>
  <si>
    <t>BS17FW-SK03BK</t>
  </si>
  <si>
    <t>VELVET SHIRRING SKIRT BLACK[BLACK/FREE]</t>
  </si>
  <si>
    <t>3-174312101795320</t>
  </si>
  <si>
    <t>WOOL WIDE PANTS GREY</t>
  </si>
  <si>
    <t>BS17FW-PT01GY</t>
  </si>
  <si>
    <t>WOOL WIDE PANTS GREY[GREY/FREE]</t>
  </si>
  <si>
    <t>3-174312101799320</t>
  </si>
  <si>
    <t>WOOL WIDE PANTS BLACK</t>
  </si>
  <si>
    <t>BS17FW-PT01BK</t>
  </si>
  <si>
    <t>WOOL WIDE PANTS BLACK[BLACK/FREE]</t>
  </si>
  <si>
    <t>3-173112100575208</t>
  </si>
  <si>
    <t>TWO WAY COAT BROWN</t>
  </si>
  <si>
    <t>BS17FW-CT01BR</t>
  </si>
  <si>
    <t>TWO WAY COAT BROWN[BROWN/FREE]</t>
  </si>
  <si>
    <t>3-173112100574208</t>
  </si>
  <si>
    <t>TWO WAY COAT BEIGE</t>
  </si>
  <si>
    <t>BS17FW-CT01BE</t>
  </si>
  <si>
    <t>TWO WAY COAT BEIGE[BEIGE/FREE]</t>
  </si>
  <si>
    <t>3-173252102130208</t>
  </si>
  <si>
    <t>LAYERED MTM ONEPIECE NAVY</t>
  </si>
  <si>
    <t>BS17FW-OP2NV</t>
  </si>
  <si>
    <t>LAYERED MTM ONEPIECE NAVY[NAVY/FREE]</t>
  </si>
  <si>
    <t>3-173252102195208</t>
  </si>
  <si>
    <t>LAYERED MTM ONEPIECE GREY</t>
  </si>
  <si>
    <t>BS17FW-OP02GY</t>
  </si>
  <si>
    <t>LAYERED MTM ONEPIECE GREY[GREY/FREE]</t>
  </si>
  <si>
    <t>3-173252101325208</t>
  </si>
  <si>
    <t>SHIRRING SHIRT ONEPIECE BLUE</t>
  </si>
  <si>
    <t>BS17FW-OP01BL</t>
  </si>
  <si>
    <t>SHIRRING SHIRT ONEPIECE BLUE[BLUE/FREE]</t>
  </si>
  <si>
    <t>3-173252101345208</t>
  </si>
  <si>
    <t>SHIRRING SHIRT ONEPIECE GREEN</t>
  </si>
  <si>
    <t>BS17FW-OP01GR</t>
  </si>
  <si>
    <t>SHIRRING SHIRT ONEPIECE GREEN[GREEN/FREE]</t>
  </si>
  <si>
    <t>3-173232101899208</t>
  </si>
  <si>
    <t>SIDE STRAP VEST NAVY</t>
  </si>
  <si>
    <t>BS17FW-KN03NV</t>
  </si>
  <si>
    <t>SIDE STRAP VEST NAVY[NAVY/FREE]</t>
  </si>
  <si>
    <t>3-173232101874208</t>
  </si>
  <si>
    <t>SIDE STRAP VEST BEIGE</t>
  </si>
  <si>
    <t>BS17FW-KN03BE</t>
  </si>
  <si>
    <t>SIDE STRAP VEST BEIGE[BEIGE/FREE]</t>
  </si>
  <si>
    <t>3-173232101799208</t>
  </si>
  <si>
    <t>SIDE LINE KNIT BLACK</t>
  </si>
  <si>
    <t>BS17FW-KN02BK</t>
  </si>
  <si>
    <t>SIDE LINE KNIT BLACK[BLACK/FREE]</t>
  </si>
  <si>
    <t>3-173232101730208</t>
  </si>
  <si>
    <t>SIDE LINE KNIT NAVY</t>
  </si>
  <si>
    <t>BS17FW-KN02NV</t>
  </si>
  <si>
    <t>SIDE LINE KNIT NAVY[NAVY/FREE]</t>
  </si>
  <si>
    <t>3-173232101795208</t>
  </si>
  <si>
    <t>SIDE LINE KNIT GREY</t>
  </si>
  <si>
    <t>BS17FW-KN02GY</t>
  </si>
  <si>
    <t>SIDE LINE KNIT GREY[GREY/FREE]</t>
  </si>
  <si>
    <t>3-173232101699208</t>
  </si>
  <si>
    <t>BACK SLIT HOODY BLACK</t>
  </si>
  <si>
    <t>BS17FW-MT02BK</t>
  </si>
  <si>
    <t>BACK SLIT HOODY BLACK[BLACK/FREE]</t>
  </si>
  <si>
    <t>3-173232101674208</t>
  </si>
  <si>
    <t>BACK SLIT HOODY BEIGE</t>
  </si>
  <si>
    <t>BS17FW-MT02BE</t>
  </si>
  <si>
    <t>BACK SLIT HOODY BEIGE[BEIGE/FREE]</t>
  </si>
  <si>
    <t>3-173232101230208</t>
  </si>
  <si>
    <t>SLIT MTM NAVY</t>
  </si>
  <si>
    <t>BS17FW-MT01NV</t>
  </si>
  <si>
    <t>SLIT MTM NAVY[NAVY/FREE]</t>
  </si>
  <si>
    <t>3-173232101295208</t>
  </si>
  <si>
    <t>SLIT MTM GREY</t>
  </si>
  <si>
    <t>BS17FW-MT01GY</t>
  </si>
  <si>
    <t>SLIT MTM GREY[GREY/FREE]</t>
  </si>
  <si>
    <t>3-173232101130208</t>
  </si>
  <si>
    <t>NECK POINT POLA NAVY</t>
  </si>
  <si>
    <t>BS17FW-TS01NV</t>
  </si>
  <si>
    <t>NECK POINT POLA NAVY[NAVY/FREE]</t>
  </si>
  <si>
    <t>3-173232101145208</t>
  </si>
  <si>
    <t>NECK POINT POLA GREEN</t>
  </si>
  <si>
    <t>BS17FW-TS01GR</t>
  </si>
  <si>
    <t>NECK POINT POLA GREEN[GREEN/FREE]</t>
  </si>
  <si>
    <t>3-173212102323208</t>
  </si>
  <si>
    <t>LONG BACK SHIRT SKYBLUE</t>
  </si>
  <si>
    <t>BS17FW-SH04SB</t>
  </si>
  <si>
    <t>LONG BACK SHIRT SKYBLUE[SKYBLUE/FREE]</t>
  </si>
  <si>
    <t>3-173212102391208</t>
  </si>
  <si>
    <t>LONG BACK SHIRT WHITE</t>
  </si>
  <si>
    <t>BS17FW-SH04WH</t>
  </si>
  <si>
    <t>LONG BACK SHIRT WHITE[WHITE/FREE]</t>
  </si>
  <si>
    <t>3-173242101399208</t>
  </si>
  <si>
    <t>BUTTON BLOUSE BLACK</t>
  </si>
  <si>
    <t>BS17FW-SH03BK</t>
  </si>
  <si>
    <t>BUTTON BLOUSE BLACK[BLACK/FREE]</t>
  </si>
  <si>
    <t>3-173242101323208</t>
  </si>
  <si>
    <t>BUTTON BLOUSE SKYBLUE</t>
  </si>
  <si>
    <t>BS17FW-SH03SB</t>
  </si>
  <si>
    <t>BUTTON BLOUSE SKYBLUE[SKYBLUE/FREE]</t>
  </si>
  <si>
    <t>3-173242101099208</t>
  </si>
  <si>
    <t>SLIT PAJAMA SHIRT BLACK</t>
  </si>
  <si>
    <t>BS17FW-SH02BK</t>
  </si>
  <si>
    <t>SLIT PAJAMA SHIRT BLACK[BLACK/FREE]</t>
  </si>
  <si>
    <t>3-173242101091208</t>
  </si>
  <si>
    <t>SLIT PAJAMA SHIRT WHITE</t>
  </si>
  <si>
    <t>BS17FW-SH02WH</t>
  </si>
  <si>
    <t>SLIT PAJAMA SHIRT WHITE[WHITE/FREE]</t>
  </si>
  <si>
    <t>3-173212101725208</t>
  </si>
  <si>
    <t>V-NECK FRILL SHIRT BLUE</t>
  </si>
  <si>
    <t>BS17FW-SH01BL</t>
  </si>
  <si>
    <t>V-NECK FRILL SHIRT BLUE[BLUE/FREE]</t>
  </si>
  <si>
    <t>3-173212101730208</t>
  </si>
  <si>
    <t>V-NECK FRILL SHIRT NAVY</t>
  </si>
  <si>
    <t>BS17FW-SH01NV</t>
  </si>
  <si>
    <t>V-NECK FRILL SHIRT NAVY[NAVY/FREE]</t>
  </si>
  <si>
    <t>3-173212101791208</t>
  </si>
  <si>
    <t>V-NECK FRILL SHIRT WHITE</t>
  </si>
  <si>
    <t>BS17FW-SH01WH</t>
  </si>
  <si>
    <t>V-NECK FRILL SHIRT WHITE[WHITE/FREE]</t>
  </si>
  <si>
    <t>3-173332101399320</t>
  </si>
  <si>
    <t>SIDE LINE KNIT SKIRT BLACK</t>
  </si>
  <si>
    <t>BS17FW-KN01BK</t>
  </si>
  <si>
    <t>SIDE LINE KNIT SKIRT BLACK[BLACK/FREE]</t>
  </si>
  <si>
    <t>3-173332101330320</t>
  </si>
  <si>
    <t>SIDE LINE KNIT SKIRT NAVY</t>
  </si>
  <si>
    <t>BS17FW-KN01NV</t>
  </si>
  <si>
    <t>SIDE LINE KNIT SKIRT NAVY[NAVY/FREE]</t>
  </si>
  <si>
    <t>3-173332101395320</t>
  </si>
  <si>
    <t>SIDE LINE KNIT SKIRT GREY</t>
  </si>
  <si>
    <t>BS17FW-KN01GY</t>
  </si>
  <si>
    <t>SIDE LINE KNIT SKIRT GREY[GREY/FREE]</t>
  </si>
  <si>
    <t>3-173352100199320</t>
  </si>
  <si>
    <t>DIAGONAL MINI SKIRT BLACK</t>
  </si>
  <si>
    <t>BS17FW-SK02BK</t>
  </si>
  <si>
    <t>DIAGONAL MINI SKIRT BLACK[BLACK/FREE]</t>
  </si>
  <si>
    <t>3-173352100175320</t>
  </si>
  <si>
    <t>DIAGONAL MINI SKIRT BROWN</t>
  </si>
  <si>
    <t>BS17FW-SK02BR</t>
  </si>
  <si>
    <t>DIAGONAL MINI SKIRT BROWN[BROWN/FREE]</t>
  </si>
  <si>
    <t>3-173332101275320</t>
  </si>
  <si>
    <t>SHIRRING CHECK SKIRT BROWN</t>
  </si>
  <si>
    <t>BS17FW-SK01BR</t>
  </si>
  <si>
    <t>SHIRRING CHECK SKIRT BROWN[BROWN/FREE]</t>
  </si>
  <si>
    <t>3-172252108591208</t>
  </si>
  <si>
    <t>BASIC LINEN ONEPIECE WHITE</t>
  </si>
  <si>
    <t>BS17SS-OP04WHF</t>
  </si>
  <si>
    <t>BASIC LINEN ONEPIECE WHITE[WHITE/FREE]</t>
  </si>
  <si>
    <t>3-172252108565208</t>
  </si>
  <si>
    <t>BASIC LINEN ONEPIECE YELLOW</t>
  </si>
  <si>
    <t>BS17SS-OP04YLF</t>
  </si>
  <si>
    <t>BASIC LINEN ONEPIECE YELLOW[YELLOW/FREE]</t>
  </si>
  <si>
    <t>3-172252106491208</t>
  </si>
  <si>
    <t>CHIFFON SHIRRING ONEPIECE WHITE</t>
  </si>
  <si>
    <t>BS17SS-OP03WHF</t>
  </si>
  <si>
    <t>CHIFFON SHIRRING ONEPIECE WHITE[WHITE/FREE]</t>
  </si>
  <si>
    <t>3-172252106330208</t>
  </si>
  <si>
    <t>CHIFFON SHIRRING ONEPIECE NAVY</t>
  </si>
  <si>
    <t>BS17SS-OP03NVF</t>
  </si>
  <si>
    <t>CHIFFON SHIRRING ONEPIECE NAVY[NAVY/FREE]</t>
  </si>
  <si>
    <t>3-171222107591208</t>
  </si>
  <si>
    <t>OFF SHOULDER T BLACK</t>
  </si>
  <si>
    <t>BS17SS-TS04BKF</t>
  </si>
  <si>
    <t>OFF SHOULDER T BLACK[BLACK/FREE]</t>
  </si>
  <si>
    <t>3-171222107565208</t>
  </si>
  <si>
    <t>OFF SHOULDER T YELLOW[YELLOW/FREE]</t>
  </si>
  <si>
    <t>3-172222123699208</t>
  </si>
  <si>
    <t>TIGHT LOGO T BLACK</t>
  </si>
  <si>
    <t>BS17SS-TS03BKF</t>
  </si>
  <si>
    <t>TIGHT LOGO T BLACK[BLACK/FREE]</t>
  </si>
  <si>
    <t>3-172222123691208</t>
  </si>
  <si>
    <t>TIGHT LOGO T WHITE</t>
  </si>
  <si>
    <t>BS17SS-TS03WHF</t>
  </si>
  <si>
    <t>TIGHT LOGO T WHITE[WHITE/FREE]</t>
  </si>
  <si>
    <t>3-172212104365208</t>
  </si>
  <si>
    <t>LINE OFF SHOULDER YELLOW</t>
  </si>
  <si>
    <t>BS17SS-SH07YLF</t>
  </si>
  <si>
    <t>LINE OFF SHOULDER YELLOW[YELLOW/FREE]</t>
  </si>
  <si>
    <t>3-172212104391208</t>
  </si>
  <si>
    <t>LINE OFF SHOULDER WHITE</t>
  </si>
  <si>
    <t>BS17SS-SH07WHF</t>
  </si>
  <si>
    <t>LINE OFF SHOULDER WHITE[WHITE/FREE]</t>
  </si>
  <si>
    <t>3-172212103699208</t>
  </si>
  <si>
    <t>BACK SLIT CROP SHIRT BLACK</t>
  </si>
  <si>
    <t>BS17SS-SH06BKF</t>
  </si>
  <si>
    <t>BACK SLIT CROP SHIRT BLACK[BLACK/FREE]</t>
  </si>
  <si>
    <t>3-172212103691208</t>
  </si>
  <si>
    <t>BACK SLIT CROP SHIRT WHITE</t>
  </si>
  <si>
    <t>BS17SS-SH06WHF</t>
  </si>
  <si>
    <t>BACK SLIT CROP SHIRT WHITE[WHITE/FREE]</t>
  </si>
  <si>
    <t>3-172212103523208</t>
  </si>
  <si>
    <t>SIGNATURE SHIRT SKYBLUE</t>
  </si>
  <si>
    <t>BS17SS-SH05SBF</t>
  </si>
  <si>
    <t>SIGNATURE SHIRT SKYBLUE[SKY BLUE/FREE]</t>
  </si>
  <si>
    <t>3-172212103591208</t>
  </si>
  <si>
    <t>SIGNATURE SHIRT WHITE</t>
  </si>
  <si>
    <t>BS17SS-SH05WHF</t>
  </si>
  <si>
    <t>SIGNATURE SHIRT WHITE[WHITE/FREE]</t>
  </si>
  <si>
    <t>3-172212102491208</t>
  </si>
  <si>
    <t>FRILL SAILOR SHIRT WHITE</t>
  </si>
  <si>
    <t>BS17SS-SH04WHF</t>
  </si>
  <si>
    <t>FRILL SAILOR SHIRT WHITE[WHITE/FREE]</t>
  </si>
  <si>
    <t>3-172212102399208</t>
  </si>
  <si>
    <t>FRILL SAILOR SHIRT BLACK</t>
  </si>
  <si>
    <t>BS17SS-SH04BKF</t>
  </si>
  <si>
    <t>FRILL SAILOR SHIRT BLACK[BLACK/FREE]</t>
  </si>
  <si>
    <t>3-172212102231208</t>
  </si>
  <si>
    <t>FRILL PAJAMA SHIRT SKYBLUE</t>
  </si>
  <si>
    <t>BS17SS-SH03SBF</t>
  </si>
  <si>
    <t>FRILL PAJAMA SHIRT SKYBLUE[SKY BLUE/FREE]</t>
  </si>
  <si>
    <t>3-172212102191208</t>
  </si>
  <si>
    <t>FRILL PAJAMA SHIRT WHITE</t>
  </si>
  <si>
    <t>BS17SS-SH03WHF</t>
  </si>
  <si>
    <t>FRILL PAJAMA SHIRT WHITE[WHITE/FREE]</t>
  </si>
  <si>
    <t>3-172212102099208</t>
  </si>
  <si>
    <t>FRILL PAJAMA SHIRT BLACK</t>
  </si>
  <si>
    <t>BS17SS-SH03BKF</t>
  </si>
  <si>
    <t>FRILL PAJAMA SHIRT BLACK[BLACK/FREE]</t>
  </si>
  <si>
    <t>3-172332104799320</t>
  </si>
  <si>
    <t>CHIFFON SHIRRING SKIRT BLACK</t>
  </si>
  <si>
    <t>BS17SS-SK08BKF</t>
  </si>
  <si>
    <t>CHIFFON SHIRRING SKIRT BLACK[BLACK/FREE]</t>
  </si>
  <si>
    <t>3-172332104791320</t>
  </si>
  <si>
    <t>CHIFFON SHIRRING SKIRT WHITE</t>
  </si>
  <si>
    <t>BS17SS-SK08WHF</t>
  </si>
  <si>
    <t>CHIFFON SHIRRING SKIRT WHITE[WHITE/FREE]</t>
  </si>
  <si>
    <t>3-172352100699320</t>
  </si>
  <si>
    <t>SLIT MINI SKIRT BLACK</t>
  </si>
  <si>
    <t>BS17SS-SK07BKF</t>
  </si>
  <si>
    <t>SLIT MINI SKIRT BLACK[BLACK/FREE]</t>
  </si>
  <si>
    <t>3-172352100691320</t>
  </si>
  <si>
    <t>SLIT MINI SKIRT WHITE</t>
  </si>
  <si>
    <t>BS17SS-SK07WHF</t>
  </si>
  <si>
    <t>SLIT MINI SKIRT WHITE[WHITE/FREE]</t>
  </si>
  <si>
    <t>3-172332102899320</t>
  </si>
  <si>
    <t>FRILL SHIRT SKIRT BLACK</t>
  </si>
  <si>
    <t>BS17SS-SK05BKF</t>
  </si>
  <si>
    <t>FRILL SHIRT SKIRT BLACK[BLACK/FREE]</t>
  </si>
  <si>
    <t>3-172332102923320</t>
  </si>
  <si>
    <t>FRILL SHIRT SKIRT SKYBLUE</t>
  </si>
  <si>
    <t>BS17SS-SK05SBF</t>
  </si>
  <si>
    <t>FRILL SHIRT SKIRT SKYBLUE[SKY BLUE/FREE]</t>
  </si>
  <si>
    <t>3-172342101899320</t>
  </si>
  <si>
    <t>FRILL SHORTS</t>
  </si>
  <si>
    <t>BS17SS-PT03BKF</t>
  </si>
  <si>
    <t>FRILL SHORTS[BLACK/FREE]</t>
  </si>
  <si>
    <t>3-166212112869208</t>
  </si>
  <si>
    <t>LOGO PAJAMA SHIRT</t>
  </si>
  <si>
    <t>BS16SS-SH05IV</t>
  </si>
  <si>
    <t>LOGO PAJAMA SHIRT[IVORY/FREE]</t>
  </si>
  <si>
    <t>3-166212112701208</t>
  </si>
  <si>
    <t>LOGO BANDING SHIRT</t>
  </si>
  <si>
    <t>BS16SS-SH04PK</t>
  </si>
  <si>
    <t>LOGO BANDING SHIRT[PINK/FREE]</t>
  </si>
  <si>
    <t>3-166212112769208</t>
  </si>
  <si>
    <t>BS16SS-SH04IV</t>
  </si>
  <si>
    <t>LOGO BANDING SHIRT[IVORY/FREE]</t>
  </si>
  <si>
    <t>3-166222166130208</t>
  </si>
  <si>
    <t>DOOR STRIPE T</t>
  </si>
  <si>
    <t>BS16SS-TS03NA</t>
  </si>
  <si>
    <t>DOOR STRIPE T[NAVY/FREE]</t>
  </si>
  <si>
    <t>3-166332118030320</t>
  </si>
  <si>
    <t>LINE FLARE SKIRT</t>
  </si>
  <si>
    <t>BS16SS-SK04NA</t>
  </si>
  <si>
    <t>LINE FLARE SKIRT[NAVY/FREE]</t>
  </si>
  <si>
    <t>3-166332118069320</t>
  </si>
  <si>
    <t>BS16SS-SK04IV</t>
  </si>
  <si>
    <t>LINE FLARE SKIRT[IVORY/FREE]</t>
  </si>
  <si>
    <t>3-166212106699208</t>
  </si>
  <si>
    <t>KNOCK KNOCK CROP SHIRT</t>
  </si>
  <si>
    <t>BS16SS-SH02BK</t>
  </si>
  <si>
    <t>KNOCK KNOCK CROP SHIRT[BLACK/FREE]</t>
  </si>
  <si>
    <t>3-166212106669208</t>
  </si>
  <si>
    <t>BS16SS-SH02IV</t>
  </si>
  <si>
    <t>KNOCK KNOCK CROP SHIRT[IVORY/FREE]</t>
  </si>
  <si>
    <t>3-176122103799208</t>
  </si>
  <si>
    <t>PAP MA-1</t>
  </si>
  <si>
    <t>BS17SS-JP01BK</t>
  </si>
  <si>
    <t>PAP MA-1[BLACK/FREE]</t>
  </si>
  <si>
    <t>3-176122103774208</t>
  </si>
  <si>
    <t>BS17SS-JP01BG</t>
  </si>
  <si>
    <t>PAP MA-1[BEIGE/FREE]</t>
  </si>
  <si>
    <t>3-176132105199208</t>
  </si>
  <si>
    <t>ZIPPER JACKET</t>
  </si>
  <si>
    <t>BS17SS-JK01BK</t>
  </si>
  <si>
    <t>ZIPPER JACKET[BLACK/FREE]</t>
  </si>
  <si>
    <t>3-176132105130208</t>
  </si>
  <si>
    <t>BS17SS-JK01NA</t>
  </si>
  <si>
    <t>ZIPPER JACKET[NAVY/FREE]</t>
  </si>
  <si>
    <t>3-176252110399208</t>
  </si>
  <si>
    <t>ZIPPER WRAP ONEPIECE</t>
  </si>
  <si>
    <t>BS17SS-OP02BK</t>
  </si>
  <si>
    <t>ZIPPER WRAP ONEPIECE[BLACK/FREE]</t>
  </si>
  <si>
    <t>3-176252110369208</t>
  </si>
  <si>
    <t>BS17SS-OP02NA</t>
  </si>
  <si>
    <t>ZIPPER WRAP ONEPIECE[NAVY/FREE]</t>
  </si>
  <si>
    <t>3-176252107495208</t>
  </si>
  <si>
    <t>PAP SHIRT ONEPIECE</t>
  </si>
  <si>
    <t>BS17SS-OP01GY</t>
  </si>
  <si>
    <t>PAP SHIRT ONEPIECE[GREY/FREE]</t>
  </si>
  <si>
    <t>3-176252107469208</t>
  </si>
  <si>
    <t>BS17SS-OP01IV</t>
  </si>
  <si>
    <t>PAP SHIRT ONEPIECE[IVORY/FREE]</t>
  </si>
  <si>
    <t>3-176232103799208</t>
  </si>
  <si>
    <t>SLIT LOGO HOODIE</t>
  </si>
  <si>
    <t>BS17SS-MT02BK</t>
  </si>
  <si>
    <t>SLIT LOGO HOODIE[BLACK/FREE]</t>
  </si>
  <si>
    <t>3-176232103701208</t>
  </si>
  <si>
    <t>BS17SS-MT02PK</t>
  </si>
  <si>
    <t>SLIT LOGO HOODIE[PINK/FREE]</t>
  </si>
  <si>
    <t>3-176232103630208</t>
  </si>
  <si>
    <t>PAP SWEAT SHIRT</t>
  </si>
  <si>
    <t>BS17SS-MT01NA</t>
  </si>
  <si>
    <t>PAP SWEAT SHIRT[NAVY/FREE]</t>
  </si>
  <si>
    <t>3-176232103674208</t>
  </si>
  <si>
    <t>BS17SS-MT01BG</t>
  </si>
  <si>
    <t>PAP SWEAT SHIRT[BEIGE/FREE]</t>
  </si>
  <si>
    <t>3-176222124130208</t>
  </si>
  <si>
    <t>LOGO  STRIPE T</t>
  </si>
  <si>
    <t>BS17SS-TS01NA</t>
  </si>
  <si>
    <t>LOGO  STRIPE T[NAVY/FREE]</t>
  </si>
  <si>
    <t>3-176222124169208</t>
  </si>
  <si>
    <t>LOGO STRIPE T</t>
  </si>
  <si>
    <t>BS17SS-TS01IV</t>
  </si>
  <si>
    <t>LOGO STRIPE T[IVORY/FREE]</t>
  </si>
  <si>
    <t>3-176212105123208</t>
  </si>
  <si>
    <t>BASIC V-NECK SHIRT</t>
  </si>
  <si>
    <t>BS17SS-SH02SB</t>
  </si>
  <si>
    <t>BASIC V-NECK SHIRT[SKYBLUE/FREE]</t>
  </si>
  <si>
    <t>3-176212105169208</t>
  </si>
  <si>
    <t>BS17SS-SH02IV</t>
  </si>
  <si>
    <t>BASIC V-NECK SHIRT[IVORY/FREE]</t>
  </si>
  <si>
    <t>3-171242100799208</t>
  </si>
  <si>
    <t>PAP PAJAMA SHIRT</t>
  </si>
  <si>
    <t>BS17SS-SH01BK</t>
  </si>
  <si>
    <t>PAP PAJAMA SHIRT[BLACK/FREE]</t>
  </si>
  <si>
    <t>3-171242100769208</t>
  </si>
  <si>
    <t>BS17SS-SH01IV</t>
  </si>
  <si>
    <t>PAP PAJAMA SHIRT[IVORY/FREE]</t>
  </si>
  <si>
    <t>3-176332108325320</t>
  </si>
  <si>
    <t>VENT SKIRT</t>
  </si>
  <si>
    <t>BS17SS-SK04DN</t>
  </si>
  <si>
    <t>DENIM/FREE</t>
  </si>
  <si>
    <t>VENT SKIRT[DENIM/FREE]</t>
  </si>
  <si>
    <t>3-176332108299320</t>
  </si>
  <si>
    <t>BS17SS-SK03BK</t>
  </si>
  <si>
    <t>VENT SKIRT[BLACK/FREE]</t>
  </si>
  <si>
    <t>3-176332108125120</t>
  </si>
  <si>
    <t>ZIPPER MINI SKIRT</t>
  </si>
  <si>
    <t>BS17SS-SK02DN</t>
  </si>
  <si>
    <t>ZIPPER MINI SKIRT[DENIM/FREE]</t>
  </si>
  <si>
    <t>3-176332108099120</t>
  </si>
  <si>
    <t>BS17SS-SK01BK</t>
  </si>
  <si>
    <t>ZIPPER MINI SKIRT[BLACK/FREE]</t>
  </si>
  <si>
    <t>3-176322104325320</t>
  </si>
  <si>
    <t>DENIM SEMI BOOTS CUT PANTS</t>
  </si>
  <si>
    <t>BS17SS-PT02DN</t>
  </si>
  <si>
    <t>DENIM SEMI BOOTS CUT PANTS[DENIM/FREE]</t>
  </si>
  <si>
    <t>3-176312103999320</t>
  </si>
  <si>
    <t>BELT STRAIGHT PANTS</t>
  </si>
  <si>
    <t>BS17SS-PT01BK</t>
  </si>
  <si>
    <t>BELT STRAIGHT PANTS[BLACK/FREE]</t>
  </si>
  <si>
    <t>3-176312103930320</t>
  </si>
  <si>
    <t>BS17SS-PT01NA</t>
  </si>
  <si>
    <t>BELT STRAIGHT PANTS[NAVY/FREE]</t>
  </si>
  <si>
    <t>3-167112119699120</t>
  </si>
  <si>
    <t>D FUR COAT</t>
  </si>
  <si>
    <t>BS16FW-CT02BK</t>
  </si>
  <si>
    <t>D FUR COAT[BLACK/FREE]</t>
  </si>
  <si>
    <t>3-167112119695120</t>
  </si>
  <si>
    <t>BS16FW-CT02GY</t>
  </si>
  <si>
    <t>D FUR COAT[GREY/FREE]</t>
  </si>
  <si>
    <t>3-167124112999120</t>
  </si>
  <si>
    <t>D LONG PADDING</t>
  </si>
  <si>
    <t>BS16FW-JP01BK</t>
  </si>
  <si>
    <t>D LONG PADDING[BLACK/FREE]</t>
  </si>
  <si>
    <t>3-167132108899120</t>
  </si>
  <si>
    <t>D FUR JACKET</t>
  </si>
  <si>
    <t>BS16FW-JK01BK</t>
  </si>
  <si>
    <t>D FUR JACKET[BLACK/FREE]</t>
  </si>
  <si>
    <t>3-167132108895120</t>
  </si>
  <si>
    <t>BS16FW-JK01GY</t>
  </si>
  <si>
    <t>D FUR JACKET[GREY/FREE]</t>
  </si>
  <si>
    <t>3-167252123899120</t>
  </si>
  <si>
    <t>V-NECK SHIRT ONEPIECE</t>
  </si>
  <si>
    <t>BS16FW-OP05BK</t>
  </si>
  <si>
    <t>V-NECK SHIRT ONEPIECE[BLACK/FREE]</t>
  </si>
  <si>
    <t>3-167252123844120</t>
  </si>
  <si>
    <t>BS16FW-OP05DG</t>
  </si>
  <si>
    <t>DARK GREEN/FREE</t>
  </si>
  <si>
    <t>V-NECK SHIRT ONEPIECE[DARK GREEN/FREE]</t>
  </si>
  <si>
    <t>3-167252122599120</t>
  </si>
  <si>
    <t>SHIRRING MAXI ONEPIECE</t>
  </si>
  <si>
    <t>BS16FW-OP04BK</t>
  </si>
  <si>
    <t>SHIRRING MAXI ONEPIECE[BLACK/FREE]</t>
  </si>
  <si>
    <t>3-167252122530120</t>
  </si>
  <si>
    <t>BS16FW-OP04NA</t>
  </si>
  <si>
    <t>SHIRRING MAXI ONEPIECE[NAVY/FREE]</t>
  </si>
  <si>
    <t>3-167222142695208</t>
  </si>
  <si>
    <t>D HIGHNECK KNIT</t>
  </si>
  <si>
    <t>BS16FW-KN02GY</t>
  </si>
  <si>
    <t>D HIGHNECK KNIT[GREY/FREE]</t>
  </si>
  <si>
    <t>3-167222142669208</t>
  </si>
  <si>
    <t>BS16FW-KN02IV</t>
  </si>
  <si>
    <t>D HIGHNECK KNIT[IVORY/FREE]</t>
  </si>
  <si>
    <t>3-167222142599208</t>
  </si>
  <si>
    <t>D LOGO KNIT</t>
  </si>
  <si>
    <t>BS16FW-KN01BK</t>
  </si>
  <si>
    <t>D LOGO KNIT[BLACK/FREE]</t>
  </si>
  <si>
    <t>3-167222142544208</t>
  </si>
  <si>
    <t>BS16FW-KN01DG</t>
  </si>
  <si>
    <t>D LOGO KNIT[DARK GREEN/FREE]</t>
  </si>
  <si>
    <t>3-167232119299208</t>
  </si>
  <si>
    <t>FUR SWEAT SHIRT</t>
  </si>
  <si>
    <t>BS16FW-MT04BK</t>
  </si>
  <si>
    <t>FUR SWEAT SHIRT[BLACK/FREE]</t>
  </si>
  <si>
    <t>3-167232119274208</t>
  </si>
  <si>
    <t>BS16FW-MT04BE</t>
  </si>
  <si>
    <t>FUR SWEAT SHIRT[BEIGE/FREE]</t>
  </si>
  <si>
    <t>3-167234163499208</t>
  </si>
  <si>
    <t>LOGO HOODIE</t>
  </si>
  <si>
    <t>BS16FW-MT03BK</t>
  </si>
  <si>
    <t>LOGO HOODIE[BLACK/FREE]</t>
  </si>
  <si>
    <t>3-167234163444208</t>
  </si>
  <si>
    <t>BS16FW-MT03DG</t>
  </si>
  <si>
    <t>LOGO HOODIE[DARK GREEN/FREE]</t>
  </si>
  <si>
    <t>3-167212113669208</t>
  </si>
  <si>
    <t>LOGO CORDUROY SHIRT</t>
  </si>
  <si>
    <t>BS16FW-SH03IV</t>
  </si>
  <si>
    <t>LOGO CORDUROY SHIRT[IVORY/FREE]</t>
  </si>
  <si>
    <t>3-167332120399320</t>
  </si>
  <si>
    <t>D CORDUROY SKIRT</t>
  </si>
  <si>
    <t>BS16FW-SK03BK</t>
  </si>
  <si>
    <t>D CORDUROY SKIRT[BLACK/FREE]</t>
  </si>
  <si>
    <t>3-167332120374320</t>
  </si>
  <si>
    <t>BS16FW-SK03BE</t>
  </si>
  <si>
    <t>D CORDUROY SKIRT[BEIGE/FREE]</t>
  </si>
  <si>
    <t>3-167312117299320</t>
  </si>
  <si>
    <t>BASIC STRAIGHT PANTS</t>
  </si>
  <si>
    <t>BS16FW-PT02BK</t>
  </si>
  <si>
    <t>BASIC STRAIGHT PANTS[BLACK/FREE]</t>
  </si>
  <si>
    <t>3-167312117295320</t>
  </si>
  <si>
    <t>BS16FW-PT02GY</t>
  </si>
  <si>
    <t>BASIC STRAIGHT PANTS[GREY/FREE]</t>
  </si>
  <si>
    <t>3-167112103399120</t>
  </si>
  <si>
    <t>D.ROBE COAT</t>
  </si>
  <si>
    <t>BS16FW-CT01BK</t>
  </si>
  <si>
    <t>D.ROBE COAT[BLACK/FREE]</t>
  </si>
  <si>
    <t>3-167112103374120</t>
  </si>
  <si>
    <t>BS16FW-CT01BE</t>
  </si>
  <si>
    <t>D.ROBE COAT[BEIGE/FREE]</t>
  </si>
  <si>
    <t>3-167252114799120</t>
  </si>
  <si>
    <t>D.POINT LONG SHIRT</t>
  </si>
  <si>
    <t>BS16FW-OP03BK</t>
  </si>
  <si>
    <t>D.POINT LONG SHIRT[BLACK/FREE]</t>
  </si>
  <si>
    <t>3-167252109899208</t>
  </si>
  <si>
    <t>D.POINT ONEPIECE</t>
  </si>
  <si>
    <t>BS16FW-OP02BK</t>
  </si>
  <si>
    <t>D.POINT ONEPIECE[BLACK/FREE]</t>
  </si>
  <si>
    <t>3-167252109844208</t>
  </si>
  <si>
    <t>BS16FW-OP02DG</t>
  </si>
  <si>
    <t>D.POINT ONEPIECE[DARK GREEN/FREE]</t>
  </si>
  <si>
    <t>3-167252109999208</t>
  </si>
  <si>
    <t>FIRE MTM ONEPIECE</t>
  </si>
  <si>
    <t>BS16FW-OP01BK</t>
  </si>
  <si>
    <t>FIRE MTM ONEPIECE[BLACK/FREE]</t>
  </si>
  <si>
    <t>3-167252109972208</t>
  </si>
  <si>
    <t>BS16FW-OP01RD</t>
  </si>
  <si>
    <t>FIRE MTM ONEPIECE[RED/FREE]</t>
  </si>
  <si>
    <t>3-167232105599208</t>
  </si>
  <si>
    <t>CAUTION SWEAT SHIRT</t>
  </si>
  <si>
    <t>BS16FW-MT02BK</t>
  </si>
  <si>
    <t>CAUTION SWEAT SHIRT[BLACK/FREE]</t>
  </si>
  <si>
    <t>3-167232105474208</t>
  </si>
  <si>
    <t>FIRE SWEAT SHIRT</t>
  </si>
  <si>
    <t>BS16FW-MT01BE</t>
  </si>
  <si>
    <t>FIRE SWEAT SHIRT[BEIGE/FREE]</t>
  </si>
  <si>
    <t>3-167232105469208</t>
  </si>
  <si>
    <t>BS16FW-MT01IV</t>
  </si>
  <si>
    <t>FIRE SWEAT SHIRT[IVORY/FREE]</t>
  </si>
  <si>
    <t>3-167214108144208</t>
  </si>
  <si>
    <t>V-NECK LOGO SHIRT</t>
  </si>
  <si>
    <t>BS16FW-SH01DG</t>
  </si>
  <si>
    <t>V-NECK LOGO SHIRT[DARK GREEN/FREE]</t>
  </si>
  <si>
    <t>3-167332105499320</t>
  </si>
  <si>
    <t>D.POINT LONG SKIRT</t>
  </si>
  <si>
    <t>BS16FW-SK02BK</t>
  </si>
  <si>
    <t>D.POINT LONG SKIRT[BLACK/FREE]</t>
  </si>
  <si>
    <t>3-167332105474320</t>
  </si>
  <si>
    <t>BS16FW-SK02BE</t>
  </si>
  <si>
    <t>D.POINT LONG SKIRT[BEIGE/FREE]</t>
  </si>
  <si>
    <t>3-167332105299320</t>
  </si>
  <si>
    <t>D.POINT MINI SKIRT</t>
  </si>
  <si>
    <t>BS16FW-SK01BK</t>
  </si>
  <si>
    <t>D.POINT MINI SKIRT[BLACK/FREE]</t>
  </si>
  <si>
    <t>3-167332105244320</t>
  </si>
  <si>
    <t>BS16FW-SK01DG</t>
  </si>
  <si>
    <t>D.POINT MINI SKIRT[DARK GREEN/FREE]</t>
  </si>
  <si>
    <t>3-167312108774320</t>
  </si>
  <si>
    <t>D.POINT WIDE PANTS</t>
  </si>
  <si>
    <t>BS16FW-PT01BE</t>
  </si>
  <si>
    <t>D.POINT WIDE PANTS[BEIGE/FREE]</t>
  </si>
  <si>
    <t>a-tm17wb002rdM</t>
  </si>
  <si>
    <t>atm17wb002rdM</t>
  </si>
  <si>
    <t>Set Check Skirt</t>
  </si>
  <si>
    <t>Red/M</t>
  </si>
  <si>
    <t>Set Check Skirt[Red/M]</t>
  </si>
  <si>
    <t>a-tm17wb002rdS</t>
  </si>
  <si>
    <t>atm17wb002rdS</t>
  </si>
  <si>
    <t>Red/S</t>
  </si>
  <si>
    <t>Set Check Skirt[Red/S]</t>
  </si>
  <si>
    <t>a-tm17wb002bkM</t>
  </si>
  <si>
    <t>atm17wb002bkM</t>
  </si>
  <si>
    <t>Set Check Skirt[Black/M]</t>
  </si>
  <si>
    <t>a-tm17wb002bkS</t>
  </si>
  <si>
    <t>atm17wb002bkS</t>
  </si>
  <si>
    <t>Set Check Skirt[Black/S]</t>
  </si>
  <si>
    <t>a-tm17wb001rdL</t>
  </si>
  <si>
    <t>atm17wb001rdL</t>
  </si>
  <si>
    <t>Set Check Pants</t>
  </si>
  <si>
    <t>Red/L</t>
  </si>
  <si>
    <t>Set Check Pants[Red/L]</t>
  </si>
  <si>
    <t>a-tm17wb001rdM</t>
  </si>
  <si>
    <t>atm17wb001rdM</t>
  </si>
  <si>
    <t>Set Check Pants[Red/M]</t>
  </si>
  <si>
    <t>a-tm17wb001rdS</t>
  </si>
  <si>
    <t>atm17wb001rdS</t>
  </si>
  <si>
    <t>Set Check Pants[Red/S]</t>
  </si>
  <si>
    <t>a-tm17wb001bkL</t>
  </si>
  <si>
    <t>atm17wb001bkL</t>
  </si>
  <si>
    <t>Set Check Pants[Black/L]</t>
  </si>
  <si>
    <t>a-tm17wb001bkM</t>
  </si>
  <si>
    <t>atm17wb001bkM</t>
  </si>
  <si>
    <t>Set Check Pants[Black/M]</t>
  </si>
  <si>
    <t>a-tm17wb001bkS</t>
  </si>
  <si>
    <t>atm17wb001bkS</t>
  </si>
  <si>
    <t>Set Check Pants[Black/S]</t>
  </si>
  <si>
    <t>a-tm17wt009rdL</t>
  </si>
  <si>
    <t>atm17wt009rdL</t>
  </si>
  <si>
    <t>Set Check Shirt</t>
  </si>
  <si>
    <t>Set Check Shirt[Red/L]</t>
  </si>
  <si>
    <t>a-tm17wt009rdM</t>
  </si>
  <si>
    <t>atm17wt009rdM</t>
  </si>
  <si>
    <t>Set Check Shirt[Red/M]</t>
  </si>
  <si>
    <t>a-tm17wt009bkL</t>
  </si>
  <si>
    <t>atm17wt009bkL</t>
  </si>
  <si>
    <t>Set Check Shirt[Black/L]</t>
  </si>
  <si>
    <t>a-tm17wt009bkM</t>
  </si>
  <si>
    <t>atm17wt009bkM</t>
  </si>
  <si>
    <t>Set Check Shirt[Black/M]</t>
  </si>
  <si>
    <t>a-tm17wt008nv</t>
  </si>
  <si>
    <t>atm17wt008nv</t>
  </si>
  <si>
    <t>Fake Turtleneck Sweatshirt</t>
  </si>
  <si>
    <t>Fake Turtleneck Sweatshirt[Navy/Free]</t>
  </si>
  <si>
    <t>a-tm17wt008bk</t>
  </si>
  <si>
    <t>atm17wt008bk</t>
  </si>
  <si>
    <t>Fake Turtleneck Sweatshirt[Black/Free]</t>
  </si>
  <si>
    <t>a-tm17wt007gr</t>
  </si>
  <si>
    <t>atm17wt007Gr</t>
  </si>
  <si>
    <t>Pocket Knit Sweatshirt</t>
  </si>
  <si>
    <t>atm17wt007gr</t>
  </si>
  <si>
    <t>Gray/Free</t>
  </si>
  <si>
    <t>Pocket Knit Sweatshirt[Gray/Free]</t>
  </si>
  <si>
    <t>a-tm17wt007bk</t>
  </si>
  <si>
    <t>atm17wt007bk</t>
  </si>
  <si>
    <t>Pocket Knit Sweatshirt[Black/Free]</t>
  </si>
  <si>
    <t>a-tm17wt006gr</t>
  </si>
  <si>
    <t>atm17wt006Gr</t>
  </si>
  <si>
    <t>Whatever Zipper Sweatshirt</t>
  </si>
  <si>
    <t>atm17wt006gr</t>
  </si>
  <si>
    <t>Whatever Zipper Sweatshirt[Gray/Free]</t>
  </si>
  <si>
    <t>a-tm17wt006bk</t>
  </si>
  <si>
    <t>atm17wt006bk</t>
  </si>
  <si>
    <t>Whatever Zipper Sweatshirt[Black/Free]</t>
  </si>
  <si>
    <t>a-tm17wt005nv</t>
  </si>
  <si>
    <t>atm17wt005nv</t>
  </si>
  <si>
    <t>Notice Turtleneck Sweatshirt</t>
  </si>
  <si>
    <t>Notice Turtleneck Sweatshirt[Navy/Free]</t>
  </si>
  <si>
    <t>a-tm17wt005bk</t>
  </si>
  <si>
    <t>atm17wt005bk</t>
  </si>
  <si>
    <t>Notice Turtleneck Sweatshirt[Black/Free]</t>
  </si>
  <si>
    <t>a-tm17wt004pk</t>
  </si>
  <si>
    <t>atm17wt004pk</t>
  </si>
  <si>
    <t>Notice Crop Hoodie</t>
  </si>
  <si>
    <t>Notice Crop Hoodie[Pink/Free]</t>
  </si>
  <si>
    <t>a-tm17wt004bk</t>
  </si>
  <si>
    <t>atm17wt004bk</t>
  </si>
  <si>
    <t>Notice Crop Hoodie[Black/Free]</t>
  </si>
  <si>
    <t>a-tm17wt003be</t>
  </si>
  <si>
    <t>atm17wt003be</t>
  </si>
  <si>
    <t>2017 Poodle Hoodie</t>
  </si>
  <si>
    <t>2017 Poodle Hoodie[Beige/Free]</t>
  </si>
  <si>
    <t>a-tm17wt003bk</t>
  </si>
  <si>
    <t>atm17wt003bk</t>
  </si>
  <si>
    <t>2017 Poodle Hoodie[Black/Free]</t>
  </si>
  <si>
    <t>a-tm17wt002grL</t>
  </si>
  <si>
    <t>atm17wt002GrL</t>
  </si>
  <si>
    <t>Tomorrow Hoodie</t>
  </si>
  <si>
    <t>atm17wt002grL</t>
  </si>
  <si>
    <t>Tomorrow Hoodie[Gray/L]</t>
  </si>
  <si>
    <t>a-tm17wt002grM</t>
  </si>
  <si>
    <t>atm17wt002GrM</t>
  </si>
  <si>
    <t>atm17wt002grM</t>
  </si>
  <si>
    <t>Tomorrow Hoodie[Gray/M]</t>
  </si>
  <si>
    <t>a-tm17wt002bkL</t>
  </si>
  <si>
    <t>atm17wt002bkL</t>
  </si>
  <si>
    <t>Tomorrow Hoodie[Black/L]</t>
  </si>
  <si>
    <t>a-tm17wt002bkM</t>
  </si>
  <si>
    <t>atm17wt002bkM</t>
  </si>
  <si>
    <t>Tomorrow Hoodie[Black/M]</t>
  </si>
  <si>
    <t>a-tm17wt001nvL</t>
  </si>
  <si>
    <t>atm17wt001nvL</t>
  </si>
  <si>
    <t>Do It Hoodie</t>
  </si>
  <si>
    <t>Do It Hoodie[Navy/L]</t>
  </si>
  <si>
    <t>a-tm17wt001nvM</t>
  </si>
  <si>
    <t>atm17wt001nvM</t>
  </si>
  <si>
    <t>Do It Hoodie[Navy/M]</t>
  </si>
  <si>
    <t>a-tm17wt001bkL</t>
  </si>
  <si>
    <t>atm17wt001bkL</t>
  </si>
  <si>
    <t>Do It Hoodie[Black/L]</t>
  </si>
  <si>
    <t>a-tm17wt001bkM</t>
  </si>
  <si>
    <t>atm17wt001bkM</t>
  </si>
  <si>
    <t>Do It Hoodie[Black/M]</t>
  </si>
  <si>
    <t>a-tm17wo003blL</t>
  </si>
  <si>
    <t>atm17wo003blL</t>
  </si>
  <si>
    <t>Oversized Long Coat</t>
  </si>
  <si>
    <t>Oversized Long Coat[Blue/L]</t>
  </si>
  <si>
    <t>a-tm17wo003blM</t>
  </si>
  <si>
    <t>atm17wo003blM</t>
  </si>
  <si>
    <t>Oversized Long Coat[Blue/M]</t>
  </si>
  <si>
    <t>a-tm17wo003bkL</t>
  </si>
  <si>
    <t>atm17wo003bkL</t>
  </si>
  <si>
    <t>Oversized Long Coat[Black/L]</t>
  </si>
  <si>
    <t>a-tm17wo003bkM</t>
  </si>
  <si>
    <t>atm17wo003bkM</t>
  </si>
  <si>
    <t>Oversized Long Coat[Black/M]</t>
  </si>
  <si>
    <t>a-tm17wo002be</t>
  </si>
  <si>
    <t>Duffle Zipper Jacket</t>
  </si>
  <si>
    <t>atm17wo002be</t>
  </si>
  <si>
    <t>Duffle Zipper Jacket[Beige/Free]</t>
  </si>
  <si>
    <t>a-tm17wo002bk</t>
  </si>
  <si>
    <t>atm17wo002bk</t>
  </si>
  <si>
    <t>Duffle Zipper Jacket[Black/Free]</t>
  </si>
  <si>
    <t>a-tm17wo001og</t>
  </si>
  <si>
    <t>atm17wo001oG</t>
  </si>
  <si>
    <t>Collar Oversized MA-1</t>
  </si>
  <si>
    <t>atm17wo001og</t>
  </si>
  <si>
    <t>Collar Oversized MA-1[Orange/Free]</t>
  </si>
  <si>
    <t>a-tm17wo001bk</t>
  </si>
  <si>
    <t>atm17wo001bk</t>
  </si>
  <si>
    <t>Collar Oversized MA-1[Black/Free]</t>
  </si>
  <si>
    <t>a-tm17fb002ivM</t>
  </si>
  <si>
    <t>atm17fb002ivM</t>
  </si>
  <si>
    <t>Chino Skirt</t>
  </si>
  <si>
    <t>Ivory/M</t>
  </si>
  <si>
    <t>Chino Skirt[Ivory/M]</t>
  </si>
  <si>
    <t>a-tm17fb002ivS</t>
  </si>
  <si>
    <t>atm17fb002ivS</t>
  </si>
  <si>
    <t>Ivory/S</t>
  </si>
  <si>
    <t>Chino Skirt[Ivory/S]</t>
  </si>
  <si>
    <t>a-tm17fb002bkM</t>
  </si>
  <si>
    <t>atm17fb002bkM</t>
  </si>
  <si>
    <t>Chino Skirt[Black/M]</t>
  </si>
  <si>
    <t>a-tm17fb002bkS</t>
  </si>
  <si>
    <t>atm17fb002bkS</t>
  </si>
  <si>
    <t>Chino Skirt[Black/S]</t>
  </si>
  <si>
    <t>a-tm17fb001beL</t>
  </si>
  <si>
    <t>atm17fb001beL</t>
  </si>
  <si>
    <t>Bang Chino Pants</t>
  </si>
  <si>
    <t>Bang Chino Pants[Beige/L]</t>
  </si>
  <si>
    <t>a-tm17fb001beM</t>
  </si>
  <si>
    <t>atm17fb001beM</t>
  </si>
  <si>
    <t>Bang Chino Pants[Beige/M]</t>
  </si>
  <si>
    <t>a-tm17fb001beS</t>
  </si>
  <si>
    <t>atm17fb001beS</t>
  </si>
  <si>
    <t>Beige/S</t>
  </si>
  <si>
    <t>Bang Chino Pants[Beige/S]</t>
  </si>
  <si>
    <t>a-tm17fb001bkL</t>
  </si>
  <si>
    <t>atm17fb001bkL</t>
  </si>
  <si>
    <t>Bang Chino Pants[Black/L]</t>
  </si>
  <si>
    <t>a-tm17fb001bkM</t>
  </si>
  <si>
    <t>atm17fb001bkM</t>
  </si>
  <si>
    <t>Bang Chino Pants[Black/M]</t>
  </si>
  <si>
    <t>a-tm17fb001bkS</t>
  </si>
  <si>
    <t>atm17fb001bkS</t>
  </si>
  <si>
    <t>Bang Chino Pants[Black/S]</t>
  </si>
  <si>
    <t>a-tm17ft010rdL</t>
  </si>
  <si>
    <t>atm17ft010rdL</t>
  </si>
  <si>
    <t>Stripe Zipper Shirt</t>
  </si>
  <si>
    <t>Stripe Zipper Shirt[Red/L]</t>
  </si>
  <si>
    <t>a-tm17ft010rdM</t>
  </si>
  <si>
    <t>atm17ft010rdM</t>
  </si>
  <si>
    <t>Stripe Zipper Shirt[Red/M]</t>
  </si>
  <si>
    <t>a-tm17ft010bkL</t>
  </si>
  <si>
    <t>atm17ft010bkL</t>
  </si>
  <si>
    <t>Stripe Zipper Shirt[Black/L]</t>
  </si>
  <si>
    <t>a-tm17ft010bkM</t>
  </si>
  <si>
    <t>atm17ft010bkM</t>
  </si>
  <si>
    <t>Stripe Zipper Shirt[Black/M]</t>
  </si>
  <si>
    <t>a-tm17ft006grL</t>
  </si>
  <si>
    <t>atm17ft006GrL</t>
  </si>
  <si>
    <t>Tiger Hoodie</t>
  </si>
  <si>
    <t>atm17ft006grL</t>
  </si>
  <si>
    <t>Tiger Hoodie[Gray/L]</t>
  </si>
  <si>
    <t>a-tm17ft006grM</t>
  </si>
  <si>
    <t>atm17ft006GrM</t>
  </si>
  <si>
    <t>atm17ft006grM</t>
  </si>
  <si>
    <t>Tiger Hoodie[Gray/M]</t>
  </si>
  <si>
    <t>a-tm17ft006bkL</t>
  </si>
  <si>
    <t>atm17ft006bkL</t>
  </si>
  <si>
    <t>Tiger Hoodie[Black/L]</t>
  </si>
  <si>
    <t>a-tm17ft006bkM</t>
  </si>
  <si>
    <t>atm17ft006bkM</t>
  </si>
  <si>
    <t>Tiger Hoodie[Black/M]</t>
  </si>
  <si>
    <t>a-tm17ft011be</t>
  </si>
  <si>
    <t>atm17ft011be</t>
  </si>
  <si>
    <t>Tiger Cotton Shirt</t>
  </si>
  <si>
    <t>Tiger Cotton Shirt[Beige/Free]</t>
  </si>
  <si>
    <t>a-tm17ft011bk</t>
  </si>
  <si>
    <t>atm17ft011bk</t>
  </si>
  <si>
    <t>Tiger Cotton Shirt[Black/Free]</t>
  </si>
  <si>
    <t>a-tm17ft009rd</t>
  </si>
  <si>
    <t>atm17ft009rd</t>
  </si>
  <si>
    <t>Smile Rugby Tee</t>
  </si>
  <si>
    <t>Smile Rugby Tee[Red/Free]</t>
  </si>
  <si>
    <t>a-tm17ft009bk</t>
  </si>
  <si>
    <t>atm17ft009bk</t>
  </si>
  <si>
    <t>Smile Rugby Tee[Black/Free]</t>
  </si>
  <si>
    <t>a-tm17ft008wt</t>
  </si>
  <si>
    <t>atm17ft008wt</t>
  </si>
  <si>
    <t>Print Long T-shirt</t>
  </si>
  <si>
    <t>Print Long T-shirt[White/Free]</t>
  </si>
  <si>
    <t>a-tm17ft008bk</t>
  </si>
  <si>
    <t>atm17ft008bk</t>
  </si>
  <si>
    <t>Print Long T-shirt[Black/Free]</t>
  </si>
  <si>
    <t>a-tm17ft005gr</t>
  </si>
  <si>
    <t>atm17ft005Gr</t>
  </si>
  <si>
    <t>Anorak Sweatshirt</t>
  </si>
  <si>
    <t>atm17ft005gr</t>
  </si>
  <si>
    <t>Anorak Sweatshirt[Gray/Free]</t>
  </si>
  <si>
    <t>a-tm17ft005bk</t>
  </si>
  <si>
    <t>atm17ft005bk</t>
  </si>
  <si>
    <t>Anorak Sweatshirt[Black/Free]</t>
  </si>
  <si>
    <t>a-tm17ft004gr</t>
  </si>
  <si>
    <t>atm17ft004Gr</t>
  </si>
  <si>
    <t>Star Sweatshirt</t>
  </si>
  <si>
    <t>atm17ft004gr</t>
  </si>
  <si>
    <t>Star Sweatshirt[Gray/Free]</t>
  </si>
  <si>
    <t>a-tm17ft004bk</t>
  </si>
  <si>
    <t>atm17ft004bk</t>
  </si>
  <si>
    <t>Star Sweatshirt[Black/Free]</t>
  </si>
  <si>
    <t>a-tm17ft003nv</t>
  </si>
  <si>
    <t>atm17ft003nv</t>
  </si>
  <si>
    <t>Tiger Sweatshirt</t>
  </si>
  <si>
    <t>Tiger Sweatshirt[Navy/Free]</t>
  </si>
  <si>
    <t>a-tm17ft003bk</t>
  </si>
  <si>
    <t>atm17ft003bk</t>
  </si>
  <si>
    <t>Tiger Sweatshirt[Black/Free]</t>
  </si>
  <si>
    <t>a-tm17ft002gr</t>
  </si>
  <si>
    <t>atm17ft002Gr</t>
  </si>
  <si>
    <t>Bang Sweatshirt</t>
  </si>
  <si>
    <t>atm17ft002gr</t>
  </si>
  <si>
    <t>Bang Sweatshirt[Green/Free]</t>
  </si>
  <si>
    <t>a-tm17ft002bk</t>
  </si>
  <si>
    <t>atm17ft002bk</t>
  </si>
  <si>
    <t>Bang Sweatshirt[Black/Free]</t>
  </si>
  <si>
    <t>a-tm17ft001gr</t>
  </si>
  <si>
    <t>atm17ft001Gr</t>
  </si>
  <si>
    <t>Smile Sweatshirt</t>
  </si>
  <si>
    <t>atm17ft001gr</t>
  </si>
  <si>
    <t>Smile Sweatshirt[Gray/Free]</t>
  </si>
  <si>
    <t>a-tm17ft001bk</t>
  </si>
  <si>
    <t>atm17ft001bk</t>
  </si>
  <si>
    <t>Smile Sweatshirt[Black/Free]</t>
  </si>
  <si>
    <t>a-tm17fo003bl</t>
  </si>
  <si>
    <t>atm17fo003bl</t>
  </si>
  <si>
    <t>Pocket Anorak</t>
  </si>
  <si>
    <t>Pocket Anorak[Blue/Free]</t>
  </si>
  <si>
    <t>a-tm17fo003bk</t>
  </si>
  <si>
    <t>atm17fo003bk</t>
  </si>
  <si>
    <t>Pocket Anorak[Black/Free]</t>
  </si>
  <si>
    <t>a-tm17fo002pk</t>
  </si>
  <si>
    <t>atm17fo002pk</t>
  </si>
  <si>
    <t>Print Cotton Jacket[Pink/Free]</t>
  </si>
  <si>
    <t>a-tm17fo002bk</t>
  </si>
  <si>
    <t>Print Cotton Jacket[Black/Free]</t>
  </si>
  <si>
    <t>a-tm17ub002bk</t>
  </si>
  <si>
    <t>atm17ub002bk</t>
  </si>
  <si>
    <t>Sweat Half Pants</t>
  </si>
  <si>
    <t>Black/F</t>
  </si>
  <si>
    <t>Sweat Half Pants[Black/F]</t>
  </si>
  <si>
    <t>a-tm17ub002bl</t>
  </si>
  <si>
    <t>atm17ub002bl</t>
  </si>
  <si>
    <t>Blue/F</t>
  </si>
  <si>
    <t>Sweat Half Pants[Blue/F]</t>
  </si>
  <si>
    <t>a-tm17ub001bk</t>
  </si>
  <si>
    <t>Cotton Half Pants</t>
  </si>
  <si>
    <t>atm17ub001bk</t>
  </si>
  <si>
    <t>Cotton Half Pants[Black/F]</t>
  </si>
  <si>
    <t>a-tm17ub001be</t>
  </si>
  <si>
    <t>atm17ub001be</t>
  </si>
  <si>
    <t>Beige/F</t>
  </si>
  <si>
    <t>Cotton Half Pants[Beige/F]</t>
  </si>
  <si>
    <t>a-tm17ub001wt</t>
  </si>
  <si>
    <t>atm17ub001wt</t>
  </si>
  <si>
    <t>White/F</t>
  </si>
  <si>
    <t>Cotton Half Pants[White/F]</t>
  </si>
  <si>
    <t>a-tm17ut010bk</t>
  </si>
  <si>
    <t>atm17ut010bk</t>
  </si>
  <si>
    <t>Ticket Raglan 
Half T-shirt</t>
  </si>
  <si>
    <t>Ticket Raglan 
Half T-shirt[Black/F]</t>
  </si>
  <si>
    <t>a-tm17ut010wt</t>
  </si>
  <si>
    <t>atm17ut010wt</t>
  </si>
  <si>
    <t>Ticket Raglan 
Half T-shirt[White/F]</t>
  </si>
  <si>
    <t>a-tm17ut009rd</t>
  </si>
  <si>
    <t>atm17ut009rd</t>
  </si>
  <si>
    <t>City Raglan 
Half T-shirt</t>
  </si>
  <si>
    <t>Red/F</t>
  </si>
  <si>
    <t>City Raglan 
Half T-shirt[Red/F]</t>
  </si>
  <si>
    <t>a-tm17ut009bl</t>
  </si>
  <si>
    <t>atm17ut009bl</t>
  </si>
  <si>
    <t>City Raglan 
Half T-shirt[Blue/F]</t>
  </si>
  <si>
    <t>a-tm17ut008pk</t>
  </si>
  <si>
    <t>atm17ut008pk</t>
  </si>
  <si>
    <t>Lettering 
Half T-shirt</t>
  </si>
  <si>
    <t>Pink/F</t>
  </si>
  <si>
    <t>Lettering 
Half T-shirt[Pink/F]</t>
  </si>
  <si>
    <t>a-tm17ut008og</t>
  </si>
  <si>
    <t>atm17ut008oG</t>
  </si>
  <si>
    <t>atm17ut008og</t>
  </si>
  <si>
    <t>Orange/F</t>
  </si>
  <si>
    <t>Lettering 
Half T-shirt[Orange/F]</t>
  </si>
  <si>
    <t>a-tm17ut007bk</t>
  </si>
  <si>
    <t>atm17ut007bk</t>
  </si>
  <si>
    <t>Guard Half T-shirt</t>
  </si>
  <si>
    <t>Guard Half T-shirt[Black/F]</t>
  </si>
  <si>
    <t>a-tm17ut007ye</t>
  </si>
  <si>
    <t>atm17ut007ye</t>
  </si>
  <si>
    <t>Yellow/F</t>
  </si>
  <si>
    <t>Guard Half T-shirt[Yellow/F]</t>
  </si>
  <si>
    <t>a-tm17ut006bk</t>
  </si>
  <si>
    <t>atm17ut006bk</t>
  </si>
  <si>
    <t>Cobra Half T-shirt</t>
  </si>
  <si>
    <t>Cobra Half T-shirt[Black/F]</t>
  </si>
  <si>
    <t>a-tm17ut006wt</t>
  </si>
  <si>
    <t>atm17ut006wt</t>
  </si>
  <si>
    <t>Cobra Half T-shirt[White/F]</t>
  </si>
  <si>
    <t>a-tm17ut005bk</t>
  </si>
  <si>
    <t>atm17ut005bk</t>
  </si>
  <si>
    <t>Wolf Half T-shirt</t>
  </si>
  <si>
    <t>Wolf Half T-shirt[Black/F]</t>
  </si>
  <si>
    <t>a-tm17ut005wt</t>
  </si>
  <si>
    <t>atm17ut005wt</t>
  </si>
  <si>
    <t>Wolf Half T-shirt[White/F]</t>
  </si>
  <si>
    <t>a-tm17ut004bl</t>
  </si>
  <si>
    <t>Welcome 
Half T-shirt</t>
  </si>
  <si>
    <t>atm17ut004bl</t>
  </si>
  <si>
    <t>Welcome 
Half T-shirt[Blue/F]</t>
  </si>
  <si>
    <t>a-tm17ut004wt</t>
  </si>
  <si>
    <t>atm17ut004wt</t>
  </si>
  <si>
    <t>Welcome 
Half T-shirt[White/F]</t>
  </si>
  <si>
    <t>a-tm17ut003ye</t>
  </si>
  <si>
    <t>Big Collar 
Rugby Tee</t>
  </si>
  <si>
    <t>atm17ut003ye</t>
  </si>
  <si>
    <t>Big Collar 
Rugby Tee[Yellow/F]</t>
  </si>
  <si>
    <t>a-tm17ut003sk</t>
  </si>
  <si>
    <t>atm17ut003sk</t>
  </si>
  <si>
    <t>Sky/F</t>
  </si>
  <si>
    <t>Big Collar 
Rugby Tee[Sky/F]</t>
  </si>
  <si>
    <t>a-tm17ut003rd</t>
  </si>
  <si>
    <t>atm17ut003rd</t>
  </si>
  <si>
    <t>Big Collar 
Rugby Tee[Red/F]</t>
  </si>
  <si>
    <t>a-tm17ut002kk</t>
  </si>
  <si>
    <t>Skull Half-Shirt</t>
  </si>
  <si>
    <t>atm17ut002kk</t>
  </si>
  <si>
    <t>Khaki/F</t>
  </si>
  <si>
    <t>Skull Half-Shirt[Khaki/F]</t>
  </si>
  <si>
    <t>a-tm17ut002wt</t>
  </si>
  <si>
    <t>atm17ut002wt</t>
  </si>
  <si>
    <t>Skull Half-Shirt[White/F]</t>
  </si>
  <si>
    <t>a-tm17ut001bl</t>
  </si>
  <si>
    <t>atm17ut001bl</t>
  </si>
  <si>
    <t>Wolf Printing Shirt</t>
  </si>
  <si>
    <t>Wolf Printing Shirt[Blue/F]</t>
  </si>
  <si>
    <t>a-tm17ut001wt</t>
  </si>
  <si>
    <t>atm17ut001wt</t>
  </si>
  <si>
    <t>Wolf Printing Shirt[White/F]</t>
  </si>
  <si>
    <t>a-tm16ut004pk</t>
  </si>
  <si>
    <t>atm16ut004pk</t>
  </si>
  <si>
    <t>D-ring PK</t>
  </si>
  <si>
    <t>D-ring PK[Pink/FREE]</t>
  </si>
  <si>
    <t>a-tm16ut004sk</t>
  </si>
  <si>
    <t>atm16ut004sk</t>
  </si>
  <si>
    <t>Sky/FREE</t>
  </si>
  <si>
    <t>D-ring PK[Sky/FREE]</t>
  </si>
  <si>
    <t>a-tm16ut003pk</t>
  </si>
  <si>
    <t>atm16ut003pk</t>
  </si>
  <si>
    <t>Print T-shirt</t>
  </si>
  <si>
    <t>Print T-shirt[Pink/FREE]</t>
  </si>
  <si>
    <t>a-tm16ut003sk</t>
  </si>
  <si>
    <t>atm16ut003sk</t>
  </si>
  <si>
    <t>Print T-shirt[Sky/FREE]</t>
  </si>
  <si>
    <t>a-tm16ut002sk</t>
  </si>
  <si>
    <t>atm16ut001sk</t>
  </si>
  <si>
    <t>Stripe T-shirt</t>
  </si>
  <si>
    <t>Stripe T-shirt[Sky/FREE]</t>
  </si>
  <si>
    <t>a-tm16ut001bk</t>
  </si>
  <si>
    <t>atm16ut001bk</t>
  </si>
  <si>
    <t>Stripe T-shirt[Black/FREE]</t>
  </si>
  <si>
    <t>a-tm17so004wt</t>
  </si>
  <si>
    <t>atm17so004wt</t>
  </si>
  <si>
    <t>Belt Check Shirt</t>
  </si>
  <si>
    <t>Belt Check Shirt[White/F]</t>
  </si>
  <si>
    <t>a-tm17so004bk</t>
  </si>
  <si>
    <t>atm17so004bk</t>
  </si>
  <si>
    <t>Belt Check Shirt[Black/F]</t>
  </si>
  <si>
    <t>a-tm17sa001pk</t>
  </si>
  <si>
    <t>atm17sa001pk</t>
  </si>
  <si>
    <t>Label Cap</t>
  </si>
  <si>
    <t>Label Cap[Pink/F]</t>
  </si>
  <si>
    <t>a-tm17sa001wt</t>
  </si>
  <si>
    <t>atm17sa001wt</t>
  </si>
  <si>
    <t>Label Cap[White/F]</t>
  </si>
  <si>
    <t>a-tm17sa001bk</t>
  </si>
  <si>
    <t>atm17sa001bk</t>
  </si>
  <si>
    <t>Label Cap[Black/F]</t>
  </si>
  <si>
    <t>a-tm17sb003bkl</t>
  </si>
  <si>
    <t>atm17sb003bkl</t>
  </si>
  <si>
    <t>Piping Sweatpants</t>
  </si>
  <si>
    <t>Piping Sweatpants[Black/L]</t>
  </si>
  <si>
    <t>a-tm17sb003bk</t>
  </si>
  <si>
    <t>atm17sb003bk</t>
  </si>
  <si>
    <t>atm17sb003bkm</t>
  </si>
  <si>
    <t>Piping Sweatpants[Black/M]</t>
  </si>
  <si>
    <t>a-tm17sb002pkM</t>
  </si>
  <si>
    <t>atm17sb002pkM</t>
  </si>
  <si>
    <t>Cotton Skirt</t>
  </si>
  <si>
    <t>Pink/M</t>
  </si>
  <si>
    <t>Cotton Skirt[Pink/M]</t>
  </si>
  <si>
    <t>a-tm17sb002pkS</t>
  </si>
  <si>
    <t>atm17sb002pkS</t>
  </si>
  <si>
    <t>Pink/S</t>
  </si>
  <si>
    <t>Cotton Skirt[Pink/S]</t>
  </si>
  <si>
    <t>a-tm17sb002bkM</t>
  </si>
  <si>
    <t>atm17sb002bkM</t>
  </si>
  <si>
    <t>Cotton Skirt[Black/M]</t>
  </si>
  <si>
    <t>a-tm17sb002bkS</t>
  </si>
  <si>
    <t>atm17sb002bkS</t>
  </si>
  <si>
    <t>Cotton Skirt[Black/S]</t>
  </si>
  <si>
    <t>a-tm17st009wt</t>
  </si>
  <si>
    <t>atm17st009wt</t>
  </si>
  <si>
    <t>Cash Only T-shirt</t>
  </si>
  <si>
    <t>Cash Only T-shirt[White/F]</t>
  </si>
  <si>
    <t>a-tm17st009bk</t>
  </si>
  <si>
    <t>atm17st009bk</t>
  </si>
  <si>
    <t>Cash Only T-shirt[Black/F]</t>
  </si>
  <si>
    <t>a-tm17st008pk</t>
  </si>
  <si>
    <t>atm17st008pk</t>
  </si>
  <si>
    <t>2ST Sleeve T-shirt</t>
  </si>
  <si>
    <t>2ST Sleeve T-shirt[Pink/F]</t>
  </si>
  <si>
    <t>a-tm17st008ye</t>
  </si>
  <si>
    <t>atm17st008ye</t>
  </si>
  <si>
    <t>2ST Sleeve T-shirt[Yellow/F]</t>
  </si>
  <si>
    <t>a-tm17st007wt</t>
  </si>
  <si>
    <t>atm17st007wt</t>
  </si>
  <si>
    <t>ATM Sleeve T-shirt</t>
  </si>
  <si>
    <t>ATM Sleeve T-shirt[White/F]</t>
  </si>
  <si>
    <t>a-tm17st007nv</t>
  </si>
  <si>
    <t>atm17st007nv</t>
  </si>
  <si>
    <t>Navy/F</t>
  </si>
  <si>
    <t>ATM Sleeve T-shirt[Navy/F]</t>
  </si>
  <si>
    <t>a-tm17st006be</t>
  </si>
  <si>
    <t>atm17st006be</t>
  </si>
  <si>
    <t>Crop Sweatshirt</t>
  </si>
  <si>
    <t>Crop Sweatshirt[Beige/F]</t>
  </si>
  <si>
    <t>a-tm17st006nv</t>
  </si>
  <si>
    <t>atm17st006nv</t>
  </si>
  <si>
    <t>Crop Sweatshirt[Navy/F]</t>
  </si>
  <si>
    <t>a-tm17st005ye</t>
  </si>
  <si>
    <t>atm17st005ye</t>
  </si>
  <si>
    <t>Pocket Sweatshirt</t>
  </si>
  <si>
    <t>Pocket Sweatshirt[Yellow/F]</t>
  </si>
  <si>
    <t>a-tm17st005bk</t>
  </si>
  <si>
    <t>atm17st005bk</t>
  </si>
  <si>
    <t>Pocket Sweatshirt[Black/F]</t>
  </si>
  <si>
    <t>a-tm17st004gr</t>
  </si>
  <si>
    <t>atm17st004Gr</t>
  </si>
  <si>
    <t>Bank Sweatshirt</t>
  </si>
  <si>
    <t>atm17st004gr</t>
  </si>
  <si>
    <t>Grey/F</t>
  </si>
  <si>
    <t>Bank Sweatshirt[Grey/F]</t>
  </si>
  <si>
    <t>a-tm17st004bk</t>
  </si>
  <si>
    <t>atm17st004bk</t>
  </si>
  <si>
    <t>Bank Sweatshirt[Black/F]</t>
  </si>
  <si>
    <t>a-tm17st003wt</t>
  </si>
  <si>
    <t>atm17st003wt</t>
  </si>
  <si>
    <t>Guard Sweatshirt</t>
  </si>
  <si>
    <t>Guard Sweatshirt[White/F]</t>
  </si>
  <si>
    <t>a-tm17st003bk</t>
  </si>
  <si>
    <t>atm17st003bk</t>
  </si>
  <si>
    <t>Guard Sweatshirt[Black/F]</t>
  </si>
  <si>
    <t>a-tm17st002gr</t>
  </si>
  <si>
    <t>atm17st002Gr</t>
  </si>
  <si>
    <t>Zip-up Hoodie</t>
  </si>
  <si>
    <t>atm17st002gr</t>
  </si>
  <si>
    <t>Zip-up Hoodie[Grey/F]</t>
  </si>
  <si>
    <t>a-tm17st002bk</t>
  </si>
  <si>
    <t>atm17st002bk</t>
  </si>
  <si>
    <t>Zip-up Hoodie[Black/F]</t>
  </si>
  <si>
    <t>a-tm17st001gr</t>
  </si>
  <si>
    <t>atm17st001Gr</t>
  </si>
  <si>
    <t>ATM Hoodie</t>
  </si>
  <si>
    <t>atm17st001gr</t>
  </si>
  <si>
    <t>ATM Hoodie[Grey/F]</t>
  </si>
  <si>
    <t>a-tm17st001bk</t>
  </si>
  <si>
    <t>atm17st001bk</t>
  </si>
  <si>
    <t>ATM Hoodie[Black/F]</t>
  </si>
  <si>
    <t>a-tm16wt006cr</t>
  </si>
  <si>
    <t>atm16wt006cr</t>
  </si>
  <si>
    <t>Poodle Hoodie</t>
  </si>
  <si>
    <t>Cream/FREE</t>
  </si>
  <si>
    <t>Poodle Hoodie[Cream/FREE]</t>
  </si>
  <si>
    <t>a-tm16wt006bk</t>
  </si>
  <si>
    <t>atm16wt006bk</t>
  </si>
  <si>
    <t>Poodle Hoodie[Black/FREE]</t>
  </si>
  <si>
    <t>a-tm16wt005nv</t>
  </si>
  <si>
    <t>atm16wt005nv</t>
  </si>
  <si>
    <t>Zipper Sweatshirt</t>
  </si>
  <si>
    <t>Zipper Sweatshirt[Navy/FREE]</t>
  </si>
  <si>
    <t>a-tm16wt005bk</t>
  </si>
  <si>
    <t>atm16wt005bk</t>
  </si>
  <si>
    <t>Zipper Sweatshirt[Black/FREE]</t>
  </si>
  <si>
    <t>a-tm16wt004gr</t>
  </si>
  <si>
    <t>atm16wt004Gr</t>
  </si>
  <si>
    <t>Knit Sweatshirt</t>
  </si>
  <si>
    <t>atm16wt004gr</t>
  </si>
  <si>
    <t>Gray/FREE</t>
  </si>
  <si>
    <t>Knit Sweatshirt[Gray/FREE]</t>
  </si>
  <si>
    <t>a-tm16wt004bk</t>
  </si>
  <si>
    <t>atm16wt004bk</t>
  </si>
  <si>
    <t>Knit Sweatshirt[Black/FREE]</t>
  </si>
  <si>
    <t>a-tm16wt003gr</t>
  </si>
  <si>
    <t>atm16wt003Gr</t>
  </si>
  <si>
    <t>Crop Hoodie</t>
  </si>
  <si>
    <t>atm16wt003gr</t>
  </si>
  <si>
    <t>Crop Hoodie[Gray/FREE]</t>
  </si>
  <si>
    <t>a-tm16wt003bk</t>
  </si>
  <si>
    <t>atm16wt003bk</t>
  </si>
  <si>
    <t>Crop Hoodie[Black/FREE]</t>
  </si>
  <si>
    <t>a-tm16wt002gr</t>
  </si>
  <si>
    <t>atm16wt002Gr</t>
  </si>
  <si>
    <t>Print Hoodie</t>
  </si>
  <si>
    <t>atm16wt002gr</t>
  </si>
  <si>
    <t>Print Hoodie[Gray/FREE]</t>
  </si>
  <si>
    <t>a-tm16wt002bk</t>
  </si>
  <si>
    <t>atm16wt002bk</t>
  </si>
  <si>
    <t>Print Hoodie[Black/FREE]</t>
  </si>
  <si>
    <t>a-tm16wt001nv</t>
  </si>
  <si>
    <t>atm16wt001nv</t>
  </si>
  <si>
    <t>Fake Hoodie</t>
  </si>
  <si>
    <t>Fake Hoodie[Navy/FREE]</t>
  </si>
  <si>
    <t>a-tm16wt001gr</t>
  </si>
  <si>
    <t>atm16wt001Gr</t>
  </si>
  <si>
    <t>atm16wt001gr</t>
  </si>
  <si>
    <t>Fake Hoodie[Gray/FREE]</t>
  </si>
  <si>
    <t>LIP UNDER POINT</t>
  </si>
  <si>
    <t>S-JLP7F3U09XL</t>
  </si>
  <si>
    <t>SJLP7F3U09XL</t>
  </si>
  <si>
    <t>[LIP UNDER POINT] MARILYN SWEAT SHIRT</t>
  </si>
  <si>
    <t>XL</t>
  </si>
  <si>
    <t>[LIP UNDER POINT] MARILYN SWEAT SHIRT[XL]</t>
  </si>
  <si>
    <t>S-JLP7F3U09L</t>
  </si>
  <si>
    <t>SJLP7F3U09L</t>
  </si>
  <si>
    <t>L</t>
  </si>
  <si>
    <t>[LIP UNDER POINT] MARILYN SWEAT SHIRT[L]</t>
  </si>
  <si>
    <t>S-JLP7F3U09M</t>
  </si>
  <si>
    <t>SJLP7F3U09M</t>
  </si>
  <si>
    <t>[LIP UNDER POINT] MARILYN SWEAT SHIRT[M]</t>
  </si>
  <si>
    <t>S-JLP7F3U17XL</t>
  </si>
  <si>
    <t>SJLP7F3U17XL</t>
  </si>
  <si>
    <t>[LIP UNDER POINT] MARILYN HOODIE</t>
  </si>
  <si>
    <t>[LIP UNDER POINT] MARILYN HOODIE[XL]</t>
  </si>
  <si>
    <t>S-JLP7F3U17L</t>
  </si>
  <si>
    <t>SJLP7F3U17L</t>
  </si>
  <si>
    <t>[LIP UNDER POINT] MARILYN HOODIE[L]</t>
  </si>
  <si>
    <t>S-JLP7F3U17M</t>
  </si>
  <si>
    <t>SJLP7F3U17M</t>
  </si>
  <si>
    <t>[LIP UNDER POINT] MARILYN HOODIE[M]</t>
  </si>
  <si>
    <t>S-JLP7F3U25XL</t>
  </si>
  <si>
    <t>SJLP7F3U25XL</t>
  </si>
  <si>
    <t>[LIP UNDER POINT] MARILYN HOOD ZIP-UP</t>
  </si>
  <si>
    <t>[LIP UNDER POINT] MARILYN HOOD ZIP-UP[XL]</t>
  </si>
  <si>
    <t>S-JLP7F3U25L</t>
  </si>
  <si>
    <t>SJLP7F3U25L</t>
  </si>
  <si>
    <t>[LIP UNDER POINT] MARILYN HOOD ZIP-UP[L]</t>
  </si>
  <si>
    <t>S-JLP7F3U25M</t>
  </si>
  <si>
    <t>SJLP7F3U25M</t>
  </si>
  <si>
    <t>[LIP UNDER POINT] MARILYN HOOD ZIP-UP[M]</t>
  </si>
  <si>
    <t>AROUND80</t>
  </si>
  <si>
    <t>3-175224102625204</t>
  </si>
  <si>
    <t>SNAKE ROSE T-SHIRTS_BLUE</t>
  </si>
  <si>
    <t>AR17STS011BUF</t>
  </si>
  <si>
    <t>SNAKE ROSE T-SHIRTS_BLUE[BLUE/FREE]</t>
  </si>
  <si>
    <t>3-175224102545204</t>
  </si>
  <si>
    <t>SNAKE ROSE T-SHIRTS_GREEN</t>
  </si>
  <si>
    <t>AR17STS011GRF</t>
  </si>
  <si>
    <t>SNAKE ROSE T-SHIRTS_GREEN[GREEN/FREE]</t>
  </si>
  <si>
    <t>3-176224148945104</t>
  </si>
  <si>
    <t>MUMMIES T-SHIRTS_GREEN</t>
  </si>
  <si>
    <t>AR17STS010GRL</t>
  </si>
  <si>
    <t>MUMMIES T-SHIRTS_GREEN[GREEN/L]</t>
  </si>
  <si>
    <t>3-176224148945105</t>
  </si>
  <si>
    <t>AR17STS010GRM</t>
  </si>
  <si>
    <t>MUMMIES T-SHIRTS_GREEN[GREEN/M]</t>
  </si>
  <si>
    <t>3-176224148899205</t>
  </si>
  <si>
    <t>MUMMIES T-SHIRTS_BLACK</t>
  </si>
  <si>
    <t>AR17STS010BKL</t>
  </si>
  <si>
    <t>MUMMIES T-SHIRTS_BLACK[BLACK/L]</t>
  </si>
  <si>
    <t>3-176224148899204</t>
  </si>
  <si>
    <t>AR17STS010BKM</t>
  </si>
  <si>
    <t>MUMMIES T-SHIRTS_BLACK[BLACK/M]</t>
  </si>
  <si>
    <t>3-172224101865205</t>
  </si>
  <si>
    <t>POCKET STRIPE T-SHIRTS_YELLOW</t>
  </si>
  <si>
    <t>AR17STS009YEL</t>
  </si>
  <si>
    <t>POCKET STRIPE T-SHIRTS_YELLOW[YELLOW/L]</t>
  </si>
  <si>
    <t>3-172224101865204</t>
  </si>
  <si>
    <t>AR17STS009YEM</t>
  </si>
  <si>
    <t>POCKET STRIPE T-SHIRTS_YELLOW[YELLOW/M]</t>
  </si>
  <si>
    <t>3-176224148701205</t>
  </si>
  <si>
    <t>POCKET STRIPE T-SHIRTS_PINK</t>
  </si>
  <si>
    <t>AR17STS009PKL</t>
  </si>
  <si>
    <t>POCKET STRIPE T-SHIRTS_PINK[PINK/L]</t>
  </si>
  <si>
    <t>3-176224148701204</t>
  </si>
  <si>
    <t>AR17STS009PKM</t>
  </si>
  <si>
    <t>POCKET STRIPE T-SHIRTS_PINK[PINK/M]</t>
  </si>
  <si>
    <t>3-172224101799205</t>
  </si>
  <si>
    <t>POCKET STRIPE T-SHIRTS_WHITE</t>
  </si>
  <si>
    <t>AR17STS009WHL</t>
  </si>
  <si>
    <t>STRIPE/L</t>
  </si>
  <si>
    <t>POCKET STRIPE T-SHIRTS_WHITE[STRIPE/L]</t>
  </si>
  <si>
    <t>3-172224101799204</t>
  </si>
  <si>
    <t>AR17STS009WHM</t>
  </si>
  <si>
    <t>STRIPE/M</t>
  </si>
  <si>
    <t>POCKET STRIPE T-SHIRTS_WHITE[STRIPE/M]</t>
  </si>
  <si>
    <t>3-175224102725204</t>
  </si>
  <si>
    <t>BLACK LEOPARD STRIPE SWEAT SHIRTS_BLUE</t>
  </si>
  <si>
    <t>AR17STS008BUF</t>
  </si>
  <si>
    <t>BLACK LEOPARD STRIPE SWEAT SHIRTS_BLUE[BLUE/FREE]</t>
  </si>
  <si>
    <t>3-175224102845204</t>
  </si>
  <si>
    <t>BLACK LEOPARD STRIPE SWEAT SHIRTS_GREEN</t>
  </si>
  <si>
    <t>AR17STS008GRF</t>
  </si>
  <si>
    <t>BLACK LEOPARD STRIPE SWEAT SHIRTS_GREEN[GREEN/FREE]</t>
  </si>
  <si>
    <t>3-175224102245205</t>
  </si>
  <si>
    <t>COBRA(EMROIDERY) SWEAT SHIRTS_,MINT</t>
  </si>
  <si>
    <t>AR17STS007MIL</t>
  </si>
  <si>
    <t>MINT/L</t>
  </si>
  <si>
    <t>COBRA(EMROIDERY) SWEAT SHIRTS_,MINT[MINT/L]</t>
  </si>
  <si>
    <t>3-175224102245204</t>
  </si>
  <si>
    <t>AR17STS007MIM</t>
  </si>
  <si>
    <t>MINT/M</t>
  </si>
  <si>
    <t>COBRA(EMROIDERY) SWEAT SHIRTS_,MINT[MINT/M]</t>
  </si>
  <si>
    <t>3-175224102323205</t>
  </si>
  <si>
    <t>SCORPION(EMROIDERY) SWEAT SHIRTS_,BLUE</t>
  </si>
  <si>
    <t>AR17STS007BUL</t>
  </si>
  <si>
    <t>SCORPION(EMROIDERY) SWEAT SHIRTS_,BLUE[BLUE/L]</t>
  </si>
  <si>
    <t>3-175224102323204</t>
  </si>
  <si>
    <t>AR17STS007BUM</t>
  </si>
  <si>
    <t>SCORPION(EMROIDERY) SWEAT SHIRTS_,BLUE[BLUE/M]</t>
  </si>
  <si>
    <t>3-175224102425205</t>
  </si>
  <si>
    <t>SKINK(EMROIDERY) SWEAT SHIRTS_COBALT</t>
  </si>
  <si>
    <t>AR17STS007COL</t>
  </si>
  <si>
    <t>COBALTBLUE/L</t>
  </si>
  <si>
    <t>SKINK(EMROIDERY) SWEAT SHIRTS_COBALT[COBALTBLUE/L]</t>
  </si>
  <si>
    <t>3-175224102425204</t>
  </si>
  <si>
    <t>AR17STS007COM</t>
  </si>
  <si>
    <t>COBALTBLUE/M</t>
  </si>
  <si>
    <t>SKINK(EMROIDERY) SWEAT SHIRTS_COBALT[COBALTBLUE/M]</t>
  </si>
  <si>
    <t>3-175224101965205</t>
  </si>
  <si>
    <t>SKINK(EMBROIDERY) LONG LEEVES_YELLOW</t>
  </si>
  <si>
    <t>AR17STS006YEL</t>
  </si>
  <si>
    <t>SKINK(EMBROIDERY) LONG LEEVES_YELLOW[YELLOW/L]</t>
  </si>
  <si>
    <t>3-175224101965204</t>
  </si>
  <si>
    <t>AR17STS006YEM</t>
  </si>
  <si>
    <t>SKINK(EMBROIDERY) LONG LEEVES_YELLOW[YELLOW/M]</t>
  </si>
  <si>
    <t>3-175224101899205</t>
  </si>
  <si>
    <t>SKINK(EMBROIDERY) LONG LEEVES_BLACK</t>
  </si>
  <si>
    <t>AR17STS006BKL</t>
  </si>
  <si>
    <t>SKINK(EMBROIDERY) LONG LEEVES_BLACK[BLACK/L]</t>
  </si>
  <si>
    <t>3-175224101899204</t>
  </si>
  <si>
    <t>AR17STS006BKM</t>
  </si>
  <si>
    <t>SKINK(EMBROIDERY) LONG LEEVES_BLACK[BLACK/M]</t>
  </si>
  <si>
    <t>3-175224101501205</t>
  </si>
  <si>
    <t>COBRA(EMBROIDERY) LONG LEEVES_PINK</t>
  </si>
  <si>
    <t>AR17STS005HPL</t>
  </si>
  <si>
    <t>COBRA(EMBROIDERY) LONG LEEVES_PINK[PINK/L]</t>
  </si>
  <si>
    <t>3-175224101501204</t>
  </si>
  <si>
    <t>AR17STS005HPM</t>
  </si>
  <si>
    <t>COBRA(EMBROIDERY) LONG LEEVES_PINK[PINK/M]</t>
  </si>
  <si>
    <t>3-175224101499205</t>
  </si>
  <si>
    <t>COBRA(EMBROIDERY) LONG LEEVES_BLACK</t>
  </si>
  <si>
    <t>AR17STS005BKL</t>
  </si>
  <si>
    <t>COBRA(EMBROIDERY) LONG LEEVES_BLACK[BLACK/L]</t>
  </si>
  <si>
    <t>3-175224101499204</t>
  </si>
  <si>
    <t>AR17STS005BKM</t>
  </si>
  <si>
    <t>COBRA(EMBROIDERY) LONG LEEVES_BLACK[BLACK/M]</t>
  </si>
  <si>
    <t>3-175224102145205</t>
  </si>
  <si>
    <t>SCORPION(EMBROIDERY) LONG LEEVES_GREEN</t>
  </si>
  <si>
    <t>AR17STS004GRL</t>
  </si>
  <si>
    <t>SCORPION(EMBROIDERY) LONG LEEVES_GREEN[GREEN/L]</t>
  </si>
  <si>
    <t>3-175224102145204</t>
  </si>
  <si>
    <t>AR17STS004GRM</t>
  </si>
  <si>
    <t>SCORPION(EMBROIDERY) LONG LEEVES_GREEN[GREEN/M]</t>
  </si>
  <si>
    <t>3-175224102099205</t>
  </si>
  <si>
    <t>SCORPION(EMBROIDERY) LONG LEEVES_BLACK</t>
  </si>
  <si>
    <t>AR17STS004BKL</t>
  </si>
  <si>
    <t>SCORPION(EMBROIDERY) LONG LEEVES_BLACK[BLACK/L]</t>
  </si>
  <si>
    <t>3-175224102099204</t>
  </si>
  <si>
    <t>AR17STS004BKM</t>
  </si>
  <si>
    <t>SCORPION(EMBROIDERY) LONG LEEVES_BLACK[BLACK/M]</t>
  </si>
  <si>
    <t>3-175234101661208</t>
  </si>
  <si>
    <t>SNAKE ROSE HOODIE</t>
  </si>
  <si>
    <t>AR17STS003BKF</t>
  </si>
  <si>
    <t>SNAKE ROSE HOODIE[BLACK/FREE]</t>
  </si>
  <si>
    <t>3-175234101799208</t>
  </si>
  <si>
    <t>OSIRIS HOODIE</t>
  </si>
  <si>
    <t>AR17STS002BRF</t>
  </si>
  <si>
    <t>RED/BLACK/FREE</t>
  </si>
  <si>
    <t>OSIRIS HOODIE[RED/BLACK/FREE]</t>
  </si>
  <si>
    <t>3-175234101564208</t>
  </si>
  <si>
    <t>MISSING CLEO HOODIE_MUSTARD</t>
  </si>
  <si>
    <t>AR17STS001MUF</t>
  </si>
  <si>
    <t>MISSING CLEO HOODIE_MUSTARD[MUSTARD/FREE]</t>
  </si>
  <si>
    <t>3-175234101578208</t>
  </si>
  <si>
    <t>MISSING CLEO HOODIE_RED</t>
  </si>
  <si>
    <t>AR17STS001REF</t>
  </si>
  <si>
    <t>MISSING CLEO HOODIE_RED[RED/FREE]</t>
  </si>
  <si>
    <t>3-175234101599208</t>
  </si>
  <si>
    <t>MISSING CLEO HOODIE_BLACK</t>
  </si>
  <si>
    <t>AR17STS001BKF</t>
  </si>
  <si>
    <t>MISSING CLEO HOODIE_BLACK[BLACK/FREE]</t>
  </si>
  <si>
    <t>9-771210107001</t>
  </si>
  <si>
    <t>AR16WTS001BKF</t>
  </si>
  <si>
    <t>AR16WTS001BKF[BLACK/FREE]</t>
  </si>
  <si>
    <t>6-4616FM2H02WT000</t>
  </si>
  <si>
    <t>64616FM2H02WT000</t>
  </si>
  <si>
    <t>VELVET STRING HOOD ZIP UP</t>
  </si>
  <si>
    <t>AR16FJP001WHF</t>
  </si>
  <si>
    <t>VELVET STRING HOOD ZIP UP[WHITE/FREE]</t>
  </si>
  <si>
    <t>6-4616FM2M03WT000</t>
  </si>
  <si>
    <t>PARIS CIRCUS VELVET SWEAT SHIRTS</t>
  </si>
  <si>
    <t>AR16FTS006WHF</t>
  </si>
  <si>
    <t>WHITE+RED/FREE</t>
  </si>
  <si>
    <t>PARIS CIRCUS VELVET SWEAT SHIRTS[WHITE+RED/FREE]</t>
  </si>
  <si>
    <t>6-4616FE0T02RX000</t>
  </si>
  <si>
    <t>64616FE0T02RX000</t>
  </si>
  <si>
    <t>MULTI STRIPE T-SHIRTS</t>
  </si>
  <si>
    <t>AR16FTS005STF</t>
  </si>
  <si>
    <t>STRIPE(MULTI)/FREE</t>
  </si>
  <si>
    <t>MULTI STRIPE T-SHIRTS[STRIPE(MULTI)/FREE]</t>
  </si>
  <si>
    <t>6-4616FM2M02WT00L</t>
  </si>
  <si>
    <t>TAXI PARISIEN SWEAT SHIRTS</t>
  </si>
  <si>
    <t>AR16FTS004WHL</t>
  </si>
  <si>
    <t>TAXI PARISIEN SWEAT SHIRTS[WHITE/L]</t>
  </si>
  <si>
    <t>6-4616FM2M02WT00M</t>
  </si>
  <si>
    <t>AR16FTS004WHM</t>
  </si>
  <si>
    <t>TAXI PARISIEN SWEAT SHIRTS[WHITE/M]</t>
  </si>
  <si>
    <t>6-4616FEOTO1GEOOL</t>
  </si>
  <si>
    <t>64616FEOTO1GEOOL</t>
  </si>
  <si>
    <t>GIRL CRUSH LONG SLEEVES T-SHIRTS</t>
  </si>
  <si>
    <t>AR16FTS003GYL</t>
  </si>
  <si>
    <t>GIRL CRUSH LONG SLEEVES T-SHIRTS[GREY/L]</t>
  </si>
  <si>
    <t>6-4616FE0T01GE00M</t>
  </si>
  <si>
    <t>64616FE0T01GE00M</t>
  </si>
  <si>
    <t>AR16FTS003GYM</t>
  </si>
  <si>
    <t>GIRL CRUSH LONG SLEEVES T-SHIRTS[GREY/M]</t>
  </si>
  <si>
    <t>6-4616FE0T01GR00L</t>
  </si>
  <si>
    <t>64616FE0T01GR00L</t>
  </si>
  <si>
    <t>AR16FTS003GRL</t>
  </si>
  <si>
    <t>GIRL CRUSH LONG SLEEVES T-SHIRTS[GREEN/L]</t>
  </si>
  <si>
    <t>6-4616FE0T01GR00M</t>
  </si>
  <si>
    <t>64616FE0T01GR00M</t>
  </si>
  <si>
    <t>AR16FTS003GRM</t>
  </si>
  <si>
    <t>GIRL CRUSH LONG SLEEVES T-SHIRTS[GREEN/M]</t>
  </si>
  <si>
    <t>6-4616FE0T01WT00L</t>
  </si>
  <si>
    <t>AR16FTS003WHL</t>
  </si>
  <si>
    <t>GIRL CRUSH LONG SLEEVES T-SHIRTS[WHITE/L]</t>
  </si>
  <si>
    <t>6-4616FE0T01WT00M</t>
  </si>
  <si>
    <t>64616FE0T01WT00M</t>
  </si>
  <si>
    <t>AR16FTS003WHM</t>
  </si>
  <si>
    <t>GIRL CRUSH LONG SLEEVES T-SHIRTS[WHITE/M]</t>
  </si>
  <si>
    <t>6-4616FE0T01BK00L</t>
  </si>
  <si>
    <t>64616FE0T01BK00L</t>
  </si>
  <si>
    <t>AR16FTS003BKL</t>
  </si>
  <si>
    <t>GIRL CRUSH LONG SLEEVES T-SHIRTS[BLACK/L]</t>
  </si>
  <si>
    <t>6-4616FE0T01BK00M</t>
  </si>
  <si>
    <t>64616FE0T01BK00M</t>
  </si>
  <si>
    <t>AR16FTS003BKM</t>
  </si>
  <si>
    <t>GIRL CRUSH LONG SLEEVES T-SHIRTS[BLACK/M]</t>
  </si>
  <si>
    <t>6-4616FE0T01OR00L</t>
  </si>
  <si>
    <t>64616FE0T01OR00L</t>
  </si>
  <si>
    <t>AR16FTS003ORL</t>
  </si>
  <si>
    <t>GIRL CRUSH LONG SLEEVES T-SHIRTS[ORANGE/L]</t>
  </si>
  <si>
    <t>6-4616FE0T01OR00M</t>
  </si>
  <si>
    <t>64616FE0T01OR00M</t>
  </si>
  <si>
    <t>AR16FTS003ORM</t>
  </si>
  <si>
    <t>GIRL CRUSH LONG SLEEVES T-SHIRTS[ORANGE/M]</t>
  </si>
  <si>
    <t>6-4616FM2M01RD000</t>
  </si>
  <si>
    <t>64616FM2M01RD000</t>
  </si>
  <si>
    <t>80 SWEAT SHIRTS</t>
  </si>
  <si>
    <t>AR16FTS002RDF</t>
  </si>
  <si>
    <t>80 SWEAT SHIRTS[RED/FREE]</t>
  </si>
  <si>
    <t>6-4616FM2M01BK000</t>
  </si>
  <si>
    <t>64616FM2M01BK000</t>
  </si>
  <si>
    <t>AR16FTS002BKF</t>
  </si>
  <si>
    <t>80 SWEAT SHIRTS[BLACK/FREE]</t>
  </si>
  <si>
    <t>3-167234160561208</t>
  </si>
  <si>
    <t>MISSING SAINT HOOD T</t>
  </si>
  <si>
    <t>AR16FTS001RDF</t>
  </si>
  <si>
    <t>MISSING SAINT HOOD T[RED/FREE]</t>
  </si>
  <si>
    <t>3-167234160499208</t>
  </si>
  <si>
    <t>AR16FTS001BKF</t>
  </si>
  <si>
    <t>MISSING SAINT HOOD T[BLACK/FREE]</t>
  </si>
  <si>
    <t>A-17F2WAW125OGFRE</t>
  </si>
  <si>
    <t>A17F2WAW125OGFRE</t>
  </si>
  <si>
    <t>JENINA FUR HALF COAT awa125w</t>
  </si>
  <si>
    <t>AWA125WORF</t>
  </si>
  <si>
    <t>Orange/FRE</t>
  </si>
  <si>
    <t>JENINA FUR HALF COAT awa125w[Orange/FRE]</t>
  </si>
  <si>
    <t>A-17F2WAU122PKS</t>
  </si>
  <si>
    <t>A17F2WAU122PKS</t>
  </si>
  <si>
    <t>UNISEX AB DUCK DOWN JACKET awa122u</t>
  </si>
  <si>
    <t>awa122uPKS</t>
  </si>
  <si>
    <t>UNISEX AB DUCK DOWN JACKET awa122u[Pink/S]</t>
  </si>
  <si>
    <t>A-17F2WAU122PKM</t>
  </si>
  <si>
    <t>A17F2WAU122PKM</t>
  </si>
  <si>
    <t>awa122uPKM</t>
  </si>
  <si>
    <t>UNISEX AB DUCK DOWN JACKET awa122u[Pink/M]</t>
  </si>
  <si>
    <t>A-17F2WAU122PKL</t>
  </si>
  <si>
    <t>A17F2WAU122PKL</t>
  </si>
  <si>
    <t>awa122uPKL</t>
  </si>
  <si>
    <t>Pink/L</t>
  </si>
  <si>
    <t>UNISEX AB DUCK DOWN JACKET awa122u[Pink/L]</t>
  </si>
  <si>
    <t>A-17F2WAU122BKS</t>
  </si>
  <si>
    <t>A17F2WAU122BKS</t>
  </si>
  <si>
    <t>awa122uBKS</t>
  </si>
  <si>
    <t>UNISEX AB DUCK DOWN JACKET awa122u[Black/S]</t>
  </si>
  <si>
    <t>A-17F2WAU122BKM</t>
  </si>
  <si>
    <t>A17F2WAU122BKM</t>
  </si>
  <si>
    <t>awa122uBKM</t>
  </si>
  <si>
    <t>UNISEX AB DUCK DOWN JACKET awa122u[Black/M]</t>
  </si>
  <si>
    <t>A-17F2WAU122BKL</t>
  </si>
  <si>
    <t>A17F2WAU122BKL</t>
  </si>
  <si>
    <t>awa122uBKL</t>
  </si>
  <si>
    <t>UNISEX AB DUCK DOWN JACKET awa122u[Black/L]</t>
  </si>
  <si>
    <t>A-17F2WAW120BES</t>
  </si>
  <si>
    <t>A17F2WAW120BES</t>
  </si>
  <si>
    <t>SCARLET CASHMERE CHECK HALF COAT awa120w</t>
  </si>
  <si>
    <t>awa120wBES</t>
  </si>
  <si>
    <t>SCARLET CASHMERE CHECK HALF COAT awa120w[Beige/S]</t>
  </si>
  <si>
    <t>A-17F2WAW118MYXS</t>
  </si>
  <si>
    <t>A17F2WAW118MYXS</t>
  </si>
  <si>
    <t>MELANGE ALPACA MAXI COAT awa118w</t>
  </si>
  <si>
    <t>awa118wMYXS</t>
  </si>
  <si>
    <t>Melange Yellow/XS</t>
  </si>
  <si>
    <t>MELANGE ALPACA MAXI COAT awa118w[Melange Yellow/XS]</t>
  </si>
  <si>
    <t>A-17F2WAW118MYS</t>
  </si>
  <si>
    <t>A17F2WAW118MYS</t>
  </si>
  <si>
    <t>awa118wMYS</t>
  </si>
  <si>
    <t>Melange Yellow/S</t>
  </si>
  <si>
    <t>MELANGE ALPACA MAXI COAT awa118w[Melange Yellow/S]</t>
  </si>
  <si>
    <t>A-17F2WAW118MKXS</t>
  </si>
  <si>
    <t>A17F2WAW118MKXS</t>
  </si>
  <si>
    <t>awa118wMKXS</t>
  </si>
  <si>
    <t>M/Khaki/XS</t>
  </si>
  <si>
    <t>MELANGE ALPACA MAXI COAT awa118w[M/Khaki/XS]</t>
  </si>
  <si>
    <t>A-17F2WAW118MKS</t>
  </si>
  <si>
    <t>A17F2WAW118MKS</t>
  </si>
  <si>
    <t>awa118wMKS</t>
  </si>
  <si>
    <t>M/Khaki/S</t>
  </si>
  <si>
    <t>MELANGE ALPACA MAXI COAT awa118w[M/Khaki/S]</t>
  </si>
  <si>
    <t>A-17FWWAW112KKS</t>
  </si>
  <si>
    <t>A17FWWAW112KKS</t>
  </si>
  <si>
    <t>BAZZAR WORSTED TRENCH COAT 
awa112w</t>
  </si>
  <si>
    <t>awa112wKKS</t>
  </si>
  <si>
    <t>Khaki/S</t>
  </si>
  <si>
    <t>BAZZAR WORSTED TRENCH COAT 
awa112w[Khaki/S]</t>
  </si>
  <si>
    <t>A-17FWWAW112CKS</t>
  </si>
  <si>
    <t>A17FWWAW112CKS</t>
  </si>
  <si>
    <t>awa112wCHS</t>
  </si>
  <si>
    <t>Check/S</t>
  </si>
  <si>
    <t>BAZZAR WORSTED TRENCH COAT 
awa112w[Check/S]</t>
  </si>
  <si>
    <t>A-17FWWAW109HRS</t>
  </si>
  <si>
    <t>A17FWWAW109HRS</t>
  </si>
  <si>
    <t>KIARA HERRINGBONE SLIT JACKET 
awa109w</t>
  </si>
  <si>
    <t>awa109wHBS</t>
  </si>
  <si>
    <t>Herringbone/S</t>
  </si>
  <si>
    <t>KIARA HERRINGBONE SLIT JACKET 
awa109w[Herringbone/S]</t>
  </si>
  <si>
    <t>A-17FWWAW109HRM</t>
  </si>
  <si>
    <t>A17FWWAW109HRM</t>
  </si>
  <si>
    <t>awa109wHBM</t>
  </si>
  <si>
    <t>Herringbone/M</t>
  </si>
  <si>
    <t>KIARA HERRINGBONE SLIT JACKET 
awa109w[Herringbone/M]</t>
  </si>
  <si>
    <t>A-17FWWAM108PKM</t>
  </si>
  <si>
    <t>A17FWWAM108PKM</t>
  </si>
  <si>
    <t>JOHANSSON WOOL COACH JACKET 
awa108m</t>
  </si>
  <si>
    <t>awa108mPKM</t>
  </si>
  <si>
    <t>JOHANSSON WOOL COACH JACKET 
awa108m[Pink/M]</t>
  </si>
  <si>
    <t>A-17FWWAW099NVS</t>
  </si>
  <si>
    <t>A17FWWAW099NVS</t>
  </si>
  <si>
    <t>ZURI STRIPE LAYERED COAT 
awa099w</t>
  </si>
  <si>
    <t>awa099wDNS</t>
  </si>
  <si>
    <t>Dark Navy/S</t>
  </si>
  <si>
    <t>ZURI STRIPE LAYERED COAT 
awa099w[Dark Navy/S]</t>
  </si>
  <si>
    <t>A-17FWWAW096NVS</t>
  </si>
  <si>
    <t>A17FWWAW096NVS</t>
  </si>
  <si>
    <t>AVALON OVERSIZED DOUBLE COAT awa096w</t>
  </si>
  <si>
    <t>awa096wNVS</t>
  </si>
  <si>
    <t>Navy/S</t>
  </si>
  <si>
    <t>AVALON OVERSIZED DOUBLE COAT awa096w[Navy/S]</t>
  </si>
  <si>
    <t>A-17FWWAW096NVM</t>
  </si>
  <si>
    <t>awa096wNVM</t>
  </si>
  <si>
    <t>AVALON OVERSIZED DOUBLE COAT awa096w[Navy/M]</t>
  </si>
  <si>
    <t>A-17FWWAW096BCS</t>
  </si>
  <si>
    <t>A17FWWAW096BCS</t>
  </si>
  <si>
    <t>awa096wBCS</t>
  </si>
  <si>
    <t>Brick/S</t>
  </si>
  <si>
    <t>AVALON OVERSIZED DOUBLE COAT awa096w[Brick/S]</t>
  </si>
  <si>
    <t>A-17FWWAW096BCM</t>
  </si>
  <si>
    <t>A17FWWAW096BCM</t>
  </si>
  <si>
    <t>awa096wBCM</t>
  </si>
  <si>
    <t>Brick/M</t>
  </si>
  <si>
    <t>AVALON OVERSIZED DOUBLE COAT awa096w[Brick/M]</t>
  </si>
  <si>
    <t>A-17SSWAW088CKFRE</t>
  </si>
  <si>
    <t>A17SSWAW088CKFRE</t>
  </si>
  <si>
    <t>SOPHIE UNBALANCE JACKET  
awa088w</t>
  </si>
  <si>
    <t>awa088wCH</t>
  </si>
  <si>
    <t>Check/FREE</t>
  </si>
  <si>
    <t>SOPHIE UNBALANCE JACKET  
awa088w[Check/FREE]</t>
  </si>
  <si>
    <t>A-17SSWAU081CAS</t>
  </si>
  <si>
    <t>A17SSWAU081CAS</t>
  </si>
  <si>
    <t>UNISEX SURF CALIFORNIA FIELD JACKET awa081u(camo)</t>
  </si>
  <si>
    <t>AWA081UCAS</t>
  </si>
  <si>
    <t>camo/S</t>
  </si>
  <si>
    <t>UNISEX SURF CALIFORNIA FIELD JACKET awa081u(camo)[camo/S]</t>
  </si>
  <si>
    <t>A-16FWWAM071NVM</t>
  </si>
  <si>
    <t>A16FWWAM071NVM</t>
  </si>
  <si>
    <t>DOUBLE OVERSIZED MILITARY COAT awa071</t>
  </si>
  <si>
    <t>awa071NVM</t>
  </si>
  <si>
    <t>DOUBLE OVERSIZED MILITARY COAT awa071[Navy/M]</t>
  </si>
  <si>
    <t>A-16FWWAM070NVS</t>
  </si>
  <si>
    <t>A16FWWAM070NVS</t>
  </si>
  <si>
    <t>NELSEN OVERSIZED COAT awa070</t>
  </si>
  <si>
    <t>awa070NVS</t>
  </si>
  <si>
    <t>NELSEN OVERSIZED COAT awa070[Navy/S]</t>
  </si>
  <si>
    <t>A-16FWWAM070NVM</t>
  </si>
  <si>
    <t>A16FWWAM070NVM</t>
  </si>
  <si>
    <t>awa070NVM</t>
  </si>
  <si>
    <t>NELSEN OVERSIZED COAT awa070[Navy/M]</t>
  </si>
  <si>
    <t>A-16FWWAM070NVL</t>
  </si>
  <si>
    <t>A16FWWAM070NVL</t>
  </si>
  <si>
    <t>awa070NVL</t>
  </si>
  <si>
    <t>NELSEN OVERSIZED COAT awa070[Navy/L]</t>
  </si>
  <si>
    <t>A-16FWWAU060PKS</t>
  </si>
  <si>
    <t>A16FWWAU060PKS</t>
  </si>
  <si>
    <t>UNISEX  JOSEPH OVERSIZED COAT awa060</t>
  </si>
  <si>
    <t>awa060pkS</t>
  </si>
  <si>
    <t>pk/S</t>
  </si>
  <si>
    <t>UNISEX  JOSEPH OVERSIZED COAT awa060[pk/S]</t>
  </si>
  <si>
    <t>A-16FWWAU060BEM</t>
  </si>
  <si>
    <t>A16FWWAU060BEM</t>
  </si>
  <si>
    <t>awa060BEM</t>
  </si>
  <si>
    <t>UNISEX  JOSEPH OVERSIZED COAT awa060[BEIGE/M]</t>
  </si>
  <si>
    <t>A-16FWWAU059NVM</t>
  </si>
  <si>
    <t>A16FWWAU059NVM</t>
  </si>
  <si>
    <t>UNISEX CASHMERE OLSSON OVERSIZED COAT awa059</t>
  </si>
  <si>
    <t>awa059NVM</t>
  </si>
  <si>
    <t>UNISEX CASHMERE OLSSON OVERSIZED COAT awa059[NAVY/M]</t>
  </si>
  <si>
    <t>A-16FWWAU059NVL</t>
  </si>
  <si>
    <t>A16FWWAU059NVL</t>
  </si>
  <si>
    <t>awa059nvL</t>
  </si>
  <si>
    <t>nv/L</t>
  </si>
  <si>
    <t>UNISEX CASHMERE OLSSON OVERSIZED COAT awa059[nv/L]</t>
  </si>
  <si>
    <t>A-16FWWAU059MWM</t>
  </si>
  <si>
    <t>A16FWWAU059MWM</t>
  </si>
  <si>
    <t>awa059MWM</t>
  </si>
  <si>
    <t>M.Wine/M</t>
  </si>
  <si>
    <t>UNISEX CASHMERE OLSSON OVERSIZED COAT awa059[M.Wine/M]</t>
  </si>
  <si>
    <t>A-16FWWAU058SGM</t>
  </si>
  <si>
    <t>A16FWWAU058SGM</t>
  </si>
  <si>
    <t>[Anderssonbell X Schott N.Y.C]9629 SOUVENIR DRAGON BOMBER JACKET</t>
  </si>
  <si>
    <t>awa058SGM</t>
  </si>
  <si>
    <t>Sage/M</t>
  </si>
  <si>
    <t>[Anderssonbell X Schott N.Y.C]9629 SOUVENIR DRAGON BOMBER JACKET[Sage/M]</t>
  </si>
  <si>
    <t>A-16FWWAU058SGL</t>
  </si>
  <si>
    <t>A16FWWAU058SGL</t>
  </si>
  <si>
    <t>awa058SGL</t>
  </si>
  <si>
    <t>Sage/L</t>
  </si>
  <si>
    <t>[Anderssonbell X Schott N.Y.C]9629 SOUVENIR DRAGON BOMBER JACKET[Sage/L]</t>
  </si>
  <si>
    <t>A-16FWWAU058BKXL</t>
  </si>
  <si>
    <t>A16FWWAU058BKXL</t>
  </si>
  <si>
    <t>awa058BKXL</t>
  </si>
  <si>
    <t>Black/XL</t>
  </si>
  <si>
    <t>[Anderssonbell X Schott N.Y.C]9629 SOUVENIR DRAGON BOMBER JACKET[Black/XL]</t>
  </si>
  <si>
    <t>A-16FWWAU058BKS</t>
  </si>
  <si>
    <t>A16FWWAU058BKS</t>
  </si>
  <si>
    <t>awa058BKS</t>
  </si>
  <si>
    <t>[Anderssonbell X Schott N.Y.C]9629 SOUVENIR DRAGON BOMBER JACKET[Black/S]</t>
  </si>
  <si>
    <t>A-16FWWAU058BKM</t>
  </si>
  <si>
    <t>A16FWWAU058BKM</t>
  </si>
  <si>
    <t>awa058BKM</t>
  </si>
  <si>
    <t>[Anderssonbell X Schott N.Y.C]9629 SOUVENIR DRAGON BOMBER JACKET[Black/M]</t>
  </si>
  <si>
    <t>A-16FWWAU058BKL</t>
  </si>
  <si>
    <t>A16FWWAU058BKL</t>
  </si>
  <si>
    <t>awa058BKL</t>
  </si>
  <si>
    <t>[Anderssonbell X Schott N.Y.C]9629 SOUVENIR DRAGON BOMBER JACKET[Black/L]</t>
  </si>
  <si>
    <t>A-16FWWAU057BKM</t>
  </si>
  <si>
    <t>A16FWWAU057BKM</t>
  </si>
  <si>
    <t>[Anderssonbell X Schott N.Y.C]9630 SOUVENIR TIGER BOMBER JACKET</t>
  </si>
  <si>
    <t>awa057BKM</t>
  </si>
  <si>
    <t>[Anderssonbell X Schott N.Y.C]9630 SOUVENIR TIGER BOMBER JACKET[Black/M]</t>
  </si>
  <si>
    <t>A-16FWWAU057BKL</t>
  </si>
  <si>
    <t>A16FWWAU057BKL</t>
  </si>
  <si>
    <t>awa057BKL</t>
  </si>
  <si>
    <t>[Anderssonbell X Schott N.Y.C]9630 SOUVENIR TIGER BOMBER JACKET[Black/L]</t>
  </si>
  <si>
    <t>A-17F2TBM175IVM</t>
  </si>
  <si>
    <t>ADSB EMBROIDERY TUTLENECK L/S JERSEY atb175m</t>
  </si>
  <si>
    <t>atb175mIVM</t>
  </si>
  <si>
    <t>ADSB EMBROIDERY TUTLENECK L/S JERSEY atb175m[Ivory/M]</t>
  </si>
  <si>
    <t>A-17F2TBM175IVL</t>
  </si>
  <si>
    <t>ATB175MIVL</t>
  </si>
  <si>
    <t>Ivory/L</t>
  </si>
  <si>
    <t>ADSB EMBROIDERY TUTLENECK L/S JERSEY atb175m[Ivory/L]</t>
  </si>
  <si>
    <t>A-17F2TBM175BKM</t>
  </si>
  <si>
    <t>atb175mBKM</t>
  </si>
  <si>
    <t>ADSB EMBROIDERY TUTLENECK L/S JERSEY atb175m[Black/M]</t>
  </si>
  <si>
    <t>A-17F2TBM175BKL</t>
  </si>
  <si>
    <t>atb175mBKL</t>
  </si>
  <si>
    <t>ADSB EMBROIDERY TUTLENECK L/S JERSEY atb175m[Black/L]</t>
  </si>
  <si>
    <t>A-17F2TBU174MSXL</t>
  </si>
  <si>
    <t>UNISEX ARCH SLOGAN A.PATCH HOODIE atb174u</t>
  </si>
  <si>
    <t>atb174uMSXL</t>
  </si>
  <si>
    <t>M/SKY/XL</t>
  </si>
  <si>
    <t>UNISEX ARCH SLOGAN A.PATCH HOODIE atb174u[M/SKY/XL]</t>
  </si>
  <si>
    <t>A-17F2TBU174MSS</t>
  </si>
  <si>
    <t>atb174uMSS</t>
  </si>
  <si>
    <t>M/SKY/S</t>
  </si>
  <si>
    <t>UNISEX ARCH SLOGAN A.PATCH HOODIE atb174u[M/SKY/S]</t>
  </si>
  <si>
    <t>A-17F2TBU174MSM</t>
  </si>
  <si>
    <t>atb174uMSM</t>
  </si>
  <si>
    <t>M/SKY/M</t>
  </si>
  <si>
    <t>UNISEX ARCH SLOGAN A.PATCH HOODIE atb174u[M/SKY/M]</t>
  </si>
  <si>
    <t>A-17F2TBU174MSL</t>
  </si>
  <si>
    <t>atb174uMSL</t>
  </si>
  <si>
    <t>M/SKY/L</t>
  </si>
  <si>
    <t>UNISEX ARCH SLOGAN A.PATCH HOODIE atb174u[M/SKY/L]</t>
  </si>
  <si>
    <t>A-17F2TBU174GRXL</t>
  </si>
  <si>
    <t>atb174uGRXL</t>
  </si>
  <si>
    <t>Green/XL</t>
  </si>
  <si>
    <t>UNISEX ARCH SLOGAN A.PATCH HOODIE atb174u[Green/XL]</t>
  </si>
  <si>
    <t>A-17F2TBU174GRS</t>
  </si>
  <si>
    <t>atb174uGRS</t>
  </si>
  <si>
    <t>Green/S</t>
  </si>
  <si>
    <t>UNISEX ARCH SLOGAN A.PATCH HOODIE atb174u[Green/S]</t>
  </si>
  <si>
    <t>A-17F2TBU174GRM</t>
  </si>
  <si>
    <t>atb174uGRM</t>
  </si>
  <si>
    <t>Green/M</t>
  </si>
  <si>
    <t>UNISEX ARCH SLOGAN A.PATCH HOODIE atb174u[Green/M]</t>
  </si>
  <si>
    <t>A-17F2TBU174GRL</t>
  </si>
  <si>
    <t>atb174uGRL</t>
  </si>
  <si>
    <t>Green/L</t>
  </si>
  <si>
    <t>UNISEX ARCH SLOGAN A.PATCH HOODIE atb174u[Green/L]</t>
  </si>
  <si>
    <t>A-17F2TBU174BKXL</t>
  </si>
  <si>
    <t>A17F2TBU174BKXL</t>
  </si>
  <si>
    <t>atb174uBKXL</t>
  </si>
  <si>
    <t>UNISEX ARCH SLOGAN A.PATCH HOODIE atb174u[Black/XL]</t>
  </si>
  <si>
    <t>A-17F2TBU174BKS</t>
  </si>
  <si>
    <t>atb174uBKS</t>
  </si>
  <si>
    <t>UNISEX ARCH SLOGAN A.PATCH HOODIE atb174u[Black/S]</t>
  </si>
  <si>
    <t>A-17F2TBU174BKM</t>
  </si>
  <si>
    <t>A17F2TBU174BKM</t>
  </si>
  <si>
    <t>atb174uBKM</t>
  </si>
  <si>
    <t>UNISEX ARCH SLOGAN A.PATCH HOODIE atb174u[Black/M]</t>
  </si>
  <si>
    <t>A-17F2TBU174BKL</t>
  </si>
  <si>
    <t>A17F2TBU174BKL</t>
  </si>
  <si>
    <t>atb174uBKL</t>
  </si>
  <si>
    <t>UNISEX ARCH SLOGAN A.PATCH HOODIE atb174u[Black/L]</t>
  </si>
  <si>
    <t>A-17F2TBW168YLS</t>
  </si>
  <si>
    <t>A17F2TBW168YLS</t>
  </si>
  <si>
    <t>TARTAN MOHAIR BOAT NECK SWEATER atb168w</t>
  </si>
  <si>
    <t>atb168wYLS</t>
  </si>
  <si>
    <t>Yellow/S</t>
  </si>
  <si>
    <t>TARTAN MOHAIR BOAT NECK SWEATER atb168w[Yellow/S]</t>
  </si>
  <si>
    <t>A-17F2TBW168PKS</t>
  </si>
  <si>
    <t>A17F2TBW168PKS</t>
  </si>
  <si>
    <t>atb168wPKS</t>
  </si>
  <si>
    <t>TARTAN MOHAIR BOAT NECK SWEATER atb168w[Pink/S]</t>
  </si>
  <si>
    <t>A-17F2TBW168BRS</t>
  </si>
  <si>
    <t>A17F2TBW168BRS</t>
  </si>
  <si>
    <t>atb168wBRS</t>
  </si>
  <si>
    <t>Brown/S</t>
  </si>
  <si>
    <t>TARTAN MOHAIR BOAT NECK SWEATER atb168w[Brown/S]</t>
  </si>
  <si>
    <t>A-17F2TBM167GRL</t>
  </si>
  <si>
    <t>A17F2TBM167GRL</t>
  </si>
  <si>
    <t>TARTAN MOHAIR SWEATER atb167m</t>
  </si>
  <si>
    <t>atb167mGRL</t>
  </si>
  <si>
    <t>TARTAN MOHAIR SWEATER atb167m[Green/L]</t>
  </si>
  <si>
    <t>A-17F2TBM167DOL</t>
  </si>
  <si>
    <t>A17F2TBM167DOL</t>
  </si>
  <si>
    <t>atb167mDOL</t>
  </si>
  <si>
    <t>Dark Brown/L</t>
  </si>
  <si>
    <t>TARTAN MOHAIR SWEATER atb167m[Dark Brown/L]</t>
  </si>
  <si>
    <t>A-17F2TBU165WHS</t>
  </si>
  <si>
    <t>A17F2TBU165WHS</t>
  </si>
  <si>
    <t>UNISEX APPLIQUE TOLLEGNO SWEATER atb165u</t>
  </si>
  <si>
    <t>atb165uWHS</t>
  </si>
  <si>
    <t>White/S</t>
  </si>
  <si>
    <t>UNISEX APPLIQUE TOLLEGNO SWEATER atb165u[White/S]</t>
  </si>
  <si>
    <t>A-17F2TBU165WHM</t>
  </si>
  <si>
    <t>A17F2TBU165WHM</t>
  </si>
  <si>
    <t>atb165uWHM</t>
  </si>
  <si>
    <t>White/M</t>
  </si>
  <si>
    <t>UNISEX APPLIQUE TOLLEGNO SWEATER atb165u[White/M]</t>
  </si>
  <si>
    <t>A-17F2TBU165WHL</t>
  </si>
  <si>
    <t>A17F2TBU165WHL</t>
  </si>
  <si>
    <t>atb165uWHL</t>
  </si>
  <si>
    <t>White/L</t>
  </si>
  <si>
    <t>UNISEX APPLIQUE TOLLEGNO SWEATER atb165u[White/L]</t>
  </si>
  <si>
    <t>A-17F2TBU165KKS</t>
  </si>
  <si>
    <t>A17F2TBU165KKS</t>
  </si>
  <si>
    <t>atb165uKKS</t>
  </si>
  <si>
    <t>UNISEX APPLIQUE TOLLEGNO SWEATER atb165u[Khaki/S]</t>
  </si>
  <si>
    <t>A-17F2TBU165KKM</t>
  </si>
  <si>
    <t>A17F2TBU165KKM</t>
  </si>
  <si>
    <t>atb165uKKM</t>
  </si>
  <si>
    <t>Khaki/M</t>
  </si>
  <si>
    <t>UNISEX APPLIQUE TOLLEGNO SWEATER atb165u[Khaki/M]</t>
  </si>
  <si>
    <t>A-17F2TBU165KKL</t>
  </si>
  <si>
    <t>A17F2TBU165KKL</t>
  </si>
  <si>
    <t>atb165uKKL</t>
  </si>
  <si>
    <t>Khaki/L</t>
  </si>
  <si>
    <t>UNISEX APPLIQUE TOLLEGNO SWEATER atb165u[Khaki/L]</t>
  </si>
  <si>
    <t>A-17F2TBU165BKS</t>
  </si>
  <si>
    <t>A17F2TBU165BKS</t>
  </si>
  <si>
    <t>atb165uBKS</t>
  </si>
  <si>
    <t>UNISEX APPLIQUE TOLLEGNO SWEATER atb165u[Black/S]</t>
  </si>
  <si>
    <t>A-17F2TBU165BKM</t>
  </si>
  <si>
    <t>A17F2TBU165BKM</t>
  </si>
  <si>
    <t>atb165uBKM</t>
  </si>
  <si>
    <t>UNISEX APPLIQUE TOLLEGNO SWEATER atb165u[Black/M]</t>
  </si>
  <si>
    <t>A-17F2TBU165BKL</t>
  </si>
  <si>
    <t>A17F2TBU165BKL</t>
  </si>
  <si>
    <t>atb165uBKL</t>
  </si>
  <si>
    <t>UNISEX APPLIQUE TOLLEGNO SWEATER atb165u[Black/L]</t>
  </si>
  <si>
    <t>A-17F2TBU164PKS</t>
  </si>
  <si>
    <t>A17F2TBU164PKS</t>
  </si>
  <si>
    <t>UNISEX ANGORA TUTLENECK SWEATER atb164u</t>
  </si>
  <si>
    <t>atb164uPKS</t>
  </si>
  <si>
    <t>UNISEX ANGORA TUTLENECK SWEATER atb164u[Pink/S]</t>
  </si>
  <si>
    <t>A-17F2TBU164LIS</t>
  </si>
  <si>
    <t>A17F2TBU164LIS</t>
  </si>
  <si>
    <t>atb164uLIS</t>
  </si>
  <si>
    <t>Lime/S</t>
  </si>
  <si>
    <t>UNISEX ANGORA TUTLENECK SWEATER atb164u[Lime/S]</t>
  </si>
  <si>
    <t>A-17F2TBU164LIM</t>
  </si>
  <si>
    <t>A17F2TBU164LIM</t>
  </si>
  <si>
    <t>atb164uLIM</t>
  </si>
  <si>
    <t>Lime/M</t>
  </si>
  <si>
    <t>UNISEX ANGORA TUTLENECK SWEATER atb164u[Lime/M]</t>
  </si>
  <si>
    <t>A-17F2TBU164BRS</t>
  </si>
  <si>
    <t>A17F2TBU164BRS</t>
  </si>
  <si>
    <t>atb164uBRS</t>
  </si>
  <si>
    <t>UNISEX ANGORA TUTLENECK SWEATER atb164u[Brown/S]</t>
  </si>
  <si>
    <t>A-17F2TBU164BRM</t>
  </si>
  <si>
    <t>A17F2TBU164BRM</t>
  </si>
  <si>
    <t>atb164uBRM</t>
  </si>
  <si>
    <t>Brown/M</t>
  </si>
  <si>
    <t>UNISEX ANGORA TUTLENECK SWEATER atb164u[Brown/M]</t>
  </si>
  <si>
    <t>A-17F2TBU164BLS</t>
  </si>
  <si>
    <t>A17F2TBU164BLS</t>
  </si>
  <si>
    <t>atb164uBLS</t>
  </si>
  <si>
    <t>UNISEX ANGORA TUTLENECK SWEATER atb164u[Blue/S]</t>
  </si>
  <si>
    <t>A-17F2TBU164BLM</t>
  </si>
  <si>
    <t>A17F2TBU164BLM</t>
  </si>
  <si>
    <t>atb164uBLM</t>
  </si>
  <si>
    <t>UNISEX ANGORA TUTLENECK SWEATER atb164u[Blue/M]</t>
  </si>
  <si>
    <t>A-17F2TBU164BLL</t>
  </si>
  <si>
    <t>A17F2TBU164BLL</t>
  </si>
  <si>
    <t>atb164uBLL</t>
  </si>
  <si>
    <t>UNISEX ANGORA TUTLENECK SWEATER atb164u[Blue/L]</t>
  </si>
  <si>
    <t>A-17FWTBU163GES</t>
  </si>
  <si>
    <t>A17FWTBU163GES</t>
  </si>
  <si>
    <t>DEREK RIDGERS COLLABORATION HOODIE atb163u</t>
  </si>
  <si>
    <t>atb163uGYS</t>
  </si>
  <si>
    <t>Grey/S</t>
  </si>
  <si>
    <t>DEREK RIDGERS COLLABORATION HOODIE atb163u[Grey/S]</t>
  </si>
  <si>
    <t>A-17FWTBU163GEM</t>
  </si>
  <si>
    <t>A17FWTBU163GEM</t>
  </si>
  <si>
    <t>atb163uGYM</t>
  </si>
  <si>
    <t>Grey/M</t>
  </si>
  <si>
    <t>DEREK RIDGERS COLLABORATION HOODIE atb163u[Grey/M]</t>
  </si>
  <si>
    <t>A-17FWTBU163GEL</t>
  </si>
  <si>
    <t>A17FWTBU163GEL</t>
  </si>
  <si>
    <t>atb163uGYL</t>
  </si>
  <si>
    <t>Grey/L</t>
  </si>
  <si>
    <t>DEREK RIDGERS COLLABORATION HOODIE atb163u[Grey/L]</t>
  </si>
  <si>
    <t>A-17FWTBU163BKS</t>
  </si>
  <si>
    <t>A17FWTBU163BKS</t>
  </si>
  <si>
    <t>atb163uBKS</t>
  </si>
  <si>
    <t>DEREK RIDGERS COLLABORATION HOODIE atb163u[Black/S]</t>
  </si>
  <si>
    <t>A-17FWTBU163BKM</t>
  </si>
  <si>
    <t>A17FWTBU163BKM</t>
  </si>
  <si>
    <t>atb163uBKM</t>
  </si>
  <si>
    <t>DEREK RIDGERS COLLABORATION HOODIE atb163u[Black/M]</t>
  </si>
  <si>
    <t>A-17FWTBU163BKL</t>
  </si>
  <si>
    <t>A17FWTBU163BKL</t>
  </si>
  <si>
    <t>atb163uBKL</t>
  </si>
  <si>
    <t>DEREK RIDGERS COLLABORATION HOODIE atb163u[Black/L]</t>
  </si>
  <si>
    <t>A-17FWTBU162BKS</t>
  </si>
  <si>
    <t>A17FWTBU162BKS</t>
  </si>
  <si>
    <t>DEREK RIDGERS COLLABORATION SWEATSHIRT atb162u</t>
  </si>
  <si>
    <t>atb162uBKS</t>
  </si>
  <si>
    <t>DEREK RIDGERS COLLABORATION SWEATSHIRT atb162u[Black/S]</t>
  </si>
  <si>
    <t>A-17FWTBU162BKM</t>
  </si>
  <si>
    <t>A17FWTBU162BKM</t>
  </si>
  <si>
    <t>atb162uBKM</t>
  </si>
  <si>
    <t>DEREK RIDGERS COLLABORATION SWEATSHIRT atb162u[Black/M]</t>
  </si>
  <si>
    <t>A-17FWTBU162BKL</t>
  </si>
  <si>
    <t>A17FWTBU162BKL</t>
  </si>
  <si>
    <t>atb162uBKL</t>
  </si>
  <si>
    <t>DEREK RIDGERS COLLABORATION SWEATSHIRT atb162u[Black/L]</t>
  </si>
  <si>
    <t>A-17FWTBU161MAS</t>
  </si>
  <si>
    <t>A17FWTBU161MAS</t>
  </si>
  <si>
    <t>UNISEX LAYER EMBROIDERY HOODIE 
atb161u</t>
  </si>
  <si>
    <t>atb161uMGS</t>
  </si>
  <si>
    <t>Magenta/S</t>
  </si>
  <si>
    <t>UNISEX LAYER EMBROIDERY HOODIE 
atb161u[Magenta/S]</t>
  </si>
  <si>
    <t>A-17FWTBU161MAM</t>
  </si>
  <si>
    <t>A17FWTBU161MAM</t>
  </si>
  <si>
    <t>atb161uMGM</t>
  </si>
  <si>
    <t>Magenta/M</t>
  </si>
  <si>
    <t>UNISEX LAYER EMBROIDERY HOODIE 
atb161u[Magenta/M]</t>
  </si>
  <si>
    <t>A-17FWTBU161MAL</t>
  </si>
  <si>
    <t>A17FWTBU161MAL</t>
  </si>
  <si>
    <t>atb161uMGL</t>
  </si>
  <si>
    <t>Magenta/L</t>
  </si>
  <si>
    <t>UNISEX LAYER EMBROIDERY HOODIE 
atb161u[Magenta/L]</t>
  </si>
  <si>
    <t>A-17FWTBU161GES</t>
  </si>
  <si>
    <t>A17FWTBU161GES</t>
  </si>
  <si>
    <t>atb161uGYS</t>
  </si>
  <si>
    <t>UNISEX LAYER EMBROIDERY HOODIE 
atb161u[Grey/S]</t>
  </si>
  <si>
    <t>A-17FWTBU161GEM</t>
  </si>
  <si>
    <t>A17FWTBU161GEM</t>
  </si>
  <si>
    <t>atb161uGYM</t>
  </si>
  <si>
    <t>UNISEX LAYER EMBROIDERY HOODIE 
atb161u[Grey/M]</t>
  </si>
  <si>
    <t>A-17FWTBU161GEL</t>
  </si>
  <si>
    <t>A17FWTBU161GEL</t>
  </si>
  <si>
    <t>atb161uGYL</t>
  </si>
  <si>
    <t>UNISEX LAYER EMBROIDERY HOODIE 
atb161u[Grey/L]</t>
  </si>
  <si>
    <t>A-17FWTBU161GRS</t>
  </si>
  <si>
    <t>A17FWTBU161GRS</t>
  </si>
  <si>
    <t>atb161uGRS</t>
  </si>
  <si>
    <t>UNISEX LAYER EMBROIDERY HOODIE 
atb161u[Green/S]</t>
  </si>
  <si>
    <t>A-17FWTBU161GRL</t>
  </si>
  <si>
    <t>A17FWTBU161GRL</t>
  </si>
  <si>
    <t>atb161uGRL</t>
  </si>
  <si>
    <t>UNISEX LAYER EMBROIDERY HOODIE 
atb161u[Green/L]</t>
  </si>
  <si>
    <t>A-17FWTBU161BKXL</t>
  </si>
  <si>
    <t>A17FWTBU161BKXL</t>
  </si>
  <si>
    <t>atb161uBKXL</t>
  </si>
  <si>
    <t>UNISEX LAYER EMBROIDERY HOODIE 
atb161u[Black/XL]</t>
  </si>
  <si>
    <t>A-17FWTBW161BKS</t>
  </si>
  <si>
    <t>A17FWTBW161BKS</t>
  </si>
  <si>
    <t>atb161uBKS</t>
  </si>
  <si>
    <t>UNISEX LAYER EMBROIDERY HOODIE 
atb161u[Black/S]</t>
  </si>
  <si>
    <t>A-17FWTBU161BKM</t>
  </si>
  <si>
    <t>A17FWTBU161BKM</t>
  </si>
  <si>
    <t>atb161uBKM</t>
  </si>
  <si>
    <t>UNISEX LAYER EMBROIDERY HOODIE 
atb161u[Black/M]</t>
  </si>
  <si>
    <t>A-17FWTBU161BKL</t>
  </si>
  <si>
    <t>A17FWTBU161BKL</t>
  </si>
  <si>
    <t>atb161uBKL</t>
  </si>
  <si>
    <t>UNISEX LAYER EMBROIDERY HOODIE 
atb161u[Black/L]</t>
  </si>
  <si>
    <t>A-17FWTBU160PKS</t>
  </si>
  <si>
    <t>A17FWTBU160PKS</t>
  </si>
  <si>
    <t>UNISEX SIGNATURE EMBROIDERY SWEATSHIRT atb160u</t>
  </si>
  <si>
    <t>atb160uPKS</t>
  </si>
  <si>
    <t>UNISEX SIGNATURE EMBROIDERY SWEATSHIRT atb160u[Pink/S]</t>
  </si>
  <si>
    <t>A-17FWTBU160PKM</t>
  </si>
  <si>
    <t>A17FWTBU160PKM</t>
  </si>
  <si>
    <t>atb160uPKM</t>
  </si>
  <si>
    <t>UNISEX SIGNATURE EMBROIDERY SWEATSHIRT atb160u[Pink/M]</t>
  </si>
  <si>
    <t>A-17FWTBU160PKL</t>
  </si>
  <si>
    <t>A17FWTBU160PKL</t>
  </si>
  <si>
    <t>atb160uPKL</t>
  </si>
  <si>
    <t>UNISEX SIGNATURE EMBROIDERY SWEATSHIRT atb160u[Pink/L]</t>
  </si>
  <si>
    <t>A-17FWTBW160ORS</t>
  </si>
  <si>
    <t>A17FWTBW160ORS</t>
  </si>
  <si>
    <t>atb160uORS</t>
  </si>
  <si>
    <t>M/Orange/S</t>
  </si>
  <si>
    <t>UNISEX SIGNATURE EMBROIDERY SWEATSHIRT atb160u[M/Orange/S]</t>
  </si>
  <si>
    <t>A-17FWTBU160MRM</t>
  </si>
  <si>
    <t>A17FWTBU160MRM</t>
  </si>
  <si>
    <t>atb160uORM</t>
  </si>
  <si>
    <t>M/Orange/M</t>
  </si>
  <si>
    <t>UNISEX SIGNATURE EMBROIDERY SWEATSHIRT atb160u[M/Orange/M]</t>
  </si>
  <si>
    <t>A-17FWTBU160MKS</t>
  </si>
  <si>
    <t>A17FWTBU160MKS</t>
  </si>
  <si>
    <t>atb160uKKS</t>
  </si>
  <si>
    <t>UNISEX SIGNATURE EMBROIDERY SWEATSHIRT atb160u[M/Khaki/S]</t>
  </si>
  <si>
    <t>A-17FWTBU160MKM</t>
  </si>
  <si>
    <t>A17FWTBU160MKM</t>
  </si>
  <si>
    <t>atb160uKKM</t>
  </si>
  <si>
    <t>M/Khaki/M</t>
  </si>
  <si>
    <t>UNISEX SIGNATURE EMBROIDERY SWEATSHIRT atb160u[M/Khaki/M]</t>
  </si>
  <si>
    <t>A-17FWTBU160MKL</t>
  </si>
  <si>
    <t>A17FWTBU160MKL</t>
  </si>
  <si>
    <t>atb160uKKL</t>
  </si>
  <si>
    <t>M/Khaki/L</t>
  </si>
  <si>
    <t>UNISEX SIGNATURE EMBROIDERY SWEATSHIRT atb160u[M/Khaki/L]</t>
  </si>
  <si>
    <t>A-17FWTBU160BKS</t>
  </si>
  <si>
    <t>A17FWTBU160BKS</t>
  </si>
  <si>
    <t>atb160uBKS</t>
  </si>
  <si>
    <t>UNISEX SIGNATURE EMBROIDERY SWEATSHIRT atb160u[Black/S]</t>
  </si>
  <si>
    <t>A-17FWTBU160BKM</t>
  </si>
  <si>
    <t>A17FWTBU160BKM</t>
  </si>
  <si>
    <t>atb160uBKM</t>
  </si>
  <si>
    <t>UNISEX SIGNATURE EMBROIDERY SWEATSHIRT atb160u[Black/M]</t>
  </si>
  <si>
    <t>A-17FWTBU160BKL</t>
  </si>
  <si>
    <t>A17FWTBU160BKL</t>
  </si>
  <si>
    <t>atb160uBKL</t>
  </si>
  <si>
    <t>UNISEX SIGNATURE EMBROIDERY SWEATSHIRT atb160u[Black/L]</t>
  </si>
  <si>
    <t>A-17FWTBW159BRFRE</t>
  </si>
  <si>
    <t>A17FWTBW159BRFRE</t>
  </si>
  <si>
    <t>MONACO BELTED DRESS atb159w</t>
  </si>
  <si>
    <t>atb159wBRF</t>
  </si>
  <si>
    <t>Brown/FREE</t>
  </si>
  <si>
    <t>MONACO BELTED DRESS atb159w[Brown/FREE]</t>
  </si>
  <si>
    <t>A-17FWTBW158WHS</t>
  </si>
  <si>
    <t>A17FWTBW158WHS</t>
  </si>
  <si>
    <t>STRIPE PUFF SLEEVE BLOUSE 
atb158w</t>
  </si>
  <si>
    <t>atb158wWHS</t>
  </si>
  <si>
    <t>STRIPE PUFF SLEEVE BLOUSE 
atb158w[White/S]</t>
  </si>
  <si>
    <t>A-17FWTBW158BLS</t>
  </si>
  <si>
    <t>A17FWTBW158BLS</t>
  </si>
  <si>
    <t>atb158wBLS</t>
  </si>
  <si>
    <t>STRIPE PUFF SLEEVE BLOUSE 
atb158w[Blue/S]</t>
  </si>
  <si>
    <t>A-17FWTBU152RDS</t>
  </si>
  <si>
    <t>A17FWTBU152RDS</t>
  </si>
  <si>
    <t>UNISEX CREW NECK ALPACA SWEATER 
atb152u</t>
  </si>
  <si>
    <t>atb152uRDS</t>
  </si>
  <si>
    <t>UNISEX CREW NECK ALPACA SWEATER 
atb152u[Red/S]</t>
  </si>
  <si>
    <t>A-17FWTBU152RDM</t>
  </si>
  <si>
    <t>A17FWTBU152RDM</t>
  </si>
  <si>
    <t>atb152uRDM</t>
  </si>
  <si>
    <t>UNISEX CREW NECK ALPACA SWEATER 
atb152u[Red/M]</t>
  </si>
  <si>
    <t>A-17FWTBU152RDL</t>
  </si>
  <si>
    <t>atb152uRDL</t>
  </si>
  <si>
    <t>UNISEX CREW NECK ALPACA SWEATER 
atb152u[Red/L]</t>
  </si>
  <si>
    <t>A-17FWTBU152PKS</t>
  </si>
  <si>
    <t>A17FWTBU152PKS</t>
  </si>
  <si>
    <t>atb152uPKS</t>
  </si>
  <si>
    <t>UNISEX CREW NECK ALPACA SWEATER 
atb152u[Pink/S]</t>
  </si>
  <si>
    <t>A-17FWTBU152PKM</t>
  </si>
  <si>
    <t>A17FWTBU152PKM</t>
  </si>
  <si>
    <t>atb152uPKM</t>
  </si>
  <si>
    <t>UNISEX CREW NECK ALPACA SWEATER 
atb152u[Pink/M]</t>
  </si>
  <si>
    <t>A-17FWTBU152PKL</t>
  </si>
  <si>
    <t>A17FWTBU152PKL</t>
  </si>
  <si>
    <t>atb152uPKL</t>
  </si>
  <si>
    <t>UNISEX CREW NECK ALPACA SWEATER 
atb152u[Pink/L]</t>
  </si>
  <si>
    <t>A-17FWTBU152BLS</t>
  </si>
  <si>
    <t>A17FWTBU152BLS</t>
  </si>
  <si>
    <t>atb152uBLS</t>
  </si>
  <si>
    <t>UNISEX CREW NECK ALPACA SWEATER 
atb152u[Blue/S]</t>
  </si>
  <si>
    <t>A-17FWTBU152BLM</t>
  </si>
  <si>
    <t>A17FWTBU152BLM</t>
  </si>
  <si>
    <t>atb152uBLM</t>
  </si>
  <si>
    <t>UNISEX CREW NECK ALPACA SWEATER 
atb152u[Blue/M]</t>
  </si>
  <si>
    <t>A-17FWTBU152BLL</t>
  </si>
  <si>
    <t>A17FWTBU152BLL</t>
  </si>
  <si>
    <t>atb152uBLL</t>
  </si>
  <si>
    <t>UNISEX CREW NECK ALPACA SWEATER 
atb152u[Blue/L]</t>
  </si>
  <si>
    <t>A-17FWTBU152BKS</t>
  </si>
  <si>
    <t>A17FWTBU152BKS</t>
  </si>
  <si>
    <t>atb152uBKS</t>
  </si>
  <si>
    <t>UNISEX CREW NECK ALPACA SWEATER 
atb152u[Black/S]</t>
  </si>
  <si>
    <t>A-17FWTBU152BKM</t>
  </si>
  <si>
    <t>A17FWTBU152BKM</t>
  </si>
  <si>
    <t>atb152uBKM</t>
  </si>
  <si>
    <t>UNISEX CREW NECK ALPACA SWEATER 
atb152u[Black/M]</t>
  </si>
  <si>
    <t>A-17FWTBU152BKL</t>
  </si>
  <si>
    <t>A17FWTBU152BKL</t>
  </si>
  <si>
    <t>atb152uBKL</t>
  </si>
  <si>
    <t>UNISEX CREW NECK ALPACA SWEATER 
atb152u[Black/L]</t>
  </si>
  <si>
    <t>A-17FWTBU152BES</t>
  </si>
  <si>
    <t>A17FWTBU152BES</t>
  </si>
  <si>
    <t>atb152uBGS</t>
  </si>
  <si>
    <t>UNISEX CREW NECK ALPACA SWEATER 
atb152u[Beige/S]</t>
  </si>
  <si>
    <t>A-17FWTBU152BEM</t>
  </si>
  <si>
    <t>A17FWTBU152BEM</t>
  </si>
  <si>
    <t>atb152uBGM</t>
  </si>
  <si>
    <t>UNISEX CREW NECK ALPACA SWEATER 
atb152u[Beige/M]</t>
  </si>
  <si>
    <t>A-17FWTBU152BEL</t>
  </si>
  <si>
    <t>A17FWTBU152BEL</t>
  </si>
  <si>
    <t>atb152uBGL</t>
  </si>
  <si>
    <t>UNISEX CREW NECK ALPACA SWEATER 
atb152u[Beige/L]</t>
  </si>
  <si>
    <t>A-17S2TBW151YLS</t>
  </si>
  <si>
    <t>A17S2TBW151YLS</t>
  </si>
  <si>
    <t>DESTROYED LETTERING T-SHIRT atb151w(Yellow)</t>
  </si>
  <si>
    <t>ATB151WYLS</t>
  </si>
  <si>
    <t>DESTROYED LETTERING T-SHIRT atb151w(Yellow)[Yellow/S]</t>
  </si>
  <si>
    <t>A-17S2TBW150RKS</t>
  </si>
  <si>
    <t>A17S2TBW150RKS</t>
  </si>
  <si>
    <t>CARMA CONTRAST SWEATER atb150w
Red/Black</t>
  </si>
  <si>
    <t>atb150wRDS</t>
  </si>
  <si>
    <t>Red/Black/S</t>
  </si>
  <si>
    <t>CARMA CONTRAST SWEATER atb150w
Red/Black[Red/Black/S]</t>
  </si>
  <si>
    <t>A-17S2TBW150RKM</t>
  </si>
  <si>
    <t>atb150wRDM</t>
  </si>
  <si>
    <t>Red/Black/M</t>
  </si>
  <si>
    <t>CARMA CONTRAST SWEATER atb150w
Red/Black[Red/Black/M]</t>
  </si>
  <si>
    <t>A-17S2TBU149BKL</t>
  </si>
  <si>
    <t>UNISEX INSTANT CRUSH HOODIE atb149u(Black)[Black/L]</t>
  </si>
  <si>
    <t>A-17S2TBU148PUS</t>
  </si>
  <si>
    <t>A17S2TBU148PUS</t>
  </si>
  <si>
    <t>atb148uPPS</t>
  </si>
  <si>
    <t>Purple/S</t>
  </si>
  <si>
    <t>UNISEX OVERSIZED DAMBORU T-SHIRT atb148u
Purple[Purple/S]</t>
  </si>
  <si>
    <t>A-17S2TBU148PUM</t>
  </si>
  <si>
    <t>atb148uPPm</t>
  </si>
  <si>
    <t>Purple/M</t>
  </si>
  <si>
    <t>UNISEX OVERSIZED DAMBORU T-SHIRT atb148u
Purple[Purple/M]</t>
  </si>
  <si>
    <t>A-17S2TBU147WHS</t>
  </si>
  <si>
    <t>A17S2TBU147WHS</t>
  </si>
  <si>
    <t>UNISEX PACIFIC SURFER T-SHIRT atb147u
White</t>
  </si>
  <si>
    <t>atb147uWHS</t>
  </si>
  <si>
    <t>UNISEX PACIFIC SURFER T-SHIRT atb147u
White[White/S]</t>
  </si>
  <si>
    <t>A-17S2TBU147WHM</t>
  </si>
  <si>
    <t>A17S2TBU147WHM</t>
  </si>
  <si>
    <t>atb147uWHM</t>
  </si>
  <si>
    <t>UNISEX PACIFIC SURFER T-SHIRT atb147u
White[White/M]</t>
  </si>
  <si>
    <t>A-17S2TBU147MLS</t>
  </si>
  <si>
    <t>A17S2TBU147MLS</t>
  </si>
  <si>
    <t>UNISEX PACIFIC SURFER T-SHIRT atb147u
Mint</t>
  </si>
  <si>
    <t>atb147uMTS</t>
  </si>
  <si>
    <t>Mint/S</t>
  </si>
  <si>
    <t>UNISEX PACIFIC SURFER T-SHIRT atb147u
Mint[Mint/S]</t>
  </si>
  <si>
    <t>A-17S2TBU147MLM</t>
  </si>
  <si>
    <t>A17S2TBU147MLM</t>
  </si>
  <si>
    <t>atb147uMTM</t>
  </si>
  <si>
    <t>Mint/M</t>
  </si>
  <si>
    <t>UNISEX PACIFIC SURFER T-SHIRT atb147u
Mint[Mint/M]</t>
  </si>
  <si>
    <t>A-17S2TBU147BKS</t>
  </si>
  <si>
    <t>A17S2TBU147BKS</t>
  </si>
  <si>
    <t>UNISEX PACIFIC SURFER T-SHIRT atb147u
Black</t>
  </si>
  <si>
    <t>atb147uBKS</t>
  </si>
  <si>
    <t>UNISEX PACIFIC SURFER T-SHIRT atb147u
Black[Black/S]</t>
  </si>
  <si>
    <t>A-17S2TBU147BKM</t>
  </si>
  <si>
    <t>A17S2TBU147BKM</t>
  </si>
  <si>
    <t>atb147uBKM</t>
  </si>
  <si>
    <t>UNISEX PACIFIC SURFER T-SHIRT atb147u
Black[Black/M]</t>
  </si>
  <si>
    <t>A-17S2TBU146WHS</t>
  </si>
  <si>
    <t>A17S2TBU146WHS</t>
  </si>
  <si>
    <t>UNISEX NEW YORK LOGO T-SHIRT atb146u
White</t>
  </si>
  <si>
    <t>atb146uWHS</t>
  </si>
  <si>
    <t>UNISEX NEW YORK LOGO T-SHIRT atb146u
White[White/S]</t>
  </si>
  <si>
    <t>A-17S2TBU146WHM</t>
  </si>
  <si>
    <t>A17S2TBU146WHM</t>
  </si>
  <si>
    <t>atb146uWHM</t>
  </si>
  <si>
    <t>UNISEX NEW YORK LOGO T-SHIRT atb146u
White[White/M]</t>
  </si>
  <si>
    <t>A-17S2TBU146GRS</t>
  </si>
  <si>
    <t>A17S2TBU146GRS</t>
  </si>
  <si>
    <t>UNISEX NEW YORK LOGO T-SHIRT atb146u
green</t>
  </si>
  <si>
    <t>atb146uBNS</t>
  </si>
  <si>
    <t>UNISEX NEW YORK LOGO T-SHIRT atb146u
green[green/S]</t>
  </si>
  <si>
    <t>A-17S2TBU146GRM</t>
  </si>
  <si>
    <t>A17S2TBU146GRM</t>
  </si>
  <si>
    <t>atb146uBNM</t>
  </si>
  <si>
    <t>green/M</t>
  </si>
  <si>
    <t>UNISEX NEW YORK LOGO T-SHIRT atb146u
green[green/M]</t>
  </si>
  <si>
    <t>A-17S2TBU146BKS</t>
  </si>
  <si>
    <t>UNISEX NEW YORK LOGO T-SHIRT atb146u
Black</t>
  </si>
  <si>
    <t>atb146uBKS</t>
  </si>
  <si>
    <t>UNISEX NEW YORK LOGO T-SHIRT atb146u
Black[Black/S]</t>
  </si>
  <si>
    <t>A-17S2TBU146BKM</t>
  </si>
  <si>
    <t>A17S2TBU146BKM</t>
  </si>
  <si>
    <t>ATB146UBKM</t>
  </si>
  <si>
    <t>UNISEX NEW YORK LOGO T-SHIRT atb146u
Black[BK/M]</t>
  </si>
  <si>
    <t>A-17S2TBU143WHS</t>
  </si>
  <si>
    <t>A17S2TBU143WHS</t>
  </si>
  <si>
    <t>UNISEX COLLEGE SHORT SLEEVED SWEATSHIRT atb143u
White</t>
  </si>
  <si>
    <t>atb143uWHS</t>
  </si>
  <si>
    <t>WhiteS</t>
  </si>
  <si>
    <t>UNISEX COLLEGE SHORT SLEEVED SWEATSHIRT atb143u
White[WhiteS]</t>
  </si>
  <si>
    <t>A-17S2TBU143WHM</t>
  </si>
  <si>
    <t>atb143uWHM</t>
  </si>
  <si>
    <t>UNISEX COLLEGE SHORT SLEEVED SWEATSHIRT atb143u
White[White/M]</t>
  </si>
  <si>
    <t>A-17S2TBU143RDS</t>
  </si>
  <si>
    <t>UNISEX COLLEGE SHORT SLEEVED SWEATSHIRT atb143u
Red</t>
  </si>
  <si>
    <t>atb143uRDS</t>
  </si>
  <si>
    <t>UNISEX COLLEGE SHORT SLEEVED SWEATSHIRT atb143u
Red[Red/S]</t>
  </si>
  <si>
    <t>A-17S2TBU143RDM</t>
  </si>
  <si>
    <t>A17S2TBU143RDM</t>
  </si>
  <si>
    <t>atb143uRDM</t>
  </si>
  <si>
    <t>UNISEX COLLEGE SHORT SLEEVED SWEATSHIRT atb143u
Red[Red/M]</t>
  </si>
  <si>
    <t>A-17S2TBU143BKS</t>
  </si>
  <si>
    <t>A17S2TBU143BKS</t>
  </si>
  <si>
    <t>UNISEX COLLEGE SHORT SLEEVED SWEATSHIRT atb143u
Black</t>
  </si>
  <si>
    <t>atb143uBKS</t>
  </si>
  <si>
    <t>UNISEX COLLEGE SHORT SLEEVED SWEATSHIRT atb143u
Black[Black/S]</t>
  </si>
  <si>
    <t>A-17S2TBU143BKM</t>
  </si>
  <si>
    <t>atb143uBKM</t>
  </si>
  <si>
    <t>UNISEX COLLEGE SHORT SLEEVED SWEATSHIRT atb143u
Black[Black/M]</t>
  </si>
  <si>
    <t>A-17S2TBU142TDS</t>
  </si>
  <si>
    <t>A17S2TBU142TDS</t>
  </si>
  <si>
    <t>UNISEX ARTIST COLLABORATION T-SHIRT atb142u
The Doors</t>
  </si>
  <si>
    <t>ATB142UTDS</t>
  </si>
  <si>
    <t>The Doors/S</t>
  </si>
  <si>
    <t>UNISEX ARTIST COLLABORATION T-SHIRT atb142u
The Doors[The Doors/S]</t>
  </si>
  <si>
    <t>A-17S2TBU142TDM</t>
  </si>
  <si>
    <t>A17S2TBU142TDM</t>
  </si>
  <si>
    <t>ATB142UTDM</t>
  </si>
  <si>
    <t>The Doors/M</t>
  </si>
  <si>
    <t>UNISEX ARTIST COLLABORATION T-SHIRT atb142u
The Doors[The Doors/M]</t>
  </si>
  <si>
    <t>A-17S2TBU142PRXS</t>
  </si>
  <si>
    <t>A17S2TBU142PRXS</t>
  </si>
  <si>
    <t>UNISEX ARTIST COLLABORATION T-SHIRT atb142u
Prince</t>
  </si>
  <si>
    <t>ATB142UPRXS</t>
  </si>
  <si>
    <t>Prince/XS</t>
  </si>
  <si>
    <t>UNISEX ARTIST COLLABORATION T-SHIRT atb142u
Prince[Prince/XS]</t>
  </si>
  <si>
    <t>A-17S2TBU142PRS</t>
  </si>
  <si>
    <t>A17S2TBU142PRS</t>
  </si>
  <si>
    <t>ATB142UPRS</t>
  </si>
  <si>
    <t>Prince/S</t>
  </si>
  <si>
    <t>UNISEX ARTIST COLLABORATION T-SHIRT atb142u
Prince[Prince/S]</t>
  </si>
  <si>
    <t>A-17S2TBU142PRM</t>
  </si>
  <si>
    <t>A17S2TBU142PRM</t>
  </si>
  <si>
    <t>ATB142UPRM</t>
  </si>
  <si>
    <t>Prince/M</t>
  </si>
  <si>
    <t>UNISEX ARTIST COLLABORATION T-SHIRT atb142u
Prince[Prince/M]</t>
  </si>
  <si>
    <t>A-17S2TBU142DDS</t>
  </si>
  <si>
    <t>A17S2TBU142DDS</t>
  </si>
  <si>
    <t>UNISEX ARTIST COLLABORATION T-SHIRT atb142u
David Bowie</t>
  </si>
  <si>
    <t>ATB142UDDS</t>
  </si>
  <si>
    <t>David Bowie/S</t>
  </si>
  <si>
    <t>UNISEX ARTIST COLLABORATION T-SHIRT atb142u
David Bowie[David Bowie/S]</t>
  </si>
  <si>
    <t>A-17S2TBU142DDM</t>
  </si>
  <si>
    <t>A17S2TBU142DDM</t>
  </si>
  <si>
    <t>ATB142UDDM</t>
  </si>
  <si>
    <t>David Bowie/M</t>
  </si>
  <si>
    <t>UNISEX ARTIST COLLABORATION T-SHIRT atb142u
David Bowie[David Bowie/M]</t>
  </si>
  <si>
    <t>A-17S2TBW139BKS</t>
  </si>
  <si>
    <t>A17S2TBW139BKS</t>
  </si>
  <si>
    <t>PINK PRINT FRILL DRESS atb139wBlack</t>
  </si>
  <si>
    <t>atb139wbks</t>
  </si>
  <si>
    <t>PINK PRINT FRILL DRESS atb139wBlack[Black/S]</t>
  </si>
  <si>
    <t>A-17S2TBW138BLFRE</t>
  </si>
  <si>
    <t>A17S2TBW138BLFRE</t>
  </si>
  <si>
    <t>MOONLIGHT DOUBLE FABRIC DRESS atb138w</t>
  </si>
  <si>
    <t>ATB138WBL</t>
  </si>
  <si>
    <t>MOONLIGHT DOUBLE FABRIC DRESS atb138w[BL/F]</t>
  </si>
  <si>
    <t>A-17S2TBW134SRS</t>
  </si>
  <si>
    <t>A17S2TBW134SRS</t>
  </si>
  <si>
    <t>UNBALANCE FLOUNCE BLOUSE atb134wStripe</t>
  </si>
  <si>
    <t>atb134wSTS</t>
  </si>
  <si>
    <t>Stripe/S</t>
  </si>
  <si>
    <t>UNBALANCE FLOUNCE BLOUSE atb134wStripe[Stripe/S]</t>
  </si>
  <si>
    <t>A-17S2TBW134FOS</t>
  </si>
  <si>
    <t>A17S2TBW134FOS</t>
  </si>
  <si>
    <t>UNBALANCE FLOUNCE BLOUSE atb134wFloral</t>
  </si>
  <si>
    <t>atb134wFLS</t>
  </si>
  <si>
    <t>Floral/S</t>
  </si>
  <si>
    <t>UNBALANCE FLOUNCE BLOUSE atb134wFloral[Floral/S]</t>
  </si>
  <si>
    <t>A-17S2TBM131PUM</t>
  </si>
  <si>
    <t>A17S2TBM131PUM</t>
  </si>
  <si>
    <t>NEWYORK ALOHA SHIRT atb131mPurple</t>
  </si>
  <si>
    <t>atb131mPPM</t>
  </si>
  <si>
    <t>NEWYORK ALOHA SHIRT atb131mPurple[Purple/M]</t>
  </si>
  <si>
    <t>A-17SSTBW126RDFRE</t>
  </si>
  <si>
    <t>A17SSTBW126RDFRE</t>
  </si>
  <si>
    <t>BACK SLIT STRING SWEATSHIRT 
atb126w</t>
  </si>
  <si>
    <t>atb126wRD</t>
  </si>
  <si>
    <t>BACK SLIT STRING SWEATSHIRT 
atb126w[Red/Free]</t>
  </si>
  <si>
    <t>A-17SSTBW126BKFRE</t>
  </si>
  <si>
    <t>A17SSTBW126BKFRE</t>
  </si>
  <si>
    <t>atb126wBK</t>
  </si>
  <si>
    <t>BACK SLIT STRING SWEATSHIRT 
atb126w[Black/Free]</t>
  </si>
  <si>
    <t>A-17SSTBM125KKS</t>
  </si>
  <si>
    <t>A17SSTBM125KKS</t>
  </si>
  <si>
    <t>KANE OVERSIZED PIQUE T-SHIRT  
atb125m</t>
  </si>
  <si>
    <t>atb125mKHS</t>
  </si>
  <si>
    <t>KANE OVERSIZED PIQUE T-SHIRT  
atb125m[Khaki/S]</t>
  </si>
  <si>
    <t>A-17SSTBM125KKM</t>
  </si>
  <si>
    <t>A17SSTBM125KKM</t>
  </si>
  <si>
    <t>atb125mKHM</t>
  </si>
  <si>
    <t>KANE OVERSIZED PIQUE T-SHIRT  
atb125m[Khaki/M]</t>
  </si>
  <si>
    <t>A-17SSTBM125KKL</t>
  </si>
  <si>
    <t>A17SSTBM125KKL</t>
  </si>
  <si>
    <t>atb125mKHL</t>
  </si>
  <si>
    <t>KANE OVERSIZED PIQUE T-SHIRT  
atb125m[Khaki/L]</t>
  </si>
  <si>
    <t>A-17SSTBM125BKS</t>
  </si>
  <si>
    <t>A17SSTBM125BKS</t>
  </si>
  <si>
    <t>atb125mBKS</t>
  </si>
  <si>
    <t>KANE OVERSIZED PIQUE T-SHIRT  
atb125m[Black/S]</t>
  </si>
  <si>
    <t>A-17SSTBM125BKM</t>
  </si>
  <si>
    <t>A17SSTBM125BKM</t>
  </si>
  <si>
    <t>atb125mBKM</t>
  </si>
  <si>
    <t>KANE OVERSIZED PIQUE T-SHIRT  
atb125m[Black/M]</t>
  </si>
  <si>
    <t>A-17SSTBM125BKL</t>
  </si>
  <si>
    <t>A17SSTBM125BKL</t>
  </si>
  <si>
    <t>atb125mBKL</t>
  </si>
  <si>
    <t>KANE OVERSIZED PIQUE T-SHIRT  
atb125m[Black/L]</t>
  </si>
  <si>
    <t>A-17SSTBU124BKS</t>
  </si>
  <si>
    <t>UNISEX ANDERSSON VINTAGE COTTON T-SHIRT  atb124u[Black/S]</t>
  </si>
  <si>
    <t>A-17SSTBU124WHS</t>
  </si>
  <si>
    <t>A17SSTBU124WHS</t>
  </si>
  <si>
    <t>atb124WHS</t>
  </si>
  <si>
    <t>UNISEX ANDERSSON VINTAGE COTTON T-SHIRT  atb124u[White/S]</t>
  </si>
  <si>
    <t>A-17SSTBU124WHM</t>
  </si>
  <si>
    <t>A17SSTBU124WHM</t>
  </si>
  <si>
    <t>atb124WHM</t>
  </si>
  <si>
    <t>UNISEX ANDERSSON VINTAGE COTTON T-SHIRT  atb124u[White/M]</t>
  </si>
  <si>
    <t>A-17SSTBU124WHL</t>
  </si>
  <si>
    <t>A17SSTBU124WHL</t>
  </si>
  <si>
    <t>atb124WGL</t>
  </si>
  <si>
    <t>UNISEX ANDERSSON VINTAGE COTTON T-SHIRT  atb124u[White/L]</t>
  </si>
  <si>
    <t>A-17SSTBU124BKM</t>
  </si>
  <si>
    <t>A17SSTBU124BKM</t>
  </si>
  <si>
    <t>atb124BKM</t>
  </si>
  <si>
    <t>UNISEX ANDERSSON VINTAGE COTTON T-SHIRT  atb124u[Black/M]</t>
  </si>
  <si>
    <t>A-17SSTBU124BKL</t>
  </si>
  <si>
    <t>A17SSTBU124BKL</t>
  </si>
  <si>
    <t>atb124BKL</t>
  </si>
  <si>
    <t>UNISEX ANDERSSON VINTAGE COTTON T-SHIRT  atb124u[Black/L]</t>
  </si>
  <si>
    <t>A-17SSTBU123YLS</t>
  </si>
  <si>
    <t>A17SSTBU123YLS</t>
  </si>
  <si>
    <t>UNISEX LOS ANGELES EMBROIDERY SWEATSHIRT atb123u</t>
  </si>
  <si>
    <t>atb123uYLS</t>
  </si>
  <si>
    <t>UNISEX LOS ANGELES EMBROIDERY SWEATSHIRT atb123u[Yellow/S]</t>
  </si>
  <si>
    <t>A-17SSTBU123YLM</t>
  </si>
  <si>
    <t>A17SSTBU123YLM</t>
  </si>
  <si>
    <t>atb123uYLM</t>
  </si>
  <si>
    <t>Yellow/M</t>
  </si>
  <si>
    <t>UNISEX LOS ANGELES EMBROIDERY SWEATSHIRT atb123u[Yellow/M]</t>
  </si>
  <si>
    <t>A-17SSTBU123YLL</t>
  </si>
  <si>
    <t>A17SSTBU123YLL</t>
  </si>
  <si>
    <t>atb123uYLL</t>
  </si>
  <si>
    <t>Yellow/L</t>
  </si>
  <si>
    <t>UNISEX LOS ANGELES EMBROIDERY SWEATSHIRT atb123u[Yellow/L]</t>
  </si>
  <si>
    <t>A-17SSTBU123PUS</t>
  </si>
  <si>
    <t>A17SSTBU123PUS</t>
  </si>
  <si>
    <t>atb123uPUS</t>
  </si>
  <si>
    <t>UNISEX LOS ANGELES EMBROIDERY SWEATSHIRT atb123u[Purple/S]</t>
  </si>
  <si>
    <t>A-17SSTBU123PUM</t>
  </si>
  <si>
    <t>A17SSTBU123PUM</t>
  </si>
  <si>
    <t>atb123uPUM</t>
  </si>
  <si>
    <t>UNISEX LOS ANGELES EMBROIDERY SWEATSHIRT atb123u[Purple/M]</t>
  </si>
  <si>
    <t>A-17SSTBU123PUL</t>
  </si>
  <si>
    <t>A17SSTBU123PUL</t>
  </si>
  <si>
    <t>atb123uPUL</t>
  </si>
  <si>
    <t>Purple/L</t>
  </si>
  <si>
    <t>UNISEX LOS ANGELES EMBROIDERY SWEATSHIRT atb123u[Purple/L]</t>
  </si>
  <si>
    <t>A-17SSTBU123BRS</t>
  </si>
  <si>
    <t>A17SSTBU123BRS</t>
  </si>
  <si>
    <t>atb123uBRS</t>
  </si>
  <si>
    <t>UNISEX LOS ANGELES EMBROIDERY SWEATSHIRT atb123u[Brown/S]</t>
  </si>
  <si>
    <t>A-17SSTBU123BRL</t>
  </si>
  <si>
    <t>A17SSTBU123BRL</t>
  </si>
  <si>
    <t>atb123uBRL</t>
  </si>
  <si>
    <t>Brown/L</t>
  </si>
  <si>
    <t>UNISEX LOS ANGELES EMBROIDERY SWEATSHIRT atb123u[Brown/L]</t>
  </si>
  <si>
    <t>A-17SSTBU122PKXL</t>
  </si>
  <si>
    <t>A17SSTBU122PKXL</t>
  </si>
  <si>
    <t>UNISEX UNUSUAL PALETTE HOODIE atb122u</t>
  </si>
  <si>
    <t>atb122uPKXL</t>
  </si>
  <si>
    <t>CoralPink/XL</t>
  </si>
  <si>
    <t>UNISEX UNUSUAL PALETTE HOODIE atb122u[CoralPink/XL]</t>
  </si>
  <si>
    <t>A-17SSTBU122PKS</t>
  </si>
  <si>
    <t>A17SSTBU122PKS</t>
  </si>
  <si>
    <t>atb122uPKS</t>
  </si>
  <si>
    <t>CoralPink/S</t>
  </si>
  <si>
    <t>UNISEX UNUSUAL PALETTE HOODIE atb122u[CoralPink/S]</t>
  </si>
  <si>
    <t>A-17SSTBU122PKM</t>
  </si>
  <si>
    <t>A17SSTBU122PKM</t>
  </si>
  <si>
    <t>atb122uPKM</t>
  </si>
  <si>
    <t>CoralPink/M</t>
  </si>
  <si>
    <t>UNISEX UNUSUAL PALETTE HOODIE atb122u[CoralPink/M]</t>
  </si>
  <si>
    <t>A-17SSTBU122PKL</t>
  </si>
  <si>
    <t>A17SSTBU122PKL</t>
  </si>
  <si>
    <t>atb122uPKL</t>
  </si>
  <si>
    <t>CoralPink/L</t>
  </si>
  <si>
    <t>UNISEX UNUSUAL PALETTE HOODIE atb122u[CoralPink/L]</t>
  </si>
  <si>
    <t>A-17SSTBU122GEXL</t>
  </si>
  <si>
    <t>A17SSTBU122GEXL</t>
  </si>
  <si>
    <t>atb122uGEXL</t>
  </si>
  <si>
    <t>Grey/XL</t>
  </si>
  <si>
    <t>UNISEX UNUSUAL PALETTE HOODIE atb122u[Grey/XL]</t>
  </si>
  <si>
    <t>A-17SSTBU122GES</t>
  </si>
  <si>
    <t>A17SSTBU122GES</t>
  </si>
  <si>
    <t>atb122uGES</t>
  </si>
  <si>
    <t>UNISEX UNUSUAL PALETTE HOODIE atb122u[Grey/S]</t>
  </si>
  <si>
    <t>A-17SSTBU122GEM</t>
  </si>
  <si>
    <t>A17SSTBU122GEM</t>
  </si>
  <si>
    <t>atb122uGEM</t>
  </si>
  <si>
    <t>UNISEX UNUSUAL PALETTE HOODIE atb122u[Grey/M]</t>
  </si>
  <si>
    <t>A-17SSTBU122GEL</t>
  </si>
  <si>
    <t>A17SSTBU122GEL</t>
  </si>
  <si>
    <t>atb122uGEL</t>
  </si>
  <si>
    <t>UNISEX UNUSUAL PALETTE HOODIE atb122u[Grey/L]</t>
  </si>
  <si>
    <t>A-17SSTBU122BKXL</t>
  </si>
  <si>
    <t>A17SSTBU122BKXL</t>
  </si>
  <si>
    <t>atb122uBKXL</t>
  </si>
  <si>
    <t>UNISEX UNUSUAL PALETTE HOODIE atb122u[Black/XL]</t>
  </si>
  <si>
    <t>A-17SSTBU122BKS</t>
  </si>
  <si>
    <t>A17SSTBU122BKS</t>
  </si>
  <si>
    <t>atb122uBKS</t>
  </si>
  <si>
    <t>UNISEX UNUSUAL PALETTE HOODIE atb122u[Black/S]</t>
  </si>
  <si>
    <t>A-17SSTBU122BKM</t>
  </si>
  <si>
    <t>A17SSTBU122BKM</t>
  </si>
  <si>
    <t>atb122uBKM</t>
  </si>
  <si>
    <t>UNISEX UNUSUAL PALETTE HOODIE atb122u[Black/M]</t>
  </si>
  <si>
    <t>A-17SSTBU122BKL</t>
  </si>
  <si>
    <t>A17SSTBU122BKL</t>
  </si>
  <si>
    <t>atb122uBKL</t>
  </si>
  <si>
    <t>UNISEX UNUSUAL PALETTE HOODIE atb122u[Black/L]</t>
  </si>
  <si>
    <t>A-17SSTBW119YLM</t>
  </si>
  <si>
    <t>A17SSTBW119YLM</t>
  </si>
  <si>
    <t>JANE PYJAMA LONG SHIRT atb119w(Yellow)</t>
  </si>
  <si>
    <t>ATB119WYLM</t>
  </si>
  <si>
    <t>JANE PYJAMA LONG SHIRT atb119w(Yellow)[Yellow/M]</t>
  </si>
  <si>
    <t>A-17SSTBW118SRFRE</t>
  </si>
  <si>
    <t>A17SSTBW118SRFRE</t>
  </si>
  <si>
    <t>KARINA STRIPE V NECK SHIRT 
atb118w</t>
  </si>
  <si>
    <t>atb118wST</t>
  </si>
  <si>
    <t>KARINA STRIPE V NECK SHIRT 
atb118w[Stripe/FREE]</t>
  </si>
  <si>
    <t>A-17SSTBW117RDS</t>
  </si>
  <si>
    <t>A17SSTBW117RDS</t>
  </si>
  <si>
    <t>INES UNBALANCE STRIPE SHIRT 
atb117w</t>
  </si>
  <si>
    <t>atb117wRDS</t>
  </si>
  <si>
    <t>INES UNBALANCE STRIPE SHIRT 
atb117w[Red/S]</t>
  </si>
  <si>
    <t>A-17SSTBW117BKS</t>
  </si>
  <si>
    <t>A17SSTBW117BKS</t>
  </si>
  <si>
    <t>atb117wBKS</t>
  </si>
  <si>
    <t>INES UNBALANCE STRIPE SHIRT 
atb117w[Black/S]</t>
  </si>
  <si>
    <t>A-17SSTBW117BKM</t>
  </si>
  <si>
    <t>A17SSTBW117BKM</t>
  </si>
  <si>
    <t>atb117wBKM</t>
  </si>
  <si>
    <t>INES UNBALANCE STRIPE SHIRT 
atb117w[Black/M]</t>
  </si>
  <si>
    <t>A-17SSTBM113RDM</t>
  </si>
  <si>
    <t>CALIFORNIA ALOHA SHIRT 
atb113m[Red/M]</t>
  </si>
  <si>
    <t>A-17SSTBM113RDL</t>
  </si>
  <si>
    <t>A17SSTBM113RDL</t>
  </si>
  <si>
    <t>atb113mRDL</t>
  </si>
  <si>
    <t>CALIFORNIA ALOHA SHIRT 
atb113m[Red/L]</t>
  </si>
  <si>
    <t>A-17SSTBM113BKM</t>
  </si>
  <si>
    <t>A17SSTBM113BKM</t>
  </si>
  <si>
    <t>atb113mBKM</t>
  </si>
  <si>
    <t>CALIFORNIA ALOHA SHIRT 
atb113m[Black/M]</t>
  </si>
  <si>
    <t>A-16FWTBM105GEM</t>
  </si>
  <si>
    <t>A16FWTBM105GEM</t>
  </si>
  <si>
    <t>atb105</t>
  </si>
  <si>
    <t>atb105gem</t>
  </si>
  <si>
    <t>atb105[Grey/M]</t>
  </si>
  <si>
    <t>A-16FWTBM105GEL</t>
  </si>
  <si>
    <t>A16FWTBM105GEL</t>
  </si>
  <si>
    <t>atb105gel</t>
  </si>
  <si>
    <t>atb105[Grey/L]</t>
  </si>
  <si>
    <t>A-16FWTBU100GEXL</t>
  </si>
  <si>
    <t>A16FWTBU100GEXL</t>
  </si>
  <si>
    <t>UNISEX LONDON EYELET HOODIE atb100</t>
  </si>
  <si>
    <t>atb100gexl</t>
  </si>
  <si>
    <t>Gray/XL</t>
  </si>
  <si>
    <t>UNISEX LONDON EYELET HOODIE atb100[Gray/XL]</t>
  </si>
  <si>
    <t>A-16FWTBU100GES</t>
  </si>
  <si>
    <t>A16FWTBU100GES</t>
  </si>
  <si>
    <t>atb100ges</t>
  </si>
  <si>
    <t>Gray/S</t>
  </si>
  <si>
    <t>UNISEX LONDON EYELET HOODIE atb100[Gray/S]</t>
  </si>
  <si>
    <t>A-16FWTBU100GEM</t>
  </si>
  <si>
    <t>A16FWTBU100GEM</t>
  </si>
  <si>
    <t>atb100gem</t>
  </si>
  <si>
    <t>UNISEX LONDON EYELET HOODIE atb100[Gray/M]</t>
  </si>
  <si>
    <t>A-16FWTBU100GEL</t>
  </si>
  <si>
    <t>A16FWTBU100GEL</t>
  </si>
  <si>
    <t>atb100gel</t>
  </si>
  <si>
    <t>UNISEX LONDON EYELET HOODIE atb100[Gray/L]</t>
  </si>
  <si>
    <t>A-16FWTBU086BKS</t>
  </si>
  <si>
    <t>A16FWTBU086BKS</t>
  </si>
  <si>
    <t>UNISEX  NEW SADDLE RAGLAN SWEATER atb086</t>
  </si>
  <si>
    <t>atb086BKS</t>
  </si>
  <si>
    <t>UNISEX  NEW SADDLE RAGLAN SWEATER atb086[Black/S]</t>
  </si>
  <si>
    <t>A-16FWTBU086BKM</t>
  </si>
  <si>
    <t>A16FWTBU086BKM</t>
  </si>
  <si>
    <t>atb086BKM</t>
  </si>
  <si>
    <t>UNISEX  NEW SADDLE RAGLAN SWEATER atb086[Black/M]</t>
  </si>
  <si>
    <t>A-17F2PAW210SRS</t>
  </si>
  <si>
    <t>A17F2PAW210SRS</t>
  </si>
  <si>
    <t>CORDUROY WIDE LEGGED TROUSER apa210w</t>
  </si>
  <si>
    <t>apa210wSRS</t>
  </si>
  <si>
    <t>CORDUROY WIDE LEGGED TROUSER apa210w[Stripe/S]</t>
  </si>
  <si>
    <t>A-17F2PAW210SRM</t>
  </si>
  <si>
    <t>A17F2PAW210SRM</t>
  </si>
  <si>
    <t>apa210wSRM</t>
  </si>
  <si>
    <t>Stripe/M</t>
  </si>
  <si>
    <t>CORDUROY WIDE LEGGED TROUSER apa210w[Stripe/M]</t>
  </si>
  <si>
    <t>A-17F2PAW210RDS</t>
  </si>
  <si>
    <t>A17F2PAW210RDS</t>
  </si>
  <si>
    <t>apa210wRDS</t>
  </si>
  <si>
    <t>CORDUROY WIDE LEGGED TROUSER apa210w[Red/S]</t>
  </si>
  <si>
    <t>A-17F2PAW210RDM</t>
  </si>
  <si>
    <t>A17F2PAW210RDM</t>
  </si>
  <si>
    <t>apa210wRDM</t>
  </si>
  <si>
    <t>CORDUROY WIDE LEGGED TROUSER apa210w[Red/M]</t>
  </si>
  <si>
    <t>A-17F2PAM207NVS</t>
  </si>
  <si>
    <t>A17F2PAM207NVS</t>
  </si>
  <si>
    <t>MITTE JERSEY TRACK PANTS apa207m</t>
  </si>
  <si>
    <t>APA207MNVS</t>
  </si>
  <si>
    <t>MITTE JERSEY TRACK PANTS apa207m[NAVY/S]</t>
  </si>
  <si>
    <t>A-17F2PAM207NVM</t>
  </si>
  <si>
    <t>A17F2PAM207NVM</t>
  </si>
  <si>
    <t>APA207MNVM</t>
  </si>
  <si>
    <t>MITTE JERSEY TRACK PANTS apa207m[NAVY/M]</t>
  </si>
  <si>
    <t>A-17F2PAM207NVL</t>
  </si>
  <si>
    <t>A17F2PAM207NVL</t>
  </si>
  <si>
    <t>APA207MNVL</t>
  </si>
  <si>
    <t>MITTE JERSEY TRACK PANTS apa207m[NAVY/L]</t>
  </si>
  <si>
    <t>A-17F2PAM207BKS</t>
  </si>
  <si>
    <t>A17F2PAM207BKS</t>
  </si>
  <si>
    <t>APA207MBKS</t>
  </si>
  <si>
    <t>MITTE JERSEY TRACK PANTS apa207m[BLACK/S]</t>
  </si>
  <si>
    <t>A-17F2PAM207BKM</t>
  </si>
  <si>
    <t>A17F2PAM207BKM</t>
  </si>
  <si>
    <t>APA207MBKM</t>
  </si>
  <si>
    <t>MITTE JERSEY TRACK PANTS apa207m[BLACK/M]</t>
  </si>
  <si>
    <t>A-17F2PAM207BKL</t>
  </si>
  <si>
    <t>A17F2PAM207BKL</t>
  </si>
  <si>
    <t>APA207MBKL</t>
  </si>
  <si>
    <t>MITTE JERSEY TRACK PANTS apa207m[BLACK/L]</t>
  </si>
  <si>
    <t>A-17FWPAW199BLM</t>
  </si>
  <si>
    <t>A17FWPAW199BLM</t>
  </si>
  <si>
    <t>UNBALANCE SLIT CROP JEANS 
apa199w</t>
  </si>
  <si>
    <t>apa199wBLM</t>
  </si>
  <si>
    <t>UNBALANCE SLIT CROP JEANS 
apa199w[Blue/M]</t>
  </si>
  <si>
    <t>A-17FWPAW199BKS</t>
  </si>
  <si>
    <t>A17FWPAW199BKS</t>
  </si>
  <si>
    <t>apa199wBKS</t>
  </si>
  <si>
    <t>UNBALANCE SLIT CROP JEANS 
apa199w[Black/S]</t>
  </si>
  <si>
    <t>A-17FWPAW199BKM</t>
  </si>
  <si>
    <t>A17FWPAW199BKM</t>
  </si>
  <si>
    <t>apa199wBKM</t>
  </si>
  <si>
    <t>UNBALANCE SLIT CROP JEANS 
apa199w[Black/M]</t>
  </si>
  <si>
    <t>A-17FWPAW198CKS</t>
  </si>
  <si>
    <t>A17FWPAW198CKS</t>
  </si>
  <si>
    <t>TWEED DRAPE SKIRT 
apa198w</t>
  </si>
  <si>
    <t>apa198wCHS</t>
  </si>
  <si>
    <t>TWEED DRAPE SKIRT 
apa198w[Check/S]</t>
  </si>
  <si>
    <t>A-17FWPAW198CKM</t>
  </si>
  <si>
    <t>A17FWPAW198CKM</t>
  </si>
  <si>
    <t>apa198wCHM</t>
  </si>
  <si>
    <t>Check/M</t>
  </si>
  <si>
    <t>TWEED DRAPE SKIRT 
apa198w[Check/M]</t>
  </si>
  <si>
    <t>A-17FWPAW196CKS</t>
  </si>
  <si>
    <t>A17FWPAW196CKS</t>
  </si>
  <si>
    <t>TREA CORSET TROUSER 
apa196w</t>
  </si>
  <si>
    <t>apa196wCHS</t>
  </si>
  <si>
    <t>TREA CORSET TROUSER 
apa196w[Check/S]</t>
  </si>
  <si>
    <t>A-17FWPAW196CHM</t>
  </si>
  <si>
    <t>A17FWPAW196CHM</t>
  </si>
  <si>
    <t>apa196wCHM</t>
  </si>
  <si>
    <t>TREA CORSET TROUSER 
apa196w[Check/M]</t>
  </si>
  <si>
    <t>A-17FWPAW196BKS</t>
  </si>
  <si>
    <t>A17FWPAW196BKS</t>
  </si>
  <si>
    <t>apa196wBKS</t>
  </si>
  <si>
    <t>TREA CORSET TROUSER 
apa196w[Black/S]</t>
  </si>
  <si>
    <t>A-17FWPAW196BKM</t>
  </si>
  <si>
    <t>A17FWPAW196BKM</t>
  </si>
  <si>
    <t>apa196wBKM</t>
  </si>
  <si>
    <t>TREA CORSET TROUSER 
apa196w[Black/M]</t>
  </si>
  <si>
    <t>A-17S2PAW185BKS</t>
  </si>
  <si>
    <t>A17S2PAW185BKS</t>
  </si>
  <si>
    <t>VICTORIA TAPING TROUSER apa185w Black</t>
  </si>
  <si>
    <t>apa185sBKS</t>
  </si>
  <si>
    <t>VICTORIA TAPING TROUSER apa185w Black[Black/S]</t>
  </si>
  <si>
    <t>A-17S2PAW185BKM</t>
  </si>
  <si>
    <t>A17S2PAW185BKM</t>
  </si>
  <si>
    <t>apa185sBKM</t>
  </si>
  <si>
    <t>VICTORIA TAPING TROUSER apa185w Black[Black/M]</t>
  </si>
  <si>
    <t>A-17SSPAW173KKS</t>
  </si>
  <si>
    <t>A17SSPAW173KKS</t>
  </si>
  <si>
    <t>LEILA SLIT PLEATED SKIRT  
apa173w</t>
  </si>
  <si>
    <t>apa173wKHS</t>
  </si>
  <si>
    <t>LEILA SLIT PLEATED SKIRT  
apa173w[Khaki/S]</t>
  </si>
  <si>
    <t>A-17SSPAW173KKM</t>
  </si>
  <si>
    <t>A17SSPAW173KKM</t>
  </si>
  <si>
    <t>apa173wKHM</t>
  </si>
  <si>
    <t>LEILA SLIT PLEATED SKIRT  
apa173w[Khaki/M]</t>
  </si>
  <si>
    <t>A-17SSPAW173BKS</t>
  </si>
  <si>
    <t>A17SSPAW173BKS</t>
  </si>
  <si>
    <t>apa173wBKS</t>
  </si>
  <si>
    <t>LEILA SLIT PLEATED SKIRT  
apa173w[Black/S]</t>
  </si>
  <si>
    <t>A-17SSPAW173BKM</t>
  </si>
  <si>
    <t>A17SSPAW173BKM</t>
  </si>
  <si>
    <t>apa173wBKM</t>
  </si>
  <si>
    <t>LEILA SLIT PLEATED SKIRT  
apa173w[Black/M]</t>
  </si>
  <si>
    <t>A-17FWAAU056PKFRE</t>
  </si>
  <si>
    <t>A17FWAAU056PKFRE</t>
  </si>
  <si>
    <t>UNISEX BIG CORDUROY BASEBALL CAP 
aaa056u</t>
  </si>
  <si>
    <t>aaa056uPKF</t>
  </si>
  <si>
    <t>UNISEX BIG CORDUROY BASEBALL CAP 
aaa056u[Pink/FREE]</t>
  </si>
  <si>
    <t>A-17FWAAU056BKFRE</t>
  </si>
  <si>
    <t>A17FWAAU056BKFRE</t>
  </si>
  <si>
    <t>aaa056uBKF</t>
  </si>
  <si>
    <t>UNISEX BIG CORDUROY BASEBALL CAP 
aaa056u[Black/FREE]</t>
  </si>
  <si>
    <t>A-17FWAAU056BEFRE</t>
  </si>
  <si>
    <t>A17FWAAU056BEFRE</t>
  </si>
  <si>
    <t>aaa056uBGF</t>
  </si>
  <si>
    <t>UNISEX BIG CORDUROY BASEBALL CAP 
aaa056u[Beige/FREE]</t>
  </si>
  <si>
    <t>A-17FWAAU055BKFRE</t>
  </si>
  <si>
    <t>A17FWAAU055BKFRE</t>
  </si>
  <si>
    <t>DEREK RIDGERS COLLABORATION ECO BAG aaa055u</t>
  </si>
  <si>
    <t>aaa055uBKF</t>
  </si>
  <si>
    <t>DEREK RIDGERS COLLABORATION ECO BAG aaa055u[Black/FREE]</t>
  </si>
  <si>
    <t>A-17S2AAU052BWFRE</t>
  </si>
  <si>
    <t>A17S2AAU052BWFRE</t>
  </si>
  <si>
    <t>UNISEX Side Line Socks 
aaa052</t>
  </si>
  <si>
    <t>aaa052BWF</t>
  </si>
  <si>
    <t>Black/WHITE/FREE</t>
  </si>
  <si>
    <t>UNISEX Side Line Socks 
aaa052[Black/WHITE/FREE]</t>
  </si>
  <si>
    <t>A-17S2AAU052BHFRE</t>
  </si>
  <si>
    <t>A17S2AAU052BHFRE</t>
  </si>
  <si>
    <t>aaa052BNF</t>
  </si>
  <si>
    <t>Black/Neon/FREE</t>
  </si>
  <si>
    <t>UNISEX Side Line Socks 
aaa052[Black/Neon/FREE]</t>
  </si>
  <si>
    <t>A-17S2AAU052BSFRE</t>
  </si>
  <si>
    <t>A17S2AAU052BSFRE</t>
  </si>
  <si>
    <t>aaa052BCF</t>
  </si>
  <si>
    <t>Black/Charcoal/FREE</t>
  </si>
  <si>
    <t>UNISEX Side Line Socks 
aaa052[Black/Charcoal/FREE]</t>
  </si>
  <si>
    <t>A-17SSAAU043OGFRE</t>
  </si>
  <si>
    <t>A17SSAAU043OGFRE</t>
  </si>
  <si>
    <t>UNISEX ANDERSSON COTTON BELT 
aaa043u</t>
  </si>
  <si>
    <t>aaa043uOR</t>
  </si>
  <si>
    <t>UNISEX ANDERSSON COTTON BELT 
aaa043u[Orange/Free]</t>
  </si>
  <si>
    <t>A-17SSAAU043BKFRE</t>
  </si>
  <si>
    <t>A17SSAAU043BKFRE</t>
  </si>
  <si>
    <t>aaa043uBK</t>
  </si>
  <si>
    <t>UNISEX ANDERSSON COTTON BELT 
aaa043u[Black/Free]</t>
  </si>
  <si>
    <t>A-17SSAAU043BEFRE</t>
  </si>
  <si>
    <t>A17SSAAU043BEFRE</t>
  </si>
  <si>
    <t>aaa043uBE</t>
  </si>
  <si>
    <t>UNISEX ANDERSSON COTTON BELT 
aaa043u[Beige/Free]</t>
  </si>
  <si>
    <t>A-17SSAAU042RDFRE</t>
  </si>
  <si>
    <t>A17SSAAU042RDFRE</t>
  </si>
  <si>
    <t>aaa042uRD</t>
  </si>
  <si>
    <t>UNISEX NEW GLOSS BASEBALL CAP 
aaa042u[Red/Free]</t>
  </si>
  <si>
    <t>A-17SSAAU042BRDFRE</t>
  </si>
  <si>
    <t>Black/Red/Free</t>
  </si>
  <si>
    <t>UNISEX NEW GLOSS BASEBALL CAP 
aaa042u[Black/Red/Free]</t>
  </si>
  <si>
    <t>A-17SSAAU042BOFRE</t>
  </si>
  <si>
    <t>A17SSAAU042BOFRE</t>
  </si>
  <si>
    <t>aaa042uBO</t>
  </si>
  <si>
    <t>Black/Orange/Free</t>
  </si>
  <si>
    <t>UNISEX NEW GLOSS BASEBALL CAP 
aaa042u[Black/Orange/Free]</t>
  </si>
  <si>
    <t>a-tb109ORL</t>
  </si>
  <si>
    <t>atb109ORL</t>
  </si>
  <si>
    <t>atb109ORL[ORANGE/L]</t>
  </si>
  <si>
    <t>2-000000010823</t>
  </si>
  <si>
    <t>Lespaul Navy CBO00554NV</t>
  </si>
  <si>
    <t>CBO00554NV</t>
  </si>
  <si>
    <t>NV/ONE SIZE (Free)</t>
  </si>
  <si>
    <t>Lespaul Navy CBO00554NV[NV/ONE SIZE (Free)]</t>
  </si>
  <si>
    <t>2-000000011110</t>
  </si>
  <si>
    <t>Cozy NAVY YJS00556NV</t>
  </si>
  <si>
    <t>YJS00556NV</t>
  </si>
  <si>
    <t>NAVY/ONE SIZE (Free)</t>
  </si>
  <si>
    <t>Cozy NAVY YJS00556NV[NAVY/ONE SIZE (Free)]</t>
  </si>
  <si>
    <t>2-000000011080</t>
  </si>
  <si>
    <t>Cozy IVORY YJS00556IV</t>
  </si>
  <si>
    <t>YJS00556IV</t>
  </si>
  <si>
    <t>IVORY/ONE SIZE (Free)</t>
  </si>
  <si>
    <t>Cozy IVORY YJS00556IV[IVORY/ONE SIZE (Free)]</t>
  </si>
  <si>
    <t>2-000000011127</t>
  </si>
  <si>
    <t>Cozy GRAY YJS00556GY</t>
  </si>
  <si>
    <t>YJS00556GY</t>
  </si>
  <si>
    <t>GRAY/ONE SIZE (Free)</t>
  </si>
  <si>
    <t>Cozy GRAY YJS00556GY[GRAY/ONE SIZE (Free)]</t>
  </si>
  <si>
    <t>2-000000011134</t>
  </si>
  <si>
    <t>Cozy BURGUNDY YJS00556BG</t>
  </si>
  <si>
    <t>YJS00556BG</t>
  </si>
  <si>
    <t>BURGUNDY/ONE SIZE (Free)</t>
  </si>
  <si>
    <t>Cozy BURGUNDY YJS00556BG[BURGUNDY/ONE SIZE (Free)]</t>
  </si>
  <si>
    <t>2-000000011103</t>
  </si>
  <si>
    <t>Cozy BLACK YJS00556BK</t>
  </si>
  <si>
    <t>YJS00556BK</t>
  </si>
  <si>
    <t>BLACK/ONE SIZE (Free)</t>
  </si>
  <si>
    <t>Cozy BLACK YJS00556BK[BLACK/ONE SIZE (Free)]</t>
  </si>
  <si>
    <t>2-000000011097</t>
  </si>
  <si>
    <t>Cozy BEIGE YJS00556BE</t>
  </si>
  <si>
    <t>YJS00556BE</t>
  </si>
  <si>
    <t>BEIGE/ONE SIZE (Free)</t>
  </si>
  <si>
    <t>Cozy BEIGE YJS00556BE[BEIGE/ONE SIZE (Free)]</t>
  </si>
  <si>
    <t>2-000000011356</t>
  </si>
  <si>
    <t>Lena KHAKI KJS00563KH</t>
  </si>
  <si>
    <t>KJS00563KH</t>
  </si>
  <si>
    <t>KHAKI/ONE SIZE (Free)</t>
  </si>
  <si>
    <t>Lena KHAKI KJS00563KH[KHAKI/ONE SIZE (Free)]</t>
  </si>
  <si>
    <t>2-000000011363</t>
  </si>
  <si>
    <t>Lena INDYPINK KJS00563IP</t>
  </si>
  <si>
    <t>KJS00563IP</t>
  </si>
  <si>
    <t>INDYPINK/ONE SIZE (Free)</t>
  </si>
  <si>
    <t>Lena INDYPINK KJS00563IP[INDYPINK/ONE SIZE (Free)]</t>
  </si>
  <si>
    <t>2-000000011370</t>
  </si>
  <si>
    <t>Lena WINE KJS00563WN</t>
  </si>
  <si>
    <t>KJS00563WN</t>
  </si>
  <si>
    <t>WINE/ONE SIZE (Free)</t>
  </si>
  <si>
    <t>Lena WINE KJS00563WN[WINE/ONE SIZE (Free)]</t>
  </si>
  <si>
    <t>2-000000011349</t>
  </si>
  <si>
    <t>Lena BROWN KJS00563BR</t>
  </si>
  <si>
    <t>KJS00563BR</t>
  </si>
  <si>
    <t>BROWN/ONE SIZE (Free)</t>
  </si>
  <si>
    <t>Lena BROWN KJS00563BR[BROWN/ONE SIZE (Free)]</t>
  </si>
  <si>
    <t>2-000000011332</t>
  </si>
  <si>
    <t>Lena BLACK KJS00563BK</t>
  </si>
  <si>
    <t>KJS00563BK</t>
  </si>
  <si>
    <t>Lena BLACK KJS00563BK[BLACK/ONE SIZE (Free)]</t>
  </si>
  <si>
    <t>2-000000010618</t>
  </si>
  <si>
    <t>Praha RED KDK00551RD</t>
  </si>
  <si>
    <t>KDK00551RD</t>
  </si>
  <si>
    <t>RED/ONE SIZE (Free)</t>
  </si>
  <si>
    <t>Praha RED KDK00551RD[RED/ONE SIZE (Free)]</t>
  </si>
  <si>
    <t>2-000000010625</t>
  </si>
  <si>
    <t>Praha PURPLE KDK00551PU</t>
  </si>
  <si>
    <t>KDK00551PU</t>
  </si>
  <si>
    <t>PURPLE/ONE SIZE (Free)</t>
  </si>
  <si>
    <t>Praha PURPLE KDK00551PU[PURPLE/ONE SIZE (Free)]</t>
  </si>
  <si>
    <t>2-000000010649</t>
  </si>
  <si>
    <t>Praha NAVY KDK00551NV</t>
  </si>
  <si>
    <t>KDK00551NV</t>
  </si>
  <si>
    <t>Praha NAVY KDK00551NV[NAVY/ONE SIZE (Free)]</t>
  </si>
  <si>
    <t>2-000000010632</t>
  </si>
  <si>
    <t>Praha GREEN KDK00551GR</t>
  </si>
  <si>
    <t>KDK00551GR</t>
  </si>
  <si>
    <t>GREEN/ONE SIZE (Free)</t>
  </si>
  <si>
    <t>Praha GREEN KDK00551GR[GREEN/ONE SIZE (Free)]</t>
  </si>
  <si>
    <t>2-000000010687</t>
  </si>
  <si>
    <t>Praha COCOA KDK00551CO</t>
  </si>
  <si>
    <t>KDK00551CO</t>
  </si>
  <si>
    <t>COCOA/ONE SIZE (Free)</t>
  </si>
  <si>
    <t>Praha COCOA KDK00551CO[COCOA/ONE SIZE (Free)]</t>
  </si>
  <si>
    <t>2-000000010663</t>
  </si>
  <si>
    <t>Praha BROWN KDK00551BR</t>
  </si>
  <si>
    <t>KDK00551BR</t>
  </si>
  <si>
    <t>Praha BROWN KDK00551BR[BROWN/ONE SIZE (Free)]</t>
  </si>
  <si>
    <t>2-000000010656</t>
  </si>
  <si>
    <t>Praha BLUE KDK00551BL</t>
  </si>
  <si>
    <t>KDK00551BL</t>
  </si>
  <si>
    <t>BLUE/ONE SIZE (Free)</t>
  </si>
  <si>
    <t>Praha BLUE KDK00551BL[BLUE/ONE SIZE (Free)]</t>
  </si>
  <si>
    <t>2-000000010670</t>
  </si>
  <si>
    <t>Praha BLACK KDK00551BK</t>
  </si>
  <si>
    <t>KDK00551BK</t>
  </si>
  <si>
    <t>Praha BLACK KDK00551BK[BLACK/ONE SIZE (Free)]</t>
  </si>
  <si>
    <t>2-000000010694</t>
  </si>
  <si>
    <t>Harvey RED PHK00552RD</t>
  </si>
  <si>
    <t>PHK00552RD</t>
  </si>
  <si>
    <t>Harvey RED PHK00552RD[RED/ONE SIZE (Free)]</t>
  </si>
  <si>
    <t>2-000000010700</t>
  </si>
  <si>
    <t>Harvey PURPLE PHK00552PU</t>
  </si>
  <si>
    <t>PHK00552PU</t>
  </si>
  <si>
    <t>Harvey PURPLE PHK00552PU[PURPLE/ONE SIZE (Free)]</t>
  </si>
  <si>
    <t>2-000000010724</t>
  </si>
  <si>
    <t>Harvey NAVY PHK00552NV</t>
  </si>
  <si>
    <t>PHK00552NV</t>
  </si>
  <si>
    <t>Harvey NAVY PHK00552NV[NAVY/ONE SIZE (Free)]</t>
  </si>
  <si>
    <t>2-000000010717</t>
  </si>
  <si>
    <t>Harvey GREEN PHK00552GR</t>
  </si>
  <si>
    <t>PHK00552GR</t>
  </si>
  <si>
    <t>Harvey GREEN PHK00552GR[GREEN/ONE SIZE (Free)]</t>
  </si>
  <si>
    <t>2-000000010762</t>
  </si>
  <si>
    <t>Harvey COCOA PHK00552CO</t>
  </si>
  <si>
    <t>PHK00552CO</t>
  </si>
  <si>
    <t>Harvey COCOA PHK00552CO[COCOA/ONE SIZE (Free)]</t>
  </si>
  <si>
    <t>2-000000010748</t>
  </si>
  <si>
    <t>Harvey BROWN PHK00552BR</t>
  </si>
  <si>
    <t>PHK00552BR</t>
  </si>
  <si>
    <t>Harvey BROWN PHK00552BR[BROWN/ONE SIZE (Free)]</t>
  </si>
  <si>
    <t>2-000000010731</t>
  </si>
  <si>
    <t>Harvey BLUE PHK00552BL</t>
  </si>
  <si>
    <t>PHK00552BL</t>
  </si>
  <si>
    <t>Harvey BLUE PHK00552BL[BLUE/ONE SIZE (Free)]</t>
  </si>
  <si>
    <t>2-000000010755</t>
  </si>
  <si>
    <t>Harvey BLACK PHK00552BK</t>
  </si>
  <si>
    <t>PHK00552BK</t>
  </si>
  <si>
    <t>Harvey BLACK PHK00552BK[BLACK/ONE SIZE (Free)]</t>
  </si>
  <si>
    <t>K-JS00490BU</t>
  </si>
  <si>
    <t>KJS00490BU</t>
  </si>
  <si>
    <t>Jack Burgundy KJS00490BU</t>
  </si>
  <si>
    <t>Burgundy</t>
  </si>
  <si>
    <t>Jack Burgundy KJS00490BU[Burgundy]</t>
  </si>
  <si>
    <t>2-000000003603</t>
  </si>
  <si>
    <t>Woody Beige KDK00499BG</t>
  </si>
  <si>
    <t>KDK00499BG</t>
  </si>
  <si>
    <t>Woody Beige KDK00499BG[Beige]</t>
  </si>
  <si>
    <t>2-000000003627</t>
  </si>
  <si>
    <t>Woody Gray KDK00499GY</t>
  </si>
  <si>
    <t>KDK00499GY</t>
  </si>
  <si>
    <t>Woody Gray KDK00499GY[Gray]</t>
  </si>
  <si>
    <t>2-000000003610</t>
  </si>
  <si>
    <t>Woody Black KDK00499BK</t>
  </si>
  <si>
    <t>KDK00499BK</t>
  </si>
  <si>
    <t>Black</t>
  </si>
  <si>
    <t>Woody Black KDK00499BK[Black]</t>
  </si>
  <si>
    <t>2-000000003597</t>
  </si>
  <si>
    <t>Woody Blue KDK00499EBL</t>
  </si>
  <si>
    <t>KDK00499EBL</t>
  </si>
  <si>
    <t>Blue</t>
  </si>
  <si>
    <t>Woody Blue KDK00499EBL[Blue]</t>
  </si>
  <si>
    <t>2018-03-22 오전 10:52:00</t>
  </si>
  <si>
    <t>2-000000003580</t>
  </si>
  <si>
    <t>Woody Enamel Black KDK00499EBK</t>
  </si>
  <si>
    <t>KDK00499EBK</t>
  </si>
  <si>
    <t>Enamel Black</t>
  </si>
  <si>
    <t>Woody Enamel Black KDK00499EBK[Enamel Black]</t>
  </si>
  <si>
    <t>2-000000001586</t>
  </si>
  <si>
    <t>Tom Black ARS00467BK</t>
  </si>
  <si>
    <t>ARS00467BK</t>
  </si>
  <si>
    <t>Tom Black ARS00467BK[Black]</t>
  </si>
  <si>
    <t>2-000000001593</t>
  </si>
  <si>
    <t>Tom Ivory ARS00467IV</t>
  </si>
  <si>
    <t>ARS00467IV</t>
  </si>
  <si>
    <t>Ivory</t>
  </si>
  <si>
    <t>Tom Ivory ARS00467IV[Ivory]</t>
  </si>
  <si>
    <t>2-000000008165</t>
  </si>
  <si>
    <t>Tiny Ivory CMH00532IV</t>
  </si>
  <si>
    <t>CMH00532IV</t>
  </si>
  <si>
    <t>Tiny Ivory CMH00532IV[Ivory]</t>
  </si>
  <si>
    <t>2-000000008172</t>
  </si>
  <si>
    <t>Tiny Indy Pink CMH00532IP</t>
  </si>
  <si>
    <t>CMH00532IP</t>
  </si>
  <si>
    <t>Indy Pink</t>
  </si>
  <si>
    <t>Tiny Indy Pink CMH00532IP[Indy Pink]</t>
  </si>
  <si>
    <t>2-000000008189</t>
  </si>
  <si>
    <t>Tiny Red CMH00532RD</t>
  </si>
  <si>
    <t>CMH00532RD</t>
  </si>
  <si>
    <t>Red</t>
  </si>
  <si>
    <t>Tiny Red CMH00532RD[Red]</t>
  </si>
  <si>
    <t>2-000000008158</t>
  </si>
  <si>
    <t>Tiny Cocoa CMH00532CC</t>
  </si>
  <si>
    <t>CMH00532CC</t>
  </si>
  <si>
    <t>Cocoa</t>
  </si>
  <si>
    <t>Tiny Cocoa CMH00532CC[Cocoa]</t>
  </si>
  <si>
    <t>2-000000008202</t>
  </si>
  <si>
    <t>Tiny Green CMH00532GR</t>
  </si>
  <si>
    <t>CMH00532GR</t>
  </si>
  <si>
    <t>Green</t>
  </si>
  <si>
    <t>Tiny Green CMH00532GR[Green]</t>
  </si>
  <si>
    <t>2-000000008196</t>
  </si>
  <si>
    <t>Tiny Blue CMH00532BL</t>
  </si>
  <si>
    <t>CMH00532BL</t>
  </si>
  <si>
    <t>Tiny Blue CMH00532BL[Blue]</t>
  </si>
  <si>
    <t>2-000000008141</t>
  </si>
  <si>
    <t>Tiny Black CMH00532BK</t>
  </si>
  <si>
    <t>CMH00532BK</t>
  </si>
  <si>
    <t>Tiny Black CMH00532BK[Black]</t>
  </si>
  <si>
    <t>2-000000002675</t>
  </si>
  <si>
    <t>Roy Opal ARS00488OP</t>
  </si>
  <si>
    <t>ARS00488OP</t>
  </si>
  <si>
    <t>Opal</t>
  </si>
  <si>
    <t>Roy Opal ARS00488OP[Opal]</t>
  </si>
  <si>
    <t>2-000000002699</t>
  </si>
  <si>
    <t>Roy Bronze ARS00488BZ</t>
  </si>
  <si>
    <t>ARS00488BZ</t>
  </si>
  <si>
    <t>Bronze</t>
  </si>
  <si>
    <t>Roy Bronze ARS00488BZ[Bronze]</t>
  </si>
  <si>
    <t>2-000000002682</t>
  </si>
  <si>
    <t>Roy Black Silver ARS00488BS</t>
  </si>
  <si>
    <t>ARS00488BS</t>
  </si>
  <si>
    <t>Black Silver</t>
  </si>
  <si>
    <t>Roy Black Silver ARS00488BS[Black Silver]</t>
  </si>
  <si>
    <t>2-000000002705</t>
  </si>
  <si>
    <t>Roy Blue ARS00488BL</t>
  </si>
  <si>
    <t>ARS00488BL</t>
  </si>
  <si>
    <t>Roy Blue ARS00488BL[Blue]</t>
  </si>
  <si>
    <t>2-000000010229</t>
  </si>
  <si>
    <t>Robin Beige DSS00547BG</t>
  </si>
  <si>
    <t>DSS00547BG</t>
  </si>
  <si>
    <t>Robin Beige DSS00547BG[Beige]</t>
  </si>
  <si>
    <t>2-000000010212</t>
  </si>
  <si>
    <t>Robin Brown DSS00547BR</t>
  </si>
  <si>
    <t>DSS00547BR</t>
  </si>
  <si>
    <t>Brown</t>
  </si>
  <si>
    <t>Robin Brown DSS00547BR[Brown]</t>
  </si>
  <si>
    <t>2-000000010243</t>
  </si>
  <si>
    <t>Robin Indy Pink DSS00547IP</t>
  </si>
  <si>
    <t>DSS00547IP</t>
  </si>
  <si>
    <t>Robin Indy Pink DSS00547IP[Indy Pink]</t>
  </si>
  <si>
    <t>2-000000010205</t>
  </si>
  <si>
    <t>Robin Burgundy DSS00547BU</t>
  </si>
  <si>
    <t>DSS00547BU</t>
  </si>
  <si>
    <t>Robin Burgundy DSS00547BU[Burgundy]</t>
  </si>
  <si>
    <t>2-000000010236</t>
  </si>
  <si>
    <t>Robin Khaki DSS00547KK</t>
  </si>
  <si>
    <t>DSS00547KK</t>
  </si>
  <si>
    <t>Khaki</t>
  </si>
  <si>
    <t>Robin Khaki DSS00547KK[Khaki]</t>
  </si>
  <si>
    <t>2-000000010199</t>
  </si>
  <si>
    <t>Robin Black DSS00547BK</t>
  </si>
  <si>
    <t>DSS00547BK</t>
  </si>
  <si>
    <t>Robin Black DSS00547BK[Black]</t>
  </si>
  <si>
    <t>2-000000003306</t>
  </si>
  <si>
    <t>Raymond Ivory KDK00497IV</t>
  </si>
  <si>
    <t>KDK00497IV</t>
  </si>
  <si>
    <t>Raymond Ivory KDK00497IV[Ivory]</t>
  </si>
  <si>
    <t>2-000000003337</t>
  </si>
  <si>
    <t>Raymond Light Blue KDK00497LB</t>
  </si>
  <si>
    <t>KDK00497LB</t>
  </si>
  <si>
    <t>Light Blue</t>
  </si>
  <si>
    <t>Raymond Light Blue KDK00497LB[Light Blue]</t>
  </si>
  <si>
    <t>2-000000003320</t>
  </si>
  <si>
    <t>Raymond Blue KDK00497BL</t>
  </si>
  <si>
    <t>KDK00497BL</t>
  </si>
  <si>
    <t>Raymond Blue KDK00497BL[Blue]</t>
  </si>
  <si>
    <t>2-000000003313</t>
  </si>
  <si>
    <t>Raymond Black KDK00497BK</t>
  </si>
  <si>
    <t>KDK00497BK</t>
  </si>
  <si>
    <t>Raymond Black KDK00497BK[Black]</t>
  </si>
  <si>
    <t>2-000000005317</t>
  </si>
  <si>
    <t>Nuvo Brown JHJ00518BR</t>
  </si>
  <si>
    <t>JHJ00518BR</t>
  </si>
  <si>
    <t>Nuvo Brown JHJ00518BR[Brown]</t>
  </si>
  <si>
    <t>2-000000005294</t>
  </si>
  <si>
    <t>Nuvo Burgundy JHJ00518BU</t>
  </si>
  <si>
    <t>JHJ00518BU</t>
  </si>
  <si>
    <t>Nuvo Burgundy JHJ00518BU[Burgundy]</t>
  </si>
  <si>
    <t>2-000000005300</t>
  </si>
  <si>
    <t>Nuvo Gray JHJ00518GY</t>
  </si>
  <si>
    <t>JHJ00518GY</t>
  </si>
  <si>
    <t>Nuvo Gray JHJ00518GY[Gray]</t>
  </si>
  <si>
    <t>2-000000005287</t>
  </si>
  <si>
    <t>Nuvo Black JHJ00518BK</t>
  </si>
  <si>
    <t>JHJ00518BK</t>
  </si>
  <si>
    <t>Nuvo Black JHJ00518BK[Black]</t>
  </si>
  <si>
    <t>2-000000010250</t>
  </si>
  <si>
    <t>Moris Black JIS00548BK</t>
  </si>
  <si>
    <t>JIS00548BK</t>
  </si>
  <si>
    <t>Moris Black JIS00548BK[Black]</t>
  </si>
  <si>
    <t>2-000000010298</t>
  </si>
  <si>
    <t>Moris Beige JIS00548BG</t>
  </si>
  <si>
    <t>JIS00548BG</t>
  </si>
  <si>
    <t>Moris Beige JIS00548BG[Beige]</t>
  </si>
  <si>
    <t>2-000000010274</t>
  </si>
  <si>
    <t>Moris Brown JIS00548BR</t>
  </si>
  <si>
    <t>JIS00548BR</t>
  </si>
  <si>
    <t>Moris Brown JIS00548BR[Brown]</t>
  </si>
  <si>
    <t>2-000000010267</t>
  </si>
  <si>
    <t>Moris Burgundy JIS00548BU</t>
  </si>
  <si>
    <t>JIS00548BU</t>
  </si>
  <si>
    <t>Moris Burgundy JIS00548BU[Burgundy]</t>
  </si>
  <si>
    <t>2-000000010281</t>
  </si>
  <si>
    <t>Moris Indy Pink JIS00548IP</t>
  </si>
  <si>
    <t>JIS00548IP</t>
  </si>
  <si>
    <t>Moris Indy Pink JIS00548IP[Indy Pink]</t>
  </si>
  <si>
    <t>2-000000010311</t>
  </si>
  <si>
    <t>Monaco BlackIvory KDK00550BI</t>
  </si>
  <si>
    <t>KDK00550BI</t>
  </si>
  <si>
    <t>Black +Ivory</t>
  </si>
  <si>
    <t>Monaco BlackIvory KDK00550BI[Black +Ivory]</t>
  </si>
  <si>
    <t>2-000000004587</t>
  </si>
  <si>
    <t>Modi Brown YJS00510BR</t>
  </si>
  <si>
    <t>YJS00510BR</t>
  </si>
  <si>
    <t>Modi Brown YJS00510BR[Brown]</t>
  </si>
  <si>
    <t>2-000000004570</t>
  </si>
  <si>
    <t>Modi Burgundy YJS00510BU</t>
  </si>
  <si>
    <t>YJS00510BU</t>
  </si>
  <si>
    <t>Modi Burgundy YJS00510BU[Burgundy]</t>
  </si>
  <si>
    <t>2-000000004556</t>
  </si>
  <si>
    <t>Modi Navy YJS00510NV</t>
  </si>
  <si>
    <t>YJS00510NV</t>
  </si>
  <si>
    <t>Modi Navy YJS00510NV[Navy]</t>
  </si>
  <si>
    <t>2-000000004563</t>
  </si>
  <si>
    <t>Modi Gray YJS00510GY</t>
  </si>
  <si>
    <t>YJS00510GY</t>
  </si>
  <si>
    <t>Modi Gray YJS00510GY[Gray]</t>
  </si>
  <si>
    <t>2-000000004549</t>
  </si>
  <si>
    <t>Modi Black YJS00510BK</t>
  </si>
  <si>
    <t>YJS00510BK</t>
  </si>
  <si>
    <t>Modi Black YJS00510BK[Black]</t>
  </si>
  <si>
    <t>2-000000007489</t>
  </si>
  <si>
    <t>Kenzi Beige KJS00522BG</t>
  </si>
  <si>
    <t>KJS00522BG</t>
  </si>
  <si>
    <t>Kenzi Beige KJS00522BG[Beige]</t>
  </si>
  <si>
    <t>2-000000007472</t>
  </si>
  <si>
    <t>Kenzi Indy Pink KJS00522IP</t>
  </si>
  <si>
    <t>KJS00522IP</t>
  </si>
  <si>
    <t>Kenzi Indy Pink KJS00522IP[Indy Pink]</t>
  </si>
  <si>
    <t>2-000000007496</t>
  </si>
  <si>
    <t>Kenzi Light Gray KJS00522LG</t>
  </si>
  <si>
    <t>KJS00522LG</t>
  </si>
  <si>
    <t>Light Gray</t>
  </si>
  <si>
    <t>Kenzi Light Gray KJS00522LG[Light Gray]</t>
  </si>
  <si>
    <t>2-000000007465</t>
  </si>
  <si>
    <t>Kenzi black KJS00522BK</t>
  </si>
  <si>
    <t>KJS00522BK</t>
  </si>
  <si>
    <t>black</t>
  </si>
  <si>
    <t>Kenzi black KJS00522BK[black]</t>
  </si>
  <si>
    <t>2-000000002637</t>
  </si>
  <si>
    <t>Josh Opal PHK00487OP</t>
  </si>
  <si>
    <t>PHK00487OP</t>
  </si>
  <si>
    <t>Josh Opal PHK00487OP[Opal]</t>
  </si>
  <si>
    <t>2-000000002651</t>
  </si>
  <si>
    <t>Josh Bronze PHK00487BZ</t>
  </si>
  <si>
    <t>PHK00487BZ</t>
  </si>
  <si>
    <t>Josh Bronze PHK00487BZ[Bronze]</t>
  </si>
  <si>
    <t>2-000000002644</t>
  </si>
  <si>
    <t>Josh Black Silver PHK00487BS</t>
  </si>
  <si>
    <t>PHK00487BS</t>
  </si>
  <si>
    <t>Josh Black Silver PHK00487BS[Black Silver]</t>
  </si>
  <si>
    <t>2-000000002668</t>
  </si>
  <si>
    <t>Josh Blue PHK00487BL</t>
  </si>
  <si>
    <t>PHK00487BL</t>
  </si>
  <si>
    <t>Josh Blue PHK00487BL[Blue]</t>
  </si>
  <si>
    <t>2-000000009698</t>
  </si>
  <si>
    <t>Harry Black CMH00545BK</t>
  </si>
  <si>
    <t>CMH00545BK</t>
  </si>
  <si>
    <t>Harry Black CMH00545BK[Black]</t>
  </si>
  <si>
    <t>2-000000009728</t>
  </si>
  <si>
    <t>Harry Beige CMH00545BG</t>
  </si>
  <si>
    <t>CMH00545BG</t>
  </si>
  <si>
    <t>Harry Beige CMH00545BG[Beige]</t>
  </si>
  <si>
    <t>2-000000009704</t>
  </si>
  <si>
    <t>Harry Indy Pink CMH00545IP</t>
  </si>
  <si>
    <t>CMH00545IP</t>
  </si>
  <si>
    <t>Harry Indy Pink CMH00545IP[Indy Pink]</t>
  </si>
  <si>
    <t>2-000000009711</t>
  </si>
  <si>
    <t>Harry Ivory CMH00545IV</t>
  </si>
  <si>
    <t>CMH00545IV</t>
  </si>
  <si>
    <t>Harry Ivory CMH00545IV[Ivory]</t>
  </si>
  <si>
    <t>2-000000010304</t>
  </si>
  <si>
    <t>Demont BlackIvory KDK00549BI</t>
  </si>
  <si>
    <t>KDK00549BI</t>
  </si>
  <si>
    <t>Demont BlackIvory KDK00549BI[Black +Ivory]</t>
  </si>
  <si>
    <t>2-000000006642</t>
  </si>
  <si>
    <t>Dean Black ACC00001BK</t>
  </si>
  <si>
    <t>ACC00001BK</t>
  </si>
  <si>
    <t>Dean Black ACC00001BK[Black]</t>
  </si>
  <si>
    <t>2-000000006703</t>
  </si>
  <si>
    <t>Dean Navy ACC00001NV</t>
  </si>
  <si>
    <t>ACC00001NV</t>
  </si>
  <si>
    <t>Dean Navy ACC00001NV[Navy]</t>
  </si>
  <si>
    <t>2-000000006697</t>
  </si>
  <si>
    <t>Dean Red ACC00001RD</t>
  </si>
  <si>
    <t>ACC00001RD</t>
  </si>
  <si>
    <t>Dean Red ACC00001RD[Red]</t>
  </si>
  <si>
    <t>2-000000006680</t>
  </si>
  <si>
    <t>Dean Orange ACC00001OR</t>
  </si>
  <si>
    <t>ACC00001OR</t>
  </si>
  <si>
    <t>Orange</t>
  </si>
  <si>
    <t>Dean Orange ACC00001OR[Orange]</t>
  </si>
  <si>
    <t>2-000000006673</t>
  </si>
  <si>
    <t>Dean Green ACC00001GR</t>
  </si>
  <si>
    <t>ACC00001GR</t>
  </si>
  <si>
    <t>Dean Green ACC00001GR[Green]</t>
  </si>
  <si>
    <t>2-000000006666</t>
  </si>
  <si>
    <t>Dean Gray ACC00001GY</t>
  </si>
  <si>
    <t>ACC00001GY</t>
  </si>
  <si>
    <t>Dean Gray ACC00001GY[Gray]</t>
  </si>
  <si>
    <t>2-000000006710</t>
  </si>
  <si>
    <t>Dean Ivory ACC00001IV</t>
  </si>
  <si>
    <t>ACC00001IV</t>
  </si>
  <si>
    <t>Dean Ivory ACC00001IV[Ivory]</t>
  </si>
  <si>
    <t>2-000000006659</t>
  </si>
  <si>
    <t>Dean Beige ACC00001BG</t>
  </si>
  <si>
    <t>ACC00001BG</t>
  </si>
  <si>
    <t>Dean Beige ACC00001BG[Beige]</t>
  </si>
  <si>
    <t>2-000000010564</t>
  </si>
  <si>
    <t>Chouette Brown KDK00543BR</t>
  </si>
  <si>
    <t>KDK00543BR</t>
  </si>
  <si>
    <t>Chouette Brown KDK00543BR[Brown]</t>
  </si>
  <si>
    <t>2-000000010601</t>
  </si>
  <si>
    <t>Chouette Red KDK00543RD</t>
  </si>
  <si>
    <t>KDK00543RD</t>
  </si>
  <si>
    <t>Chouette Red KDK00543RD[Red]</t>
  </si>
  <si>
    <t>2-000000010830</t>
  </si>
  <si>
    <t>Chouette Purple KDK00543PP</t>
  </si>
  <si>
    <t>KDK00543PP</t>
  </si>
  <si>
    <t>Purple</t>
  </si>
  <si>
    <t>Chouette Purple KDK00543PP[Purple]</t>
  </si>
  <si>
    <t>2-000000010571</t>
  </si>
  <si>
    <t>Chouette Navy KDK00543NV</t>
  </si>
  <si>
    <t>KDK00543NV</t>
  </si>
  <si>
    <t>Chouette Navy KDK00543NV[Navy]</t>
  </si>
  <si>
    <t>2-000000010595</t>
  </si>
  <si>
    <t>Chouette Green KDK00543GR</t>
  </si>
  <si>
    <t>KDK00543GR</t>
  </si>
  <si>
    <t>Chouette Green KDK00543GR[Green]</t>
  </si>
  <si>
    <t>2-000000010588</t>
  </si>
  <si>
    <t>Chouette Blue KDK00543BL</t>
  </si>
  <si>
    <t>KDK00543BL</t>
  </si>
  <si>
    <t>Chouette Blue KDK00543BL[Blue]</t>
  </si>
  <si>
    <t>2-000000010557</t>
  </si>
  <si>
    <t>Chouette Cocoa KDK00543CC</t>
  </si>
  <si>
    <t>KDK00543CC</t>
  </si>
  <si>
    <t>Chouette Cocoa KDK00543CC[Cocoa]</t>
  </si>
  <si>
    <t>2-000000009599</t>
  </si>
  <si>
    <t>Chouette Indy Pink KDK00543IP</t>
  </si>
  <si>
    <t>KDK00543IP</t>
  </si>
  <si>
    <t>Chouette Indy Pink KDK00543IP[Indy Pink]</t>
  </si>
  <si>
    <t>2-000000009605</t>
  </si>
  <si>
    <t>Chouette Sky Blue KDK00543SB</t>
  </si>
  <si>
    <t>KDK00543SB</t>
  </si>
  <si>
    <t>Sky Blue</t>
  </si>
  <si>
    <t>Chouette Sky Blue KDK00543SB[Sky Blue]</t>
  </si>
  <si>
    <t>2-000000009582</t>
  </si>
  <si>
    <t>Chouette Ivory KDK00543IV</t>
  </si>
  <si>
    <t>KDK00543IV</t>
  </si>
  <si>
    <t>Chouette Ivory KDK00543IV[Ivory]</t>
  </si>
  <si>
    <t>2-000000009575</t>
  </si>
  <si>
    <t>Chouette Black KDK00543BK</t>
  </si>
  <si>
    <t>KDK00543BK</t>
  </si>
  <si>
    <t>Chouette Black KDK00543BK[Black]</t>
  </si>
  <si>
    <t>2-000000007892</t>
  </si>
  <si>
    <t>SELLY INDY PINK PYS00504IP</t>
  </si>
  <si>
    <t>PYS00504IP</t>
  </si>
  <si>
    <t>INDY PINK/FREE</t>
  </si>
  <si>
    <t>SELLY INDY PINK PYS00504IP[INDY PINK/FREE]</t>
  </si>
  <si>
    <t>2-000000007885</t>
  </si>
  <si>
    <t>SELLY IVORY PYS00504IV</t>
  </si>
  <si>
    <t>PYS00504IV</t>
  </si>
  <si>
    <t>SELLY IVORY PYS00504IV[IVORY/FREE]</t>
  </si>
  <si>
    <t>2-000000007908</t>
  </si>
  <si>
    <t>SELLY RED PYS00504RD</t>
  </si>
  <si>
    <t>PYS00504RD</t>
  </si>
  <si>
    <t>SELLY RED PYS00504RD[RED/FREE]</t>
  </si>
  <si>
    <t>2-000000007953</t>
  </si>
  <si>
    <t>VIRGINIA IVORY CMH00489IV</t>
  </si>
  <si>
    <t>CMH00489IV</t>
  </si>
  <si>
    <t>VIRGINIA IVORY CMH00489IV[IVORY/FREE]</t>
  </si>
  <si>
    <t>2-000000007960</t>
  </si>
  <si>
    <t>VIRGINIA INDY PINK CMH00489IP</t>
  </si>
  <si>
    <t>CMH00489IP</t>
  </si>
  <si>
    <t>VIRGINIA INDY PINK CMH00489IP[INDY PINK/FREE]</t>
  </si>
  <si>
    <t>2-000000006598</t>
  </si>
  <si>
    <t>KEIKO NAVY PYS00521NV</t>
  </si>
  <si>
    <t>PYS00521NV</t>
  </si>
  <si>
    <t>KEIKO NAVY PYS00521NV[NAVY/FREE]</t>
  </si>
  <si>
    <t>2-000000006581</t>
  </si>
  <si>
    <t>KEIKO GRAY PYS00521GY</t>
  </si>
  <si>
    <t>PYS00521GY</t>
  </si>
  <si>
    <t>KEIKO GRAY PYS00521GY[GRAY/FREE]</t>
  </si>
  <si>
    <t>2-000000007373</t>
  </si>
  <si>
    <t>KEIKO RED PYS00521RD</t>
  </si>
  <si>
    <t>PYS00521RD</t>
  </si>
  <si>
    <t>KEIKO RED PYS00521RD[RED/FREE]</t>
  </si>
  <si>
    <t>2-000000006567</t>
  </si>
  <si>
    <t>KEIKO IVORY PYS00521IV</t>
  </si>
  <si>
    <t>PYS00521IV</t>
  </si>
  <si>
    <t>KEIKO IVORY PYS00521IV[IVORY/FREE]</t>
  </si>
  <si>
    <t>2-000000006574</t>
  </si>
  <si>
    <t>KEIKO BEIGE PYS00521BG</t>
  </si>
  <si>
    <t>PYS00521BG</t>
  </si>
  <si>
    <t>KEIKO BEIGE PYS00521BG[BEIGE/FREE]</t>
  </si>
  <si>
    <t>2-000000006611</t>
  </si>
  <si>
    <t>KEIKO ORANGE PYS00521OR</t>
  </si>
  <si>
    <t>PYS00521OR</t>
  </si>
  <si>
    <t>KEIKO ORANGE PYS00521OR[ORANGE/FREE]</t>
  </si>
  <si>
    <t>2-000000006628</t>
  </si>
  <si>
    <t>KEIKO GREEN PYS00521GR</t>
  </si>
  <si>
    <t>PYS00521GR</t>
  </si>
  <si>
    <t>KEIKO GREEN PYS00521GR[GREEN/FREE]</t>
  </si>
  <si>
    <t>2-000000006604</t>
  </si>
  <si>
    <t>KEIKO BLUE PYS00521BL</t>
  </si>
  <si>
    <t>PYS00521BL</t>
  </si>
  <si>
    <t>KEIKO BLUE PYS00521BL[BLUE/FREE]</t>
  </si>
  <si>
    <t>2-000000007410</t>
  </si>
  <si>
    <t>TEDDY PURPLE HOR00511PP</t>
  </si>
  <si>
    <t>HOR00511PP</t>
  </si>
  <si>
    <t>TEDDY PURPLE HOR00511PP[PURPLE/FREE]</t>
  </si>
  <si>
    <t>2-000000007403</t>
  </si>
  <si>
    <t>TEDDY IVORY HOR00511IV</t>
  </si>
  <si>
    <t>HOR00511IV</t>
  </si>
  <si>
    <t>TEDDY IVORY HOR00511IV[IVORY/FREE]</t>
  </si>
  <si>
    <t>2-000000007380</t>
  </si>
  <si>
    <t>TEDDY BLUE HOR00511BL</t>
  </si>
  <si>
    <t>HOR00511BL</t>
  </si>
  <si>
    <t>TEDDY BLUE HOR00511BL[BLUE/FREE]</t>
  </si>
  <si>
    <t>2-000000007397</t>
  </si>
  <si>
    <t>TEDDY INDY PINK HOR00511IP</t>
  </si>
  <si>
    <t>HOR00511IP</t>
  </si>
  <si>
    <t>TEDDY INDY PINK HOR00511IP[INDY PINK/FREE]</t>
  </si>
  <si>
    <t>2-000000007595</t>
  </si>
  <si>
    <t>HINATA INDY PINK KJK00524IP</t>
  </si>
  <si>
    <t>KJK00524IP</t>
  </si>
  <si>
    <t>HINATA INDY PINK KJK00524IP[INDY PINK/FREE]</t>
  </si>
  <si>
    <t>2-000000007588</t>
  </si>
  <si>
    <t>HINATA BEIGE KJK00524BG</t>
  </si>
  <si>
    <t>KJK00524BG</t>
  </si>
  <si>
    <t>HINATA BEIGE KJK00524BG[BEIGE/FREE]</t>
  </si>
  <si>
    <t>2-000000007601</t>
  </si>
  <si>
    <t>HINATA GRAY KJK00524GY</t>
  </si>
  <si>
    <t>KJK00524GY</t>
  </si>
  <si>
    <t>HINATA GRAY KJK00524GY[GRAY/FREE]</t>
  </si>
  <si>
    <t>2-000000007632</t>
  </si>
  <si>
    <t>HINATA Black+Red KJK00524BKRD</t>
  </si>
  <si>
    <t>KJK00524BKRD</t>
  </si>
  <si>
    <t>Black+Red/FREE</t>
  </si>
  <si>
    <t>HINATA Black+Red KJK00524BKRD[Black+Red/FREE]</t>
  </si>
  <si>
    <t>2-000000007625</t>
  </si>
  <si>
    <t>HINATA Black+Blue KJK00524BKBL</t>
  </si>
  <si>
    <t>KJK00524BKBL</t>
  </si>
  <si>
    <t>Black+Blue/FREE</t>
  </si>
  <si>
    <t>HINATA Black+Blue KJK00524BKBL[Black+Blue/FREE]</t>
  </si>
  <si>
    <t>2-000000007618</t>
  </si>
  <si>
    <t>HINATA Black+Yellow KJK00524BKYL</t>
  </si>
  <si>
    <t>KJK00524BKYL</t>
  </si>
  <si>
    <t>Black+Yellow/FREE</t>
  </si>
  <si>
    <t>HINATA Black+Yellow KJK00524BKYL[Black+Yellow/FREE]</t>
  </si>
  <si>
    <t>2-000000007526</t>
  </si>
  <si>
    <t>MAHO PINK KJK00523PK</t>
  </si>
  <si>
    <t>KJK00523PK</t>
  </si>
  <si>
    <t>MAHO PINK KJK00523PK[PINK/FREE]</t>
  </si>
  <si>
    <t>2-000000007502</t>
  </si>
  <si>
    <t>MAHO BLACK KJK00523BK</t>
  </si>
  <si>
    <t>KJK00523BK</t>
  </si>
  <si>
    <t>MAHO BLACK KJK00523BK[BLACK/FREE]</t>
  </si>
  <si>
    <t>2-000000007557</t>
  </si>
  <si>
    <t>MAHO LIGHTGRAY KJK00523LG</t>
  </si>
  <si>
    <t>KJK00523LG</t>
  </si>
  <si>
    <t>LIGHTGRAY/FREE</t>
  </si>
  <si>
    <t>MAHO LIGHTGRAY KJK00523LG[LIGHTGRAY/FREE]</t>
  </si>
  <si>
    <t>2-000000007533</t>
  </si>
  <si>
    <t>MAHO SKYBLUE KJK00523SB</t>
  </si>
  <si>
    <t>KJK00523SB</t>
  </si>
  <si>
    <t>MAHO SKYBLUE KJK00523SB[SKYBLUE/FREE]</t>
  </si>
  <si>
    <t>2-000000007519</t>
  </si>
  <si>
    <t>MAHO RED KJK00523RD</t>
  </si>
  <si>
    <t>KJK00523RD</t>
  </si>
  <si>
    <t>MAHO RED KJK00523RD[RED/FREE]</t>
  </si>
  <si>
    <t>2-000000007540</t>
  </si>
  <si>
    <t>MAHO BEIGE KJK00523BG</t>
  </si>
  <si>
    <t>KJK00523BG</t>
  </si>
  <si>
    <t>MAHO BEIGE KJK00523BG[BEIGE/FREE]</t>
  </si>
  <si>
    <t>2-000000007564</t>
  </si>
  <si>
    <t>MAHO YELLOW KJK00523MU</t>
  </si>
  <si>
    <t>KJK00523MU</t>
  </si>
  <si>
    <t>MAHO YELLOW KJK00523MU[YELLOW/FREE]</t>
  </si>
  <si>
    <t>2-000000007571</t>
  </si>
  <si>
    <t>MAHO PURPLE KJK00523PP</t>
  </si>
  <si>
    <t>KJK00523PP</t>
  </si>
  <si>
    <t>MAHO PURPLE KJK00523PP[PURPLE/FREE]</t>
  </si>
  <si>
    <t>2-000000000381</t>
  </si>
  <si>
    <t>BELIO BLUE PHK00413BL</t>
  </si>
  <si>
    <t>PHK00413BL</t>
  </si>
  <si>
    <t>BELIO BLUE PHK00413BL[BLUE/FREE]</t>
  </si>
  <si>
    <t>2-000000002583</t>
  </si>
  <si>
    <t>BELIO BRONZE PHK00413BZ</t>
  </si>
  <si>
    <t>PHK00413BZ</t>
  </si>
  <si>
    <t>BRONZE/FREE</t>
  </si>
  <si>
    <t>BELIO BRONZE PHK00413BZ[BRONZE/FREE]</t>
  </si>
  <si>
    <t>2-000000000183</t>
  </si>
  <si>
    <t>BELIO BLACK PHK00413BK</t>
  </si>
  <si>
    <t>PHK00413BK</t>
  </si>
  <si>
    <t>BELIO BLACK PHK00413BK[BLACK/FREE]</t>
  </si>
  <si>
    <t>2-000000009285</t>
  </si>
  <si>
    <t>MIDAS EBLUE JIS00530EBL</t>
  </si>
  <si>
    <t>JIS00530EBL</t>
  </si>
  <si>
    <t>EBLUE/FREE</t>
  </si>
  <si>
    <t>MIDAS EBLUE JIS00530EBL[EBLUE/FREE]</t>
  </si>
  <si>
    <t>2-000000007991</t>
  </si>
  <si>
    <t>MIDAS BLACK JIS00530BK</t>
  </si>
  <si>
    <t>JIS00530BK</t>
  </si>
  <si>
    <t>MIDAS BLACK JIS00530BK[BLACK/FREE]</t>
  </si>
  <si>
    <t>2-000000008066</t>
  </si>
  <si>
    <t>MIDAS BLUE JIS00530BL</t>
  </si>
  <si>
    <t>JIS00530BL</t>
  </si>
  <si>
    <t>MIDAS BLUE JIS00530BL[BLUE/FREE]</t>
  </si>
  <si>
    <t>2-000000008011</t>
  </si>
  <si>
    <t>MIDAS IVORY JIS00530IV</t>
  </si>
  <si>
    <t>JIS00530IV</t>
  </si>
  <si>
    <t>MIDAS IVORY JIS00530IV[IVORY/FREE]</t>
  </si>
  <si>
    <t>2-000000008035</t>
  </si>
  <si>
    <t>MIDAS GREEN JIS00530GR</t>
  </si>
  <si>
    <t>JIS00530GR</t>
  </si>
  <si>
    <t>MIDAS GREEN JIS00530GR[GREEN/FREE]</t>
  </si>
  <si>
    <t>2-000000008004</t>
  </si>
  <si>
    <t>MIDAS DARK BORWN JIS00530DB</t>
  </si>
  <si>
    <t>JIS00530DB</t>
  </si>
  <si>
    <t>DARK BORWN/FREE</t>
  </si>
  <si>
    <t>MIDAS DARK BORWN JIS00530DB[DARK BORWN/FREE]</t>
  </si>
  <si>
    <t>2-000000008028</t>
  </si>
  <si>
    <t>MIDAS INDY PINK JIS00530IP</t>
  </si>
  <si>
    <t>JIS00530IP</t>
  </si>
  <si>
    <t>MIDAS INDY PINK JIS00530IP[INDY PINK/FREE]</t>
  </si>
  <si>
    <t>2-000000008059</t>
  </si>
  <si>
    <t>MIDAS LIGHT GRAY JIS00530LG</t>
  </si>
  <si>
    <t>JIS00530LG</t>
  </si>
  <si>
    <t>LIGHT GRAY/FREE</t>
  </si>
  <si>
    <t>MIDAS LIGHT GRAY JIS00530LG[LIGHT GRAY/FREE]</t>
  </si>
  <si>
    <t>2-000000008042</t>
  </si>
  <si>
    <t>MIDAS RED JIS00530RD</t>
  </si>
  <si>
    <t>JIS00530RD</t>
  </si>
  <si>
    <t>MIDAS RED JIS00530RD[RED/FREE]</t>
  </si>
  <si>
    <t>2-000000009292</t>
  </si>
  <si>
    <t>MIDAS EBRONZE JIS00530BZ</t>
  </si>
  <si>
    <t>JIS00530BZ</t>
  </si>
  <si>
    <t>EBRONZE/FREE</t>
  </si>
  <si>
    <t>MIDAS EBRONZE JIS00530BZ[EBRONZE/FREE]</t>
  </si>
  <si>
    <t>2-000000009278</t>
  </si>
  <si>
    <t>MIDAS EBLACK JIS00530EBK</t>
  </si>
  <si>
    <t>JIS00530EBK</t>
  </si>
  <si>
    <t>EBLACK/FREE</t>
  </si>
  <si>
    <t>MIDAS EBLACK JIS00530EBK[EBLACK/FREE]</t>
  </si>
  <si>
    <t>2-000000009322</t>
  </si>
  <si>
    <t>DOROTHY BLACK KDK00539BK</t>
  </si>
  <si>
    <t>KDK00539BK</t>
  </si>
  <si>
    <t>DOROTHY BLACK KDK00539BK[BLACK/FREE]</t>
  </si>
  <si>
    <t>2-000000009346</t>
  </si>
  <si>
    <t>DOROTHY WHITE KDK00539WH</t>
  </si>
  <si>
    <t>KDK00539WH</t>
  </si>
  <si>
    <t>DOROTHY WHITE KDK00539WH[WHITE/FREE]</t>
  </si>
  <si>
    <t>2-000000009360</t>
  </si>
  <si>
    <t>DOROTHY BEIGE KDK00539BG</t>
  </si>
  <si>
    <t>KDK00539BG</t>
  </si>
  <si>
    <t>DOROTHY BEIGE KDK00539BG[BEIGE/FREE]</t>
  </si>
  <si>
    <t>2-000000009353</t>
  </si>
  <si>
    <t>DOROTHY PINK KDK00539PK</t>
  </si>
  <si>
    <t>KDK00539PK</t>
  </si>
  <si>
    <t>DOROTHY PINK KDK00539PK[PINK/FREE]</t>
  </si>
  <si>
    <t>2-000000009377</t>
  </si>
  <si>
    <t>DOROTHY BLUE KDK00539BL</t>
  </si>
  <si>
    <t>KDK00539BL</t>
  </si>
  <si>
    <t>DOROTHY BLUE KDK00539BL[BLUE/FREE]</t>
  </si>
  <si>
    <t>2-000000009384</t>
  </si>
  <si>
    <t>DOROTHY ROSE GOLD KDK00539RG</t>
  </si>
  <si>
    <t>KDK00539RG</t>
  </si>
  <si>
    <t>ROSE GOLD/FREE</t>
  </si>
  <si>
    <t>DOROTHY ROSE GOLD KDK00539RG[ROSE GOLD/FREE]</t>
  </si>
  <si>
    <t>2-000000009391</t>
  </si>
  <si>
    <t>DOROTHY BLACK SLIVER KDK00539BS</t>
  </si>
  <si>
    <t>KDK00539BS</t>
  </si>
  <si>
    <t>BLACK SLIVER/FREE</t>
  </si>
  <si>
    <t>DOROTHY BLACK SLIVER KDK00539BS[BLACK SLIVER/FREE]</t>
  </si>
  <si>
    <t>2-000000009339</t>
  </si>
  <si>
    <t>DOROTHY BROWN KDK00539BR</t>
  </si>
  <si>
    <t>KDK00539BR</t>
  </si>
  <si>
    <t>DOROTHY BROWN KDK00539BR[BROWN/FREE]</t>
  </si>
  <si>
    <t>2-000000007687</t>
  </si>
  <si>
    <t>TOBI LIGHT GRAY YJS00526</t>
  </si>
  <si>
    <t>YJS00530LG</t>
  </si>
  <si>
    <t>TOBI LIGHT GRAY YJS00526[LIGHT GRAY/FREE]</t>
  </si>
  <si>
    <t>2-000000007656</t>
  </si>
  <si>
    <t>TOBI INDY PINK YJS00526</t>
  </si>
  <si>
    <t>YJS00529IP</t>
  </si>
  <si>
    <t>TOBI INDY PINK YJS00526[INDY PINK/FREE]</t>
  </si>
  <si>
    <t>2-000000007663</t>
  </si>
  <si>
    <t>TOBI RED YJS00526</t>
  </si>
  <si>
    <t>YJS00528RD</t>
  </si>
  <si>
    <t>TOBI RED YJS00526[RED/FREE]</t>
  </si>
  <si>
    <t>2-000000007670</t>
  </si>
  <si>
    <t>TOBI GREEN YJS00526</t>
  </si>
  <si>
    <t>YJS00527GR</t>
  </si>
  <si>
    <t>TOBI GREEN YJS00526[GREEN/FREE]</t>
  </si>
  <si>
    <t>2-000000007649</t>
  </si>
  <si>
    <t>TOBI BLACK YJS00526</t>
  </si>
  <si>
    <t>YJS00526BK</t>
  </si>
  <si>
    <t>TOBI BLACK YJS00526[BLACK/FREE]</t>
  </si>
  <si>
    <t>2-000000009179</t>
  </si>
  <si>
    <t>MEDI GOLD YJS00498</t>
  </si>
  <si>
    <t>YJS00498GD</t>
  </si>
  <si>
    <t>MEDI GOLD YJS00498[GOLD/FREE]</t>
  </si>
  <si>
    <t>2-000000009155</t>
  </si>
  <si>
    <t>MEDI GREEN YJS00498</t>
  </si>
  <si>
    <t>YJS00498GR</t>
  </si>
  <si>
    <t>MEDI GREEN YJS00498[GREEN/FREE]</t>
  </si>
  <si>
    <t>2-000000003382</t>
  </si>
  <si>
    <t>MEDI IVORY YJS00498</t>
  </si>
  <si>
    <t>YJS00498IV</t>
  </si>
  <si>
    <t>MEDI IVORY YJS00498[IVORY/FREE]</t>
  </si>
  <si>
    <t>2-000000003375</t>
  </si>
  <si>
    <t>MEDI MUSTARD YJS00498</t>
  </si>
  <si>
    <t>YJS00498MU</t>
  </si>
  <si>
    <t>MEDI MUSTARD YJS00498[MUSTARD/FREE]</t>
  </si>
  <si>
    <t>2-000000009186</t>
  </si>
  <si>
    <t>MEDI PINK YJS00498</t>
  </si>
  <si>
    <t>YJS00498PK</t>
  </si>
  <si>
    <t>MEDI PINK YJS00498[PINK/FREE]</t>
  </si>
  <si>
    <t>2-000000009148</t>
  </si>
  <si>
    <t>MEDI RED YJS00498</t>
  </si>
  <si>
    <t>YJS00498RD</t>
  </si>
  <si>
    <t>MEDI RED YJS00498[RED/FREE]</t>
  </si>
  <si>
    <t>2-000000003351</t>
  </si>
  <si>
    <t>MEDI BLACK YJS00498</t>
  </si>
  <si>
    <t>YJS00498BK</t>
  </si>
  <si>
    <t>MEDI BLACK YJS00498[BLACK/FREE]</t>
  </si>
  <si>
    <t>2-000000003559</t>
  </si>
  <si>
    <t>MEDI SILVER YJS00498</t>
  </si>
  <si>
    <t>YJS00498SV</t>
  </si>
  <si>
    <t>MEDI SILVER YJS00498[SILVER/FREE]</t>
  </si>
  <si>
    <t>2-000000003573</t>
  </si>
  <si>
    <t>MEDI EBLUE YJS00498</t>
  </si>
  <si>
    <t>YJS00498BL</t>
  </si>
  <si>
    <t>MEDI EBLUE YJS00498[EBLUE/FREE]</t>
  </si>
  <si>
    <t>2-000000003566</t>
  </si>
  <si>
    <t>MEDI EBLACK YJS00498</t>
  </si>
  <si>
    <t>YJS00498EBK</t>
  </si>
  <si>
    <t>MEDI EBLACK YJS00498[EBLACK/FREE]</t>
  </si>
  <si>
    <t>2-000000004235</t>
  </si>
  <si>
    <t>Bobi MUD KDK00506_5</t>
  </si>
  <si>
    <t>KDK00506_5</t>
  </si>
  <si>
    <t>MUD</t>
  </si>
  <si>
    <t>Bobi MUD KDK00506_5[MUD]</t>
  </si>
  <si>
    <t>2-000000004228</t>
  </si>
  <si>
    <t>Bobi KHAKI KDK00506_4</t>
  </si>
  <si>
    <t>KDK00506_4</t>
  </si>
  <si>
    <t>KHAKI</t>
  </si>
  <si>
    <t>Bobi KHAKI KDK00506_4[KHAKI]</t>
  </si>
  <si>
    <t>2-000000004204</t>
  </si>
  <si>
    <t>Bobi COCOA KDK00506_3</t>
  </si>
  <si>
    <t>KDK00506_3</t>
  </si>
  <si>
    <t>COCOA</t>
  </si>
  <si>
    <t>Bobi COCOA KDK00506_3[COCOA]</t>
  </si>
  <si>
    <t>2-000000004211</t>
  </si>
  <si>
    <t>Bobi BROWN KDK00506_2</t>
  </si>
  <si>
    <t>KDK00506_2</t>
  </si>
  <si>
    <t>BROWN</t>
  </si>
  <si>
    <t>Bobi BROWN KDK00506_2[BROWN]</t>
  </si>
  <si>
    <t>2-000000004198</t>
  </si>
  <si>
    <t>Bobi BLACK KDK00506_1</t>
  </si>
  <si>
    <t>KDK00506_1</t>
  </si>
  <si>
    <t>Bobi BLACK KDK00506_1[BLACK]</t>
  </si>
  <si>
    <t>2-000000004419</t>
  </si>
  <si>
    <t>Bowl KHAKI PYS00508_4</t>
  </si>
  <si>
    <t>PYS00508_4</t>
  </si>
  <si>
    <t>Bowl KHAKI PYS00508_4[KHAKI]</t>
  </si>
  <si>
    <t>2-000000004426</t>
  </si>
  <si>
    <t>Bowl BURGUNDY PYS00508_3</t>
  </si>
  <si>
    <t>PYS00508_3</t>
  </si>
  <si>
    <t>Bowl BURGUNDY PYS00508_3[BURGUNDY]</t>
  </si>
  <si>
    <t>2-000000004402</t>
  </si>
  <si>
    <t>Bowl BROWN PYS00508_2</t>
  </si>
  <si>
    <t>PYS00508_2</t>
  </si>
  <si>
    <t>Bowl BROWN PYS00508_2[BROWN]</t>
  </si>
  <si>
    <t>2-000000004396</t>
  </si>
  <si>
    <t>Bowl BLACK PYS00508_1</t>
  </si>
  <si>
    <t>PYS00508_1</t>
  </si>
  <si>
    <t>Bowl BLACK PYS00508_1[BLACK]</t>
  </si>
  <si>
    <t>2-000000003979</t>
  </si>
  <si>
    <t>Selly TAN PYS00504_5</t>
  </si>
  <si>
    <t>PYS00504_5</t>
  </si>
  <si>
    <t>TAN</t>
  </si>
  <si>
    <t>Selly TAN PYS00504_5[TAN]</t>
  </si>
  <si>
    <t>2-000000003962</t>
  </si>
  <si>
    <t>Selly DARKBROWN PYS00504_4</t>
  </si>
  <si>
    <t>PYS00504_4</t>
  </si>
  <si>
    <t>DARKBROWN</t>
  </si>
  <si>
    <t>Selly DARKBROWN PYS00504_4[DARKBROWN]</t>
  </si>
  <si>
    <t>2-000000003993</t>
  </si>
  <si>
    <t>Selly KHAKI PYS00504_3</t>
  </si>
  <si>
    <t>PYS00504_3</t>
  </si>
  <si>
    <t>Selly KHAKI PYS00504_3[KHAKI]</t>
  </si>
  <si>
    <t>2-000000003948</t>
  </si>
  <si>
    <t>Selly GRAY PYS00504_2</t>
  </si>
  <si>
    <t>PYS00504_2</t>
  </si>
  <si>
    <t>Selly GRAY PYS00504_2[GRAY]</t>
  </si>
  <si>
    <t>2-000000003931</t>
  </si>
  <si>
    <t>Selly BLACK PYS00504_1</t>
  </si>
  <si>
    <t>PYS00504_1</t>
  </si>
  <si>
    <t>Selly BLACK PYS00504_1[BLACK]</t>
  </si>
  <si>
    <t>2-000000004150</t>
  </si>
  <si>
    <t>Canna KHAKI KDK00484_4</t>
  </si>
  <si>
    <t>KDK00484_4</t>
  </si>
  <si>
    <t>Canna KHAKI KDK00484_4[KHAKI]</t>
  </si>
  <si>
    <t>2-000000002163</t>
  </si>
  <si>
    <t>Canna COCOA KDK00484_3</t>
  </si>
  <si>
    <t>KDK00484_3</t>
  </si>
  <si>
    <t>Canna COCOA KDK00484_3[COCOA]</t>
  </si>
  <si>
    <t>2-000000002156</t>
  </si>
  <si>
    <t>Canna BROWN KDK00484_2</t>
  </si>
  <si>
    <t>KDK00484_2</t>
  </si>
  <si>
    <t>Canna BROWN KDK00484_2[BROWN]</t>
  </si>
  <si>
    <t>2-000000002149</t>
  </si>
  <si>
    <t>Canna BLACK KDK00484_1</t>
  </si>
  <si>
    <t>KDK00484_1</t>
  </si>
  <si>
    <t>Canna BLACK KDK00484_1[BLACK]</t>
  </si>
  <si>
    <t>2-000000004167</t>
  </si>
  <si>
    <t>Leto KHAKI ARS00485_4</t>
  </si>
  <si>
    <t>ARS00485_4</t>
  </si>
  <si>
    <t>Leto KHAKI ARS00485_4[KHAKI]</t>
  </si>
  <si>
    <t>2-000000001722</t>
  </si>
  <si>
    <t>Leto COCOA ARS00485_3</t>
  </si>
  <si>
    <t>ARS00485_3</t>
  </si>
  <si>
    <t>Leto COCOA ARS00485_3[COCOA]</t>
  </si>
  <si>
    <t>2-000000001715</t>
  </si>
  <si>
    <t>Leto BROWN ARS00485_2[BROWN]</t>
  </si>
  <si>
    <t>2-000000001708</t>
  </si>
  <si>
    <t>Leto BLACK ARS00485_1</t>
  </si>
  <si>
    <t>ARS00485_1</t>
  </si>
  <si>
    <t>Leto BLACK ARS00485_1[BLACK]</t>
  </si>
  <si>
    <t>2-000000004105</t>
  </si>
  <si>
    <t>Edina PURPLE KJS00505_10</t>
  </si>
  <si>
    <t>KJS00505_10</t>
  </si>
  <si>
    <t>Edina PURPLE KJS00505_10[PURPLE]</t>
  </si>
  <si>
    <t>2-000000004112</t>
  </si>
  <si>
    <t>Edina MUSTARD KJS00505_9</t>
  </si>
  <si>
    <t>KJS00505_9</t>
  </si>
  <si>
    <t>MUSTARD</t>
  </si>
  <si>
    <t>Edina MUSTARD KJS00505_9[MUSTARD]</t>
  </si>
  <si>
    <t>2-000000004044</t>
  </si>
  <si>
    <t>Edina LIGHTGRAY KJS00505_8</t>
  </si>
  <si>
    <t>KJS00505_8</t>
  </si>
  <si>
    <t>LIGHTGRAY</t>
  </si>
  <si>
    <t>Edina LIGHTGRAY KJS00505_8[LIGHTGRAY]</t>
  </si>
  <si>
    <t>2-000000004037</t>
  </si>
  <si>
    <t>Edina KHAKI KJS00505_7</t>
  </si>
  <si>
    <t>KJS00505_7</t>
  </si>
  <si>
    <t>Edina KHAKI KJS00505_7[KHAKI]</t>
  </si>
  <si>
    <t>2-000000004051</t>
  </si>
  <si>
    <t>Edina DARKGRAY KJS00505_6</t>
  </si>
  <si>
    <t>KJS00505_6</t>
  </si>
  <si>
    <t>DARKGRAY</t>
  </si>
  <si>
    <t>Edina DARKGRAY KJS00505_6[DARKGRAY]</t>
  </si>
  <si>
    <t>2-000000004075</t>
  </si>
  <si>
    <t>Edina BURGUNDY KJS00505_5</t>
  </si>
  <si>
    <t>KJS00505_5</t>
  </si>
  <si>
    <t>Edina BURGUNDY KJS00505_5[BURGUNDY]</t>
  </si>
  <si>
    <t>2-000000004068</t>
  </si>
  <si>
    <t>Edina BROWN KJS00505_4</t>
  </si>
  <si>
    <t>KJS00505_4</t>
  </si>
  <si>
    <t>Edina BROWN KJS00505_4[BROWN]</t>
  </si>
  <si>
    <t>2-000000004082</t>
  </si>
  <si>
    <t>Edina BLUE KJS00505_3</t>
  </si>
  <si>
    <t>KJS00505_3</t>
  </si>
  <si>
    <t>Edina BLUE KJS00505_3[BLUE]</t>
  </si>
  <si>
    <t>2-000000004020</t>
  </si>
  <si>
    <t>Edina BLACK KJS00505_2</t>
  </si>
  <si>
    <t>KJS00505_2</t>
  </si>
  <si>
    <t>Edina BLACK KJS00505_2[BLACK]</t>
  </si>
  <si>
    <t>2-000000004099</t>
  </si>
  <si>
    <t>Edina BEIGE KJS00505_1</t>
  </si>
  <si>
    <t>KJS00505_1</t>
  </si>
  <si>
    <t>BEIGE</t>
  </si>
  <si>
    <t>Edina BEIGE KJS00505_1[BEIGE]</t>
  </si>
  <si>
    <t>2-000000004297</t>
  </si>
  <si>
    <t>Jack GRAY KJS00490_5</t>
  </si>
  <si>
    <t>KJS00490_5</t>
  </si>
  <si>
    <t>Jack GRAY KJS00490_5[GRAY]</t>
  </si>
  <si>
    <t>K-JS00490_4</t>
  </si>
  <si>
    <t>KJS00490_4</t>
  </si>
  <si>
    <t>Jack BURGUNDY KJS00490_4</t>
  </si>
  <si>
    <t>Jack BURGUNDY KJS00490_4[BURGUNDY]</t>
  </si>
  <si>
    <t>2-000000002811</t>
  </si>
  <si>
    <t>Jack BLACK KJS00490_2</t>
  </si>
  <si>
    <t>KJS00490_2</t>
  </si>
  <si>
    <t>Jack BLACK KJS00490_2[BLACK]</t>
  </si>
  <si>
    <t>2-000000002842</t>
  </si>
  <si>
    <t>Jack BEIGE KJS00490_1</t>
  </si>
  <si>
    <t>KJS00490_1</t>
  </si>
  <si>
    <t>Jack BEIGE KJS00490_1[BEIGE]</t>
  </si>
  <si>
    <t>2-000000004327</t>
  </si>
  <si>
    <t>Virginia KHAKI CMH00489_7</t>
  </si>
  <si>
    <t>CMH00489_7</t>
  </si>
  <si>
    <t>Virginia KHAKI CMH00489_7[KHAKI]</t>
  </si>
  <si>
    <t>2-000000002767</t>
  </si>
  <si>
    <t>Virginia GRAY CMH00489_6</t>
  </si>
  <si>
    <t>CMH00489_6</t>
  </si>
  <si>
    <t>Virginia GRAY CMH00489_6[GRAY]</t>
  </si>
  <si>
    <t>2-000000004334</t>
  </si>
  <si>
    <t>Virginia DARKGRAY CMH00489_5</t>
  </si>
  <si>
    <t>CMH00489_5</t>
  </si>
  <si>
    <t>Virginia DARKGRAY CMH00489_5[DARKGRAY]</t>
  </si>
  <si>
    <t>2-000000002774</t>
  </si>
  <si>
    <t>Virginia COCOA CMH00489_4</t>
  </si>
  <si>
    <t>CMH00489_4</t>
  </si>
  <si>
    <t>Virginia COCOA CMH00489_4[COCOA]</t>
  </si>
  <si>
    <t>2-000000004310</t>
  </si>
  <si>
    <t>Virginia BROWN CMH00489_3</t>
  </si>
  <si>
    <t>CMH00489_3</t>
  </si>
  <si>
    <t>Virginia BROWN CMH00489_3[BROWN]</t>
  </si>
  <si>
    <t>2-000000002781</t>
  </si>
  <si>
    <t>Virginia BLACK CMH00489_2</t>
  </si>
  <si>
    <t>CMH00489_2</t>
  </si>
  <si>
    <t>Virginia BLACK CMH00489_2[BLACK]</t>
  </si>
  <si>
    <t>2-000000002750</t>
  </si>
  <si>
    <t>Virginia BEIGE CMH00489_1</t>
  </si>
  <si>
    <t>CMH00489_1</t>
  </si>
  <si>
    <t>Virginia BEIGE CMH00489_1[BEIGE]</t>
  </si>
  <si>
    <t>13MONTH</t>
  </si>
  <si>
    <t>1-3MAGAC405BRF</t>
  </si>
  <si>
    <t>13MAGAC405BRF</t>
  </si>
  <si>
    <t>PADDING MUFFLER(BROWN)</t>
  </si>
  <si>
    <t>PADDING MUFFLER(BROWN)[BROWN/FREE]</t>
  </si>
  <si>
    <t>1-3MAGAC405BKF</t>
  </si>
  <si>
    <t>13MAGAC405BKF</t>
  </si>
  <si>
    <t>PADDING MUFFLER(BLACK)</t>
  </si>
  <si>
    <t>PADDING MUFFLER(BLACK)[BLACK/FREE]</t>
  </si>
  <si>
    <t>1-3MAGAC402PPF</t>
  </si>
  <si>
    <t>13MAGAC402PPF</t>
  </si>
  <si>
    <t>VIVID WATCH CAP(PURPLE)</t>
  </si>
  <si>
    <t>VIVID WATCH CAP(PURPLE)[PURPLE/FREE]</t>
  </si>
  <si>
    <t>1-3MAGAC402RDF</t>
  </si>
  <si>
    <t>13MAGAC402RDF</t>
  </si>
  <si>
    <t>VIVID WATCH CAP(RED)</t>
  </si>
  <si>
    <t>VIVID WATCH CAP(RED)[RED/FREE]</t>
  </si>
  <si>
    <t>1-3MAGAC402BLF</t>
  </si>
  <si>
    <t>13MAGAC402BLF</t>
  </si>
  <si>
    <t>VIVID WATCH CAP(BLUE)</t>
  </si>
  <si>
    <t>VIVID WATCH CAP(BLUE)[BLUE/FREE]</t>
  </si>
  <si>
    <t>1-3MAGAC402LMF</t>
  </si>
  <si>
    <t>13MAGAC402LMF</t>
  </si>
  <si>
    <t>VIVID WATCH CAP(LIME)</t>
  </si>
  <si>
    <t>LIME/FREE</t>
  </si>
  <si>
    <t>VIVID WATCH CAP(LIME)[LIME/FREE]</t>
  </si>
  <si>
    <t>1-3MAGAC402NVF</t>
  </si>
  <si>
    <t>13MAGAC402NVF</t>
  </si>
  <si>
    <t>VIVID WATCH CAP(NAVY)</t>
  </si>
  <si>
    <t>VIVID WATCH CAP(NAVY)[NAVY/FREE]</t>
  </si>
  <si>
    <t>1-3MAGAC402BKF</t>
  </si>
  <si>
    <t>13MAGAC402BKF</t>
  </si>
  <si>
    <t>VIVID WATCH CAP(BLACK)</t>
  </si>
  <si>
    <t>VIVID WATCH CAP(BLACK)[BLACK/FREE]</t>
  </si>
  <si>
    <t>1-3MAGDSK201DEM</t>
  </si>
  <si>
    <t>13MAGDSK201DEM</t>
  </si>
  <si>
    <t>DENIM MIDI SKIRT(DENIM)</t>
  </si>
  <si>
    <t>DENIM MIDI SKIRT(DENIM)[DENIM/M]</t>
  </si>
  <si>
    <t>1-3MAGDSK201DES</t>
  </si>
  <si>
    <t>13MAGDSK201DES</t>
  </si>
  <si>
    <t>DENIM MIDI SKIRT(DENIM)[DENIM/S]</t>
  </si>
  <si>
    <t>1-3MAGSK201BRM</t>
  </si>
  <si>
    <t>13MAGSK201BRM</t>
  </si>
  <si>
    <t>RIBBON WRAP SKIRT(BROWN)</t>
  </si>
  <si>
    <t>RIBBON WRAP SKIRT(BROWN)[BROWN/M]</t>
  </si>
  <si>
    <t>1-3MAGSK201BRS</t>
  </si>
  <si>
    <t>13MAGSK201BRS</t>
  </si>
  <si>
    <t>BROWN/S</t>
  </si>
  <si>
    <t>RIBBON WRAP SKIRT(BROWN)[BROWN/S]</t>
  </si>
  <si>
    <t>1-3MAGSK201BKM</t>
  </si>
  <si>
    <t>13MAGSK201BKM</t>
  </si>
  <si>
    <t>RIBBON WRAP SKIRT(BLACK)</t>
  </si>
  <si>
    <t>RIBBON WRAP SKIRT(BLACK)[BLACK/M]</t>
  </si>
  <si>
    <t>1-3MAGSK201BKS</t>
  </si>
  <si>
    <t>13MAGSK201BKS</t>
  </si>
  <si>
    <t>RIBBON WRAP SKIRT(BLACK)[BLACK/S]</t>
  </si>
  <si>
    <t>1-3MAGDP202BKM</t>
  </si>
  <si>
    <t>13MAGDP202BKM</t>
  </si>
  <si>
    <t>SILM COATED JEANS(BLACK)</t>
  </si>
  <si>
    <t>SILM COATED JEANS(BLACK)[BLACK/M]</t>
  </si>
  <si>
    <t>1-3MAGDP202BKS</t>
  </si>
  <si>
    <t>13MAGDP202BKS</t>
  </si>
  <si>
    <t>SILM COATED JEANS(BLACK)[BLACK/S]</t>
  </si>
  <si>
    <t>1-3MAGDP201DEXL</t>
  </si>
  <si>
    <t>13MAGDP201DEXL</t>
  </si>
  <si>
    <t>WASHING DENIM PANTS(DENIM)</t>
  </si>
  <si>
    <t>DENIM/XL</t>
  </si>
  <si>
    <t>WASHING DENIM PANTS(DENIM)[DENIM/XL]</t>
  </si>
  <si>
    <t>1-3MAGDP201DEL</t>
  </si>
  <si>
    <t>13MAGDP201DEL</t>
  </si>
  <si>
    <t>DENIM/L</t>
  </si>
  <si>
    <t>WASHING DENIM PANTS(DENIM)[DENIM/L]</t>
  </si>
  <si>
    <t>1-3MAGDP201DEM</t>
  </si>
  <si>
    <t>13MAGDP201DEM</t>
  </si>
  <si>
    <t>WASHING DENIM PANTS(DENIM)[DENIM/M]</t>
  </si>
  <si>
    <t>1-3MAGDP201DES</t>
  </si>
  <si>
    <t>13MAGDP201DES</t>
  </si>
  <si>
    <t>WASHING DENIM PANTS(DENIM)[DENIM/S]</t>
  </si>
  <si>
    <t>1-3MAGPT201BKL</t>
  </si>
  <si>
    <t>13MAGPT201BKL</t>
  </si>
  <si>
    <t>WIDE BANDING PANTS(BLACK)</t>
  </si>
  <si>
    <t>WIDE BANDING PANTS(BLACK)[BLACK/L]</t>
  </si>
  <si>
    <t>1-3MAGPT201BKM</t>
  </si>
  <si>
    <t>13MAGPT201BKM</t>
  </si>
  <si>
    <t>WIDE BANDING PANTS(BLACK)[BLACK/M]</t>
  </si>
  <si>
    <t>1-3MAGNT301IVL</t>
  </si>
  <si>
    <t>13MAGNT301IVL</t>
  </si>
  <si>
    <t>ADOLE SCENCE LONG SLEEVED KINT(IVORY)</t>
  </si>
  <si>
    <t>ADOLE SCENCE LONG SLEEVED KINT(IVORY)[BEIGE/L]</t>
  </si>
  <si>
    <t>1-3MAGNT301IVM</t>
  </si>
  <si>
    <t>13MAGNT301IVM</t>
  </si>
  <si>
    <t>ADOLE SCENCE LONG SLEEVED KINT(IVORY)[BEIGE/M]</t>
  </si>
  <si>
    <t>1-3MAGNT301BKL</t>
  </si>
  <si>
    <t>13MAGNT301BKL</t>
  </si>
  <si>
    <t>ADOLE SCENCE LONG SLEEVED KINT(BLACK)</t>
  </si>
  <si>
    <t>ADOLE SCENCE LONG SLEEVED KINT(BLACK)[BLACK/L]</t>
  </si>
  <si>
    <t>1-3MAGNT301BKM</t>
  </si>
  <si>
    <t>13MAGNT301BKM</t>
  </si>
  <si>
    <t>ADOLE SCENCE LONG SLEEVED KINT(BLACK)[BLACK/M]</t>
  </si>
  <si>
    <t>1-3MAGBU201BLF</t>
  </si>
  <si>
    <t>13MAGBU201BLF</t>
  </si>
  <si>
    <t>RIBBON DETAIL BLOUSE(BLUE)</t>
  </si>
  <si>
    <t>RIBBON DETAIL BLOUSE(BLUE)[BLUE/FREE]</t>
  </si>
  <si>
    <t>1-3MAGBU201WTF</t>
  </si>
  <si>
    <t>13MAGBU201WTF</t>
  </si>
  <si>
    <t>RIBBON DETAIL BLOUSE(WHITE)</t>
  </si>
  <si>
    <t>RIBBON DETAIL BLOUSE(WHITE)[WHITE/FREE]</t>
  </si>
  <si>
    <t>1-3MAGJK201PPL</t>
  </si>
  <si>
    <t>13MAGJK201PPL</t>
  </si>
  <si>
    <t>ADOLE SCENCE RAIN COACH JAKET(PURPLE)</t>
  </si>
  <si>
    <t>ADOLE SCENCE RAIN COACH JAKET(PURPLE)[PURPLE/L]</t>
  </si>
  <si>
    <t>1-3MAGJK201PPM</t>
  </si>
  <si>
    <t>13MAGJK201PPM</t>
  </si>
  <si>
    <t>ADOLE SCENCE RAIN COACH JAKET(PURPLE)[PURPLE/M]</t>
  </si>
  <si>
    <t>1-3MAGJK201BKL</t>
  </si>
  <si>
    <t>13MAGJK201BKL</t>
  </si>
  <si>
    <t>ADOLE SCENCE RAIN COACH JAKET(BLACK)</t>
  </si>
  <si>
    <t>ADOLE SCENCE RAIN COACH JAKET(BLACK)[BLACK/L]</t>
  </si>
  <si>
    <t>1-3MAGJK201BKM</t>
  </si>
  <si>
    <t>13MAGJK201BKM</t>
  </si>
  <si>
    <t>ADOLE SCENCE RAIN COACH JAKET(BLACK)[BLACK/M]</t>
  </si>
  <si>
    <t>1-3MAGCT301BRL</t>
  </si>
  <si>
    <t>13MAGCT301BRL</t>
  </si>
  <si>
    <t>OVER DOUBL LONG COAT (BROWN)</t>
  </si>
  <si>
    <t>OVER DOUBL LONG COAT (BROWN)[BROWN/L]</t>
  </si>
  <si>
    <t>1-3MAGCT301BRM</t>
  </si>
  <si>
    <t>13MAGCT301BRM</t>
  </si>
  <si>
    <t>OVER DOUBL LONG COAT (BROWN)[BROWN/M]</t>
  </si>
  <si>
    <t>1-3MAGCT301BKL</t>
  </si>
  <si>
    <t>13MAGCT301BKL</t>
  </si>
  <si>
    <t>OVER DOUBL LONG COAT (BLACK)</t>
  </si>
  <si>
    <t>OVER DOUBL LONG COAT (BLACK)[BLACK/L]</t>
  </si>
  <si>
    <t>1-3MAGCT301BKM</t>
  </si>
  <si>
    <t>13MAGCT301BKM</t>
  </si>
  <si>
    <t>OVER DOUBL LONG COAT (BLACK)[BLACK/M]</t>
  </si>
  <si>
    <t>1-3MAGJK301BRL</t>
  </si>
  <si>
    <t>13MAGJK301BRL</t>
  </si>
  <si>
    <t>LEDER POINT PUR JACKET(BROWN)</t>
  </si>
  <si>
    <t>LEDER POINT PUR JACKET(BROWN)[BROWN/L]</t>
  </si>
  <si>
    <t>1-3MAGJK301BRM</t>
  </si>
  <si>
    <t>13MAGJK301BRM</t>
  </si>
  <si>
    <t>LEDER POINT PUR JACKET(BROWN)[BROWN/M]</t>
  </si>
  <si>
    <t>1-3MAGJP302PPL</t>
  </si>
  <si>
    <t>13MAGJP302PPL</t>
  </si>
  <si>
    <t>RETURN AND YOUTH MA-1 JUMPER(PURPLE)</t>
  </si>
  <si>
    <t>RETURN AND YOUTH MA-1 JUMPER(PURPLE)[PURPLE/L]</t>
  </si>
  <si>
    <t>1-3MAGJP302PPM</t>
  </si>
  <si>
    <t>13MAGJP302PPM</t>
  </si>
  <si>
    <t>RETURN AND YOUTH MA-1 JUMPER(PURPLE)[PURPLE/M]</t>
  </si>
  <si>
    <t>1-3MAGJP302KKL</t>
  </si>
  <si>
    <t>13MAGJP302KKL</t>
  </si>
  <si>
    <t>RETURN AND YOUTH MA-1 JUMPER(KHAKI)</t>
  </si>
  <si>
    <t>RETURN AND YOUTH MA-1 JUMPER(KHAKI)[KHAKI/L]</t>
  </si>
  <si>
    <t>1-3MAGJP302KKM</t>
  </si>
  <si>
    <t>13MAGJP302KKM</t>
  </si>
  <si>
    <t>RETURN AND YOUTH MA-1 JUMPER(KHAKI)[KHAKI/M]</t>
  </si>
  <si>
    <t>1-3MAGJP302BKL</t>
  </si>
  <si>
    <t>13MAGJP302BKL</t>
  </si>
  <si>
    <t>RETURN AND YOUTH MA-1 JUMPER(BLACK)</t>
  </si>
  <si>
    <t>RETURN AND YOUTH MA-1 JUMPER(BLACK)[BLACK/L]</t>
  </si>
  <si>
    <t>1-3MAGJP302BKM</t>
  </si>
  <si>
    <t>13MAGJP302BKM</t>
  </si>
  <si>
    <t>RETURN AND YOUTH MA-1 JUMPER(BLACK)[BLACK/M]</t>
  </si>
  <si>
    <t>1-3MAGJP301BRL</t>
  </si>
  <si>
    <t>13MAGJP301BRL</t>
  </si>
  <si>
    <t>DUCK DOWN LONG PADDING(BROWN)</t>
  </si>
  <si>
    <t>DUCK DOWN LONG PADDING(BROWN)[BROWN/L]</t>
  </si>
  <si>
    <t>1-3MAGJP301BRM</t>
  </si>
  <si>
    <t>13MAGJP301BRM</t>
  </si>
  <si>
    <t>DUCK DOWN LONG PADDING(BROWN)[BROWN/M]</t>
  </si>
  <si>
    <t>1-3MAGJP301BKL</t>
  </si>
  <si>
    <t>13MAGJP301BKL</t>
  </si>
  <si>
    <t>DUCK DOWN LONG PADDING(BLACK)</t>
  </si>
  <si>
    <t>DUCK DOWN LONG PADDING(BLACK)[BLACK/L]</t>
  </si>
  <si>
    <t>1-3MAGJP301BKM</t>
  </si>
  <si>
    <t>13MAGJP301BKM</t>
  </si>
  <si>
    <t>DUCK DOWN LONG PADDING(BLACK)[BLACK/M]</t>
  </si>
  <si>
    <t>1-3MAGSK202BKM</t>
  </si>
  <si>
    <t>13MAGSK202BKM</t>
  </si>
  <si>
    <t>HIGH VIEW MIDI SKIRT(BLACK)</t>
  </si>
  <si>
    <t>HIGH VIEW MIDI SKIRT(BLACK)[BLACK/M]</t>
  </si>
  <si>
    <t>1-3MAGSK202BKS</t>
  </si>
  <si>
    <t>13MAGSK202BKS</t>
  </si>
  <si>
    <t>HIGH VIEW MIDI SKIRT(BLACK)[BLACK/S]</t>
  </si>
  <si>
    <t>1-3MAGPT202GRL</t>
  </si>
  <si>
    <t>13MAGPT202GRL</t>
  </si>
  <si>
    <t>RETURN AND YOUTH JOGGER PANTS(GREY)</t>
  </si>
  <si>
    <t>RETURN AND YOUTH JOGGER PANTS(GREY)[GREY/L]</t>
  </si>
  <si>
    <t>1-3MAGPT202GRM</t>
  </si>
  <si>
    <t>13MAGPT202GRM</t>
  </si>
  <si>
    <t>RETURN AND YOUTH JOGGER PANTS(GREY)[GREY/M]</t>
  </si>
  <si>
    <t>1-3MAGPT202BKL</t>
  </si>
  <si>
    <t>13MAGPT202BKL</t>
  </si>
  <si>
    <t>RETURN AND YOUTH JOGGER PANTS(BLACK)</t>
  </si>
  <si>
    <t>RETURN AND YOUTH JOGGER PANTS(BLACK)[BLACK/L]</t>
  </si>
  <si>
    <t>1-3MAGPT202BKM</t>
  </si>
  <si>
    <t>13MAGPT202BKM</t>
  </si>
  <si>
    <t>RETURN AND YOUTH JOGGER PANTS(BLACK)[BLACK/M]</t>
  </si>
  <si>
    <t>1-3MAGTS202LML</t>
  </si>
  <si>
    <t>13MAGTS202LML</t>
  </si>
  <si>
    <t>TURTLENECK  LONG SLEEVED TEE(LIME)</t>
  </si>
  <si>
    <t>LIME/L</t>
  </si>
  <si>
    <t>TURTLENECK  LONG SLEEVED TEE(LIME)[LIME/L]</t>
  </si>
  <si>
    <t>1-3MAGTS202LMM</t>
  </si>
  <si>
    <t>13MAGTS202LMM</t>
  </si>
  <si>
    <t>LIME/M</t>
  </si>
  <si>
    <t>TURTLENECK  LONG SLEEVED TEE(LIME)[LIME/M]</t>
  </si>
  <si>
    <t>1-3MAGTS202WTL</t>
  </si>
  <si>
    <t>13MAGTS202WTL</t>
  </si>
  <si>
    <t>TURTLENECK  LONG SLEEVED TEE(WHITE)</t>
  </si>
  <si>
    <t>TURTLENECK  LONG SLEEVED TEE(WHITE)[WHITE/L]</t>
  </si>
  <si>
    <t>1-3MAGTS202WTM</t>
  </si>
  <si>
    <t>13MAGTS202WTM</t>
  </si>
  <si>
    <t>TURTLENECK  LONG SLEEVED TEE(WHITE)[WHITE/M]</t>
  </si>
  <si>
    <t>1-3MAGTS202BKL</t>
  </si>
  <si>
    <t>13MAGTS202BKL</t>
  </si>
  <si>
    <t>TURTLENECK  LONG SLEEVED TEE(BLACK)</t>
  </si>
  <si>
    <t>TURTLENECK  LONG SLEEVED TEE(BLACK)[BLACK/L]</t>
  </si>
  <si>
    <t>1-3MAGTS202BKM</t>
  </si>
  <si>
    <t>13MAGTS202BKM</t>
  </si>
  <si>
    <t>TURTLENECK  LONG SLEEVED TEE(BLACK)[BLACK/M]</t>
  </si>
  <si>
    <t>1-3MAGTS201WTL</t>
  </si>
  <si>
    <t>13MAGTS201WTL</t>
  </si>
  <si>
    <t>RUN AND RUN CREW NECK T-SHIRT(WHITE)</t>
  </si>
  <si>
    <t>RUN AND RUN CREW NECK T-SHIRT(WHITE)[WHITE/L]</t>
  </si>
  <si>
    <t>1-3MAGTS201WTM</t>
  </si>
  <si>
    <t>13MAGTS201WTM</t>
  </si>
  <si>
    <t>RUN AND RUN CREW NECK T-SHIRT(WHITE)[WHITE/M]</t>
  </si>
  <si>
    <t>1-3MAGTS201BKL</t>
  </si>
  <si>
    <t>13MAGTS201BKL</t>
  </si>
  <si>
    <t>RUN AND RUN CREW NECK T-SHIRT(BLACK)</t>
  </si>
  <si>
    <t>RUN AND RUN CREW NECK T-SHIRT(BLACK)[BLACK/L]</t>
  </si>
  <si>
    <t>1-3MAGTS201BKM</t>
  </si>
  <si>
    <t>13MAGTS201BKM</t>
  </si>
  <si>
    <t>RUN AND RUN CREW NECK T-SHIRT(BLACK)[BLACK/M]</t>
  </si>
  <si>
    <t>1-3MAGHT202ORF</t>
  </si>
  <si>
    <t>13MAGHT202ORF</t>
  </si>
  <si>
    <t>TIMETRAVEL CROP HOOD T-SHIRT(ORANGE)</t>
  </si>
  <si>
    <t>TIMETRAVEL CROP HOOD T-SHIRT(ORANGE)[ORANGE/FREE]</t>
  </si>
  <si>
    <t>1-3MAGHT202NVF</t>
  </si>
  <si>
    <t>13MAGHT202NVF</t>
  </si>
  <si>
    <t>TIMETRAVEL CROP HOOD T-SHIRT(NAVY)</t>
  </si>
  <si>
    <t>TIMETRAVEL CROP HOOD T-SHIRT(NAVY)[NAVY/FREE]</t>
  </si>
  <si>
    <t>1-3MAGHT201LML</t>
  </si>
  <si>
    <t>13MAGHT201LML</t>
  </si>
  <si>
    <t>BACK TO THE HEAVY HOOD T-SHIRT(LIME)</t>
  </si>
  <si>
    <t>BACK TO THE HEAVY HOOD T-SHIRT(LIME)[LIME/L]</t>
  </si>
  <si>
    <t>1-3MAGHT201LMM</t>
  </si>
  <si>
    <t>13MAGHT201LMM</t>
  </si>
  <si>
    <t>BACK TO THE HEAVY HOOD T-SHIRT(LIME)[LIME/M]</t>
  </si>
  <si>
    <t>1-3MAGHT201RDL</t>
  </si>
  <si>
    <t>13MAGHT201RDL</t>
  </si>
  <si>
    <t>BACK TO THE HEAVY HOOD T-SHIRT(RED)</t>
  </si>
  <si>
    <t>BACK TO THE HEAVY HOOD T-SHIRT(RED)[RED/L]</t>
  </si>
  <si>
    <t>1-3MAGHT201RDM</t>
  </si>
  <si>
    <t>13MAGHT201RDM</t>
  </si>
  <si>
    <t>BACK TO THE HEAVY HOOD T-SHIRT(RED)[RED/M]</t>
  </si>
  <si>
    <t>1-3MAGHT201GRL</t>
  </si>
  <si>
    <t>13MAGHT201GRL</t>
  </si>
  <si>
    <t>BACK TO THE HEAVY HOOD T-SHIRT(GREY)</t>
  </si>
  <si>
    <t>BACK TO THE HEAVY HOOD T-SHIRT(GREY)[GREY/L]</t>
  </si>
  <si>
    <t>1-3MAGHT201GRM</t>
  </si>
  <si>
    <t>13MAGHT201GRM</t>
  </si>
  <si>
    <t>BACK TO THE HEAVY HOOD T-SHIRT(GREY)[GREY/M]</t>
  </si>
  <si>
    <t>1-3MAGHT201BKL</t>
  </si>
  <si>
    <t>13MAGHT201BKL</t>
  </si>
  <si>
    <t>BACK TO THE HEAVY HOOD T-SHIRT(BLACK)</t>
  </si>
  <si>
    <t>BACK TO THE HEAVY HOOD T-SHIRT(BLACK)[BLACK/L]</t>
  </si>
  <si>
    <t>1-3MAGHT201BKM</t>
  </si>
  <si>
    <t>13MAGHT201BKM</t>
  </si>
  <si>
    <t>BACK TO THE HEAVY HOOD T-SHIRT(BLACK)[BLACK/M]</t>
  </si>
  <si>
    <t>1-3MAGMT201LAVL</t>
  </si>
  <si>
    <t>13MAGMT201LAVL</t>
  </si>
  <si>
    <t>RETURN AND YOUTH SWEATSHIRT(LAVENDER)</t>
  </si>
  <si>
    <t>LAVENDER/L</t>
  </si>
  <si>
    <t>RETURN AND YOUTH SWEATSHIRT(LAVENDER)[LAVENDER/L]</t>
  </si>
  <si>
    <t>1-3MAGMT201LAVM</t>
  </si>
  <si>
    <t>13MAGMT201LAVM</t>
  </si>
  <si>
    <t>LAVENDER/M</t>
  </si>
  <si>
    <t>RETURN AND YOUTH SWEATSHIRT(LAVENDER)[LAVENDER/M]</t>
  </si>
  <si>
    <t>1-3MAGMT201BLL</t>
  </si>
  <si>
    <t>13MAGMT201BLL</t>
  </si>
  <si>
    <t>RETURN AND YOUTH SWEATSHIRT(BLUE)</t>
  </si>
  <si>
    <t>RETURN AND YOUTH SWEATSHIRT(BLUE)[BLUE/L]</t>
  </si>
  <si>
    <t>1-3MAGMT201BLM</t>
  </si>
  <si>
    <t>13MAGMT201BLM</t>
  </si>
  <si>
    <t>RETURN AND YOUTH SWEATSHIRT(BLUE)[BLUE/M]</t>
  </si>
  <si>
    <t>1-3MAGMT201ORL</t>
  </si>
  <si>
    <t>13MAGMT201ORL</t>
  </si>
  <si>
    <t>RETURN AND YOUTH SWEATSHIRT(ORANGE)</t>
  </si>
  <si>
    <t>RETURN AND YOUTH SWEATSHIRT(ORANGE)[ORANGE/L]</t>
  </si>
  <si>
    <t>1-3MAGMT201ORM</t>
  </si>
  <si>
    <t>13MAGMT201ORM</t>
  </si>
  <si>
    <t>RETURN AND YOUTH SWEATSHIRT(ORANGE)[ORANGE/M]</t>
  </si>
  <si>
    <t>1-3MAGMT201BKL</t>
  </si>
  <si>
    <t>13MAGMT201BKL</t>
  </si>
  <si>
    <t>RETURN AND YOUTH SWEATSHIRT(BLACK)</t>
  </si>
  <si>
    <t>RETURN AND YOUTH SWEATSHIRT(BLACK)[BLACK/L]</t>
  </si>
  <si>
    <t>1-3MAGMT201BKM</t>
  </si>
  <si>
    <t>13MAGMT201BKM</t>
  </si>
  <si>
    <t>RETURN AND YOUTH SWEATSHIRT(BLACK)[BLACK/M]</t>
  </si>
  <si>
    <t>1-3MAGSH203DEL</t>
  </si>
  <si>
    <t>13MAGSH203DEL</t>
  </si>
  <si>
    <t>RETURN AND YOUTH DENIM SHIRT(DENIM)</t>
  </si>
  <si>
    <t>RETURN AND YOUTH DENIM SHIRT(DENIM)[DENIM/L]</t>
  </si>
  <si>
    <t>1-3MAGSH203DEM</t>
  </si>
  <si>
    <t>13MAGSH203DEM</t>
  </si>
  <si>
    <t>RETURN AND YOUTH DENIM SHIRT(DENIM)[DENIM/M]</t>
  </si>
  <si>
    <t>1-3MAGSH202LML</t>
  </si>
  <si>
    <t>13MAGSH202LML</t>
  </si>
  <si>
    <t>OVERSIZE HOOD SHIRT(LIME)</t>
  </si>
  <si>
    <t>OVERSIZE HOOD SHIRT(LIME)[LIME/L]</t>
  </si>
  <si>
    <t>1-3MAGSH202LMM</t>
  </si>
  <si>
    <t>13MAGSH202LMM</t>
  </si>
  <si>
    <t>OVERSIZE HOOD SHIRT(LIME)[LIME/M]</t>
  </si>
  <si>
    <t>1-3MAGSH202YEL</t>
  </si>
  <si>
    <t>13MAGSH202YEL</t>
  </si>
  <si>
    <t>OVERSIZE HOOD SHIRT(YELLOW)</t>
  </si>
  <si>
    <t>OVERSIZE HOOD SHIRT(YELLOW)[YELLOW/L]</t>
  </si>
  <si>
    <t>1-3MAGSH202YEM</t>
  </si>
  <si>
    <t>13MAGSH202YEM</t>
  </si>
  <si>
    <t>OVERSIZE HOOD SHIRT(YELLOW)[YELLOW/M]</t>
  </si>
  <si>
    <t>13MONTH COSMETICS</t>
  </si>
  <si>
    <t>8-809276018847</t>
  </si>
  <si>
    <t>써틴먼스 에어쿠션 블러셔 러블리 베이비핑크(13MONTH Air Cushion Blusher)</t>
  </si>
  <si>
    <t>8 809276 018847</t>
  </si>
  <si>
    <t>베이비 핑크</t>
  </si>
  <si>
    <t>써틴먼스 에어쿠션 블러셔 러블리 베이비핑크(13MONTH Air Cushion Blusher)[베이비 핑크]</t>
  </si>
  <si>
    <t>8-809276018830</t>
  </si>
  <si>
    <t>써틴먼스 스킨쉽 스팀 쿠션 SPF50+ PA+++ 15g (13MONTH Skinship Steam Cushion)</t>
  </si>
  <si>
    <t>8 809276 018830</t>
  </si>
  <si>
    <t>22호</t>
  </si>
  <si>
    <t>써틴먼스 스킨쉽 스팀 쿠션 SPF50+ PA+++ 15g (13MONTH Skinship Steam Cushion)[22호]</t>
  </si>
  <si>
    <t>8-809276018823</t>
  </si>
  <si>
    <t>8 809276 018823</t>
  </si>
  <si>
    <t>21호</t>
  </si>
  <si>
    <t>써틴먼스 스킨쉽 스팀 쿠션 SPF50+ PA+++ 15g (13MONTH Skinship Steam Cushion)[21호]</t>
  </si>
  <si>
    <t>8-809526840051</t>
  </si>
  <si>
    <t>써틴먼스 아이섀도우 아몬드 느와르 5g 음영섀도우 팔레트(13MONTH Daily Contouring Eye Shadow)</t>
  </si>
  <si>
    <t>8 809526 840051</t>
  </si>
  <si>
    <t>5컬러</t>
  </si>
  <si>
    <t>써틴먼스 아이섀도우 아몬드 느와르 5g 음영섀도우 팔레트(13MONTH Daily Contouring Eye Shadow)[5컬러]</t>
  </si>
  <si>
    <t>8-809526840068</t>
  </si>
  <si>
    <t>써틴먼스 아이섀도우 핑크 윙크 투나잇 5g 펄섀도우 팔레트(13MONTH Daily Contouring Pearl Eye Shadow)</t>
  </si>
  <si>
    <t>8 809526 840068</t>
  </si>
  <si>
    <t>써틴먼스 아이섀도우 핑크 윙크 투나잇 5g 펄섀도우 팔레트(13MONTH Daily Contouring Pearl Eye Shadow)[5컬러]</t>
  </si>
  <si>
    <t>8-809526840037</t>
  </si>
  <si>
    <t>써틴먼스 매트립스틱 매트 드라이 로즈 3.5g (13MONTH Matt Lipstick)</t>
  </si>
  <si>
    <t>8 809526 840037</t>
  </si>
  <si>
    <t>매트 드라이 로즈</t>
  </si>
  <si>
    <t>써틴먼스 매트립스틱 매트 드라이 로즈 3.5g (13MONTH Matt Lipstick)[매트 드라이 로즈]</t>
  </si>
  <si>
    <t>8-809526840044</t>
  </si>
  <si>
    <t>써틴먼스 글로시립스틱 시스루 누드 핑크 3.5g (13MONTH Glossy Lipstick)</t>
  </si>
  <si>
    <t>8 809526 840044</t>
  </si>
  <si>
    <t>시스루 누드 피읔</t>
  </si>
  <si>
    <t>써틴먼스 글로시립스틱 시스루 누드 핑크 3.5g (13MONTH Glossy Lipstick)[시스루 누드 피읔]</t>
  </si>
  <si>
    <t>8-809526840020</t>
  </si>
  <si>
    <t>써틴먼스 오리지널립스틱 레트로 플럼 바이올렛 3.5g (13MONTH Original Lipstick)</t>
  </si>
  <si>
    <t>8 809526 840020</t>
  </si>
  <si>
    <t>레트로 플럼 바이올렛</t>
  </si>
  <si>
    <t>써틴먼스 오리지널립스틱 레트로 플럼 바이올렛 3.5g (13MONTH Original Lipstick)[레트로 플럼 바이올렛]</t>
  </si>
  <si>
    <t>8-809526840082</t>
  </si>
  <si>
    <t>써틴먼스 벨벳 립락커 벨벳 베이비 핑크 5g (13MONTH Lip Laquer No.3)</t>
  </si>
  <si>
    <t>8 809526 840082</t>
  </si>
  <si>
    <t>써틴먼스 벨벳 립락커 벨벳 베이비 핑크 5g (13MONTH Lip Laquer No.3)[베이비 핑크]</t>
  </si>
  <si>
    <t>8-809526840075</t>
  </si>
  <si>
    <t>써틴먼스 벨벳 립락커 벨벳 로즈 블러드 5g (13MONTH Lip Laquer No.2)</t>
  </si>
  <si>
    <t>8 809526 840075</t>
  </si>
  <si>
    <t>로즈 블러드</t>
  </si>
  <si>
    <t>써틴먼스 벨벳 립락커 벨벳 로즈 블러드 5g (13MONTH Lip Laquer No.2)[로즈 블러드]</t>
  </si>
  <si>
    <t>8-809526840006</t>
  </si>
  <si>
    <t>써틴먼스 벨벳 립락커 벨벳 밀크 마르살라 5g (13MONTH Lip Laquer No.1)</t>
  </si>
  <si>
    <t>8 809526 840006</t>
  </si>
  <si>
    <t>밀크 마르살라</t>
  </si>
  <si>
    <t>써틴먼스 벨벳 립락커 벨벳 밀크 마르살라 5g (13MONTH Lip Laquer No.1)[밀크 마르살라]</t>
  </si>
  <si>
    <t>8-809526840099</t>
  </si>
  <si>
    <t>써틴먼스 글램 썸 라이팅 펄 네일 컬렉션
(13MONTH Glam Some Lighting Pearl Nail Collection)</t>
  </si>
  <si>
    <t>8 809526 840099</t>
  </si>
  <si>
    <t>3컬러</t>
  </si>
  <si>
    <t>써틴먼스 글램 썸 라이팅 펄 네일 컬렉션
(13MONTH Glam Some Lighting Pearl Nail Collection)[3컬러]</t>
  </si>
  <si>
    <t>8-809526840013</t>
  </si>
  <si>
    <t>써틴먼스 글램 썸 라이팅 베이스 네일 컬렉션
(13MONTH Glam Some Lighting Base Nail Collection)</t>
  </si>
  <si>
    <t>8 809526 840013</t>
  </si>
  <si>
    <t>써틴먼스 글램 썸 라이팅 베이스 네일 컬렉션
(13MONTH Glam Some Lighting Base Nail Collection)[3컬러]</t>
  </si>
  <si>
    <t>1-7S0178L</t>
  </si>
  <si>
    <t>17S0178L</t>
  </si>
  <si>
    <t>17hot summer studded denim trucker jacket</t>
  </si>
  <si>
    <t>17hot summer studded denim trucker jacket[BLUE/L]</t>
  </si>
  <si>
    <t>1-7S0178M</t>
  </si>
  <si>
    <t>17S0178M</t>
  </si>
  <si>
    <t>17hot summer studded denim trucker jacket[BLUE/M]</t>
  </si>
  <si>
    <t>1-7S0177XL</t>
  </si>
  <si>
    <t>17S0177XL</t>
  </si>
  <si>
    <t>17hot summer stone washing light indigo denim pants</t>
  </si>
  <si>
    <t>LIGHT INDIGO/XL</t>
  </si>
  <si>
    <t>17hot summer stone washing light indigo denim pants[LIGHT INDIGO/XL]</t>
  </si>
  <si>
    <t>1-7S0177L</t>
  </si>
  <si>
    <t>17S0177L</t>
  </si>
  <si>
    <t>LIGHT INDIGO/L</t>
  </si>
  <si>
    <t>17hot summer stone washing light indigo denim pants[LIGHT INDIGO/L]</t>
  </si>
  <si>
    <t>1-7S0177M</t>
  </si>
  <si>
    <t>17S0177M</t>
  </si>
  <si>
    <t>LIGHT INDIGO/M</t>
  </si>
  <si>
    <t>17hot summer stone washing light indigo denim pants[LIGHT INDIGO/M]</t>
  </si>
  <si>
    <t>1-7S0177S</t>
  </si>
  <si>
    <t>17S0177S</t>
  </si>
  <si>
    <t>LIGHT INDIGO/S</t>
  </si>
  <si>
    <t>17hot summer stone washing light indigo denim pants[LIGHT INDIGO/S]</t>
  </si>
  <si>
    <t>3-1764221013</t>
  </si>
  <si>
    <t>17hot summer sleeveless top-vrassiere set
(black)</t>
  </si>
  <si>
    <t>17S0175F</t>
  </si>
  <si>
    <t>17hot summer sleeveless top-vrassiere set
(black)[BLACK/FREE]</t>
  </si>
  <si>
    <t>3-176224322591205</t>
  </si>
  <si>
    <t>17hot summer side taping T-shirts
(white)</t>
  </si>
  <si>
    <t>17S0174L</t>
  </si>
  <si>
    <t>17hot summer side taping T-shirts
(white)[WHITE/L]</t>
  </si>
  <si>
    <t>3-176224322591204</t>
  </si>
  <si>
    <t>17S0174M</t>
  </si>
  <si>
    <t>17hot summer side taping T-shirts
(white)[WHITE/M]</t>
  </si>
  <si>
    <t>3-176224322399205</t>
  </si>
  <si>
    <t>17hot summer side taping T-shirts
(black)</t>
  </si>
  <si>
    <t>17S0173L</t>
  </si>
  <si>
    <t>17hot summer side taping T-shirts
(black)[BLACK/L]</t>
  </si>
  <si>
    <t>3-176224322399204</t>
  </si>
  <si>
    <t>17S0173M</t>
  </si>
  <si>
    <t>17hot summer side taping T-shirts
(black)[BLACK/M]</t>
  </si>
  <si>
    <t>3-1763441074</t>
  </si>
  <si>
    <t>17hot summer side taping short pants
(white)</t>
  </si>
  <si>
    <t>17S0172F</t>
  </si>
  <si>
    <t>17hot summer side taping short pants
(white)[WHITE/FREE]</t>
  </si>
  <si>
    <t>3-1763441073</t>
  </si>
  <si>
    <t>17hot summer side taping short pants
(black)</t>
  </si>
  <si>
    <t>17S0171F</t>
  </si>
  <si>
    <t>17hot summer side taping short pants
(black)[BLACK/FREE]</t>
  </si>
  <si>
    <t>3-1762521250</t>
  </si>
  <si>
    <t>17hot summer pink bustier one-piece</t>
  </si>
  <si>
    <t>17S0167F</t>
  </si>
  <si>
    <t>17hot summer pink bustier one-piece[PINK/FREE]</t>
  </si>
  <si>
    <t>3-1762221615</t>
  </si>
  <si>
    <t>17hot summer jacquard half sleeve knit
(white)</t>
  </si>
  <si>
    <t>17S0166F</t>
  </si>
  <si>
    <t>17hot summer jacquard half sleeve knit
(white)[WHITE/FREE]</t>
  </si>
  <si>
    <t>3-1762221614</t>
  </si>
  <si>
    <t>17hot summer jacquard half sleeve knit
(silver)</t>
  </si>
  <si>
    <t>17S0165F</t>
  </si>
  <si>
    <t>17hot summer jacquard half sleeve knit
(silver)[SILVER/FREE]</t>
  </si>
  <si>
    <t>3-1762221613</t>
  </si>
  <si>
    <t>17hot summer jacquard half sleeve knit
(green)</t>
  </si>
  <si>
    <t>17S0164F</t>
  </si>
  <si>
    <t>17hot summer jacquard half sleeve knit
(green)[GREEN/FREE]</t>
  </si>
  <si>
    <t>3-176332119965204</t>
  </si>
  <si>
    <t>17hot summer H-line midi skirt
(yellow)</t>
  </si>
  <si>
    <t>17S0162M</t>
  </si>
  <si>
    <t>17hot summer H-line midi skirt
(yellow)[YELLOW/M]</t>
  </si>
  <si>
    <t>3-176332119965203</t>
  </si>
  <si>
    <t>17S0162S</t>
  </si>
  <si>
    <t>17hot summer H-line midi skirt
(yellow)[YELLOW/S]</t>
  </si>
  <si>
    <t>3-176332119818204</t>
  </si>
  <si>
    <t>17hot summer H-line midi skirt
(blue green)</t>
  </si>
  <si>
    <t>17S0161S</t>
  </si>
  <si>
    <t>BLUE GREEN/S</t>
  </si>
  <si>
    <t>17hot summer H-line midi skirt
(blue green)[BLUE GREEN/S]</t>
  </si>
  <si>
    <t>3-176314113874205</t>
  </si>
  <si>
    <t>17hot summer hem side placket long pants
+belt</t>
  </si>
  <si>
    <t>17S0160L</t>
  </si>
  <si>
    <t>17hot summer hem side placket long pants
+belt[BEIGE/L]</t>
  </si>
  <si>
    <t>3-176314113874204</t>
  </si>
  <si>
    <t>17S0160M</t>
  </si>
  <si>
    <t>17hot summer hem side placket long pants
+belt[BEIGE/M]</t>
  </si>
  <si>
    <t>3-176332119799204</t>
  </si>
  <si>
    <t>17hot summer flower mermaid skirt</t>
  </si>
  <si>
    <t>17S0159M</t>
  </si>
  <si>
    <t>17hot summer flower mermaid skirt[BLACK/M]</t>
  </si>
  <si>
    <t>3-176332119799203</t>
  </si>
  <si>
    <t>17S0159S</t>
  </si>
  <si>
    <t>17hot summer flower mermaid skirt[BLACK/S]</t>
  </si>
  <si>
    <t>3-176224322030204</t>
  </si>
  <si>
    <t>17hot summer cotton A-line skirt
(navy)</t>
  </si>
  <si>
    <t>17S0158M</t>
  </si>
  <si>
    <t>17hot summer cotton A-line skirt
(navy)[NAVY/M]</t>
  </si>
  <si>
    <t>3-176224322030203</t>
  </si>
  <si>
    <t>17S0158S</t>
  </si>
  <si>
    <t>17hot summer cotton A-line skirt
(navy)[NAVY/S]</t>
  </si>
  <si>
    <t>3-176224321974203</t>
  </si>
  <si>
    <t>17hot summer cotton A-line skirt
(beige)</t>
  </si>
  <si>
    <t>17S0157S</t>
  </si>
  <si>
    <t>17hot summer cotton A-line skirt
(beige)[BEIGE/S]</t>
  </si>
  <si>
    <t>3-176224321891205</t>
  </si>
  <si>
    <t>17hot summer coloring stitches T-shirts
(white)</t>
  </si>
  <si>
    <t>17S0156L</t>
  </si>
  <si>
    <t>17hot summer coloring stitches T-shirts
(white)[WHITE/L]</t>
  </si>
  <si>
    <t>3-176224321891204</t>
  </si>
  <si>
    <t>17S0156M</t>
  </si>
  <si>
    <t>17hot summer coloring stitches T-shirts
(white)[WHITE/M]</t>
  </si>
  <si>
    <t>3-176224321725205</t>
  </si>
  <si>
    <t>17hot summer coloring stitches T-shirts
(blue)</t>
  </si>
  <si>
    <t>17S0155L</t>
  </si>
  <si>
    <t>17hot summer coloring stitches T-shirts
(blue)[BLUE/L]</t>
  </si>
  <si>
    <t>3-176224321725204</t>
  </si>
  <si>
    <t>17S0155M</t>
  </si>
  <si>
    <t>17hot summer coloring stitches T-shirts
(blue)[BLUE/M]</t>
  </si>
  <si>
    <t>3-176224321674205</t>
  </si>
  <si>
    <t>17hot summer coloring stitches T-shirts
(beige)</t>
  </si>
  <si>
    <t>17S0154L</t>
  </si>
  <si>
    <t>17hot summer coloring stitches T-shirts
(beige)[BEIGE/L]</t>
  </si>
  <si>
    <t>3-176224321674204</t>
  </si>
  <si>
    <t>17S0154M</t>
  </si>
  <si>
    <t>17hot summer coloring stitches T-shirts
(beige)[BEIGE/M]</t>
  </si>
  <si>
    <t>3-1762521249</t>
  </si>
  <si>
    <t>17hot summer black chiffon bustier onepiece</t>
  </si>
  <si>
    <t>17S0153F</t>
  </si>
  <si>
    <t>17hot summer black chiffon bustier onepiece[BLACK/FREE]</t>
  </si>
  <si>
    <t>3-1762521248</t>
  </si>
  <si>
    <t>17hot summer belted long one-piece
(yellow)</t>
  </si>
  <si>
    <t>17S0152F</t>
  </si>
  <si>
    <t>17hot summer belted long one-piece
(yellow)[YELLOW/FREE]</t>
  </si>
  <si>
    <t>3-176524224799120</t>
  </si>
  <si>
    <t>17hot summer taping bucket hat
(black)</t>
  </si>
  <si>
    <t>17S0180F</t>
  </si>
  <si>
    <t>17hot summer taping bucket hat
(black)[BLACK/F]</t>
  </si>
  <si>
    <t>3-176224322191205</t>
  </si>
  <si>
    <t>17hot summer raw edge T-shirts 
(white)</t>
  </si>
  <si>
    <t>17S0168L</t>
  </si>
  <si>
    <t>17hot summer raw edge T-shirts 
(white)[WHITE/L]</t>
  </si>
  <si>
    <t>3-176224322191204</t>
  </si>
  <si>
    <t>17S0168M</t>
  </si>
  <si>
    <t>17hot summer raw edge T-shirts 
(white)[WHITE/M]</t>
  </si>
  <si>
    <t>3-1765241029</t>
  </si>
  <si>
    <t>17hot summer rose embroidery ball cap</t>
  </si>
  <si>
    <t>17S0170F</t>
  </si>
  <si>
    <t>17hot summer rose embroidery ball cap[BLACK/FREE]</t>
  </si>
  <si>
    <t>3-176224322265205</t>
  </si>
  <si>
    <t>17hot summer raw edge T-shirts 
(yellow)</t>
  </si>
  <si>
    <t>17S0169L</t>
  </si>
  <si>
    <t>17hot summer raw edge T-shirts 
(yellow)[YELLOW/L]</t>
  </si>
  <si>
    <t>3-176224322265204</t>
  </si>
  <si>
    <t>17S0169M</t>
  </si>
  <si>
    <t>17hot summer raw edge T-shirts 
(yellow)[YELLOW/M]</t>
  </si>
  <si>
    <t>3-1764221014</t>
  </si>
  <si>
    <t>17hot summer sleeveless top-vrassiere set
(white)</t>
  </si>
  <si>
    <t>17S0176F</t>
  </si>
  <si>
    <t>17hot summer sleeveless top-vrassiere set
(white)[WHITE/FREE]</t>
  </si>
  <si>
    <t>3-1765242246</t>
  </si>
  <si>
    <t>17hot summer taping bucket hat
(beige)</t>
  </si>
  <si>
    <t>17S0179F</t>
  </si>
  <si>
    <t>17hot summer taping bucket hat
(beige)[BEIGE/FREE]</t>
  </si>
  <si>
    <t>3-176224160491205</t>
  </si>
  <si>
    <t>17ss snake printing t-shirts(white)</t>
  </si>
  <si>
    <t>17S0141L</t>
  </si>
  <si>
    <t>17ss snake printing t-shirts(white)[WHITE/L]</t>
  </si>
  <si>
    <t>3-176224160491204</t>
  </si>
  <si>
    <t>17S0141M</t>
  </si>
  <si>
    <t>17ss snake printing t-shirts(white)[WHITE/M]</t>
  </si>
  <si>
    <t>3-176224160399205</t>
  </si>
  <si>
    <t>17ss snake printing t-shirts(black)</t>
  </si>
  <si>
    <t>17S0140L</t>
  </si>
  <si>
    <t>17ss snake printing t-shirts(black)[BLACK/L]</t>
  </si>
  <si>
    <t>3-176224160399204</t>
  </si>
  <si>
    <t>17S0140M</t>
  </si>
  <si>
    <t>17ss snake printing t-shirts(black)[BLACK/M]</t>
  </si>
  <si>
    <t>3-176224160291205</t>
  </si>
  <si>
    <t>17ss love potion no.13 hot piece t-shirts</t>
  </si>
  <si>
    <t>17S0136L</t>
  </si>
  <si>
    <t>17ss love potion no.13 hot piece t-shirts[WHITE/L]</t>
  </si>
  <si>
    <t>3-176224160291204</t>
  </si>
  <si>
    <t>17S0136M</t>
  </si>
  <si>
    <t>17ss love potion no.13 hot piece t-shirts[WHITE/M]</t>
  </si>
  <si>
    <t>3-176224160169205</t>
  </si>
  <si>
    <t>17ss holic month t-shirts(ivory)</t>
  </si>
  <si>
    <t>17S0132L</t>
  </si>
  <si>
    <t>17ss holic month t-shirts(ivory)[BEIGE/L]</t>
  </si>
  <si>
    <t>3-176224160169204</t>
  </si>
  <si>
    <t>17S0132M</t>
  </si>
  <si>
    <t>17ss holic month t-shirts(ivory)[BEIGE/M]</t>
  </si>
  <si>
    <t>3-176224160099205</t>
  </si>
  <si>
    <t>17ss holic month t-shirts(black)</t>
  </si>
  <si>
    <t>17S0131L</t>
  </si>
  <si>
    <t>17ss holic month t-shirts(black)[BLACK/L]</t>
  </si>
  <si>
    <t>3-176224160099204</t>
  </si>
  <si>
    <t>17S0131M</t>
  </si>
  <si>
    <t>17ss holic month t-shirts(black)[BLACK/M]</t>
  </si>
  <si>
    <t>3-176224159861205</t>
  </si>
  <si>
    <t>17ss bunch of roses embroidery t-shirts(cherry red)</t>
  </si>
  <si>
    <t>17S0135L</t>
  </si>
  <si>
    <t>CHERRYRED/L</t>
  </si>
  <si>
    <t>17ss bunch of roses embroidery t-shirts(cherry red)[CHERRYRED/L]</t>
  </si>
  <si>
    <t>3-176224159861204</t>
  </si>
  <si>
    <t>17S0135M</t>
  </si>
  <si>
    <t>CHERRYRED/M</t>
  </si>
  <si>
    <t>17ss bunch of roses embroidery t-shirts(cherry red)[CHERRYRED/M]</t>
  </si>
  <si>
    <t>3-176224159799205</t>
  </si>
  <si>
    <t>17ss bunch of roses embroidery t-shirts(black)</t>
  </si>
  <si>
    <t>17S0133L</t>
  </si>
  <si>
    <t>17ss bunch of roses embroidery t-shirts(black)[BLACK/L]</t>
  </si>
  <si>
    <t>3-176224159799204</t>
  </si>
  <si>
    <t>17S0133M</t>
  </si>
  <si>
    <t>17ss bunch of roses embroidery t-shirts(black)[BLACK/M]</t>
  </si>
  <si>
    <t>3-176224159674205</t>
  </si>
  <si>
    <t>17ss bunch of roses embroidery t-shirts(beige)</t>
  </si>
  <si>
    <t>17S0134L</t>
  </si>
  <si>
    <t>17ss bunch of roses embroidery t-shirts(beige)[BEIGE/L]</t>
  </si>
  <si>
    <t>3-176224159674204</t>
  </si>
  <si>
    <t>17S0134M</t>
  </si>
  <si>
    <t>17ss bunch of roses embroidery t-shirts(beige)[BEIGE/M]</t>
  </si>
  <si>
    <t>3-176223100291205</t>
  </si>
  <si>
    <t>17ss behind rose embroidery t-shirts(white)</t>
  </si>
  <si>
    <t>17S0137L</t>
  </si>
  <si>
    <t>17ss behind rose embroidery t-shirts(white)[WHITE/L]</t>
  </si>
  <si>
    <t>3-176223100291204</t>
  </si>
  <si>
    <t>17S0137M</t>
  </si>
  <si>
    <t>17ss behind rose embroidery t-shirts(white)[WHITE/M]</t>
  </si>
  <si>
    <t>3-176224159562205</t>
  </si>
  <si>
    <t>17ss behind rose embroidery t-shirts(orange)</t>
  </si>
  <si>
    <t>17S0139L</t>
  </si>
  <si>
    <t>17ss behind rose embroidery t-shirts(orange)[ORANGE/L]</t>
  </si>
  <si>
    <t>3-176224159562204</t>
  </si>
  <si>
    <t>17S0139M</t>
  </si>
  <si>
    <t>17ss behind rose embroidery t-shirts(orange)[ORANGE/M]</t>
  </si>
  <si>
    <t>3-176224159301205</t>
  </si>
  <si>
    <t>17ss behind rose embroidery t-shirts(indi pink)</t>
  </si>
  <si>
    <t>17S0138L</t>
  </si>
  <si>
    <t>INDIPINK/L</t>
  </si>
  <si>
    <t>17ss behind rose embroidery t-shirts(indi pink)[INDIPINK/L]</t>
  </si>
  <si>
    <t>3-176224159301204</t>
  </si>
  <si>
    <t>17S0138M</t>
  </si>
  <si>
    <t>INDIPINK/M</t>
  </si>
  <si>
    <t>17ss behind rose embroidery t-shirts(indi pink)[INDIPINK/M]</t>
  </si>
  <si>
    <t>3-176314108199205</t>
  </si>
  <si>
    <t>17ss white linning training pants</t>
  </si>
  <si>
    <t>17S0130L</t>
  </si>
  <si>
    <t>17ss white linning training pants[BLACK/L]</t>
  </si>
  <si>
    <t>3-176314108199204</t>
  </si>
  <si>
    <t>17S0130M</t>
  </si>
  <si>
    <t>17ss white linning training pants[BLACK/M]</t>
  </si>
  <si>
    <t>3-176332113691204</t>
  </si>
  <si>
    <t>17ss satin wringkle skirt(white)</t>
  </si>
  <si>
    <t>17S0129M</t>
  </si>
  <si>
    <t>17ss satin wringkle skirt(white)[WHITE/M]</t>
  </si>
  <si>
    <t>3-176332113691203</t>
  </si>
  <si>
    <t>17S0129S</t>
  </si>
  <si>
    <t>17ss satin wringkle skirt(white)[WHITE/S]</t>
  </si>
  <si>
    <t>3-176332113599204</t>
  </si>
  <si>
    <t>17ss satin wringkle skirt(black)</t>
  </si>
  <si>
    <t>17S0128M</t>
  </si>
  <si>
    <t>17ss satin wringkle skirt(black)[BLACK/M]</t>
  </si>
  <si>
    <t>3-176332113599203</t>
  </si>
  <si>
    <t>17S0128S</t>
  </si>
  <si>
    <t>17ss satin wringkle skirt(black)[BLACK/S]</t>
  </si>
  <si>
    <t>3-176214110765205</t>
  </si>
  <si>
    <t>17ss flower printing aloha shirts(yellow)</t>
  </si>
  <si>
    <t>17S0125L</t>
  </si>
  <si>
    <t>17ss flower printing aloha shirts(yellow)[YELLOW/L]</t>
  </si>
  <si>
    <t>3-176214110765204</t>
  </si>
  <si>
    <t>17S0125M</t>
  </si>
  <si>
    <t>17ss flower printing aloha shirts(yellow)[YELLOW/M]</t>
  </si>
  <si>
    <t>3-176214110661205</t>
  </si>
  <si>
    <t>17ss flower printing aloha shirts(red)</t>
  </si>
  <si>
    <t>17S0124L</t>
  </si>
  <si>
    <t>17ss flower printing aloha shirts(red)[BLACK/L]</t>
  </si>
  <si>
    <t>3-176214110661204</t>
  </si>
  <si>
    <t>17S0124M</t>
  </si>
  <si>
    <t>17ss flower printing aloha shirts(red)[BLACK/M]</t>
  </si>
  <si>
    <t>3-176214110599205</t>
  </si>
  <si>
    <t>17ss revolver printing aloha shirts(black)</t>
  </si>
  <si>
    <t>17S0123L</t>
  </si>
  <si>
    <t>17ss revolver printing aloha shirts(black)[BLACK/L]</t>
  </si>
  <si>
    <t>3-176214110599204</t>
  </si>
  <si>
    <t>17S0123M</t>
  </si>
  <si>
    <t>17ss revolver printing aloha shirts(black)[BLACK/M]</t>
  </si>
  <si>
    <t>3-176214110401205</t>
  </si>
  <si>
    <t>17ss revolver printing aloha shirts(pink)</t>
  </si>
  <si>
    <t>17S0122L</t>
  </si>
  <si>
    <t>17ss revolver printing aloha shirts(pink)[PINK/L]</t>
  </si>
  <si>
    <t>3-176214110401204</t>
  </si>
  <si>
    <t>17S0122M</t>
  </si>
  <si>
    <t>17ss revolver printing aloha shirts(pink)[PINK/M]</t>
  </si>
  <si>
    <t>3-176214110391205</t>
  </si>
  <si>
    <t>17ss revolver printing aloha shirts(white)</t>
  </si>
  <si>
    <t>17S0121L</t>
  </si>
  <si>
    <t>17ss revolver printing aloha shirts(white)[WHITE/L]</t>
  </si>
  <si>
    <t>3-176214110395204</t>
  </si>
  <si>
    <t>17S0121M</t>
  </si>
  <si>
    <t>17ss revolver printing aloha shirts(white)[WHITE/M]</t>
  </si>
  <si>
    <t>3-176252115165208</t>
  </si>
  <si>
    <t>17ss yellow flower bustier onepiece</t>
  </si>
  <si>
    <t>17S0118F</t>
  </si>
  <si>
    <t>17ss yellow flower bustier onepiece[YELLOW/FREE]</t>
  </si>
  <si>
    <t>3-176252115099208</t>
  </si>
  <si>
    <t>17ss dot rose bustier onepiece</t>
  </si>
  <si>
    <t>17S0117F</t>
  </si>
  <si>
    <t>17ss dot rose bustier onepiece[BLACK/FREE]</t>
  </si>
  <si>
    <t>3-176242109699208</t>
  </si>
  <si>
    <t>17ss mesh twinkle glitter blouse</t>
  </si>
  <si>
    <t>17S0116F</t>
  </si>
  <si>
    <t>17ss mesh twinkle glitter blouse[BLACK/FREE]</t>
  </si>
  <si>
    <t>3-176242109499208</t>
  </si>
  <si>
    <t>17ss satin wringkle blouse(black)</t>
  </si>
  <si>
    <t>17S0114F</t>
  </si>
  <si>
    <t>17ss satin wringkle blouse(black)[BLACK/FREE]</t>
  </si>
  <si>
    <t>3-176214110125205</t>
  </si>
  <si>
    <t>17ss stripe bold cuffs shirts</t>
  </si>
  <si>
    <t>17S0112L</t>
  </si>
  <si>
    <t>17ss stripe bold cuffs shirts[BLUE/L]</t>
  </si>
  <si>
    <t>3-176214110125204</t>
  </si>
  <si>
    <t>17S0112M</t>
  </si>
  <si>
    <t>17ss stripe bold cuffs shirts[BLUE/M]</t>
  </si>
  <si>
    <t>3-176234122999205</t>
  </si>
  <si>
    <t>17ss snake jacquard knit(black)</t>
  </si>
  <si>
    <t>17S0111L</t>
  </si>
  <si>
    <t>17ss snake jacquard knit(black)[BLACK/L]</t>
  </si>
  <si>
    <t>3-176234122999204</t>
  </si>
  <si>
    <t>17S0111M</t>
  </si>
  <si>
    <t>17ss snake jacquard knit(black)[BLACK/M]</t>
  </si>
  <si>
    <t>3-176234122869205</t>
  </si>
  <si>
    <t>17ss snake jacquard knit(ivory)</t>
  </si>
  <si>
    <t>17S0110L</t>
  </si>
  <si>
    <t>17ss snake jacquard knit(ivory)[BEIGE/L]</t>
  </si>
  <si>
    <t>3-176234122869204</t>
  </si>
  <si>
    <t>17S0110M</t>
  </si>
  <si>
    <t>17ss snake jacquard knit(ivory)[BEIGE/M]</t>
  </si>
  <si>
    <t>3-176134115899205</t>
  </si>
  <si>
    <t>17ss fake leather zip-up jacket</t>
  </si>
  <si>
    <t>17S0109L</t>
  </si>
  <si>
    <t>17ss fake leather zip-up jacket[BLACK/L]</t>
  </si>
  <si>
    <t>3-176134115899204</t>
  </si>
  <si>
    <t>17S0109M</t>
  </si>
  <si>
    <t>17ss fake leather zip-up jacket[BLACK/M]</t>
  </si>
  <si>
    <t>3-176114103074205</t>
  </si>
  <si>
    <t>17ss snake embroidery robe</t>
  </si>
  <si>
    <t>17S0108L</t>
  </si>
  <si>
    <t>17ss snake embroidery robe[BEIGE/L]</t>
  </si>
  <si>
    <t>3-176114103074204</t>
  </si>
  <si>
    <t>17S0108M</t>
  </si>
  <si>
    <t>17ss snake embroidery robe[BEIGE/M]</t>
  </si>
  <si>
    <t>3-176324101225206</t>
  </si>
  <si>
    <t>17ss bleached hem denim pants</t>
  </si>
  <si>
    <t>17S0107XL</t>
  </si>
  <si>
    <t>BLUE/XL</t>
  </si>
  <si>
    <t>17ss bleached hem denim pants[BLUE/XL]</t>
  </si>
  <si>
    <t>3-176324101225205</t>
  </si>
  <si>
    <t>17S0107L</t>
  </si>
  <si>
    <t>17ss bleached hem denim pants[BLUE/L]</t>
  </si>
  <si>
    <t>3-176324101225204</t>
  </si>
  <si>
    <t>17S0107M</t>
  </si>
  <si>
    <t>17ss bleached hem denim pants[BLUE/M]</t>
  </si>
  <si>
    <t>3-176324101225203</t>
  </si>
  <si>
    <t>17S0107S</t>
  </si>
  <si>
    <t>17ss bleached hem denim pants[BLUE/S]</t>
  </si>
  <si>
    <t>3-176324101125206</t>
  </si>
  <si>
    <t>17ss stone washing denim pants</t>
  </si>
  <si>
    <t>17S0106XL</t>
  </si>
  <si>
    <t>17ss stone washing denim pants[BLUE/XL]</t>
  </si>
  <si>
    <t>3-176324101125205</t>
  </si>
  <si>
    <t>17S0106L</t>
  </si>
  <si>
    <t>17ss stone washing denim pants[BLUE/L]</t>
  </si>
  <si>
    <t>3-176324101125204</t>
  </si>
  <si>
    <t>17S0106M</t>
  </si>
  <si>
    <t>17ss stone washing denim pants[BLUE/M]</t>
  </si>
  <si>
    <t>3-176324101125203</t>
  </si>
  <si>
    <t>17S0106S</t>
  </si>
  <si>
    <t>17ss stone washing denim pants[BLUE/S]</t>
  </si>
  <si>
    <t>3-176324101099206</t>
  </si>
  <si>
    <t>17ss stone washing black denim pants</t>
  </si>
  <si>
    <t>17S0105XL</t>
  </si>
  <si>
    <t>17ss stone washing black denim pants[BLACK/XL]</t>
  </si>
  <si>
    <t>3-176324101099205</t>
  </si>
  <si>
    <t>17S0105L</t>
  </si>
  <si>
    <t>17ss stone washing black denim pants[BLACK/L]</t>
  </si>
  <si>
    <t>3-176324101099204</t>
  </si>
  <si>
    <t>17S0105M</t>
  </si>
  <si>
    <t>17ss stone washing black denim pants[BLACK/M]</t>
  </si>
  <si>
    <t>3-176324101099203</t>
  </si>
  <si>
    <t>17S0105S</t>
  </si>
  <si>
    <t>17ss stone washing black denim pants[BLACK/S]</t>
  </si>
  <si>
    <t>3-176342101825204</t>
  </si>
  <si>
    <t>17ss stone washing denim short pants</t>
  </si>
  <si>
    <t>17S0104M</t>
  </si>
  <si>
    <t>17ss stone washing denim short pants[BLUE/M]</t>
  </si>
  <si>
    <t>3-176342101825203</t>
  </si>
  <si>
    <t>17S0104S</t>
  </si>
  <si>
    <t>17ss stone washing denim short pants[BLUE/S]</t>
  </si>
  <si>
    <t>3-176332113499204</t>
  </si>
  <si>
    <t>17ss stone washing black denim skirt</t>
  </si>
  <si>
    <t>17S0103M</t>
  </si>
  <si>
    <t>17ss stone washing black denim skirt[BLACK/M]</t>
  </si>
  <si>
    <t>3-176332113499203</t>
  </si>
  <si>
    <t>17S0103S</t>
  </si>
  <si>
    <t>17ss stone washing black denim skirt[BLACK/S]</t>
  </si>
  <si>
    <t>3-176332113325204</t>
  </si>
  <si>
    <t>17ss stone washing denim skirt</t>
  </si>
  <si>
    <t>17S0102M</t>
  </si>
  <si>
    <t>17ss stone washing denim skirt[BLUE/M]</t>
  </si>
  <si>
    <t>3-176332113325203</t>
  </si>
  <si>
    <t>17S0102S</t>
  </si>
  <si>
    <t>17ss stone washing denim skirt[BLUE/S]</t>
  </si>
  <si>
    <t>3-176134115725205</t>
  </si>
  <si>
    <t>17ss denim trucker jacket</t>
  </si>
  <si>
    <t>17S0101L</t>
  </si>
  <si>
    <t>17ss denim trucker jacket[BLUE/L]</t>
  </si>
  <si>
    <t>3-176134115725204</t>
  </si>
  <si>
    <t>17S0101M</t>
  </si>
  <si>
    <t>17ss denim trucker jacket[BLUE/M]</t>
  </si>
  <si>
    <t>3-167114117200205</t>
  </si>
  <si>
    <t>VG long coat new herringbone</t>
  </si>
  <si>
    <t>16F0230L</t>
  </si>
  <si>
    <t>grey/L</t>
  </si>
  <si>
    <t>VG long coat new herringbone[grey/L]</t>
  </si>
  <si>
    <t>3-167114117200204</t>
  </si>
  <si>
    <t>16F0230M</t>
  </si>
  <si>
    <t>grey/M</t>
  </si>
  <si>
    <t>VG long coat new herringbone[grey/M]</t>
  </si>
  <si>
    <t>1-6F0235L</t>
  </si>
  <si>
    <t>16F0235L</t>
  </si>
  <si>
    <t>VG ring turtleneck knitwear black</t>
  </si>
  <si>
    <t>VG ring turtleneck knitwear black[black/L]</t>
  </si>
  <si>
    <t>1-6F0234L</t>
  </si>
  <si>
    <t>16F0234L</t>
  </si>
  <si>
    <t>VG ring turtleneck knitwear ivory</t>
  </si>
  <si>
    <t>VG ring turtleneck knitwear ivory[ivory/L]</t>
  </si>
  <si>
    <t>1-6F0233PK</t>
  </si>
  <si>
    <t>16F0233PK</t>
  </si>
  <si>
    <t>VG beanie pink</t>
  </si>
  <si>
    <t>VG beanie pink[pink/FREE]</t>
  </si>
  <si>
    <t>1-6F0233WN</t>
  </si>
  <si>
    <t>16F0233WN</t>
  </si>
  <si>
    <t>VG beanie wine</t>
  </si>
  <si>
    <t>wine/FREE</t>
  </si>
  <si>
    <t>VG beanie wine[wine/FREE]</t>
  </si>
  <si>
    <t>3-167524220462120</t>
  </si>
  <si>
    <t>VG beanie orange</t>
  </si>
  <si>
    <t>16F0233OR</t>
  </si>
  <si>
    <t>VG beanie orange[orange/FREE]</t>
  </si>
  <si>
    <t>3-167114117199205</t>
  </si>
  <si>
    <t>VG long coat black</t>
  </si>
  <si>
    <t>16F0229L</t>
  </si>
  <si>
    <t>VG long coat black[black/L]</t>
  </si>
  <si>
    <t>3-167114117199204</t>
  </si>
  <si>
    <t>16F0229M</t>
  </si>
  <si>
    <t>VG long coat black[black/M]</t>
  </si>
  <si>
    <t>3-167252115030204</t>
  </si>
  <si>
    <t>VG glitter one-piece (+belt)</t>
  </si>
  <si>
    <t>16F0222M</t>
  </si>
  <si>
    <t>glitter(navy)/M</t>
  </si>
  <si>
    <t>VG glitter one-piece (+belt)[glitter(navy)/M]</t>
  </si>
  <si>
    <t>3-167252115030203</t>
  </si>
  <si>
    <t>16F0222S</t>
  </si>
  <si>
    <t>glitter(navy)/S</t>
  </si>
  <si>
    <t>VG glitter one-piece (+belt)[glitter(navy)/S]</t>
  </si>
  <si>
    <t>3-167252114995204</t>
  </si>
  <si>
    <t>VG check one-piece (+belt)</t>
  </si>
  <si>
    <t>16F0221M</t>
  </si>
  <si>
    <t>VG check one-piece (+belt)[gray/M]</t>
  </si>
  <si>
    <t>3-167252114995203</t>
  </si>
  <si>
    <t>16F0221S</t>
  </si>
  <si>
    <t>gray/S</t>
  </si>
  <si>
    <t>VG check one-piece (+belt)[gray/S]</t>
  </si>
  <si>
    <t>0-10302010505</t>
  </si>
  <si>
    <t>VG longsleeved hood black</t>
  </si>
  <si>
    <t>16F0205L</t>
  </si>
  <si>
    <t>VG longsleeved hood black[black/L]</t>
  </si>
  <si>
    <t>3-167224139791205</t>
  </si>
  <si>
    <t>VG longsleeved t-shirts white</t>
  </si>
  <si>
    <t>16F0202L</t>
  </si>
  <si>
    <t>VG longsleeved t-shirts white[white/L]</t>
  </si>
  <si>
    <t>3-167224139791204</t>
  </si>
  <si>
    <t>16F0202M</t>
  </si>
  <si>
    <t>VG longsleeved t-shirts white[white/M]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</si>
</sst>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;@"/>
    <numFmt numFmtId="177" formatCode="000000"/>
    <numFmt numFmtId="178" formatCode="&quot;¥&quot;#,##0.00;&quot;¥&quot;\-#,##0.00"/>
    <numFmt numFmtId="179" formatCode="\$#,##0.00;\-\$#,##0.00"/>
    <numFmt numFmtId="180" formatCode="g\/&quot;通&quot;&quot;用&quot;&quot;格&quot;&quot;式&quot;"/>
  </numFmts>
  <fonts count="4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34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2"/>
      <charset val="134"/>
      <scheme val="minor"/>
    </font>
    <font>
      <sz val="9"/>
      <name val="맑은 고딕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맑은 고딕"/>
      <family val="3"/>
      <charset val="134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2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1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1" borderId="1" applyNumberFormat="0" applyAlignment="0" applyProtection="0">
      <alignment vertical="center"/>
    </xf>
    <xf numFmtId="0" fontId="30" fillId="26" borderId="9" applyNumberFormat="0" applyAlignment="0" applyProtection="0">
      <alignment vertical="center"/>
    </xf>
    <xf numFmtId="0" fontId="31" fillId="26" borderId="1" applyNumberFormat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30" borderId="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28" borderId="2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38" fillId="33" borderId="0" xfId="0" applyFont="1" applyFill="1" applyAlignment="1">
      <alignment horizontal="center" vertical="center"/>
    </xf>
    <xf numFmtId="0" fontId="38" fillId="33" borderId="0" xfId="0" applyFont="1" applyFill="1">
      <alignment vertical="center"/>
    </xf>
    <xf numFmtId="0" fontId="1" fillId="0" borderId="0" xfId="84">
      <alignment vertical="center"/>
    </xf>
    <xf numFmtId="0" fontId="1" fillId="0" borderId="0" xfId="84" applyAlignment="1">
      <alignment vertical="center" wrapText="1"/>
    </xf>
    <xf numFmtId="0" fontId="0" fillId="0" borderId="0" xfId="0" applyAlignment="1">
      <alignment horizontal="center" vertical="center"/>
    </xf>
    <xf numFmtId="0" fontId="38" fillId="33" borderId="0" xfId="0" applyFont="1" applyFill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39" fillId="34" borderId="0" xfId="0" applyNumberFormat="1" applyFont="1" applyFill="1" applyBorder="1" applyAlignment="1">
      <alignment horizontal="center" vertical="center" wrapText="1"/>
    </xf>
    <xf numFmtId="176" fontId="39" fillId="34" borderId="0" xfId="0" applyNumberFormat="1" applyFont="1" applyFill="1" applyBorder="1" applyAlignment="1">
      <alignment horizontal="center" vertical="center" wrapText="1"/>
    </xf>
    <xf numFmtId="49" fontId="39" fillId="34" borderId="0" xfId="0" applyNumberFormat="1" applyFont="1" applyFill="1" applyBorder="1" applyAlignment="1">
      <alignment horizontal="center" vertical="center" wrapText="1"/>
    </xf>
    <xf numFmtId="177" fontId="39" fillId="34" borderId="0" xfId="0" applyNumberFormat="1" applyFont="1" applyFill="1" applyBorder="1" applyAlignment="1">
      <alignment horizontal="center" vertical="center" wrapText="1"/>
    </xf>
    <xf numFmtId="22" fontId="39" fillId="34" borderId="0" xfId="0" applyNumberFormat="1" applyFont="1" applyFill="1" applyBorder="1" applyAlignment="1">
      <alignment horizontal="center" vertical="center" wrapText="1"/>
    </xf>
    <xf numFmtId="0" fontId="39" fillId="34" borderId="0" xfId="0" applyNumberFormat="1" applyFont="1" applyFill="1" applyBorder="1" applyAlignment="1">
      <alignment horizontal="center" vertical="center"/>
    </xf>
    <xf numFmtId="0" fontId="39" fillId="34" borderId="0" xfId="0" applyNumberFormat="1" applyFont="1" applyFill="1" applyBorder="1" applyAlignment="1">
      <alignment horizontal="center" vertical="center" wrapText="1"/>
    </xf>
    <xf numFmtId="178" fontId="39" fillId="34" borderId="0" xfId="0" applyNumberFormat="1" applyFont="1" applyFill="1" applyBorder="1" applyAlignment="1">
      <alignment horizontal="center" vertical="center" wrapText="1"/>
    </xf>
    <xf numFmtId="179" fontId="39" fillId="34" borderId="0" xfId="0" applyNumberFormat="1" applyFont="1" applyFill="1" applyBorder="1" applyAlignment="1">
      <alignment horizontal="center" vertical="center" wrapText="1"/>
    </xf>
    <xf numFmtId="0" fontId="39" fillId="34" borderId="0" xfId="0" applyFont="1" applyFill="1" applyBorder="1" applyAlignment="1">
      <alignment horizontal="center" vertical="center" wrapText="1"/>
    </xf>
    <xf numFmtId="0" fontId="39" fillId="0" borderId="0" xfId="0" applyNumberFormat="1" applyFont="1" applyFill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14" fontId="46" fillId="0" borderId="0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2" fontId="46" fillId="0" borderId="0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8" fontId="46" fillId="0" borderId="0" xfId="0" applyNumberFormat="1" applyFont="1" applyBorder="1" applyAlignment="1">
      <alignment horizontal="center" vertical="center"/>
    </xf>
    <xf numFmtId="179" fontId="46" fillId="0" borderId="0" xfId="0" applyNumberFormat="1" applyFont="1" applyBorder="1" applyAlignment="1">
      <alignment horizontal="center" vertical="center"/>
    </xf>
    <xf numFmtId="180" fontId="46" fillId="0" borderId="0" xfId="0" applyNumberFormat="1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7" fillId="0" borderId="0" xfId="0" applyFont="1" applyBorder="1" applyAlignment="1">
      <alignment horizontal="left" vertical="center"/>
    </xf>
  </cellXfs>
  <cellStyles count="85">
    <cellStyle name="20% - 강조색1 2" xfId="61"/>
    <cellStyle name="20% - 강조색2 2" xfId="65"/>
    <cellStyle name="20% - 강조색3 2" xfId="69"/>
    <cellStyle name="20% - 강조색4 2" xfId="73"/>
    <cellStyle name="20% - 강조색5 2" xfId="77"/>
    <cellStyle name="20% - 강조색6 2" xfId="81"/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강조색1 2" xfId="62"/>
    <cellStyle name="40% - 강조색2 2" xfId="66"/>
    <cellStyle name="40% - 강조색3 2" xfId="70"/>
    <cellStyle name="40% - 강조색4 2" xfId="74"/>
    <cellStyle name="40% - 강조색5 2" xfId="78"/>
    <cellStyle name="40% - 강조색6 2" xfId="82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강조색1 2" xfId="63"/>
    <cellStyle name="60% - 강조색2 2" xfId="67"/>
    <cellStyle name="60% - 강조색3 2" xfId="71"/>
    <cellStyle name="60% - 강조색4 2" xfId="75"/>
    <cellStyle name="60% - 강조색5 2" xfId="79"/>
    <cellStyle name="60% - 강조색6 2" xfId="83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강조색1 2" xfId="60"/>
    <cellStyle name="강조색2 2" xfId="64"/>
    <cellStyle name="강조색3 2" xfId="68"/>
    <cellStyle name="강조색4 2" xfId="72"/>
    <cellStyle name="강조색5 2" xfId="76"/>
    <cellStyle name="강조색6 2" xfId="80"/>
    <cellStyle name="检查单元格" xfId="31" builtinId="23" customBuiltin="1"/>
    <cellStyle name="경고문 2" xfId="56"/>
    <cellStyle name="警告文本" xfId="25" builtinId="11" customBuiltin="1"/>
    <cellStyle name="计算" xfId="26" builtinId="22" customBuiltin="1"/>
    <cellStyle name="계산 2" xfId="53"/>
    <cellStyle name="适中" xfId="29" builtinId="28" customBuiltin="1"/>
    <cellStyle name="나쁨 2" xfId="49"/>
    <cellStyle name="链接单元格" xfId="32" builtinId="24" customBuiltin="1"/>
    <cellStyle name="메모 2" xfId="57"/>
    <cellStyle name="보통 2" xfId="50"/>
    <cellStyle name="常规" xfId="0" builtinId="0"/>
    <cellStyle name="常规 2" xfId="84"/>
    <cellStyle name="설명 텍스트 2" xfId="58"/>
    <cellStyle name="셀 확인 2" xfId="55"/>
    <cellStyle name="输入" xfId="34" builtinId="20" customBuiltin="1"/>
    <cellStyle name="输出" xfId="41" builtinId="21" customBuiltin="1"/>
    <cellStyle name="연결된 셀 2" xfId="54"/>
    <cellStyle name="요약 2" xfId="59"/>
    <cellStyle name="입력 2" xfId="51"/>
    <cellStyle name="제목 1 2" xfId="44"/>
    <cellStyle name="제목 2 2" xfId="45"/>
    <cellStyle name="제목 3 2" xfId="46"/>
    <cellStyle name="제목 4 2" xfId="47"/>
    <cellStyle name="제목 5" xfId="43"/>
    <cellStyle name="좋음 2" xfId="48"/>
    <cellStyle name="注释" xfId="28" builtinId="10" customBuiltin="1"/>
    <cellStyle name="差" xfId="27" builtinId="27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출력 2" xfId="52"/>
    <cellStyle name="标题" xfId="35" builtinId="15" customBuiltin="1"/>
    <cellStyle name="标题 1" xfId="36" builtinId="16" customBuiltin="1"/>
    <cellStyle name="标题 2" xfId="37" builtinId="17" customBuiltin="1"/>
    <cellStyle name="标题 3" xfId="38" builtinId="18" customBuiltin="1"/>
    <cellStyle name="标题 4" xfId="39" builtinId="19" customBuiltin="1"/>
    <cellStyle name="표준 2" xfId="42"/>
    <cellStyle name="解释性文本" xfId="30" builtinId="53" customBuiltin="1"/>
    <cellStyle name="好" xfId="40" builtinId="26" customBuiltin="1"/>
    <cellStyle name="汇总" xfId="33" builtinId="25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A2" sqref="A2"/>
    </sheetView>
  </sheetViews>
  <sheetFormatPr defaultRowHeight="16.5"/>
  <cols>
    <col min="1" max="1" width="19.75" style="8" customWidth="1"/>
    <col min="2" max="2" width="23.375" style="8" customWidth="1"/>
    <col min="3" max="3" width="16.625" bestFit="1" customWidth="1"/>
    <col min="4" max="4" width="11.625" bestFit="1" customWidth="1"/>
    <col min="5" max="5" width="21.375" bestFit="1" customWidth="1"/>
    <col min="6" max="6" width="52.125" customWidth="1"/>
    <col min="7" max="7" width="10.5" bestFit="1" customWidth="1"/>
    <col min="8" max="8" width="9" bestFit="1" customWidth="1"/>
    <col min="9" max="10" width="15.875" bestFit="1" customWidth="1"/>
    <col min="12" max="12" width="15.375" customWidth="1"/>
    <col min="13" max="13" width="16" bestFit="1" customWidth="1"/>
    <col min="14" max="14" width="22.75" customWidth="1"/>
    <col min="15" max="15" width="39.75" customWidth="1"/>
    <col min="16" max="16" width="34.625" bestFit="1" customWidth="1"/>
    <col min="18" max="18" width="5.25" bestFit="1" customWidth="1"/>
    <col min="19" max="19" width="11.625" bestFit="1" customWidth="1"/>
    <col min="20" max="20" width="5.25" bestFit="1" customWidth="1"/>
    <col min="21" max="21" width="11.625" bestFit="1" customWidth="1"/>
    <col min="22" max="22" width="7.125" bestFit="1" customWidth="1"/>
    <col min="23" max="23" width="11" bestFit="1" customWidth="1"/>
    <col min="24" max="24" width="18" bestFit="1" customWidth="1"/>
    <col min="25" max="25" width="18.625" bestFit="1" customWidth="1"/>
    <col min="26" max="26" width="31.875" bestFit="1" customWidth="1"/>
    <col min="27" max="27" width="21.375" bestFit="1" customWidth="1"/>
    <col min="28" max="28" width="23.5" bestFit="1" customWidth="1"/>
  </cols>
  <sheetData>
    <row r="1" spans="1:29">
      <c r="A1" s="9" t="s">
        <v>29</v>
      </c>
      <c r="B1" s="9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27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33</v>
      </c>
      <c r="S1" s="5" t="s">
        <v>15</v>
      </c>
      <c r="T1" t="s">
        <v>16</v>
      </c>
      <c r="U1" s="5" t="s">
        <v>17</v>
      </c>
      <c r="V1" t="s">
        <v>18</v>
      </c>
      <c r="W1" s="5" t="s">
        <v>19</v>
      </c>
      <c r="X1" s="5" t="s">
        <v>32</v>
      </c>
      <c r="Y1" s="5" t="s">
        <v>20</v>
      </c>
      <c r="Z1" s="5" t="s">
        <v>21</v>
      </c>
      <c r="AA1" s="5" t="s">
        <v>22</v>
      </c>
      <c r="AB1" s="5" t="s">
        <v>23</v>
      </c>
      <c r="AC1" s="3" t="s">
        <v>35</v>
      </c>
    </row>
    <row r="2" spans="1:29">
      <c r="A2" s="8">
        <f>ICB!C2</f>
        <v>0</v>
      </c>
      <c r="B2" s="8" t="str">
        <f>A2&amp;IF("-0"&amp;COUNTIF(A:A,A2)="-01",,"-0"&amp;COUNTIF(A$2:A2,A2))</f>
        <v>0-01</v>
      </c>
      <c r="C2" s="10">
        <f>ICB!A2</f>
        <v>0</v>
      </c>
      <c r="D2" s="8">
        <f>ICB!F2</f>
        <v>0</v>
      </c>
      <c r="E2" s="8">
        <f>ICB!H2</f>
        <v>0</v>
      </c>
      <c r="F2">
        <f>ICB!I2</f>
        <v>0</v>
      </c>
      <c r="G2" s="2" t="str">
        <f>IF(ROW(A2)&lt;=COUNTA(A:A),".")</f>
        <v>.</v>
      </c>
      <c r="H2" s="2" t="str">
        <f>IF(ROW(A2)&lt;=COUNTA(A:A),".")</f>
        <v>.</v>
      </c>
      <c r="I2">
        <f>ICB!G2</f>
        <v>0</v>
      </c>
      <c r="J2">
        <f>ICB!G2</f>
        <v>0</v>
      </c>
      <c r="K2" s="2" t="str">
        <f>IF(ROW(A2)&lt;=COUNTA(A:A),"CN")</f>
        <v>CN</v>
      </c>
      <c r="L2">
        <f>ICB!J2</f>
        <v>0</v>
      </c>
      <c r="M2">
        <f>ICB!J2</f>
        <v>0</v>
      </c>
      <c r="N2" t="e">
        <f>VLOOKUP(M2,재고리스트!P:S,4,0)</f>
        <v>#N/A</v>
      </c>
      <c r="O2" t="e">
        <f>VLOOKUP(M2,재고리스트!P:S,4,0)</f>
        <v>#N/A</v>
      </c>
      <c r="P2" t="e">
        <f>VLOOKUP(M2,재고리스트!P:S,4,0)</f>
        <v>#N/A</v>
      </c>
      <c r="Q2">
        <f>ICB!L2</f>
        <v>0</v>
      </c>
      <c r="R2">
        <f>ICB!N2</f>
        <v>0</v>
      </c>
      <c r="S2" t="str">
        <f>IF(ROW(A2)&lt;=COUNTA(A:A),"420311")</f>
        <v>420311</v>
      </c>
      <c r="U2">
        <f>ICB!L2</f>
        <v>0</v>
      </c>
      <c r="W2" s="2" t="str">
        <f>IF(ROW(A2)&lt;=COUNTA(A:A),".")</f>
        <v>.</v>
      </c>
      <c r="X2" s="2" t="str">
        <f>IF(ROW(A2)&lt;=COUNTA(A:A),".")</f>
        <v>.</v>
      </c>
      <c r="Y2" s="2" t="str">
        <f>IF(ROW(A2)&lt;=COUNTA(A:A),".")</f>
        <v>.</v>
      </c>
      <c r="Z2" s="2" t="str">
        <f>IF(ROW(A2)&lt;=COUNTA(A:A),".")</f>
        <v>.</v>
      </c>
      <c r="AA2" s="2" t="str">
        <f>IF(ROW(A2)&lt;=COUNTA(A:A),".")</f>
        <v>.</v>
      </c>
      <c r="AB2" s="2" t="str">
        <f>IF(ROW(A2)&lt;=COUNTA(A:A),".")</f>
        <v>.</v>
      </c>
    </row>
    <row r="3" spans="1:29">
      <c r="A3" s="8">
        <f>ICB!C3</f>
        <v>0</v>
      </c>
      <c r="B3" s="8" t="str">
        <f>A3&amp;IF("-0"&amp;COUNTIF(A:A,A3)="-01",,"-0"&amp;COUNTIF(A$2:A3,A3))</f>
        <v>0-02</v>
      </c>
      <c r="C3" s="10">
        <f>ICB!A3</f>
        <v>0</v>
      </c>
      <c r="D3" s="8">
        <f>ICB!F3</f>
        <v>0</v>
      </c>
      <c r="E3" s="8">
        <f>ICB!H3</f>
        <v>0</v>
      </c>
      <c r="F3" s="2">
        <f>ICB!I3</f>
        <v>0</v>
      </c>
      <c r="G3" s="2" t="str">
        <f>IF(ROW(A3)&lt;=COUNTA(A:A),".")</f>
        <v>.</v>
      </c>
      <c r="H3" s="2" t="str">
        <f>IF(ROW(A3)&lt;=COUNTA(A:A),".")</f>
        <v>.</v>
      </c>
      <c r="I3" s="2">
        <f>ICB!G3</f>
        <v>0</v>
      </c>
      <c r="J3" s="2">
        <f>ICB!G3</f>
        <v>0</v>
      </c>
      <c r="K3" s="2" t="str">
        <f>IF(ROW(A3)&lt;=COUNTA(A:A),"CN")</f>
        <v>CN</v>
      </c>
      <c r="L3" s="2">
        <f>ICB!J3</f>
        <v>0</v>
      </c>
      <c r="M3" s="2">
        <f>ICB!J3</f>
        <v>0</v>
      </c>
      <c r="N3" s="2" t="e">
        <f>VLOOKUP(M3,재고리스트!P:S,4,0)</f>
        <v>#N/A</v>
      </c>
      <c r="O3" s="2" t="e">
        <f>VLOOKUP(M3,재고리스트!P:S,4,0)</f>
        <v>#N/A</v>
      </c>
      <c r="P3" s="2" t="e">
        <f>VLOOKUP(M3,재고리스트!P:S,4,0)</f>
        <v>#N/A</v>
      </c>
      <c r="Q3" s="2">
        <f>ICB!L3</f>
        <v>0</v>
      </c>
      <c r="R3" s="2">
        <f>ICB!N3</f>
        <v>0</v>
      </c>
      <c r="S3" s="2" t="str">
        <f>IF(ROW(A3)&lt;=COUNTA(A:A),"420311")</f>
        <v>420311</v>
      </c>
      <c r="T3" s="2"/>
      <c r="U3" s="2">
        <f>ICB!L3</f>
        <v>0</v>
      </c>
      <c r="V3" s="2"/>
      <c r="W3" s="2" t="str">
        <f>IF(ROW(A3)&lt;=COUNTA(A:A),".")</f>
        <v>.</v>
      </c>
      <c r="X3" s="2" t="str">
        <f>IF(ROW(A3)&lt;=COUNTA(A:A),".")</f>
        <v>.</v>
      </c>
      <c r="Y3" s="2" t="str">
        <f>IF(ROW(A3)&lt;=COUNTA(A:A),".")</f>
        <v>.</v>
      </c>
      <c r="Z3" s="2" t="str">
        <f>IF(ROW(A3)&lt;=COUNTA(A:A),".")</f>
        <v>.</v>
      </c>
      <c r="AA3" s="2" t="str">
        <f>IF(ROW(A3)&lt;=COUNTA(A:A),".")</f>
        <v>.</v>
      </c>
      <c r="AB3" s="2" t="str">
        <f>IF(ROW(A3)&lt;=COUNTA(A:A),".")</f>
        <v>.</v>
      </c>
    </row>
    <row r="4" spans="1:29">
      <c r="A4" s="8">
        <f>ICB!C4</f>
        <v>0</v>
      </c>
      <c r="B4" s="8" t="str">
        <f>A4&amp;IF("-0"&amp;COUNTIF(A:A,A4)="-01",,"-0"&amp;COUNTIF(A$2:A4,A4))</f>
        <v>0-03</v>
      </c>
      <c r="C4" s="10">
        <f>ICB!A4</f>
        <v>0</v>
      </c>
      <c r="D4" s="8">
        <f>ICB!F4</f>
        <v>0</v>
      </c>
      <c r="E4" s="8">
        <f>ICB!H4</f>
        <v>0</v>
      </c>
      <c r="F4" s="2">
        <f>ICB!I4</f>
        <v>0</v>
      </c>
      <c r="G4" s="2" t="str">
        <f>IF(ROW(A4)&lt;=COUNTA(A:A),".")</f>
        <v>.</v>
      </c>
      <c r="H4" s="2" t="str">
        <f>IF(ROW(A4)&lt;=COUNTA(A:A),".")</f>
        <v>.</v>
      </c>
      <c r="I4" s="2">
        <f>ICB!G4</f>
        <v>0</v>
      </c>
      <c r="J4" s="2">
        <f>ICB!G4</f>
        <v>0</v>
      </c>
      <c r="K4" s="2" t="str">
        <f>IF(ROW(A4)&lt;=COUNTA(A:A),"CN")</f>
        <v>CN</v>
      </c>
      <c r="L4" s="2">
        <f>ICB!J4</f>
        <v>0</v>
      </c>
      <c r="M4" s="2">
        <f>ICB!J4</f>
        <v>0</v>
      </c>
      <c r="N4" s="2" t="e">
        <f>VLOOKUP(M4,재고리스트!P:S,4,0)</f>
        <v>#N/A</v>
      </c>
      <c r="O4" s="2" t="e">
        <f>VLOOKUP(M4,재고리스트!P:S,4,0)</f>
        <v>#N/A</v>
      </c>
      <c r="P4" s="2" t="e">
        <f>VLOOKUP(M4,재고리스트!P:S,4,0)</f>
        <v>#N/A</v>
      </c>
      <c r="Q4" s="2">
        <f>ICB!L4</f>
        <v>0</v>
      </c>
      <c r="R4" s="2">
        <f>ICB!N4</f>
        <v>0</v>
      </c>
      <c r="S4" s="2" t="str">
        <f>IF(ROW(A4)&lt;=COUNTA(A:A),"420311")</f>
        <v>420311</v>
      </c>
      <c r="T4" s="2"/>
      <c r="U4" s="2">
        <f>ICB!L4</f>
        <v>0</v>
      </c>
      <c r="V4" s="2"/>
      <c r="W4" s="2" t="str">
        <f>IF(ROW(A4)&lt;=COUNTA(A:A),".")</f>
        <v>.</v>
      </c>
      <c r="X4" s="2" t="str">
        <f>IF(ROW(A4)&lt;=COUNTA(A:A),".")</f>
        <v>.</v>
      </c>
      <c r="Y4" s="2" t="str">
        <f>IF(ROW(A4)&lt;=COUNTA(A:A),".")</f>
        <v>.</v>
      </c>
      <c r="Z4" s="2" t="str">
        <f>IF(ROW(A4)&lt;=COUNTA(A:A),".")</f>
        <v>.</v>
      </c>
      <c r="AA4" s="2" t="str">
        <f>IF(ROW(A4)&lt;=COUNTA(A:A),".")</f>
        <v>.</v>
      </c>
      <c r="AB4" s="2" t="str">
        <f>IF(ROW(A4)&lt;=COUNTA(A:A),".")</f>
        <v>.</v>
      </c>
    </row>
    <row r="5" spans="1:29">
      <c r="A5" s="8">
        <f>ICB!C5</f>
        <v>0</v>
      </c>
      <c r="B5" s="8" t="str">
        <f>A5&amp;IF("-0"&amp;COUNTIF(A:A,A5)="-01",,"-0"&amp;COUNTIF(A$2:A5,A5))</f>
        <v>0-04</v>
      </c>
      <c r="C5" s="10">
        <f>ICB!A5</f>
        <v>0</v>
      </c>
      <c r="D5" s="8">
        <f>ICB!F5</f>
        <v>0</v>
      </c>
      <c r="E5" s="8">
        <f>ICB!H5</f>
        <v>0</v>
      </c>
      <c r="F5" s="2">
        <f>ICB!I5</f>
        <v>0</v>
      </c>
      <c r="G5" s="2" t="str">
        <f>IF(ROW(A5)&lt;=COUNTA(A:A),".")</f>
        <v>.</v>
      </c>
      <c r="H5" s="2" t="str">
        <f>IF(ROW(A5)&lt;=COUNTA(A:A),".")</f>
        <v>.</v>
      </c>
      <c r="I5" s="2">
        <f>ICB!G5</f>
        <v>0</v>
      </c>
      <c r="J5" s="2">
        <f>ICB!G5</f>
        <v>0</v>
      </c>
      <c r="K5" s="2" t="str">
        <f>IF(ROW(A5)&lt;=COUNTA(A:A),"CN")</f>
        <v>CN</v>
      </c>
      <c r="L5" s="2">
        <f>ICB!J5</f>
        <v>0</v>
      </c>
      <c r="M5" s="2">
        <f>ICB!J5</f>
        <v>0</v>
      </c>
      <c r="N5" s="2" t="e">
        <f>VLOOKUP(M5,재고리스트!P:S,4,0)</f>
        <v>#N/A</v>
      </c>
      <c r="O5" s="2" t="e">
        <f>VLOOKUP(M5,재고리스트!P:S,4,0)</f>
        <v>#N/A</v>
      </c>
      <c r="P5" s="2" t="e">
        <f>VLOOKUP(M5,재고리스트!P:S,4,0)</f>
        <v>#N/A</v>
      </c>
      <c r="Q5" s="2">
        <f>ICB!L5</f>
        <v>0</v>
      </c>
      <c r="R5" s="2">
        <f>ICB!N5</f>
        <v>0</v>
      </c>
      <c r="S5" s="2" t="str">
        <f>IF(ROW(A5)&lt;=COUNTA(A:A),"420311")</f>
        <v>420311</v>
      </c>
      <c r="T5" s="2"/>
      <c r="U5" s="2">
        <f>ICB!L5</f>
        <v>0</v>
      </c>
      <c r="V5" s="2"/>
      <c r="W5" s="2" t="str">
        <f>IF(ROW(A5)&lt;=COUNTA(A:A),".")</f>
        <v>.</v>
      </c>
      <c r="X5" s="2" t="str">
        <f>IF(ROW(A5)&lt;=COUNTA(A:A),".")</f>
        <v>.</v>
      </c>
      <c r="Y5" s="2" t="str">
        <f>IF(ROW(A5)&lt;=COUNTA(A:A),".")</f>
        <v>.</v>
      </c>
      <c r="Z5" s="2" t="str">
        <f>IF(ROW(A5)&lt;=COUNTA(A:A),".")</f>
        <v>.</v>
      </c>
      <c r="AA5" s="2" t="str">
        <f>IF(ROW(A5)&lt;=COUNTA(A:A),".")</f>
        <v>.</v>
      </c>
      <c r="AB5" s="2" t="str">
        <f>IF(ROW(A5)&lt;=COUNTA(A:A),".")</f>
        <v>.</v>
      </c>
    </row>
    <row r="6" spans="1:29">
      <c r="A6" s="8">
        <f>ICB!C6</f>
        <v>0</v>
      </c>
      <c r="B6" s="8" t="str">
        <f>A6&amp;IF("-0"&amp;COUNTIF(A:A,A6)="-01",,"-0"&amp;COUNTIF(A$2:A6,A6))</f>
        <v>0-05</v>
      </c>
      <c r="C6" s="10">
        <f>ICB!A6</f>
        <v>0</v>
      </c>
      <c r="D6" s="8">
        <f>ICB!F6</f>
        <v>0</v>
      </c>
      <c r="E6" s="8">
        <f>ICB!H6</f>
        <v>0</v>
      </c>
      <c r="F6" s="2">
        <f>ICB!I6</f>
        <v>0</v>
      </c>
      <c r="G6" s="2" t="str">
        <f t="shared" ref="G6:G30" si="0">IF(ROW(A6)&lt;=COUNTA(A:A),".")</f>
        <v>.</v>
      </c>
      <c r="H6" s="2" t="str">
        <f t="shared" ref="H6:H30" si="1">IF(ROW(A6)&lt;=COUNTA(A:A),".")</f>
        <v>.</v>
      </c>
      <c r="I6" s="2">
        <f>ICB!G6</f>
        <v>0</v>
      </c>
      <c r="J6" s="2">
        <f>ICB!G6</f>
        <v>0</v>
      </c>
      <c r="K6" s="2" t="str">
        <f t="shared" ref="K6:K30" si="2">IF(ROW(A6)&lt;=COUNTA(A:A),"CN")</f>
        <v>CN</v>
      </c>
      <c r="L6" s="2">
        <f>ICB!J6</f>
        <v>0</v>
      </c>
      <c r="M6" s="2">
        <f>ICB!J6</f>
        <v>0</v>
      </c>
      <c r="N6" s="2" t="e">
        <f>VLOOKUP(M6,재고리스트!P:S,4,0)</f>
        <v>#N/A</v>
      </c>
      <c r="O6" s="2" t="e">
        <f>VLOOKUP(M6,재고리스트!P:S,4,0)</f>
        <v>#N/A</v>
      </c>
      <c r="P6" s="2" t="e">
        <f>VLOOKUP(M6,재고리스트!P:S,4,0)</f>
        <v>#N/A</v>
      </c>
      <c r="Q6" s="2">
        <f>ICB!L6</f>
        <v>0</v>
      </c>
      <c r="R6" s="2">
        <f>ICB!N6</f>
        <v>0</v>
      </c>
      <c r="S6" s="2" t="str">
        <f t="shared" ref="S6:S30" si="3">IF(ROW(A6)&lt;=COUNTA(A:A),"420311")</f>
        <v>420311</v>
      </c>
      <c r="T6" s="2"/>
      <c r="U6" s="2">
        <f>ICB!L6</f>
        <v>0</v>
      </c>
      <c r="V6" s="2"/>
      <c r="W6" s="2" t="str">
        <f t="shared" ref="W6:W30" si="4">IF(ROW(A6)&lt;=COUNTA(A:A),".")</f>
        <v>.</v>
      </c>
      <c r="X6" s="2" t="str">
        <f t="shared" ref="X6:X30" si="5">IF(ROW(A6)&lt;=COUNTA(A:A),".")</f>
        <v>.</v>
      </c>
      <c r="Y6" s="2" t="str">
        <f t="shared" ref="Y6:Y30" si="6">IF(ROW(A6)&lt;=COUNTA(A:A),".")</f>
        <v>.</v>
      </c>
      <c r="Z6" s="2" t="str">
        <f t="shared" ref="Z6:Z30" si="7">IF(ROW(A6)&lt;=COUNTA(A:A),".")</f>
        <v>.</v>
      </c>
      <c r="AA6" s="2" t="str">
        <f t="shared" ref="AA6:AA30" si="8">IF(ROW(A6)&lt;=COUNTA(A:A),".")</f>
        <v>.</v>
      </c>
      <c r="AB6" s="2" t="str">
        <f t="shared" ref="AB6:AB30" si="9">IF(ROW(A6)&lt;=COUNTA(A:A),".")</f>
        <v>.</v>
      </c>
    </row>
    <row r="7" spans="1:29">
      <c r="A7" s="8">
        <f>ICB!C7</f>
        <v>0</v>
      </c>
      <c r="B7" s="8" t="str">
        <f>A7&amp;IF("-0"&amp;COUNTIF(A:A,A7)="-01",,"-0"&amp;COUNTIF(A$2:A7,A7))</f>
        <v>0-06</v>
      </c>
      <c r="C7" s="10">
        <f>ICB!A7</f>
        <v>0</v>
      </c>
      <c r="D7" s="8">
        <f>ICB!F7</f>
        <v>0</v>
      </c>
      <c r="E7" s="8">
        <f>ICB!H7</f>
        <v>0</v>
      </c>
      <c r="F7" s="2">
        <f>ICB!I7</f>
        <v>0</v>
      </c>
      <c r="G7" s="2" t="str">
        <f t="shared" si="0"/>
        <v>.</v>
      </c>
      <c r="H7" s="2" t="str">
        <f t="shared" si="1"/>
        <v>.</v>
      </c>
      <c r="I7" s="2">
        <f>ICB!G7</f>
        <v>0</v>
      </c>
      <c r="J7" s="2">
        <f>ICB!G7</f>
        <v>0</v>
      </c>
      <c r="K7" s="2" t="str">
        <f t="shared" si="2"/>
        <v>CN</v>
      </c>
      <c r="L7" s="2">
        <f>ICB!J7</f>
        <v>0</v>
      </c>
      <c r="M7" s="2">
        <f>ICB!J7</f>
        <v>0</v>
      </c>
      <c r="N7" s="2" t="e">
        <f>VLOOKUP(M7,재고리스트!P:S,4,0)</f>
        <v>#N/A</v>
      </c>
      <c r="O7" s="2" t="e">
        <f>VLOOKUP(M7,재고리스트!P:S,4,0)</f>
        <v>#N/A</v>
      </c>
      <c r="P7" s="2" t="e">
        <f>VLOOKUP(M7,재고리스트!P:S,4,0)</f>
        <v>#N/A</v>
      </c>
      <c r="Q7" s="2">
        <f>ICB!L7</f>
        <v>0</v>
      </c>
      <c r="R7" s="2">
        <f>ICB!N7</f>
        <v>0</v>
      </c>
      <c r="S7" s="2" t="str">
        <f t="shared" si="3"/>
        <v>420311</v>
      </c>
      <c r="T7" s="2"/>
      <c r="U7" s="2">
        <f>ICB!L7</f>
        <v>0</v>
      </c>
      <c r="V7" s="2"/>
      <c r="W7" s="2" t="str">
        <f t="shared" si="4"/>
        <v>.</v>
      </c>
      <c r="X7" s="2" t="str">
        <f t="shared" si="5"/>
        <v>.</v>
      </c>
      <c r="Y7" s="2" t="str">
        <f t="shared" si="6"/>
        <v>.</v>
      </c>
      <c r="Z7" s="2" t="str">
        <f t="shared" si="7"/>
        <v>.</v>
      </c>
      <c r="AA7" s="2" t="str">
        <f t="shared" si="8"/>
        <v>.</v>
      </c>
      <c r="AB7" s="2" t="str">
        <f t="shared" si="9"/>
        <v>.</v>
      </c>
    </row>
    <row r="8" spans="1:29">
      <c r="A8" s="8">
        <f>ICB!C8</f>
        <v>0</v>
      </c>
      <c r="B8" s="8" t="str">
        <f>A8&amp;IF("-0"&amp;COUNTIF(A:A,A8)="-01",,"-0"&amp;COUNTIF(A$2:A8,A8))</f>
        <v>0-07</v>
      </c>
      <c r="C8" s="10">
        <f>ICB!A8</f>
        <v>0</v>
      </c>
      <c r="D8" s="8">
        <f>ICB!F8</f>
        <v>0</v>
      </c>
      <c r="E8" s="8">
        <f>ICB!H8</f>
        <v>0</v>
      </c>
      <c r="F8" s="2">
        <f>ICB!I8</f>
        <v>0</v>
      </c>
      <c r="G8" s="2" t="str">
        <f t="shared" si="0"/>
        <v>.</v>
      </c>
      <c r="H8" s="2" t="str">
        <f t="shared" si="1"/>
        <v>.</v>
      </c>
      <c r="I8" s="2">
        <f>ICB!G8</f>
        <v>0</v>
      </c>
      <c r="J8" s="2">
        <f>ICB!G8</f>
        <v>0</v>
      </c>
      <c r="K8" s="2" t="str">
        <f t="shared" si="2"/>
        <v>CN</v>
      </c>
      <c r="L8" s="2">
        <f>ICB!J8</f>
        <v>0</v>
      </c>
      <c r="M8" s="2">
        <f>ICB!J8</f>
        <v>0</v>
      </c>
      <c r="N8" s="2" t="e">
        <f>VLOOKUP(M8,재고리스트!P:S,4,0)</f>
        <v>#N/A</v>
      </c>
      <c r="O8" s="2" t="e">
        <f>VLOOKUP(M8,재고리스트!P:S,4,0)</f>
        <v>#N/A</v>
      </c>
      <c r="P8" s="2" t="e">
        <f>VLOOKUP(M8,재고리스트!P:S,4,0)</f>
        <v>#N/A</v>
      </c>
      <c r="Q8" s="2">
        <f>ICB!L8</f>
        <v>0</v>
      </c>
      <c r="R8" s="2">
        <f>ICB!N8</f>
        <v>0</v>
      </c>
      <c r="S8" s="2" t="str">
        <f t="shared" si="3"/>
        <v>420311</v>
      </c>
      <c r="T8" s="2"/>
      <c r="U8" s="2">
        <f>ICB!L8</f>
        <v>0</v>
      </c>
      <c r="V8" s="2"/>
      <c r="W8" s="2" t="str">
        <f t="shared" si="4"/>
        <v>.</v>
      </c>
      <c r="X8" s="2" t="str">
        <f t="shared" si="5"/>
        <v>.</v>
      </c>
      <c r="Y8" s="2" t="str">
        <f t="shared" si="6"/>
        <v>.</v>
      </c>
      <c r="Z8" s="2" t="str">
        <f t="shared" si="7"/>
        <v>.</v>
      </c>
      <c r="AA8" s="2" t="str">
        <f t="shared" si="8"/>
        <v>.</v>
      </c>
      <c r="AB8" s="2" t="str">
        <f t="shared" si="9"/>
        <v>.</v>
      </c>
    </row>
    <row r="9" spans="1:29">
      <c r="A9" s="8">
        <f>ICB!C9</f>
        <v>0</v>
      </c>
      <c r="B9" s="8" t="str">
        <f>A9&amp;IF("-0"&amp;COUNTIF(A:A,A9)="-01",,"-0"&amp;COUNTIF(A$2:A9,A9))</f>
        <v>0-08</v>
      </c>
      <c r="C9" s="10">
        <f>ICB!A9</f>
        <v>0</v>
      </c>
      <c r="D9" s="8">
        <f>ICB!F9</f>
        <v>0</v>
      </c>
      <c r="E9" s="8">
        <f>ICB!H9</f>
        <v>0</v>
      </c>
      <c r="F9" s="2">
        <f>ICB!I9</f>
        <v>0</v>
      </c>
      <c r="G9" s="2" t="str">
        <f t="shared" si="0"/>
        <v>.</v>
      </c>
      <c r="H9" s="2" t="str">
        <f t="shared" si="1"/>
        <v>.</v>
      </c>
      <c r="I9" s="2">
        <f>ICB!G9</f>
        <v>0</v>
      </c>
      <c r="J9" s="2">
        <f>ICB!G9</f>
        <v>0</v>
      </c>
      <c r="K9" s="2" t="str">
        <f t="shared" si="2"/>
        <v>CN</v>
      </c>
      <c r="L9" s="2">
        <f>ICB!J9</f>
        <v>0</v>
      </c>
      <c r="M9" s="2">
        <f>ICB!J9</f>
        <v>0</v>
      </c>
      <c r="N9" s="2" t="e">
        <f>VLOOKUP(M9,재고리스트!P:S,4,0)</f>
        <v>#N/A</v>
      </c>
      <c r="O9" s="2" t="e">
        <f>VLOOKUP(M9,재고리스트!P:S,4,0)</f>
        <v>#N/A</v>
      </c>
      <c r="P9" s="2" t="e">
        <f>VLOOKUP(M9,재고리스트!P:S,4,0)</f>
        <v>#N/A</v>
      </c>
      <c r="Q9" s="2">
        <f>ICB!L9</f>
        <v>0</v>
      </c>
      <c r="R9" s="2">
        <f>ICB!N9</f>
        <v>0</v>
      </c>
      <c r="S9" s="2" t="str">
        <f t="shared" si="3"/>
        <v>420311</v>
      </c>
      <c r="T9" s="2"/>
      <c r="U9" s="2">
        <f>ICB!L9</f>
        <v>0</v>
      </c>
      <c r="V9" s="2"/>
      <c r="W9" s="2" t="str">
        <f t="shared" si="4"/>
        <v>.</v>
      </c>
      <c r="X9" s="2" t="str">
        <f t="shared" si="5"/>
        <v>.</v>
      </c>
      <c r="Y9" s="2" t="str">
        <f t="shared" si="6"/>
        <v>.</v>
      </c>
      <c r="Z9" s="2" t="str">
        <f t="shared" si="7"/>
        <v>.</v>
      </c>
      <c r="AA9" s="2" t="str">
        <f t="shared" si="8"/>
        <v>.</v>
      </c>
      <c r="AB9" s="2" t="str">
        <f t="shared" si="9"/>
        <v>.</v>
      </c>
    </row>
    <row r="10" spans="1:29">
      <c r="A10" s="8">
        <f>ICB!C10</f>
        <v>0</v>
      </c>
      <c r="B10" s="8" t="str">
        <f>A10&amp;IF("-0"&amp;COUNTIF(A:A,A10)="-01",,"-0"&amp;COUNTIF(A$2:A10,A10))</f>
        <v>0-09</v>
      </c>
      <c r="C10" s="10">
        <f>ICB!A10</f>
        <v>0</v>
      </c>
      <c r="D10" s="8">
        <f>ICB!F10</f>
        <v>0</v>
      </c>
      <c r="E10" s="8">
        <f>ICB!H10</f>
        <v>0</v>
      </c>
      <c r="F10" s="2">
        <f>ICB!I10</f>
        <v>0</v>
      </c>
      <c r="G10" s="2" t="str">
        <f t="shared" si="0"/>
        <v>.</v>
      </c>
      <c r="H10" s="2" t="str">
        <f t="shared" si="1"/>
        <v>.</v>
      </c>
      <c r="I10" s="2">
        <f>ICB!G10</f>
        <v>0</v>
      </c>
      <c r="J10" s="2">
        <f>ICB!G10</f>
        <v>0</v>
      </c>
      <c r="K10" s="2" t="str">
        <f t="shared" si="2"/>
        <v>CN</v>
      </c>
      <c r="L10" s="2">
        <f>ICB!J10</f>
        <v>0</v>
      </c>
      <c r="M10" s="2">
        <f>ICB!J10</f>
        <v>0</v>
      </c>
      <c r="N10" s="2" t="e">
        <f>VLOOKUP(M10,재고리스트!P:S,4,0)</f>
        <v>#N/A</v>
      </c>
      <c r="O10" s="2" t="e">
        <f>VLOOKUP(M10,재고리스트!P:S,4,0)</f>
        <v>#N/A</v>
      </c>
      <c r="P10" s="2" t="e">
        <f>VLOOKUP(M10,재고리스트!P:S,4,0)</f>
        <v>#N/A</v>
      </c>
      <c r="Q10" s="2">
        <f>ICB!L10</f>
        <v>0</v>
      </c>
      <c r="R10" s="2">
        <f>ICB!N10</f>
        <v>0</v>
      </c>
      <c r="S10" s="2" t="str">
        <f t="shared" si="3"/>
        <v>420311</v>
      </c>
      <c r="T10" s="2"/>
      <c r="U10" s="2">
        <f>ICB!L10</f>
        <v>0</v>
      </c>
      <c r="V10" s="2"/>
      <c r="W10" s="2" t="str">
        <f t="shared" si="4"/>
        <v>.</v>
      </c>
      <c r="X10" s="2" t="str">
        <f t="shared" si="5"/>
        <v>.</v>
      </c>
      <c r="Y10" s="2" t="str">
        <f t="shared" si="6"/>
        <v>.</v>
      </c>
      <c r="Z10" s="2" t="str">
        <f t="shared" si="7"/>
        <v>.</v>
      </c>
      <c r="AA10" s="2" t="str">
        <f t="shared" si="8"/>
        <v>.</v>
      </c>
      <c r="AB10" s="2" t="str">
        <f t="shared" si="9"/>
        <v>.</v>
      </c>
    </row>
    <row r="11" spans="1:29">
      <c r="A11" s="8">
        <f>ICB!C11</f>
        <v>0</v>
      </c>
      <c r="B11" s="8" t="str">
        <f>A11&amp;IF("-0"&amp;COUNTIF(A:A,A11)="-01",,"-0"&amp;COUNTIF(A$2:A11,A11))</f>
        <v>0-010</v>
      </c>
      <c r="C11" s="10">
        <f>ICB!A11</f>
        <v>0</v>
      </c>
      <c r="D11" s="8">
        <f>ICB!F11</f>
        <v>0</v>
      </c>
      <c r="E11" s="8">
        <f>ICB!H11</f>
        <v>0</v>
      </c>
      <c r="F11" s="2">
        <f>ICB!I11</f>
        <v>0</v>
      </c>
      <c r="G11" s="2" t="str">
        <f t="shared" si="0"/>
        <v>.</v>
      </c>
      <c r="H11" s="2" t="str">
        <f t="shared" si="1"/>
        <v>.</v>
      </c>
      <c r="I11" s="2">
        <f>ICB!G11</f>
        <v>0</v>
      </c>
      <c r="J11" s="2">
        <f>ICB!G11</f>
        <v>0</v>
      </c>
      <c r="K11" s="2" t="str">
        <f t="shared" si="2"/>
        <v>CN</v>
      </c>
      <c r="L11" s="2">
        <f>ICB!J11</f>
        <v>0</v>
      </c>
      <c r="M11" s="2">
        <f>ICB!J11</f>
        <v>0</v>
      </c>
      <c r="N11" s="2" t="e">
        <f>VLOOKUP(M11,재고리스트!P:S,4,0)</f>
        <v>#N/A</v>
      </c>
      <c r="O11" s="2" t="e">
        <f>VLOOKUP(M11,재고리스트!P:S,4,0)</f>
        <v>#N/A</v>
      </c>
      <c r="P11" s="2" t="e">
        <f>VLOOKUP(M11,재고리스트!P:S,4,0)</f>
        <v>#N/A</v>
      </c>
      <c r="Q11" s="2">
        <f>ICB!L11</f>
        <v>0</v>
      </c>
      <c r="R11" s="2">
        <f>ICB!N11</f>
        <v>0</v>
      </c>
      <c r="S11" s="2" t="str">
        <f t="shared" si="3"/>
        <v>420311</v>
      </c>
      <c r="T11" s="2"/>
      <c r="U11" s="2">
        <f>ICB!L11</f>
        <v>0</v>
      </c>
      <c r="V11" s="2"/>
      <c r="W11" s="2" t="str">
        <f t="shared" si="4"/>
        <v>.</v>
      </c>
      <c r="X11" s="2" t="str">
        <f t="shared" si="5"/>
        <v>.</v>
      </c>
      <c r="Y11" s="2" t="str">
        <f t="shared" si="6"/>
        <v>.</v>
      </c>
      <c r="Z11" s="2" t="str">
        <f t="shared" si="7"/>
        <v>.</v>
      </c>
      <c r="AA11" s="2" t="str">
        <f t="shared" si="8"/>
        <v>.</v>
      </c>
      <c r="AB11" s="2" t="str">
        <f t="shared" si="9"/>
        <v>.</v>
      </c>
    </row>
    <row r="12" spans="1:29">
      <c r="A12" s="8">
        <f>ICB!C12</f>
        <v>0</v>
      </c>
      <c r="B12" s="8" t="str">
        <f>A12&amp;IF("-0"&amp;COUNTIF(A:A,A12)="-01",,"-0"&amp;COUNTIF(A$2:A12,A12))</f>
        <v>0-011</v>
      </c>
      <c r="C12" s="10">
        <f>ICB!A12</f>
        <v>0</v>
      </c>
      <c r="D12" s="8">
        <f>ICB!F12</f>
        <v>0</v>
      </c>
      <c r="E12" s="8">
        <f>ICB!H12</f>
        <v>0</v>
      </c>
      <c r="F12" s="2">
        <f>ICB!I12</f>
        <v>0</v>
      </c>
      <c r="G12" s="2" t="str">
        <f t="shared" si="0"/>
        <v>.</v>
      </c>
      <c r="H12" s="2" t="str">
        <f t="shared" si="1"/>
        <v>.</v>
      </c>
      <c r="I12" s="2">
        <f>ICB!G12</f>
        <v>0</v>
      </c>
      <c r="J12" s="2">
        <f>ICB!G12</f>
        <v>0</v>
      </c>
      <c r="K12" s="2" t="str">
        <f t="shared" si="2"/>
        <v>CN</v>
      </c>
      <c r="L12" s="2">
        <f>ICB!J12</f>
        <v>0</v>
      </c>
      <c r="M12" s="2">
        <f>ICB!J12</f>
        <v>0</v>
      </c>
      <c r="N12" s="2" t="e">
        <f>VLOOKUP(M12,재고리스트!P:S,4,0)</f>
        <v>#N/A</v>
      </c>
      <c r="O12" s="2" t="e">
        <f>VLOOKUP(M12,재고리스트!P:S,4,0)</f>
        <v>#N/A</v>
      </c>
      <c r="P12" s="2" t="e">
        <f>VLOOKUP(M12,재고리스트!P:S,4,0)</f>
        <v>#N/A</v>
      </c>
      <c r="Q12" s="2">
        <f>ICB!L12</f>
        <v>0</v>
      </c>
      <c r="R12" s="2">
        <f>ICB!N12</f>
        <v>0</v>
      </c>
      <c r="S12" s="2" t="str">
        <f t="shared" si="3"/>
        <v>420311</v>
      </c>
      <c r="T12" s="2"/>
      <c r="U12" s="2">
        <f>ICB!L12</f>
        <v>0</v>
      </c>
      <c r="V12" s="2"/>
      <c r="W12" s="2" t="str">
        <f t="shared" si="4"/>
        <v>.</v>
      </c>
      <c r="X12" s="2" t="str">
        <f t="shared" si="5"/>
        <v>.</v>
      </c>
      <c r="Y12" s="2" t="str">
        <f t="shared" si="6"/>
        <v>.</v>
      </c>
      <c r="Z12" s="2" t="str">
        <f t="shared" si="7"/>
        <v>.</v>
      </c>
      <c r="AA12" s="2" t="str">
        <f t="shared" si="8"/>
        <v>.</v>
      </c>
      <c r="AB12" s="2" t="str">
        <f t="shared" si="9"/>
        <v>.</v>
      </c>
    </row>
    <row r="13" spans="1:29">
      <c r="A13" s="8">
        <f>ICB!C13</f>
        <v>0</v>
      </c>
      <c r="B13" s="8" t="str">
        <f>A13&amp;IF("-0"&amp;COUNTIF(A:A,A13)="-01",,"-0"&amp;COUNTIF(A$2:A13,A13))</f>
        <v>0-012</v>
      </c>
      <c r="C13" s="10">
        <f>ICB!A13</f>
        <v>0</v>
      </c>
      <c r="D13" s="8">
        <f>ICB!F13</f>
        <v>0</v>
      </c>
      <c r="E13" s="8">
        <f>ICB!H13</f>
        <v>0</v>
      </c>
      <c r="F13" s="2">
        <f>ICB!I13</f>
        <v>0</v>
      </c>
      <c r="G13" s="2" t="str">
        <f t="shared" si="0"/>
        <v>.</v>
      </c>
      <c r="H13" s="2" t="str">
        <f t="shared" si="1"/>
        <v>.</v>
      </c>
      <c r="I13" s="2">
        <f>ICB!G13</f>
        <v>0</v>
      </c>
      <c r="J13" s="2">
        <f>ICB!G13</f>
        <v>0</v>
      </c>
      <c r="K13" s="2" t="str">
        <f t="shared" si="2"/>
        <v>CN</v>
      </c>
      <c r="L13" s="2">
        <f>ICB!J13</f>
        <v>0</v>
      </c>
      <c r="M13" s="2">
        <f>ICB!J13</f>
        <v>0</v>
      </c>
      <c r="N13" s="2" t="e">
        <f>VLOOKUP(M13,재고리스트!P:S,4,0)</f>
        <v>#N/A</v>
      </c>
      <c r="O13" s="2" t="e">
        <f>VLOOKUP(M13,재고리스트!P:S,4,0)</f>
        <v>#N/A</v>
      </c>
      <c r="P13" s="2" t="e">
        <f>VLOOKUP(M13,재고리스트!P:S,4,0)</f>
        <v>#N/A</v>
      </c>
      <c r="Q13" s="2">
        <f>ICB!L13</f>
        <v>0</v>
      </c>
      <c r="R13" s="2">
        <f>ICB!N13</f>
        <v>0</v>
      </c>
      <c r="S13" s="2" t="str">
        <f t="shared" si="3"/>
        <v>420311</v>
      </c>
      <c r="T13" s="2"/>
      <c r="U13" s="2">
        <f>ICB!L13</f>
        <v>0</v>
      </c>
      <c r="V13" s="2"/>
      <c r="W13" s="2" t="str">
        <f t="shared" si="4"/>
        <v>.</v>
      </c>
      <c r="X13" s="2" t="str">
        <f t="shared" si="5"/>
        <v>.</v>
      </c>
      <c r="Y13" s="2" t="str">
        <f t="shared" si="6"/>
        <v>.</v>
      </c>
      <c r="Z13" s="2" t="str">
        <f t="shared" si="7"/>
        <v>.</v>
      </c>
      <c r="AA13" s="2" t="str">
        <f t="shared" si="8"/>
        <v>.</v>
      </c>
      <c r="AB13" s="2" t="str">
        <f t="shared" si="9"/>
        <v>.</v>
      </c>
    </row>
    <row r="14" spans="1:29">
      <c r="A14" s="8">
        <f>ICB!C14</f>
        <v>0</v>
      </c>
      <c r="B14" s="8" t="str">
        <f>A14&amp;IF("-0"&amp;COUNTIF(A:A,A14)="-01",,"-0"&amp;COUNTIF(A$2:A14,A14))</f>
        <v>0-013</v>
      </c>
      <c r="C14" s="10">
        <f>ICB!A14</f>
        <v>0</v>
      </c>
      <c r="D14" s="8">
        <f>ICB!F14</f>
        <v>0</v>
      </c>
      <c r="E14" s="8">
        <f>ICB!H14</f>
        <v>0</v>
      </c>
      <c r="F14" s="2">
        <f>ICB!I14</f>
        <v>0</v>
      </c>
      <c r="G14" s="2" t="str">
        <f t="shared" si="0"/>
        <v>.</v>
      </c>
      <c r="H14" s="2" t="str">
        <f t="shared" si="1"/>
        <v>.</v>
      </c>
      <c r="I14" s="2">
        <f>ICB!G14</f>
        <v>0</v>
      </c>
      <c r="J14" s="2">
        <f>ICB!G14</f>
        <v>0</v>
      </c>
      <c r="K14" s="2" t="str">
        <f t="shared" si="2"/>
        <v>CN</v>
      </c>
      <c r="L14" s="2">
        <f>ICB!J14</f>
        <v>0</v>
      </c>
      <c r="M14" s="2">
        <f>ICB!J14</f>
        <v>0</v>
      </c>
      <c r="N14" s="2" t="e">
        <f>VLOOKUP(M14,재고리스트!P:S,4,0)</f>
        <v>#N/A</v>
      </c>
      <c r="O14" s="2" t="e">
        <f>VLOOKUP(M14,재고리스트!P:S,4,0)</f>
        <v>#N/A</v>
      </c>
      <c r="P14" s="2" t="e">
        <f>VLOOKUP(M14,재고리스트!P:S,4,0)</f>
        <v>#N/A</v>
      </c>
      <c r="Q14" s="2">
        <f>ICB!L14</f>
        <v>0</v>
      </c>
      <c r="R14" s="2">
        <f>ICB!N14</f>
        <v>0</v>
      </c>
      <c r="S14" s="2" t="str">
        <f t="shared" si="3"/>
        <v>420311</v>
      </c>
      <c r="T14" s="2"/>
      <c r="U14" s="2">
        <f>ICB!L14</f>
        <v>0</v>
      </c>
      <c r="V14" s="2"/>
      <c r="W14" s="2" t="str">
        <f t="shared" si="4"/>
        <v>.</v>
      </c>
      <c r="X14" s="2" t="str">
        <f t="shared" si="5"/>
        <v>.</v>
      </c>
      <c r="Y14" s="2" t="str">
        <f t="shared" si="6"/>
        <v>.</v>
      </c>
      <c r="Z14" s="2" t="str">
        <f t="shared" si="7"/>
        <v>.</v>
      </c>
      <c r="AA14" s="2" t="str">
        <f t="shared" si="8"/>
        <v>.</v>
      </c>
      <c r="AB14" s="2" t="str">
        <f t="shared" si="9"/>
        <v>.</v>
      </c>
    </row>
    <row r="15" spans="1:29">
      <c r="A15" s="8">
        <f>ICB!C15</f>
        <v>0</v>
      </c>
      <c r="B15" s="8" t="str">
        <f>A15&amp;IF("-0"&amp;COUNTIF(A:A,A15)="-01",,"-0"&amp;COUNTIF(A$2:A15,A15))</f>
        <v>0-014</v>
      </c>
      <c r="C15" s="10">
        <f>ICB!A15</f>
        <v>0</v>
      </c>
      <c r="D15" s="8">
        <f>ICB!F15</f>
        <v>0</v>
      </c>
      <c r="E15" s="8">
        <f>ICB!H15</f>
        <v>0</v>
      </c>
      <c r="F15" s="2">
        <f>ICB!I15</f>
        <v>0</v>
      </c>
      <c r="G15" s="2" t="str">
        <f t="shared" si="0"/>
        <v>.</v>
      </c>
      <c r="H15" s="2" t="str">
        <f t="shared" si="1"/>
        <v>.</v>
      </c>
      <c r="I15" s="2">
        <f>ICB!G15</f>
        <v>0</v>
      </c>
      <c r="J15" s="2">
        <f>ICB!G15</f>
        <v>0</v>
      </c>
      <c r="K15" s="2" t="str">
        <f t="shared" si="2"/>
        <v>CN</v>
      </c>
      <c r="L15" s="2">
        <f>ICB!J15</f>
        <v>0</v>
      </c>
      <c r="M15" s="2">
        <f>ICB!J15</f>
        <v>0</v>
      </c>
      <c r="N15" s="2" t="e">
        <f>VLOOKUP(M15,재고리스트!P:S,4,0)</f>
        <v>#N/A</v>
      </c>
      <c r="O15" s="2" t="e">
        <f>VLOOKUP(M15,재고리스트!P:S,4,0)</f>
        <v>#N/A</v>
      </c>
      <c r="P15" s="2" t="e">
        <f>VLOOKUP(M15,재고리스트!P:S,4,0)</f>
        <v>#N/A</v>
      </c>
      <c r="Q15" s="2">
        <f>ICB!L15</f>
        <v>0</v>
      </c>
      <c r="R15" s="2">
        <f>ICB!N15</f>
        <v>0</v>
      </c>
      <c r="S15" s="2" t="str">
        <f t="shared" si="3"/>
        <v>420311</v>
      </c>
      <c r="T15" s="2"/>
      <c r="U15" s="2">
        <f>ICB!L15</f>
        <v>0</v>
      </c>
      <c r="V15" s="2"/>
      <c r="W15" s="2" t="str">
        <f t="shared" si="4"/>
        <v>.</v>
      </c>
      <c r="X15" s="2" t="str">
        <f t="shared" si="5"/>
        <v>.</v>
      </c>
      <c r="Y15" s="2" t="str">
        <f t="shared" si="6"/>
        <v>.</v>
      </c>
      <c r="Z15" s="2" t="str">
        <f t="shared" si="7"/>
        <v>.</v>
      </c>
      <c r="AA15" s="2" t="str">
        <f t="shared" si="8"/>
        <v>.</v>
      </c>
      <c r="AB15" s="2" t="str">
        <f t="shared" si="9"/>
        <v>.</v>
      </c>
    </row>
    <row r="16" spans="1:29">
      <c r="A16" s="8">
        <f>ICB!C16</f>
        <v>0</v>
      </c>
      <c r="B16" s="8" t="str">
        <f>A16&amp;IF("-0"&amp;COUNTIF(A:A,A16)="-01",,"-0"&amp;COUNTIF(A$2:A16,A16))</f>
        <v>0-015</v>
      </c>
      <c r="C16" s="10">
        <f>ICB!A16</f>
        <v>0</v>
      </c>
      <c r="D16" s="8">
        <f>ICB!F16</f>
        <v>0</v>
      </c>
      <c r="E16" s="8">
        <f>ICB!H16</f>
        <v>0</v>
      </c>
      <c r="F16" s="2">
        <f>ICB!I16</f>
        <v>0</v>
      </c>
      <c r="G16" s="2" t="str">
        <f t="shared" si="0"/>
        <v>.</v>
      </c>
      <c r="H16" s="2" t="str">
        <f t="shared" si="1"/>
        <v>.</v>
      </c>
      <c r="I16" s="2">
        <f>ICB!G16</f>
        <v>0</v>
      </c>
      <c r="J16" s="2">
        <f>ICB!G16</f>
        <v>0</v>
      </c>
      <c r="K16" s="2" t="str">
        <f t="shared" si="2"/>
        <v>CN</v>
      </c>
      <c r="L16" s="2">
        <f>ICB!J16</f>
        <v>0</v>
      </c>
      <c r="M16" s="2">
        <f>ICB!J16</f>
        <v>0</v>
      </c>
      <c r="N16" s="2" t="e">
        <f>VLOOKUP(M16,재고리스트!P:S,4,0)</f>
        <v>#N/A</v>
      </c>
      <c r="O16" s="2" t="e">
        <f>VLOOKUP(M16,재고리스트!P:S,4,0)</f>
        <v>#N/A</v>
      </c>
      <c r="P16" s="2" t="e">
        <f>VLOOKUP(M16,재고리스트!P:S,4,0)</f>
        <v>#N/A</v>
      </c>
      <c r="Q16" s="2">
        <f>ICB!L16</f>
        <v>0</v>
      </c>
      <c r="R16" s="2">
        <f>ICB!N16</f>
        <v>0</v>
      </c>
      <c r="S16" s="2" t="str">
        <f t="shared" si="3"/>
        <v>420311</v>
      </c>
      <c r="T16" s="2"/>
      <c r="U16" s="2">
        <f>ICB!L16</f>
        <v>0</v>
      </c>
      <c r="V16" s="2"/>
      <c r="W16" s="2" t="str">
        <f t="shared" si="4"/>
        <v>.</v>
      </c>
      <c r="X16" s="2" t="str">
        <f t="shared" si="5"/>
        <v>.</v>
      </c>
      <c r="Y16" s="2" t="str">
        <f t="shared" si="6"/>
        <v>.</v>
      </c>
      <c r="Z16" s="2" t="str">
        <f t="shared" si="7"/>
        <v>.</v>
      </c>
      <c r="AA16" s="2" t="str">
        <f t="shared" si="8"/>
        <v>.</v>
      </c>
      <c r="AB16" s="2" t="str">
        <f t="shared" si="9"/>
        <v>.</v>
      </c>
    </row>
    <row r="17" spans="1:28">
      <c r="A17" s="8">
        <f>ICB!C17</f>
        <v>0</v>
      </c>
      <c r="B17" s="8" t="str">
        <f>A17&amp;IF("-0"&amp;COUNTIF(A:A,A17)="-01",,"-0"&amp;COUNTIF(A$2:A17,A17))</f>
        <v>0-016</v>
      </c>
      <c r="C17" s="10">
        <f>ICB!A17</f>
        <v>0</v>
      </c>
      <c r="D17" s="8">
        <f>ICB!F17</f>
        <v>0</v>
      </c>
      <c r="E17" s="8">
        <f>ICB!H17</f>
        <v>0</v>
      </c>
      <c r="F17" s="2">
        <f>ICB!I17</f>
        <v>0</v>
      </c>
      <c r="G17" s="2" t="str">
        <f t="shared" si="0"/>
        <v>.</v>
      </c>
      <c r="H17" s="2" t="str">
        <f t="shared" si="1"/>
        <v>.</v>
      </c>
      <c r="I17" s="2">
        <f>ICB!G17</f>
        <v>0</v>
      </c>
      <c r="J17" s="2">
        <f>ICB!G17</f>
        <v>0</v>
      </c>
      <c r="K17" s="2" t="str">
        <f t="shared" si="2"/>
        <v>CN</v>
      </c>
      <c r="L17" s="2">
        <f>ICB!J17</f>
        <v>0</v>
      </c>
      <c r="M17" s="2">
        <f>ICB!J17</f>
        <v>0</v>
      </c>
      <c r="N17" s="2" t="e">
        <f>VLOOKUP(M17,재고리스트!P:S,4,0)</f>
        <v>#N/A</v>
      </c>
      <c r="O17" s="2" t="e">
        <f>VLOOKUP(M17,재고리스트!P:S,4,0)</f>
        <v>#N/A</v>
      </c>
      <c r="P17" s="2" t="e">
        <f>VLOOKUP(M17,재고리스트!P:S,4,0)</f>
        <v>#N/A</v>
      </c>
      <c r="Q17" s="2">
        <f>ICB!L17</f>
        <v>0</v>
      </c>
      <c r="R17" s="2">
        <f>ICB!N17</f>
        <v>0</v>
      </c>
      <c r="S17" s="2" t="str">
        <f t="shared" si="3"/>
        <v>420311</v>
      </c>
      <c r="T17" s="2"/>
      <c r="U17" s="2">
        <f>ICB!L17</f>
        <v>0</v>
      </c>
      <c r="V17" s="2"/>
      <c r="W17" s="2" t="str">
        <f t="shared" si="4"/>
        <v>.</v>
      </c>
      <c r="X17" s="2" t="str">
        <f t="shared" si="5"/>
        <v>.</v>
      </c>
      <c r="Y17" s="2" t="str">
        <f t="shared" si="6"/>
        <v>.</v>
      </c>
      <c r="Z17" s="2" t="str">
        <f t="shared" si="7"/>
        <v>.</v>
      </c>
      <c r="AA17" s="2" t="str">
        <f t="shared" si="8"/>
        <v>.</v>
      </c>
      <c r="AB17" s="2" t="str">
        <f t="shared" si="9"/>
        <v>.</v>
      </c>
    </row>
    <row r="18" spans="1:28">
      <c r="A18" s="8">
        <f>ICB!C18</f>
        <v>0</v>
      </c>
      <c r="B18" s="8" t="str">
        <f>A18&amp;IF("-0"&amp;COUNTIF(A:A,A18)="-01",,"-0"&amp;COUNTIF(A$2:A18,A18))</f>
        <v>0-017</v>
      </c>
      <c r="C18" s="10">
        <f>ICB!A18</f>
        <v>0</v>
      </c>
      <c r="D18" s="8">
        <f>ICB!F18</f>
        <v>0</v>
      </c>
      <c r="E18" s="8">
        <f>ICB!H18</f>
        <v>0</v>
      </c>
      <c r="F18" s="2">
        <f>ICB!I18</f>
        <v>0</v>
      </c>
      <c r="G18" s="2" t="str">
        <f t="shared" si="0"/>
        <v>.</v>
      </c>
      <c r="H18" s="2" t="str">
        <f t="shared" si="1"/>
        <v>.</v>
      </c>
      <c r="I18" s="2">
        <f>ICB!G18</f>
        <v>0</v>
      </c>
      <c r="J18" s="2">
        <f>ICB!G18</f>
        <v>0</v>
      </c>
      <c r="K18" s="2" t="str">
        <f t="shared" si="2"/>
        <v>CN</v>
      </c>
      <c r="L18" s="2">
        <f>ICB!J18</f>
        <v>0</v>
      </c>
      <c r="M18" s="2">
        <f>ICB!J18</f>
        <v>0</v>
      </c>
      <c r="N18" s="2" t="e">
        <f>VLOOKUP(M18,재고리스트!P:S,4,0)</f>
        <v>#N/A</v>
      </c>
      <c r="O18" s="2" t="e">
        <f>VLOOKUP(M18,재고리스트!P:S,4,0)</f>
        <v>#N/A</v>
      </c>
      <c r="P18" s="2" t="e">
        <f>VLOOKUP(M18,재고리스트!P:S,4,0)</f>
        <v>#N/A</v>
      </c>
      <c r="Q18" s="2">
        <f>ICB!L18</f>
        <v>0</v>
      </c>
      <c r="R18" s="2">
        <f>ICB!N18</f>
        <v>0</v>
      </c>
      <c r="S18" s="2" t="str">
        <f t="shared" si="3"/>
        <v>420311</v>
      </c>
      <c r="T18" s="2"/>
      <c r="U18" s="2">
        <f>ICB!L18</f>
        <v>0</v>
      </c>
      <c r="V18" s="2"/>
      <c r="W18" s="2" t="str">
        <f t="shared" si="4"/>
        <v>.</v>
      </c>
      <c r="X18" s="2" t="str">
        <f t="shared" si="5"/>
        <v>.</v>
      </c>
      <c r="Y18" s="2" t="str">
        <f t="shared" si="6"/>
        <v>.</v>
      </c>
      <c r="Z18" s="2" t="str">
        <f t="shared" si="7"/>
        <v>.</v>
      </c>
      <c r="AA18" s="2" t="str">
        <f t="shared" si="8"/>
        <v>.</v>
      </c>
      <c r="AB18" s="2" t="str">
        <f t="shared" si="9"/>
        <v>.</v>
      </c>
    </row>
    <row r="19" spans="1:28">
      <c r="A19" s="8">
        <f>ICB!C19</f>
        <v>0</v>
      </c>
      <c r="B19" s="8" t="str">
        <f>A19&amp;IF("-0"&amp;COUNTIF(A:A,A19)="-01",,"-0"&amp;COUNTIF(A$2:A19,A19))</f>
        <v>0-018</v>
      </c>
      <c r="C19" s="10">
        <f>ICB!A19</f>
        <v>0</v>
      </c>
      <c r="D19" s="8">
        <f>ICB!F19</f>
        <v>0</v>
      </c>
      <c r="E19" s="8">
        <f>ICB!H19</f>
        <v>0</v>
      </c>
      <c r="F19" s="2">
        <f>ICB!I19</f>
        <v>0</v>
      </c>
      <c r="G19" s="2" t="str">
        <f t="shared" si="0"/>
        <v>.</v>
      </c>
      <c r="H19" s="2" t="str">
        <f t="shared" si="1"/>
        <v>.</v>
      </c>
      <c r="I19" s="2">
        <f>ICB!G19</f>
        <v>0</v>
      </c>
      <c r="J19" s="2">
        <f>ICB!G19</f>
        <v>0</v>
      </c>
      <c r="K19" s="2" t="str">
        <f t="shared" si="2"/>
        <v>CN</v>
      </c>
      <c r="L19" s="2">
        <f>ICB!J19</f>
        <v>0</v>
      </c>
      <c r="M19" s="2">
        <f>ICB!J19</f>
        <v>0</v>
      </c>
      <c r="N19" s="2" t="e">
        <f>VLOOKUP(M19,재고리스트!P:S,4,0)</f>
        <v>#N/A</v>
      </c>
      <c r="O19" s="2" t="e">
        <f>VLOOKUP(M19,재고리스트!P:S,4,0)</f>
        <v>#N/A</v>
      </c>
      <c r="P19" s="2" t="e">
        <f>VLOOKUP(M19,재고리스트!P:S,4,0)</f>
        <v>#N/A</v>
      </c>
      <c r="Q19" s="2">
        <f>ICB!L19</f>
        <v>0</v>
      </c>
      <c r="R19" s="2">
        <f>ICB!N19</f>
        <v>0</v>
      </c>
      <c r="S19" s="2" t="str">
        <f t="shared" si="3"/>
        <v>420311</v>
      </c>
      <c r="T19" s="2"/>
      <c r="U19" s="2">
        <f>ICB!L19</f>
        <v>0</v>
      </c>
      <c r="V19" s="2"/>
      <c r="W19" s="2" t="str">
        <f t="shared" si="4"/>
        <v>.</v>
      </c>
      <c r="X19" s="2" t="str">
        <f t="shared" si="5"/>
        <v>.</v>
      </c>
      <c r="Y19" s="2" t="str">
        <f t="shared" si="6"/>
        <v>.</v>
      </c>
      <c r="Z19" s="2" t="str">
        <f t="shared" si="7"/>
        <v>.</v>
      </c>
      <c r="AA19" s="2" t="str">
        <f t="shared" si="8"/>
        <v>.</v>
      </c>
      <c r="AB19" s="2" t="str">
        <f t="shared" si="9"/>
        <v>.</v>
      </c>
    </row>
    <row r="20" spans="1:28">
      <c r="A20" s="8">
        <f>ICB!C20</f>
        <v>0</v>
      </c>
      <c r="B20" s="8" t="str">
        <f>A20&amp;IF("-0"&amp;COUNTIF(A:A,A20)="-01",,"-0"&amp;COUNTIF(A$2:A20,A20))</f>
        <v>0-019</v>
      </c>
      <c r="C20" s="10">
        <f>ICB!A20</f>
        <v>0</v>
      </c>
      <c r="D20" s="8">
        <f>ICB!F20</f>
        <v>0</v>
      </c>
      <c r="E20" s="8">
        <f>ICB!H20</f>
        <v>0</v>
      </c>
      <c r="F20" s="2">
        <f>ICB!I20</f>
        <v>0</v>
      </c>
      <c r="G20" s="2" t="str">
        <f t="shared" si="0"/>
        <v>.</v>
      </c>
      <c r="H20" s="2" t="str">
        <f t="shared" si="1"/>
        <v>.</v>
      </c>
      <c r="I20" s="2">
        <f>ICB!G20</f>
        <v>0</v>
      </c>
      <c r="J20" s="2">
        <f>ICB!G20</f>
        <v>0</v>
      </c>
      <c r="K20" s="2" t="str">
        <f t="shared" si="2"/>
        <v>CN</v>
      </c>
      <c r="L20" s="2">
        <f>ICB!J20</f>
        <v>0</v>
      </c>
      <c r="M20" s="2">
        <f>ICB!J20</f>
        <v>0</v>
      </c>
      <c r="N20" s="2" t="e">
        <f>VLOOKUP(M20,재고리스트!P:S,4,0)</f>
        <v>#N/A</v>
      </c>
      <c r="O20" s="2" t="e">
        <f>VLOOKUP(M20,재고리스트!P:S,4,0)</f>
        <v>#N/A</v>
      </c>
      <c r="P20" s="2" t="e">
        <f>VLOOKUP(M20,재고리스트!P:S,4,0)</f>
        <v>#N/A</v>
      </c>
      <c r="Q20" s="2">
        <f>ICB!L20</f>
        <v>0</v>
      </c>
      <c r="R20" s="2">
        <f>ICB!N20</f>
        <v>0</v>
      </c>
      <c r="S20" s="2" t="str">
        <f t="shared" si="3"/>
        <v>420311</v>
      </c>
      <c r="T20" s="2"/>
      <c r="U20" s="2">
        <f>ICB!L20</f>
        <v>0</v>
      </c>
      <c r="V20" s="2"/>
      <c r="W20" s="2" t="str">
        <f t="shared" si="4"/>
        <v>.</v>
      </c>
      <c r="X20" s="2" t="str">
        <f t="shared" si="5"/>
        <v>.</v>
      </c>
      <c r="Y20" s="2" t="str">
        <f t="shared" si="6"/>
        <v>.</v>
      </c>
      <c r="Z20" s="2" t="str">
        <f t="shared" si="7"/>
        <v>.</v>
      </c>
      <c r="AA20" s="2" t="str">
        <f t="shared" si="8"/>
        <v>.</v>
      </c>
      <c r="AB20" s="2" t="str">
        <f t="shared" si="9"/>
        <v>.</v>
      </c>
    </row>
    <row r="21" spans="1:28">
      <c r="A21" s="8">
        <f>ICB!C21</f>
        <v>0</v>
      </c>
      <c r="B21" s="8" t="str">
        <f>A21&amp;IF("-0"&amp;COUNTIF(A:A,A21)="-01",,"-0"&amp;COUNTIF(A$2:A21,A21))</f>
        <v>0-020</v>
      </c>
      <c r="C21" s="10">
        <f>ICB!A21</f>
        <v>0</v>
      </c>
      <c r="D21" s="8">
        <f>ICB!F21</f>
        <v>0</v>
      </c>
      <c r="E21" s="8">
        <f>ICB!H21</f>
        <v>0</v>
      </c>
      <c r="F21" s="2">
        <f>ICB!I21</f>
        <v>0</v>
      </c>
      <c r="G21" s="2" t="str">
        <f t="shared" si="0"/>
        <v>.</v>
      </c>
      <c r="H21" s="2" t="str">
        <f t="shared" si="1"/>
        <v>.</v>
      </c>
      <c r="I21" s="2">
        <f>ICB!G21</f>
        <v>0</v>
      </c>
      <c r="J21" s="2">
        <f>ICB!G21</f>
        <v>0</v>
      </c>
      <c r="K21" s="2" t="str">
        <f t="shared" si="2"/>
        <v>CN</v>
      </c>
      <c r="L21" s="2">
        <f>ICB!J21</f>
        <v>0</v>
      </c>
      <c r="M21" s="2">
        <f>ICB!J21</f>
        <v>0</v>
      </c>
      <c r="N21" s="2" t="e">
        <f>VLOOKUP(M21,재고리스트!P:S,4,0)</f>
        <v>#N/A</v>
      </c>
      <c r="O21" s="2" t="e">
        <f>VLOOKUP(M21,재고리스트!P:S,4,0)</f>
        <v>#N/A</v>
      </c>
      <c r="P21" s="2" t="e">
        <f>VLOOKUP(M21,재고리스트!P:S,4,0)</f>
        <v>#N/A</v>
      </c>
      <c r="Q21" s="2">
        <f>ICB!L21</f>
        <v>0</v>
      </c>
      <c r="R21" s="2">
        <f>ICB!N21</f>
        <v>0</v>
      </c>
      <c r="S21" s="2" t="str">
        <f t="shared" si="3"/>
        <v>420311</v>
      </c>
      <c r="T21" s="2"/>
      <c r="U21" s="2">
        <f>ICB!L21</f>
        <v>0</v>
      </c>
      <c r="V21" s="2"/>
      <c r="W21" s="2" t="str">
        <f t="shared" si="4"/>
        <v>.</v>
      </c>
      <c r="X21" s="2" t="str">
        <f t="shared" si="5"/>
        <v>.</v>
      </c>
      <c r="Y21" s="2" t="str">
        <f t="shared" si="6"/>
        <v>.</v>
      </c>
      <c r="Z21" s="2" t="str">
        <f t="shared" si="7"/>
        <v>.</v>
      </c>
      <c r="AA21" s="2" t="str">
        <f t="shared" si="8"/>
        <v>.</v>
      </c>
      <c r="AB21" s="2" t="str">
        <f t="shared" si="9"/>
        <v>.</v>
      </c>
    </row>
    <row r="22" spans="1:28">
      <c r="A22" s="8">
        <f>ICB!C22</f>
        <v>0</v>
      </c>
      <c r="B22" s="8" t="str">
        <f>A22&amp;IF("-0"&amp;COUNTIF(A:A,A22)="-01",,"-0"&amp;COUNTIF(A$2:A22,A22))</f>
        <v>0-021</v>
      </c>
      <c r="C22" s="10">
        <f>ICB!A22</f>
        <v>0</v>
      </c>
      <c r="D22" s="8">
        <f>ICB!F22</f>
        <v>0</v>
      </c>
      <c r="E22" s="8">
        <f>ICB!H22</f>
        <v>0</v>
      </c>
      <c r="F22" s="2">
        <f>ICB!I22</f>
        <v>0</v>
      </c>
      <c r="G22" s="2" t="str">
        <f t="shared" si="0"/>
        <v>.</v>
      </c>
      <c r="H22" s="2" t="str">
        <f t="shared" si="1"/>
        <v>.</v>
      </c>
      <c r="I22" s="2">
        <f>ICB!G22</f>
        <v>0</v>
      </c>
      <c r="J22" s="2">
        <f>ICB!G22</f>
        <v>0</v>
      </c>
      <c r="K22" s="2" t="str">
        <f t="shared" si="2"/>
        <v>CN</v>
      </c>
      <c r="L22" s="2">
        <f>ICB!J22</f>
        <v>0</v>
      </c>
      <c r="M22" s="2">
        <f>ICB!J22</f>
        <v>0</v>
      </c>
      <c r="N22" s="2" t="e">
        <f>VLOOKUP(M22,재고리스트!P:S,4,0)</f>
        <v>#N/A</v>
      </c>
      <c r="O22" s="2" t="e">
        <f>VLOOKUP(M22,재고리스트!P:S,4,0)</f>
        <v>#N/A</v>
      </c>
      <c r="P22" s="2" t="e">
        <f>VLOOKUP(M22,재고리스트!P:S,4,0)</f>
        <v>#N/A</v>
      </c>
      <c r="Q22" s="2">
        <f>ICB!L22</f>
        <v>0</v>
      </c>
      <c r="R22" s="2">
        <f>ICB!N22</f>
        <v>0</v>
      </c>
      <c r="S22" s="2" t="str">
        <f t="shared" si="3"/>
        <v>420311</v>
      </c>
      <c r="T22" s="2"/>
      <c r="U22" s="2">
        <f>ICB!L22</f>
        <v>0</v>
      </c>
      <c r="V22" s="2"/>
      <c r="W22" s="2" t="str">
        <f t="shared" si="4"/>
        <v>.</v>
      </c>
      <c r="X22" s="2" t="str">
        <f t="shared" si="5"/>
        <v>.</v>
      </c>
      <c r="Y22" s="2" t="str">
        <f t="shared" si="6"/>
        <v>.</v>
      </c>
      <c r="Z22" s="2" t="str">
        <f t="shared" si="7"/>
        <v>.</v>
      </c>
      <c r="AA22" s="2" t="str">
        <f t="shared" si="8"/>
        <v>.</v>
      </c>
      <c r="AB22" s="2" t="str">
        <f t="shared" si="9"/>
        <v>.</v>
      </c>
    </row>
    <row r="23" spans="1:28">
      <c r="A23" s="8">
        <f>ICB!C23</f>
        <v>0</v>
      </c>
      <c r="B23" s="8" t="str">
        <f>A23&amp;IF("-0"&amp;COUNTIF(A:A,A23)="-01",,"-0"&amp;COUNTIF(A$2:A23,A23))</f>
        <v>0-022</v>
      </c>
      <c r="C23" s="10">
        <f>ICB!A23</f>
        <v>0</v>
      </c>
      <c r="D23" s="8">
        <f>ICB!F23</f>
        <v>0</v>
      </c>
      <c r="E23" s="8">
        <f>ICB!H23</f>
        <v>0</v>
      </c>
      <c r="F23" s="2">
        <f>ICB!I23</f>
        <v>0</v>
      </c>
      <c r="G23" s="2" t="str">
        <f t="shared" si="0"/>
        <v>.</v>
      </c>
      <c r="H23" s="2" t="str">
        <f t="shared" si="1"/>
        <v>.</v>
      </c>
      <c r="I23" s="2">
        <f>ICB!G23</f>
        <v>0</v>
      </c>
      <c r="J23" s="2">
        <f>ICB!G23</f>
        <v>0</v>
      </c>
      <c r="K23" s="2" t="str">
        <f t="shared" si="2"/>
        <v>CN</v>
      </c>
      <c r="L23" s="2">
        <f>ICB!J23</f>
        <v>0</v>
      </c>
      <c r="M23" s="2">
        <f>ICB!J23</f>
        <v>0</v>
      </c>
      <c r="N23" s="2" t="e">
        <f>VLOOKUP(M23,재고리스트!P:S,4,0)</f>
        <v>#N/A</v>
      </c>
      <c r="O23" s="2" t="e">
        <f>VLOOKUP(M23,재고리스트!P:S,4,0)</f>
        <v>#N/A</v>
      </c>
      <c r="P23" s="2" t="e">
        <f>VLOOKUP(M23,재고리스트!P:S,4,0)</f>
        <v>#N/A</v>
      </c>
      <c r="Q23" s="2">
        <f>ICB!L23</f>
        <v>0</v>
      </c>
      <c r="R23" s="2">
        <f>ICB!N23</f>
        <v>0</v>
      </c>
      <c r="S23" s="2" t="str">
        <f t="shared" si="3"/>
        <v>420311</v>
      </c>
      <c r="T23" s="2"/>
      <c r="U23" s="2">
        <f>ICB!L23</f>
        <v>0</v>
      </c>
      <c r="V23" s="2"/>
      <c r="W23" s="2" t="str">
        <f t="shared" si="4"/>
        <v>.</v>
      </c>
      <c r="X23" s="2" t="str">
        <f t="shared" si="5"/>
        <v>.</v>
      </c>
      <c r="Y23" s="2" t="str">
        <f t="shared" si="6"/>
        <v>.</v>
      </c>
      <c r="Z23" s="2" t="str">
        <f t="shared" si="7"/>
        <v>.</v>
      </c>
      <c r="AA23" s="2" t="str">
        <f t="shared" si="8"/>
        <v>.</v>
      </c>
      <c r="AB23" s="2" t="str">
        <f t="shared" si="9"/>
        <v>.</v>
      </c>
    </row>
    <row r="24" spans="1:28">
      <c r="A24" s="8">
        <f>ICB!C24</f>
        <v>0</v>
      </c>
      <c r="B24" s="8" t="str">
        <f>A24&amp;IF("-0"&amp;COUNTIF(A:A,A24)="-01",,"-0"&amp;COUNTIF(A$2:A24,A24))</f>
        <v>0-023</v>
      </c>
      <c r="C24" s="10">
        <f>ICB!A24</f>
        <v>0</v>
      </c>
      <c r="D24" s="8">
        <f>ICB!F24</f>
        <v>0</v>
      </c>
      <c r="E24" s="8">
        <f>ICB!H24</f>
        <v>0</v>
      </c>
      <c r="F24" s="2">
        <f>ICB!I24</f>
        <v>0</v>
      </c>
      <c r="G24" s="2" t="str">
        <f t="shared" si="0"/>
        <v>.</v>
      </c>
      <c r="H24" s="2" t="str">
        <f t="shared" si="1"/>
        <v>.</v>
      </c>
      <c r="I24" s="2">
        <f>ICB!G24</f>
        <v>0</v>
      </c>
      <c r="J24" s="2">
        <f>ICB!G24</f>
        <v>0</v>
      </c>
      <c r="K24" s="2" t="str">
        <f t="shared" si="2"/>
        <v>CN</v>
      </c>
      <c r="L24" s="2">
        <f>ICB!J24</f>
        <v>0</v>
      </c>
      <c r="M24" s="2">
        <f>ICB!J24</f>
        <v>0</v>
      </c>
      <c r="N24" s="2" t="e">
        <f>VLOOKUP(M24,재고리스트!P:S,4,0)</f>
        <v>#N/A</v>
      </c>
      <c r="O24" s="2" t="e">
        <f>VLOOKUP(M24,재고리스트!P:S,4,0)</f>
        <v>#N/A</v>
      </c>
      <c r="P24" s="2" t="e">
        <f>VLOOKUP(M24,재고리스트!P:S,4,0)</f>
        <v>#N/A</v>
      </c>
      <c r="Q24" s="2">
        <f>ICB!L24</f>
        <v>0</v>
      </c>
      <c r="R24" s="2">
        <f>ICB!N24</f>
        <v>0</v>
      </c>
      <c r="S24" s="2" t="str">
        <f t="shared" si="3"/>
        <v>420311</v>
      </c>
      <c r="T24" s="2"/>
      <c r="U24" s="2">
        <f>ICB!L24</f>
        <v>0</v>
      </c>
      <c r="V24" s="2"/>
      <c r="W24" s="2" t="str">
        <f t="shared" si="4"/>
        <v>.</v>
      </c>
      <c r="X24" s="2" t="str">
        <f t="shared" si="5"/>
        <v>.</v>
      </c>
      <c r="Y24" s="2" t="str">
        <f t="shared" si="6"/>
        <v>.</v>
      </c>
      <c r="Z24" s="2" t="str">
        <f t="shared" si="7"/>
        <v>.</v>
      </c>
      <c r="AA24" s="2" t="str">
        <f t="shared" si="8"/>
        <v>.</v>
      </c>
      <c r="AB24" s="2" t="str">
        <f t="shared" si="9"/>
        <v>.</v>
      </c>
    </row>
    <row r="25" spans="1:28">
      <c r="A25" s="8">
        <f>ICB!C25</f>
        <v>0</v>
      </c>
      <c r="B25" s="8" t="str">
        <f>A25&amp;IF("-0"&amp;COUNTIF(A:A,A25)="-01",,"-0"&amp;COUNTIF(A$2:A25,A25))</f>
        <v>0-024</v>
      </c>
      <c r="C25" s="10">
        <f>ICB!A25</f>
        <v>0</v>
      </c>
      <c r="D25" s="8">
        <f>ICB!F25</f>
        <v>0</v>
      </c>
      <c r="E25" s="8">
        <f>ICB!H25</f>
        <v>0</v>
      </c>
      <c r="F25" s="2">
        <f>ICB!I25</f>
        <v>0</v>
      </c>
      <c r="G25" s="2" t="str">
        <f t="shared" si="0"/>
        <v>.</v>
      </c>
      <c r="H25" s="2" t="str">
        <f t="shared" si="1"/>
        <v>.</v>
      </c>
      <c r="I25" s="2">
        <f>ICB!G25</f>
        <v>0</v>
      </c>
      <c r="J25" s="2">
        <f>ICB!G25</f>
        <v>0</v>
      </c>
      <c r="K25" s="2" t="str">
        <f t="shared" si="2"/>
        <v>CN</v>
      </c>
      <c r="L25" s="2">
        <f>ICB!J25</f>
        <v>0</v>
      </c>
      <c r="M25" s="2">
        <f>ICB!J25</f>
        <v>0</v>
      </c>
      <c r="N25" s="2" t="e">
        <f>VLOOKUP(M25,재고리스트!P:S,4,0)</f>
        <v>#N/A</v>
      </c>
      <c r="O25" s="2" t="e">
        <f>VLOOKUP(M25,재고리스트!P:S,4,0)</f>
        <v>#N/A</v>
      </c>
      <c r="P25" s="2" t="e">
        <f>VLOOKUP(M25,재고리스트!P:S,4,0)</f>
        <v>#N/A</v>
      </c>
      <c r="Q25" s="2">
        <f>ICB!L25</f>
        <v>0</v>
      </c>
      <c r="R25" s="2">
        <f>ICB!N25</f>
        <v>0</v>
      </c>
      <c r="S25" s="2" t="str">
        <f t="shared" si="3"/>
        <v>420311</v>
      </c>
      <c r="T25" s="2"/>
      <c r="U25" s="2">
        <f>ICB!L25</f>
        <v>0</v>
      </c>
      <c r="V25" s="2"/>
      <c r="W25" s="2" t="str">
        <f t="shared" si="4"/>
        <v>.</v>
      </c>
      <c r="X25" s="2" t="str">
        <f t="shared" si="5"/>
        <v>.</v>
      </c>
      <c r="Y25" s="2" t="str">
        <f t="shared" si="6"/>
        <v>.</v>
      </c>
      <c r="Z25" s="2" t="str">
        <f t="shared" si="7"/>
        <v>.</v>
      </c>
      <c r="AA25" s="2" t="str">
        <f t="shared" si="8"/>
        <v>.</v>
      </c>
      <c r="AB25" s="2" t="str">
        <f t="shared" si="9"/>
        <v>.</v>
      </c>
    </row>
    <row r="26" spans="1:28">
      <c r="A26" s="8">
        <f>ICB!C26</f>
        <v>0</v>
      </c>
      <c r="B26" s="8" t="str">
        <f>A26&amp;IF("-0"&amp;COUNTIF(A:A,A26)="-01",,"-0"&amp;COUNTIF(A$2:A26,A26))</f>
        <v>0-025</v>
      </c>
      <c r="C26" s="10">
        <f>ICB!A26</f>
        <v>0</v>
      </c>
      <c r="D26" s="8">
        <f>ICB!F26</f>
        <v>0</v>
      </c>
      <c r="E26" s="8">
        <f>ICB!H26</f>
        <v>0</v>
      </c>
      <c r="F26" s="2">
        <f>ICB!I26</f>
        <v>0</v>
      </c>
      <c r="G26" s="2" t="str">
        <f t="shared" si="0"/>
        <v>.</v>
      </c>
      <c r="H26" s="2" t="str">
        <f t="shared" si="1"/>
        <v>.</v>
      </c>
      <c r="I26" s="2">
        <f>ICB!G26</f>
        <v>0</v>
      </c>
      <c r="J26" s="2">
        <f>ICB!G26</f>
        <v>0</v>
      </c>
      <c r="K26" s="2" t="str">
        <f t="shared" si="2"/>
        <v>CN</v>
      </c>
      <c r="L26" s="2">
        <f>ICB!J26</f>
        <v>0</v>
      </c>
      <c r="M26" s="2">
        <f>ICB!J26</f>
        <v>0</v>
      </c>
      <c r="N26" s="2" t="e">
        <f>VLOOKUP(M26,재고리스트!P:S,4,0)</f>
        <v>#N/A</v>
      </c>
      <c r="O26" s="2" t="e">
        <f>VLOOKUP(M26,재고리스트!P:S,4,0)</f>
        <v>#N/A</v>
      </c>
      <c r="P26" s="2" t="e">
        <f>VLOOKUP(M26,재고리스트!P:S,4,0)</f>
        <v>#N/A</v>
      </c>
      <c r="Q26" s="2">
        <f>ICB!L26</f>
        <v>0</v>
      </c>
      <c r="R26" s="2">
        <f>ICB!N26</f>
        <v>0</v>
      </c>
      <c r="S26" s="2" t="str">
        <f t="shared" si="3"/>
        <v>420311</v>
      </c>
      <c r="T26" s="2"/>
      <c r="U26" s="2">
        <f>ICB!L26</f>
        <v>0</v>
      </c>
      <c r="V26" s="2"/>
      <c r="W26" s="2" t="str">
        <f t="shared" si="4"/>
        <v>.</v>
      </c>
      <c r="X26" s="2" t="str">
        <f t="shared" si="5"/>
        <v>.</v>
      </c>
      <c r="Y26" s="2" t="str">
        <f t="shared" si="6"/>
        <v>.</v>
      </c>
      <c r="Z26" s="2" t="str">
        <f t="shared" si="7"/>
        <v>.</v>
      </c>
      <c r="AA26" s="2" t="str">
        <f t="shared" si="8"/>
        <v>.</v>
      </c>
      <c r="AB26" s="2" t="str">
        <f t="shared" si="9"/>
        <v>.</v>
      </c>
    </row>
    <row r="27" spans="1:28">
      <c r="A27" s="8">
        <f>ICB!C27</f>
        <v>0</v>
      </c>
      <c r="B27" s="8" t="str">
        <f>A27&amp;IF("-0"&amp;COUNTIF(A:A,A27)="-01",,"-0"&amp;COUNTIF(A$2:A27,A27))</f>
        <v>0-026</v>
      </c>
      <c r="C27" s="10">
        <f>ICB!A27</f>
        <v>0</v>
      </c>
      <c r="D27" s="8">
        <f>ICB!F27</f>
        <v>0</v>
      </c>
      <c r="E27" s="8">
        <f>ICB!H27</f>
        <v>0</v>
      </c>
      <c r="F27" s="2">
        <f>ICB!I27</f>
        <v>0</v>
      </c>
      <c r="G27" s="2" t="str">
        <f t="shared" si="0"/>
        <v>.</v>
      </c>
      <c r="H27" s="2" t="str">
        <f t="shared" si="1"/>
        <v>.</v>
      </c>
      <c r="I27" s="2">
        <f>ICB!G27</f>
        <v>0</v>
      </c>
      <c r="J27" s="2">
        <f>ICB!G27</f>
        <v>0</v>
      </c>
      <c r="K27" s="2" t="str">
        <f t="shared" si="2"/>
        <v>CN</v>
      </c>
      <c r="L27" s="2">
        <f>ICB!J27</f>
        <v>0</v>
      </c>
      <c r="M27" s="2">
        <f>ICB!J27</f>
        <v>0</v>
      </c>
      <c r="N27" s="2" t="e">
        <f>VLOOKUP(M27,재고리스트!P:S,4,0)</f>
        <v>#N/A</v>
      </c>
      <c r="O27" s="2" t="e">
        <f>VLOOKUP(M27,재고리스트!P:S,4,0)</f>
        <v>#N/A</v>
      </c>
      <c r="P27" s="2" t="e">
        <f>VLOOKUP(M27,재고리스트!P:S,4,0)</f>
        <v>#N/A</v>
      </c>
      <c r="Q27" s="2">
        <f>ICB!L27</f>
        <v>0</v>
      </c>
      <c r="R27" s="2">
        <f>ICB!N27</f>
        <v>0</v>
      </c>
      <c r="S27" s="2" t="str">
        <f t="shared" si="3"/>
        <v>420311</v>
      </c>
      <c r="T27" s="2"/>
      <c r="U27" s="2">
        <f>ICB!L27</f>
        <v>0</v>
      </c>
      <c r="V27" s="2"/>
      <c r="W27" s="2" t="str">
        <f t="shared" si="4"/>
        <v>.</v>
      </c>
      <c r="X27" s="2" t="str">
        <f t="shared" si="5"/>
        <v>.</v>
      </c>
      <c r="Y27" s="2" t="str">
        <f t="shared" si="6"/>
        <v>.</v>
      </c>
      <c r="Z27" s="2" t="str">
        <f t="shared" si="7"/>
        <v>.</v>
      </c>
      <c r="AA27" s="2" t="str">
        <f t="shared" si="8"/>
        <v>.</v>
      </c>
      <c r="AB27" s="2" t="str">
        <f t="shared" si="9"/>
        <v>.</v>
      </c>
    </row>
    <row r="28" spans="1:28">
      <c r="A28" s="8">
        <f>ICB!C28</f>
        <v>0</v>
      </c>
      <c r="B28" s="8" t="str">
        <f>A28&amp;IF("-0"&amp;COUNTIF(A:A,A28)="-01",,"-0"&amp;COUNTIF(A$2:A28,A28))</f>
        <v>0-027</v>
      </c>
      <c r="C28" s="10">
        <f>ICB!A28</f>
        <v>0</v>
      </c>
      <c r="D28" s="8">
        <f>ICB!F28</f>
        <v>0</v>
      </c>
      <c r="E28" s="8">
        <f>ICB!H28</f>
        <v>0</v>
      </c>
      <c r="F28" s="2">
        <f>ICB!I28</f>
        <v>0</v>
      </c>
      <c r="G28" s="2" t="str">
        <f t="shared" si="0"/>
        <v>.</v>
      </c>
      <c r="H28" s="2" t="str">
        <f t="shared" si="1"/>
        <v>.</v>
      </c>
      <c r="I28" s="2">
        <f>ICB!G28</f>
        <v>0</v>
      </c>
      <c r="J28" s="2">
        <f>ICB!G28</f>
        <v>0</v>
      </c>
      <c r="K28" s="2" t="str">
        <f t="shared" si="2"/>
        <v>CN</v>
      </c>
      <c r="L28" s="2">
        <f>ICB!J28</f>
        <v>0</v>
      </c>
      <c r="M28" s="2">
        <f>ICB!J28</f>
        <v>0</v>
      </c>
      <c r="N28" s="2" t="e">
        <f>VLOOKUP(M28,재고리스트!P:S,4,0)</f>
        <v>#N/A</v>
      </c>
      <c r="O28" s="2" t="e">
        <f>VLOOKUP(M28,재고리스트!P:S,4,0)</f>
        <v>#N/A</v>
      </c>
      <c r="P28" s="2" t="e">
        <f>VLOOKUP(M28,재고리스트!P:S,4,0)</f>
        <v>#N/A</v>
      </c>
      <c r="Q28" s="2">
        <f>ICB!L28</f>
        <v>0</v>
      </c>
      <c r="R28" s="2">
        <f>ICB!N28</f>
        <v>0</v>
      </c>
      <c r="S28" s="2" t="str">
        <f t="shared" si="3"/>
        <v>420311</v>
      </c>
      <c r="T28" s="2"/>
      <c r="U28" s="2">
        <f>ICB!L28</f>
        <v>0</v>
      </c>
      <c r="V28" s="2"/>
      <c r="W28" s="2" t="str">
        <f t="shared" si="4"/>
        <v>.</v>
      </c>
      <c r="X28" s="2" t="str">
        <f t="shared" si="5"/>
        <v>.</v>
      </c>
      <c r="Y28" s="2" t="str">
        <f t="shared" si="6"/>
        <v>.</v>
      </c>
      <c r="Z28" s="2" t="str">
        <f t="shared" si="7"/>
        <v>.</v>
      </c>
      <c r="AA28" s="2" t="str">
        <f t="shared" si="8"/>
        <v>.</v>
      </c>
      <c r="AB28" s="2" t="str">
        <f t="shared" si="9"/>
        <v>.</v>
      </c>
    </row>
    <row r="29" spans="1:28">
      <c r="A29" s="8">
        <f>ICB!C29</f>
        <v>0</v>
      </c>
      <c r="B29" s="8" t="str">
        <f>A29&amp;IF("-0"&amp;COUNTIF(A:A,A29)="-01",,"-0"&amp;COUNTIF(A$2:A29,A29))</f>
        <v>0-028</v>
      </c>
      <c r="C29" s="10">
        <f>ICB!A29</f>
        <v>0</v>
      </c>
      <c r="D29" s="8">
        <f>ICB!F29</f>
        <v>0</v>
      </c>
      <c r="E29" s="8">
        <f>ICB!H29</f>
        <v>0</v>
      </c>
      <c r="F29" s="2">
        <f>ICB!I29</f>
        <v>0</v>
      </c>
      <c r="G29" s="2" t="str">
        <f t="shared" si="0"/>
        <v>.</v>
      </c>
      <c r="H29" s="2" t="str">
        <f t="shared" si="1"/>
        <v>.</v>
      </c>
      <c r="I29" s="2">
        <f>ICB!G29</f>
        <v>0</v>
      </c>
      <c r="J29" s="2">
        <f>ICB!G29</f>
        <v>0</v>
      </c>
      <c r="K29" s="2" t="str">
        <f t="shared" si="2"/>
        <v>CN</v>
      </c>
      <c r="L29" s="2">
        <f>ICB!J29</f>
        <v>0</v>
      </c>
      <c r="M29" s="2">
        <f>ICB!J29</f>
        <v>0</v>
      </c>
      <c r="N29" s="2" t="e">
        <f>VLOOKUP(M29,재고리스트!P:S,4,0)</f>
        <v>#N/A</v>
      </c>
      <c r="O29" s="2" t="e">
        <f>VLOOKUP(M29,재고리스트!P:S,4,0)</f>
        <v>#N/A</v>
      </c>
      <c r="P29" s="2" t="e">
        <f>VLOOKUP(M29,재고리스트!P:S,4,0)</f>
        <v>#N/A</v>
      </c>
      <c r="Q29" s="2">
        <f>ICB!L29</f>
        <v>0</v>
      </c>
      <c r="R29" s="2">
        <f>ICB!N29</f>
        <v>0</v>
      </c>
      <c r="S29" s="2" t="str">
        <f t="shared" si="3"/>
        <v>420311</v>
      </c>
      <c r="T29" s="2"/>
      <c r="U29" s="2">
        <f>ICB!L29</f>
        <v>0</v>
      </c>
      <c r="V29" s="2"/>
      <c r="W29" s="2" t="str">
        <f t="shared" si="4"/>
        <v>.</v>
      </c>
      <c r="X29" s="2" t="str">
        <f t="shared" si="5"/>
        <v>.</v>
      </c>
      <c r="Y29" s="2" t="str">
        <f t="shared" si="6"/>
        <v>.</v>
      </c>
      <c r="Z29" s="2" t="str">
        <f t="shared" si="7"/>
        <v>.</v>
      </c>
      <c r="AA29" s="2" t="str">
        <f t="shared" si="8"/>
        <v>.</v>
      </c>
      <c r="AB29" s="2" t="str">
        <f t="shared" si="9"/>
        <v>.</v>
      </c>
    </row>
    <row r="30" spans="1:28">
      <c r="A30" s="8">
        <f>ICB!C30</f>
        <v>0</v>
      </c>
      <c r="B30" s="8" t="str">
        <f>A30&amp;IF("-0"&amp;COUNTIF(A:A,A30)="-01",,"-0"&amp;COUNTIF(A$2:A30,A30))</f>
        <v>0-029</v>
      </c>
      <c r="C30" s="10">
        <f>ICB!A30</f>
        <v>0</v>
      </c>
      <c r="D30" s="8">
        <f>ICB!F30</f>
        <v>0</v>
      </c>
      <c r="E30" s="8">
        <f>ICB!H30</f>
        <v>0</v>
      </c>
      <c r="F30" s="2">
        <f>ICB!I30</f>
        <v>0</v>
      </c>
      <c r="G30" s="2" t="str">
        <f t="shared" si="0"/>
        <v>.</v>
      </c>
      <c r="H30" s="2" t="str">
        <f t="shared" si="1"/>
        <v>.</v>
      </c>
      <c r="I30" s="2">
        <f>ICB!G30</f>
        <v>0</v>
      </c>
      <c r="J30" s="2">
        <f>ICB!G30</f>
        <v>0</v>
      </c>
      <c r="K30" s="2" t="str">
        <f t="shared" si="2"/>
        <v>CN</v>
      </c>
      <c r="L30" s="2">
        <f>ICB!J30</f>
        <v>0</v>
      </c>
      <c r="M30" s="2">
        <f>ICB!J30</f>
        <v>0</v>
      </c>
      <c r="N30" s="2" t="e">
        <f>VLOOKUP(M30,재고리스트!P:S,4,0)</f>
        <v>#N/A</v>
      </c>
      <c r="O30" s="2" t="e">
        <f>VLOOKUP(M30,재고리스트!P:S,4,0)</f>
        <v>#N/A</v>
      </c>
      <c r="P30" s="2" t="e">
        <f>VLOOKUP(M30,재고리스트!P:S,4,0)</f>
        <v>#N/A</v>
      </c>
      <c r="Q30" s="2">
        <f>ICB!L30</f>
        <v>0</v>
      </c>
      <c r="R30" s="2">
        <f>ICB!N30</f>
        <v>0</v>
      </c>
      <c r="S30" s="2" t="str">
        <f t="shared" si="3"/>
        <v>420311</v>
      </c>
      <c r="T30" s="2"/>
      <c r="U30" s="2">
        <f>ICB!L30</f>
        <v>0</v>
      </c>
      <c r="V30" s="2"/>
      <c r="W30" s="2" t="str">
        <f t="shared" si="4"/>
        <v>.</v>
      </c>
      <c r="X30" s="2" t="str">
        <f t="shared" si="5"/>
        <v>.</v>
      </c>
      <c r="Y30" s="2" t="str">
        <f t="shared" si="6"/>
        <v>.</v>
      </c>
      <c r="Z30" s="2" t="str">
        <f t="shared" si="7"/>
        <v>.</v>
      </c>
      <c r="AA30" s="2" t="str">
        <f t="shared" si="8"/>
        <v>.</v>
      </c>
      <c r="AB30" s="2" t="str">
        <f t="shared" si="9"/>
        <v>.</v>
      </c>
    </row>
  </sheetData>
  <phoneticPr fontId="2" type="noConversion"/>
  <conditionalFormatting sqref="A1:A1048576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42" sqref="A42"/>
    </sheetView>
  </sheetViews>
  <sheetFormatPr defaultRowHeight="16.5"/>
  <cols>
    <col min="1" max="1" width="18.375" style="2" bestFit="1" customWidth="1"/>
    <col min="2" max="2" width="22.25" bestFit="1" customWidth="1"/>
    <col min="3" max="3" width="26.625" bestFit="1" customWidth="1"/>
    <col min="4" max="4" width="17.125" customWidth="1"/>
    <col min="5" max="5" width="21.375" bestFit="1" customWidth="1"/>
    <col min="6" max="6" width="56.125" bestFit="1" customWidth="1"/>
    <col min="7" max="7" width="20" bestFit="1" customWidth="1"/>
  </cols>
  <sheetData>
    <row r="1" spans="1:7">
      <c r="A1" s="2" t="s">
        <v>34</v>
      </c>
      <c r="B1" s="4" t="s">
        <v>28</v>
      </c>
      <c r="C1" s="4" t="s">
        <v>26</v>
      </c>
      <c r="D1" s="4" t="s">
        <v>24</v>
      </c>
      <c r="E1" s="4" t="s">
        <v>25</v>
      </c>
      <c r="F1" s="4" t="s">
        <v>30</v>
      </c>
      <c r="G1" s="1" t="s">
        <v>31</v>
      </c>
    </row>
    <row r="2" spans="1:7">
      <c r="A2" s="2">
        <f>ICB!P2</f>
        <v>0</v>
      </c>
      <c r="B2">
        <f>ICB!C2</f>
        <v>0</v>
      </c>
      <c r="C2" t="str">
        <f>B2&amp;IF("-0"&amp;COUNTIF(B:B,B2)="-01",,"-0"&amp;COUNTIF(B$2:B2,B2))</f>
        <v>0-01</v>
      </c>
      <c r="D2" t="e">
        <f>VLOOKUP('3rd_재고할당된 주문'!F:F,재고리스트!S:AC,11,0)</f>
        <v>#N/A</v>
      </c>
      <c r="E2" t="e">
        <f>INDEX(재고리스트!G:G,MATCH(F2,재고리스트!S:S,0))</f>
        <v>#N/A</v>
      </c>
      <c r="F2" t="e">
        <f>'카페24 주문'!N2</f>
        <v>#N/A</v>
      </c>
    </row>
    <row r="3" spans="1:7">
      <c r="A3" s="2">
        <f>ICB!P3</f>
        <v>0</v>
      </c>
      <c r="B3" s="2">
        <f>ICB!C3</f>
        <v>0</v>
      </c>
      <c r="C3" s="2" t="str">
        <f>B3&amp;IF("-0"&amp;COUNTIF(B:B,B3)="-01",,"-0"&amp;COUNTIF(B$2:B3,B3))</f>
        <v>0-02</v>
      </c>
      <c r="D3" s="2" t="e">
        <f>VLOOKUP('3rd_재고할당된 주문'!F:F,재고리스트!S:AC,11,0)</f>
        <v>#N/A</v>
      </c>
      <c r="E3" s="2" t="e">
        <f>INDEX(재고리스트!G:G,MATCH(F3,재고리스트!S:S,0))</f>
        <v>#N/A</v>
      </c>
      <c r="F3" s="2" t="e">
        <f>'카페24 주문'!N3</f>
        <v>#N/A</v>
      </c>
    </row>
    <row r="4" spans="1:7">
      <c r="A4" s="2">
        <f>ICB!P4</f>
        <v>0</v>
      </c>
      <c r="B4" s="2">
        <f>ICB!C4</f>
        <v>0</v>
      </c>
      <c r="C4" s="2" t="str">
        <f>B4&amp;IF("-0"&amp;COUNTIF(B:B,B4)="-01",,"-0"&amp;COUNTIF(B$2:B4,B4))</f>
        <v>0-03</v>
      </c>
      <c r="D4" s="2" t="e">
        <f>VLOOKUP('3rd_재고할당된 주문'!F:F,재고리스트!S:AC,11,0)</f>
        <v>#N/A</v>
      </c>
      <c r="E4" s="2" t="e">
        <f>INDEX(재고리스트!G:G,MATCH(F4,재고리스트!S:S,0))</f>
        <v>#N/A</v>
      </c>
      <c r="F4" s="2" t="e">
        <f>'카페24 주문'!N4</f>
        <v>#N/A</v>
      </c>
    </row>
    <row r="5" spans="1:7">
      <c r="A5" s="2">
        <f>ICB!P5</f>
        <v>0</v>
      </c>
      <c r="B5" s="2">
        <f>ICB!C5</f>
        <v>0</v>
      </c>
      <c r="C5" s="2" t="str">
        <f>B5&amp;IF("-0"&amp;COUNTIF(B:B,B5)="-01",,"-0"&amp;COUNTIF(B$2:B5,B5))</f>
        <v>0-04</v>
      </c>
      <c r="D5" s="2" t="e">
        <f>VLOOKUP('3rd_재고할당된 주문'!F:F,재고리스트!S:AC,11,0)</f>
        <v>#N/A</v>
      </c>
      <c r="E5" s="2" t="e">
        <f>INDEX(재고리스트!G:G,MATCH(F5,재고리스트!S:S,0))</f>
        <v>#N/A</v>
      </c>
      <c r="F5" s="2" t="e">
        <f>'카페24 주문'!N5</f>
        <v>#N/A</v>
      </c>
    </row>
    <row r="6" spans="1:7">
      <c r="A6" s="2">
        <f>ICB!P6</f>
        <v>0</v>
      </c>
      <c r="B6" s="2">
        <f>ICB!C6</f>
        <v>0</v>
      </c>
      <c r="C6" s="2" t="str">
        <f>B6&amp;IF("-0"&amp;COUNTIF(B:B,B6)="-01",,"-0"&amp;COUNTIF(B$2:B6,B6))</f>
        <v>0-05</v>
      </c>
      <c r="D6" s="2" t="e">
        <f>VLOOKUP('3rd_재고할당된 주문'!F:F,재고리스트!S:AC,11,0)</f>
        <v>#N/A</v>
      </c>
      <c r="E6" s="2" t="e">
        <f>INDEX(재고리스트!G:G,MATCH(F6,재고리스트!S:S,0))</f>
        <v>#N/A</v>
      </c>
      <c r="F6" s="2" t="e">
        <f>'카페24 주문'!N6</f>
        <v>#N/A</v>
      </c>
    </row>
    <row r="7" spans="1:7">
      <c r="A7" s="2">
        <f>ICB!P7</f>
        <v>0</v>
      </c>
      <c r="B7" s="2">
        <f>ICB!C7</f>
        <v>0</v>
      </c>
      <c r="C7" s="2" t="str">
        <f>B7&amp;IF("-0"&amp;COUNTIF(B:B,B7)="-01",,"-0"&amp;COUNTIF(B$2:B7,B7))</f>
        <v>0-06</v>
      </c>
      <c r="D7" s="2" t="e">
        <f>VLOOKUP('3rd_재고할당된 주문'!F:F,재고리스트!S:AC,11,0)</f>
        <v>#N/A</v>
      </c>
      <c r="E7" s="2" t="e">
        <f>INDEX(재고리스트!G:G,MATCH(F7,재고리스트!S:S,0))</f>
        <v>#N/A</v>
      </c>
      <c r="F7" s="2" t="e">
        <f>'카페24 주문'!N7</f>
        <v>#N/A</v>
      </c>
    </row>
    <row r="8" spans="1:7">
      <c r="A8" s="2">
        <f>ICB!P8</f>
        <v>0</v>
      </c>
      <c r="B8" s="2">
        <f>ICB!C8</f>
        <v>0</v>
      </c>
      <c r="C8" s="2" t="str">
        <f>B8&amp;IF("-0"&amp;COUNTIF(B:B,B8)="-01",,"-0"&amp;COUNTIF(B$2:B8,B8))</f>
        <v>0-07</v>
      </c>
      <c r="D8" s="2" t="e">
        <f>VLOOKUP('3rd_재고할당된 주문'!F:F,재고리스트!S:AC,11,0)</f>
        <v>#N/A</v>
      </c>
      <c r="E8" s="2" t="e">
        <f>INDEX(재고리스트!G:G,MATCH(F8,재고리스트!S:S,0))</f>
        <v>#N/A</v>
      </c>
      <c r="F8" s="2" t="e">
        <f>'카페24 주문'!N8</f>
        <v>#N/A</v>
      </c>
    </row>
    <row r="9" spans="1:7">
      <c r="A9" s="2">
        <f>ICB!P9</f>
        <v>0</v>
      </c>
      <c r="B9" s="2">
        <f>ICB!C9</f>
        <v>0</v>
      </c>
      <c r="C9" s="2" t="str">
        <f>B9&amp;IF("-0"&amp;COUNTIF(B:B,B9)="-01",,"-0"&amp;COUNTIF(B$2:B9,B9))</f>
        <v>0-08</v>
      </c>
      <c r="D9" s="2" t="e">
        <f>VLOOKUP('3rd_재고할당된 주문'!F:F,재고리스트!S:AC,11,0)</f>
        <v>#N/A</v>
      </c>
      <c r="E9" s="2" t="e">
        <f>INDEX(재고리스트!G:G,MATCH(F9,재고리스트!S:S,0))</f>
        <v>#N/A</v>
      </c>
      <c r="F9" s="2" t="e">
        <f>'카페24 주문'!N9</f>
        <v>#N/A</v>
      </c>
    </row>
    <row r="10" spans="1:7">
      <c r="A10" s="2">
        <f>ICB!P10</f>
        <v>0</v>
      </c>
      <c r="B10" s="2">
        <f>ICB!C10</f>
        <v>0</v>
      </c>
      <c r="C10" s="2" t="str">
        <f>B10&amp;IF("-0"&amp;COUNTIF(B:B,B10)="-01",,"-0"&amp;COUNTIF(B$2:B10,B10))</f>
        <v>0-09</v>
      </c>
      <c r="D10" s="2" t="e">
        <f>VLOOKUP('3rd_재고할당된 주문'!F:F,재고리스트!S:AC,11,0)</f>
        <v>#N/A</v>
      </c>
      <c r="E10" s="2" t="e">
        <f>INDEX(재고리스트!G:G,MATCH(F10,재고리스트!S:S,0))</f>
        <v>#N/A</v>
      </c>
      <c r="F10" s="2" t="e">
        <f>'카페24 주문'!N10</f>
        <v>#N/A</v>
      </c>
    </row>
    <row r="11" spans="1:7">
      <c r="A11" s="2">
        <f>ICB!P11</f>
        <v>0</v>
      </c>
      <c r="B11" s="2">
        <f>ICB!C11</f>
        <v>0</v>
      </c>
      <c r="C11" s="2" t="str">
        <f>B11&amp;IF("-0"&amp;COUNTIF(B:B,B11)="-01",,"-0"&amp;COUNTIF(B$2:B11,B11))</f>
        <v>0-010</v>
      </c>
      <c r="D11" s="2" t="e">
        <f>VLOOKUP('3rd_재고할당된 주문'!F:F,재고리스트!S:AC,11,0)</f>
        <v>#N/A</v>
      </c>
      <c r="E11" s="2" t="e">
        <f>INDEX(재고리스트!G:G,MATCH(F11,재고리스트!S:S,0))</f>
        <v>#N/A</v>
      </c>
      <c r="F11" s="2" t="e">
        <f>'카페24 주문'!N11</f>
        <v>#N/A</v>
      </c>
    </row>
    <row r="12" spans="1:7">
      <c r="A12" s="2">
        <f>ICB!P12</f>
        <v>0</v>
      </c>
      <c r="B12" s="2">
        <f>ICB!C12</f>
        <v>0</v>
      </c>
      <c r="C12" s="2" t="str">
        <f>B12&amp;IF("-0"&amp;COUNTIF(B:B,B12)="-01",,"-0"&amp;COUNTIF(B$2:B12,B12))</f>
        <v>0-011</v>
      </c>
      <c r="D12" s="2" t="e">
        <f>VLOOKUP('3rd_재고할당된 주문'!F:F,재고리스트!S:AC,11,0)</f>
        <v>#N/A</v>
      </c>
      <c r="E12" s="2" t="e">
        <f>INDEX(재고리스트!G:G,MATCH(F12,재고리스트!S:S,0))</f>
        <v>#N/A</v>
      </c>
      <c r="F12" s="2" t="e">
        <f>'카페24 주문'!N12</f>
        <v>#N/A</v>
      </c>
    </row>
    <row r="13" spans="1:7">
      <c r="A13" s="2">
        <f>ICB!P13</f>
        <v>0</v>
      </c>
      <c r="B13" s="2">
        <f>ICB!C13</f>
        <v>0</v>
      </c>
      <c r="C13" s="2" t="str">
        <f>B13&amp;IF("-0"&amp;COUNTIF(B:B,B13)="-01",,"-0"&amp;COUNTIF(B$2:B13,B13))</f>
        <v>0-012</v>
      </c>
      <c r="D13" s="2" t="e">
        <f>VLOOKUP('3rd_재고할당된 주문'!F:F,재고리스트!S:AC,11,0)</f>
        <v>#N/A</v>
      </c>
      <c r="E13" s="2" t="e">
        <f>INDEX(재고리스트!G:G,MATCH(F13,재고리스트!S:S,0))</f>
        <v>#N/A</v>
      </c>
      <c r="F13" s="2" t="e">
        <f>'카페24 주문'!N13</f>
        <v>#N/A</v>
      </c>
    </row>
    <row r="14" spans="1:7">
      <c r="A14" s="2">
        <f>ICB!P14</f>
        <v>0</v>
      </c>
      <c r="B14" s="2">
        <f>ICB!C14</f>
        <v>0</v>
      </c>
      <c r="C14" s="2" t="str">
        <f>B14&amp;IF("-0"&amp;COUNTIF(B:B,B14)="-01",,"-0"&amp;COUNTIF(B$2:B14,B14))</f>
        <v>0-013</v>
      </c>
      <c r="D14" s="2" t="e">
        <f>VLOOKUP('3rd_재고할당된 주문'!F:F,재고리스트!S:AC,11,0)</f>
        <v>#N/A</v>
      </c>
      <c r="E14" s="2" t="e">
        <f>INDEX(재고리스트!G:G,MATCH(F14,재고리스트!S:S,0))</f>
        <v>#N/A</v>
      </c>
      <c r="F14" s="2" t="e">
        <f>'카페24 주문'!N14</f>
        <v>#N/A</v>
      </c>
    </row>
    <row r="15" spans="1:7">
      <c r="A15" s="2">
        <f>ICB!P15</f>
        <v>0</v>
      </c>
      <c r="B15" s="2">
        <f>ICB!C15</f>
        <v>0</v>
      </c>
      <c r="C15" s="2" t="str">
        <f>B15&amp;IF("-0"&amp;COUNTIF(B:B,B15)="-01",,"-0"&amp;COUNTIF(B$2:B15,B15))</f>
        <v>0-014</v>
      </c>
      <c r="D15" s="2" t="e">
        <f>VLOOKUP('3rd_재고할당된 주문'!F:F,재고리스트!S:AC,11,0)</f>
        <v>#N/A</v>
      </c>
      <c r="E15" s="2" t="e">
        <f>INDEX(재고리스트!G:G,MATCH(F15,재고리스트!S:S,0))</f>
        <v>#N/A</v>
      </c>
      <c r="F15" s="2" t="e">
        <f>'카페24 주문'!N15</f>
        <v>#N/A</v>
      </c>
    </row>
    <row r="16" spans="1:7">
      <c r="A16" s="2">
        <f>ICB!P16</f>
        <v>0</v>
      </c>
      <c r="B16" s="2">
        <f>ICB!C16</f>
        <v>0</v>
      </c>
      <c r="C16" s="2" t="str">
        <f>B16&amp;IF("-0"&amp;COUNTIF(B:B,B16)="-01",,"-0"&amp;COUNTIF(B$2:B16,B16))</f>
        <v>0-015</v>
      </c>
      <c r="D16" s="2" t="e">
        <f>VLOOKUP('3rd_재고할당된 주문'!F:F,재고리스트!S:AC,11,0)</f>
        <v>#N/A</v>
      </c>
      <c r="E16" s="2" t="e">
        <f>INDEX(재고리스트!G:G,MATCH(F16,재고리스트!S:S,0))</f>
        <v>#N/A</v>
      </c>
      <c r="F16" s="2" t="e">
        <f>'카페24 주문'!N16</f>
        <v>#N/A</v>
      </c>
    </row>
    <row r="17" spans="1:6">
      <c r="A17" s="2">
        <f>ICB!P17</f>
        <v>0</v>
      </c>
      <c r="B17" s="2">
        <f>ICB!C17</f>
        <v>0</v>
      </c>
      <c r="C17" s="2" t="str">
        <f>B17&amp;IF("-0"&amp;COUNTIF(B:B,B17)="-01",,"-0"&amp;COUNTIF(B$2:B17,B17))</f>
        <v>0-016</v>
      </c>
      <c r="D17" s="2" t="e">
        <f>VLOOKUP('3rd_재고할당된 주문'!F:F,재고리스트!S:AC,11,0)</f>
        <v>#N/A</v>
      </c>
      <c r="E17" s="2" t="e">
        <f>INDEX(재고리스트!G:G,MATCH(F17,재고리스트!S:S,0))</f>
        <v>#N/A</v>
      </c>
      <c r="F17" s="2" t="e">
        <f>'카페24 주문'!N17</f>
        <v>#N/A</v>
      </c>
    </row>
    <row r="18" spans="1:6">
      <c r="A18" s="2">
        <f>ICB!P18</f>
        <v>0</v>
      </c>
      <c r="B18" s="2">
        <f>ICB!C18</f>
        <v>0</v>
      </c>
      <c r="C18" s="2" t="str">
        <f>B18&amp;IF("-0"&amp;COUNTIF(B:B,B18)="-01",,"-0"&amp;COUNTIF(B$2:B18,B18))</f>
        <v>0-017</v>
      </c>
      <c r="D18" s="2" t="e">
        <f>VLOOKUP('3rd_재고할당된 주문'!F:F,재고리스트!S:AC,11,0)</f>
        <v>#N/A</v>
      </c>
      <c r="E18" s="2" t="e">
        <f>INDEX(재고리스트!G:G,MATCH(F18,재고리스트!S:S,0))</f>
        <v>#N/A</v>
      </c>
      <c r="F18" s="2" t="e">
        <f>'카페24 주문'!N18</f>
        <v>#N/A</v>
      </c>
    </row>
    <row r="19" spans="1:6">
      <c r="A19" s="2">
        <f>ICB!P19</f>
        <v>0</v>
      </c>
      <c r="B19" s="2">
        <f>ICB!C19</f>
        <v>0</v>
      </c>
      <c r="C19" s="2" t="str">
        <f>B19&amp;IF("-0"&amp;COUNTIF(B:B,B19)="-01",,"-0"&amp;COUNTIF(B$2:B19,B19))</f>
        <v>0-018</v>
      </c>
      <c r="D19" s="2" t="e">
        <f>VLOOKUP('3rd_재고할당된 주문'!F:F,재고리스트!S:AC,11,0)</f>
        <v>#N/A</v>
      </c>
      <c r="E19" s="2" t="e">
        <f>INDEX(재고리스트!G:G,MATCH(F19,재고리스트!S:S,0))</f>
        <v>#N/A</v>
      </c>
      <c r="F19" s="2" t="e">
        <f>'카페24 주문'!N19</f>
        <v>#N/A</v>
      </c>
    </row>
    <row r="20" spans="1:6">
      <c r="A20" s="2">
        <f>ICB!P20</f>
        <v>0</v>
      </c>
      <c r="B20" s="2">
        <f>ICB!C20</f>
        <v>0</v>
      </c>
      <c r="C20" s="2" t="str">
        <f>B20&amp;IF("-0"&amp;COUNTIF(B:B,B20)="-01",,"-0"&amp;COUNTIF(B$2:B20,B20))</f>
        <v>0-019</v>
      </c>
      <c r="D20" s="2" t="e">
        <f>VLOOKUP('3rd_재고할당된 주문'!F:F,재고리스트!S:AC,11,0)</f>
        <v>#N/A</v>
      </c>
      <c r="E20" s="2" t="e">
        <f>INDEX(재고리스트!G:G,MATCH(F20,재고리스트!S:S,0))</f>
        <v>#N/A</v>
      </c>
      <c r="F20" s="2" t="e">
        <f>'카페24 주문'!N20</f>
        <v>#N/A</v>
      </c>
    </row>
    <row r="21" spans="1:6">
      <c r="A21" s="2">
        <f>ICB!P21</f>
        <v>0</v>
      </c>
      <c r="B21" s="2">
        <f>ICB!C21</f>
        <v>0</v>
      </c>
      <c r="C21" s="2" t="str">
        <f>B21&amp;IF("-0"&amp;COUNTIF(B:B,B21)="-01",,"-0"&amp;COUNTIF(B$2:B21,B21))</f>
        <v>0-020</v>
      </c>
      <c r="D21" s="2" t="e">
        <f>VLOOKUP('3rd_재고할당된 주문'!F:F,재고리스트!S:AC,11,0)</f>
        <v>#N/A</v>
      </c>
      <c r="E21" s="2" t="e">
        <f>INDEX(재고리스트!G:G,MATCH(F21,재고리스트!S:S,0))</f>
        <v>#N/A</v>
      </c>
      <c r="F21" s="2" t="e">
        <f>'카페24 주문'!N21</f>
        <v>#N/A</v>
      </c>
    </row>
    <row r="22" spans="1:6">
      <c r="A22" s="2">
        <f>ICB!P22</f>
        <v>0</v>
      </c>
      <c r="B22" s="2">
        <f>ICB!C22</f>
        <v>0</v>
      </c>
      <c r="C22" s="2" t="str">
        <f>B22&amp;IF("-0"&amp;COUNTIF(B:B,B22)="-01",,"-0"&amp;COUNTIF(B$2:B22,B22))</f>
        <v>0-021</v>
      </c>
      <c r="D22" s="2" t="e">
        <f>VLOOKUP('3rd_재고할당된 주문'!F:F,재고리스트!S:AC,11,0)</f>
        <v>#N/A</v>
      </c>
      <c r="E22" s="2" t="e">
        <f>INDEX(재고리스트!G:G,MATCH(F22,재고리스트!S:S,0))</f>
        <v>#N/A</v>
      </c>
      <c r="F22" s="2" t="e">
        <f>'카페24 주문'!N22</f>
        <v>#N/A</v>
      </c>
    </row>
    <row r="23" spans="1:6">
      <c r="A23" s="2">
        <f>ICB!P23</f>
        <v>0</v>
      </c>
      <c r="B23" s="2">
        <f>ICB!C23</f>
        <v>0</v>
      </c>
      <c r="C23" s="2" t="str">
        <f>B23&amp;IF("-0"&amp;COUNTIF(B:B,B23)="-01",,"-0"&amp;COUNTIF(B$2:B23,B23))</f>
        <v>0-022</v>
      </c>
      <c r="D23" s="2" t="e">
        <f>VLOOKUP('3rd_재고할당된 주문'!F:F,재고리스트!S:AC,11,0)</f>
        <v>#N/A</v>
      </c>
      <c r="E23" s="2" t="e">
        <f>INDEX(재고리스트!G:G,MATCH(F23,재고리스트!S:S,0))</f>
        <v>#N/A</v>
      </c>
      <c r="F23" s="2" t="e">
        <f>'카페24 주문'!N23</f>
        <v>#N/A</v>
      </c>
    </row>
    <row r="24" spans="1:6">
      <c r="A24" s="2">
        <f>ICB!P24</f>
        <v>0</v>
      </c>
      <c r="B24" s="2">
        <f>ICB!C24</f>
        <v>0</v>
      </c>
      <c r="C24" s="2" t="str">
        <f>B24&amp;IF("-0"&amp;COUNTIF(B:B,B24)="-01",,"-0"&amp;COUNTIF(B$2:B24,B24))</f>
        <v>0-023</v>
      </c>
      <c r="D24" s="2" t="e">
        <f>VLOOKUP('3rd_재고할당된 주문'!F:F,재고리스트!S:AC,11,0)</f>
        <v>#N/A</v>
      </c>
      <c r="E24" s="2" t="e">
        <f>INDEX(재고리스트!G:G,MATCH(F24,재고리스트!S:S,0))</f>
        <v>#N/A</v>
      </c>
      <c r="F24" s="2" t="e">
        <f>'카페24 주문'!N24</f>
        <v>#N/A</v>
      </c>
    </row>
    <row r="25" spans="1:6">
      <c r="A25" s="2">
        <f>ICB!P25</f>
        <v>0</v>
      </c>
      <c r="B25" s="2">
        <f>ICB!C25</f>
        <v>0</v>
      </c>
      <c r="C25" s="2" t="str">
        <f>B25&amp;IF("-0"&amp;COUNTIF(B:B,B25)="-01",,"-0"&amp;COUNTIF(B$2:B25,B25))</f>
        <v>0-024</v>
      </c>
      <c r="D25" s="2" t="e">
        <f>VLOOKUP('3rd_재고할당된 주문'!F:F,재고리스트!S:AC,11,0)</f>
        <v>#N/A</v>
      </c>
      <c r="E25" s="2" t="e">
        <f>INDEX(재고리스트!G:G,MATCH(F25,재고리스트!S:S,0))</f>
        <v>#N/A</v>
      </c>
      <c r="F25" s="2" t="e">
        <f>'카페24 주문'!N25</f>
        <v>#N/A</v>
      </c>
    </row>
    <row r="26" spans="1:6">
      <c r="A26" s="2">
        <f>ICB!P26</f>
        <v>0</v>
      </c>
      <c r="B26" s="2">
        <f>ICB!C26</f>
        <v>0</v>
      </c>
      <c r="C26" s="2" t="str">
        <f>B26&amp;IF("-0"&amp;COUNTIF(B:B,B26)="-01",,"-0"&amp;COUNTIF(B$2:B26,B26))</f>
        <v>0-025</v>
      </c>
      <c r="D26" s="2" t="e">
        <f>VLOOKUP('3rd_재고할당된 주문'!F:F,재고리스트!S:AC,11,0)</f>
        <v>#N/A</v>
      </c>
      <c r="E26" s="2" t="e">
        <f>INDEX(재고리스트!G:G,MATCH(F26,재고리스트!S:S,0))</f>
        <v>#N/A</v>
      </c>
      <c r="F26" s="2" t="e">
        <f>'카페24 주문'!N26</f>
        <v>#N/A</v>
      </c>
    </row>
    <row r="27" spans="1:6">
      <c r="A27" s="2">
        <f>ICB!P27</f>
        <v>0</v>
      </c>
      <c r="B27" s="2">
        <f>ICB!C27</f>
        <v>0</v>
      </c>
      <c r="C27" s="2" t="str">
        <f>B27&amp;IF("-0"&amp;COUNTIF(B:B,B27)="-01",,"-0"&amp;COUNTIF(B$2:B27,B27))</f>
        <v>0-026</v>
      </c>
      <c r="D27" s="2" t="e">
        <f>VLOOKUP('3rd_재고할당된 주문'!F:F,재고리스트!S:AC,11,0)</f>
        <v>#N/A</v>
      </c>
      <c r="E27" s="2" t="e">
        <f>INDEX(재고리스트!G:G,MATCH(F27,재고리스트!S:S,0))</f>
        <v>#N/A</v>
      </c>
      <c r="F27" s="2" t="e">
        <f>'카페24 주문'!N27</f>
        <v>#N/A</v>
      </c>
    </row>
    <row r="28" spans="1:6">
      <c r="A28" s="2">
        <f>ICB!P28</f>
        <v>0</v>
      </c>
      <c r="B28" s="2">
        <f>ICB!C28</f>
        <v>0</v>
      </c>
      <c r="C28" s="2" t="str">
        <f>B28&amp;IF("-0"&amp;COUNTIF(B:B,B28)="-01",,"-0"&amp;COUNTIF(B$2:B28,B28))</f>
        <v>0-027</v>
      </c>
      <c r="D28" s="2" t="e">
        <f>VLOOKUP('3rd_재고할당된 주문'!F:F,재고리스트!S:AC,11,0)</f>
        <v>#N/A</v>
      </c>
      <c r="E28" s="2" t="e">
        <f>INDEX(재고리스트!G:G,MATCH(F28,재고리스트!S:S,0))</f>
        <v>#N/A</v>
      </c>
      <c r="F28" s="2" t="e">
        <f>'카페24 주문'!N28</f>
        <v>#N/A</v>
      </c>
    </row>
    <row r="29" spans="1:6">
      <c r="A29" s="2">
        <f>ICB!P29</f>
        <v>0</v>
      </c>
      <c r="B29" s="2">
        <f>ICB!C29</f>
        <v>0</v>
      </c>
      <c r="C29" s="2" t="str">
        <f>B29&amp;IF("-0"&amp;COUNTIF(B:B,B29)="-01",,"-0"&amp;COUNTIF(B$2:B29,B29))</f>
        <v>0-028</v>
      </c>
      <c r="D29" s="2" t="e">
        <f>VLOOKUP('3rd_재고할당된 주문'!F:F,재고리스트!S:AC,11,0)</f>
        <v>#N/A</v>
      </c>
      <c r="E29" s="2" t="e">
        <f>INDEX(재고리스트!G:G,MATCH(F29,재고리스트!S:S,0))</f>
        <v>#N/A</v>
      </c>
      <c r="F29" s="2" t="e">
        <f>'카페24 주문'!N29</f>
        <v>#N/A</v>
      </c>
    </row>
    <row r="30" spans="1:6">
      <c r="A30" s="2">
        <f>ICB!P30</f>
        <v>0</v>
      </c>
      <c r="B30" s="2">
        <f>ICB!C30</f>
        <v>0</v>
      </c>
      <c r="C30" s="2" t="str">
        <f>B30&amp;IF("-0"&amp;COUNTIF(B:B,B30)="-01",,"-0"&amp;COUNTIF(B$2:B30,B30))</f>
        <v>0-029</v>
      </c>
      <c r="D30" s="2" t="e">
        <f>VLOOKUP('3rd_재고할당된 주문'!F:F,재고리스트!S:AC,11,0)</f>
        <v>#N/A</v>
      </c>
      <c r="E30" s="2" t="e">
        <f>INDEX(재고리스트!G:G,MATCH(F30,재고리스트!S:S,0))</f>
        <v>#N/A</v>
      </c>
      <c r="F30" s="2" t="e">
        <f>'카페24 주문'!N30</f>
        <v>#N/A</v>
      </c>
    </row>
  </sheetData>
  <phoneticPr fontId="3" type="noConversion"/>
  <conditionalFormatting sqref="A1:B1048576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A2" sqref="A2"/>
    </sheetView>
  </sheetViews>
  <sheetFormatPr defaultColWidth="8.875" defaultRowHeight="16.5"/>
  <cols>
    <col min="1" max="1" width="12.875" customWidth="1"/>
    <col min="2" max="2" width="16.375" customWidth="1"/>
    <col min="3" max="3" width="18.375" customWidth="1"/>
    <col min="4" max="4" width="18" customWidth="1"/>
    <col min="5" max="5" width="18.375" customWidth="1"/>
    <col min="6" max="6" width="15.375" customWidth="1"/>
    <col min="7" max="7" width="14.625" customWidth="1"/>
    <col min="8" max="8" width="13" customWidth="1"/>
    <col min="9" max="9" width="28.625" customWidth="1"/>
    <col min="10" max="10" width="19" customWidth="1"/>
    <col min="11" max="11" width="16.5" customWidth="1"/>
    <col min="12" max="12" width="8.625" customWidth="1"/>
    <col min="13" max="13" width="9" customWidth="1"/>
    <col min="14" max="14" width="8.625" customWidth="1"/>
    <col min="15" max="15" width="12.625" customWidth="1"/>
    <col min="16" max="16" width="15" customWidth="1"/>
    <col min="17" max="18" width="19" customWidth="1"/>
    <col min="19" max="20" width="17.125" customWidth="1"/>
    <col min="21" max="21" width="21.125" customWidth="1"/>
    <col min="22" max="22" width="11.875" bestFit="1" customWidth="1"/>
  </cols>
  <sheetData>
    <row r="1" spans="1:21" s="20" customFormat="1" ht="22.5" customHeight="1">
      <c r="A1" s="11" t="s">
        <v>85</v>
      </c>
      <c r="B1" s="12" t="s">
        <v>86</v>
      </c>
      <c r="C1" s="13" t="s">
        <v>87</v>
      </c>
      <c r="D1" s="14" t="s">
        <v>88</v>
      </c>
      <c r="E1" s="15" t="s">
        <v>89</v>
      </c>
      <c r="F1" s="16" t="s">
        <v>90</v>
      </c>
      <c r="G1" s="17" t="s">
        <v>91</v>
      </c>
      <c r="H1" s="17" t="s">
        <v>92</v>
      </c>
      <c r="I1" s="17" t="s">
        <v>93</v>
      </c>
      <c r="J1" s="14" t="s">
        <v>94</v>
      </c>
      <c r="K1" s="14" t="s">
        <v>95</v>
      </c>
      <c r="L1" s="18" t="s">
        <v>96</v>
      </c>
      <c r="M1" s="19" t="s">
        <v>97</v>
      </c>
      <c r="N1" s="17" t="s">
        <v>98</v>
      </c>
      <c r="O1" s="20" t="s">
        <v>99</v>
      </c>
      <c r="P1" s="21" t="s">
        <v>100</v>
      </c>
      <c r="Q1" s="22" t="s">
        <v>101</v>
      </c>
      <c r="R1" s="20" t="s">
        <v>102</v>
      </c>
      <c r="S1" s="20" t="s">
        <v>103</v>
      </c>
      <c r="T1" s="20" t="s">
        <v>104</v>
      </c>
      <c r="U1" s="20" t="s">
        <v>105</v>
      </c>
    </row>
    <row r="2" spans="1:21" s="24" customFormat="1">
      <c r="A2" s="23"/>
      <c r="C2" s="25"/>
      <c r="E2" s="26"/>
      <c r="I2" s="27"/>
      <c r="J2" s="25"/>
      <c r="K2" s="28"/>
      <c r="L2" s="29"/>
      <c r="M2" s="30"/>
      <c r="N2" s="25"/>
      <c r="P2" s="31"/>
      <c r="Q2" s="22"/>
      <c r="R2" s="32"/>
      <c r="S2" s="23"/>
      <c r="T2" s="23"/>
      <c r="U2" s="33"/>
    </row>
  </sheetData>
  <phoneticPr fontId="41" type="noConversion"/>
  <conditionalFormatting sqref="C1">
    <cfRule type="duplicateValues" dxfId="20" priority="34"/>
  </conditionalFormatting>
  <conditionalFormatting sqref="C1">
    <cfRule type="duplicateValues" dxfId="19" priority="35"/>
  </conditionalFormatting>
  <conditionalFormatting sqref="P1">
    <cfRule type="duplicateValues" dxfId="18" priority="36"/>
    <cfRule type="duplicateValues" dxfId="17" priority="37"/>
  </conditionalFormatting>
  <conditionalFormatting sqref="N2">
    <cfRule type="cellIs" dxfId="16" priority="1" operator="greaterThan">
      <formula>1</formula>
    </cfRule>
  </conditionalFormatting>
  <conditionalFormatting sqref="P2">
    <cfRule type="duplicateValues" dxfId="14" priority="2"/>
    <cfRule type="duplicateValues" dxfId="13" priority="3"/>
  </conditionalFormatting>
  <conditionalFormatting sqref="P2">
    <cfRule type="duplicateValues" dxfId="10" priority="4"/>
  </conditionalFormatting>
  <conditionalFormatting sqref="C2">
    <cfRule type="duplicateValues" dxfId="8" priority="5"/>
  </conditionalFormatting>
  <conditionalFormatting sqref="C2">
    <cfRule type="duplicateValues" dxfId="6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80"/>
  <sheetViews>
    <sheetView topLeftCell="G1" workbookViewId="0">
      <selection activeCell="S2" sqref="S2"/>
    </sheetView>
  </sheetViews>
  <sheetFormatPr defaultRowHeight="16.5"/>
  <cols>
    <col min="1" max="5" width="9" style="6"/>
    <col min="6" max="6" width="11.75" style="6" customWidth="1"/>
    <col min="7" max="7" width="20.125" style="6" customWidth="1"/>
    <col min="8" max="8" width="20.625" style="6" customWidth="1"/>
    <col min="9" max="15" width="9" style="6"/>
    <col min="16" max="16" width="25" style="6" customWidth="1"/>
    <col min="17" max="18" width="9" style="6"/>
    <col min="19" max="19" width="15.625" style="6" customWidth="1"/>
    <col min="20" max="16384" width="9" style="6"/>
  </cols>
  <sheetData>
    <row r="1" spans="1:46">
      <c r="A1" s="6" t="s">
        <v>118</v>
      </c>
      <c r="B1" s="6" t="s">
        <v>119</v>
      </c>
      <c r="C1" s="6" t="s">
        <v>120</v>
      </c>
      <c r="D1" s="6" t="s">
        <v>121</v>
      </c>
      <c r="E1" s="6" t="s">
        <v>10</v>
      </c>
      <c r="F1" s="6" t="s">
        <v>122</v>
      </c>
      <c r="G1" s="6" t="s">
        <v>123</v>
      </c>
      <c r="H1" s="6" t="s">
        <v>124</v>
      </c>
      <c r="I1" s="6" t="s">
        <v>125</v>
      </c>
      <c r="J1" s="6" t="s">
        <v>126</v>
      </c>
      <c r="K1" s="6" t="s">
        <v>127</v>
      </c>
      <c r="L1" s="6" t="s">
        <v>128</v>
      </c>
      <c r="M1" s="6" t="s">
        <v>129</v>
      </c>
      <c r="N1" s="6" t="s">
        <v>130</v>
      </c>
      <c r="O1" s="6" t="s">
        <v>131</v>
      </c>
      <c r="P1" s="6" t="s">
        <v>132</v>
      </c>
      <c r="Q1" s="6" t="s">
        <v>133</v>
      </c>
      <c r="R1" s="6" t="s">
        <v>134</v>
      </c>
      <c r="S1" s="6" t="s">
        <v>135</v>
      </c>
      <c r="T1" s="6" t="s">
        <v>136</v>
      </c>
      <c r="U1" s="6" t="s">
        <v>137</v>
      </c>
      <c r="V1" s="6" t="s">
        <v>138</v>
      </c>
      <c r="W1" s="6" t="s">
        <v>139</v>
      </c>
      <c r="X1" s="6" t="s">
        <v>140</v>
      </c>
      <c r="Y1" s="6" t="s">
        <v>141</v>
      </c>
      <c r="Z1" s="6" t="s">
        <v>142</v>
      </c>
      <c r="AA1" s="6" t="s">
        <v>143</v>
      </c>
      <c r="AB1" s="6" t="s">
        <v>144</v>
      </c>
      <c r="AC1" s="6" t="s">
        <v>145</v>
      </c>
      <c r="AD1" s="6" t="s">
        <v>146</v>
      </c>
      <c r="AE1" s="6" t="s">
        <v>147</v>
      </c>
      <c r="AF1" s="6" t="s">
        <v>148</v>
      </c>
      <c r="AG1" s="6" t="s">
        <v>149</v>
      </c>
      <c r="AH1" s="6" t="s">
        <v>150</v>
      </c>
      <c r="AI1" s="6" t="s">
        <v>151</v>
      </c>
      <c r="AJ1" s="6" t="s">
        <v>152</v>
      </c>
      <c r="AK1" s="6" t="s">
        <v>153</v>
      </c>
      <c r="AL1" s="6" t="s">
        <v>154</v>
      </c>
      <c r="AM1" s="6" t="s">
        <v>155</v>
      </c>
      <c r="AN1" s="6" t="s">
        <v>156</v>
      </c>
      <c r="AO1" s="6" t="s">
        <v>157</v>
      </c>
      <c r="AP1" s="6" t="s">
        <v>158</v>
      </c>
      <c r="AQ1" s="6" t="s">
        <v>159</v>
      </c>
      <c r="AR1" s="6" t="s">
        <v>160</v>
      </c>
      <c r="AS1" s="6" t="s">
        <v>161</v>
      </c>
      <c r="AT1" s="6" t="s">
        <v>162</v>
      </c>
    </row>
    <row r="2" spans="1:46">
      <c r="B2" s="6" t="s">
        <v>107</v>
      </c>
      <c r="D2" s="6" t="s">
        <v>163</v>
      </c>
      <c r="F2" s="6" t="s">
        <v>164</v>
      </c>
      <c r="G2" s="6" t="str">
        <f>"3181322101525305"</f>
        <v>3181322101525305</v>
      </c>
      <c r="I2" s="6" t="s">
        <v>165</v>
      </c>
      <c r="J2" s="6" t="str">
        <f>"yuppe denim pants"</f>
        <v>yuppe denim pants</v>
      </c>
      <c r="K2" s="6">
        <v>69000</v>
      </c>
      <c r="L2" s="6">
        <v>0</v>
      </c>
      <c r="M2" s="6">
        <v>0</v>
      </c>
      <c r="N2" s="6" t="str">
        <f>""</f>
        <v/>
      </c>
      <c r="O2" s="6">
        <v>33947</v>
      </c>
      <c r="P2" s="6" t="s">
        <v>166</v>
      </c>
      <c r="R2" s="6" t="s">
        <v>167</v>
      </c>
      <c r="S2" s="6" t="s">
        <v>168</v>
      </c>
      <c r="T2" s="6">
        <v>0</v>
      </c>
      <c r="U2" s="6">
        <v>0</v>
      </c>
      <c r="V2" s="6">
        <v>0</v>
      </c>
      <c r="W2" s="6">
        <v>0</v>
      </c>
      <c r="X2" s="6" t="s">
        <v>169</v>
      </c>
      <c r="Z2" s="6" t="s">
        <v>170</v>
      </c>
      <c r="AA2" s="6" t="s">
        <v>171</v>
      </c>
      <c r="AB2" s="6">
        <v>69000</v>
      </c>
      <c r="AC2" s="6" t="str">
        <f>""</f>
        <v/>
      </c>
      <c r="AS2" s="6">
        <v>0</v>
      </c>
      <c r="AT2" s="6">
        <v>0</v>
      </c>
    </row>
    <row r="3" spans="1:46">
      <c r="B3" s="6" t="s">
        <v>107</v>
      </c>
      <c r="D3" s="6" t="s">
        <v>163</v>
      </c>
      <c r="F3" s="6" t="s">
        <v>172</v>
      </c>
      <c r="G3" s="6" t="str">
        <f>"3181322101525303"</f>
        <v>3181322101525303</v>
      </c>
      <c r="I3" s="6" t="s">
        <v>165</v>
      </c>
      <c r="J3" s="6" t="str">
        <f>"yuppe denim pants"</f>
        <v>yuppe denim pants</v>
      </c>
      <c r="K3" s="6">
        <v>69000</v>
      </c>
      <c r="L3" s="6">
        <v>0</v>
      </c>
      <c r="M3" s="6">
        <v>0</v>
      </c>
      <c r="N3" s="6" t="str">
        <f>""</f>
        <v/>
      </c>
      <c r="O3" s="6">
        <v>33946</v>
      </c>
      <c r="P3" s="6" t="s">
        <v>173</v>
      </c>
      <c r="R3" s="6" t="s">
        <v>174</v>
      </c>
      <c r="S3" s="6" t="s">
        <v>175</v>
      </c>
      <c r="T3" s="6">
        <v>0</v>
      </c>
      <c r="U3" s="6">
        <v>0</v>
      </c>
      <c r="V3" s="6">
        <v>0</v>
      </c>
      <c r="W3" s="6">
        <v>0</v>
      </c>
      <c r="X3" s="6" t="s">
        <v>169</v>
      </c>
      <c r="Z3" s="6" t="s">
        <v>170</v>
      </c>
      <c r="AA3" s="6" t="s">
        <v>171</v>
      </c>
      <c r="AB3" s="6">
        <v>69000</v>
      </c>
      <c r="AC3" s="6" t="str">
        <f>""</f>
        <v/>
      </c>
      <c r="AS3" s="6">
        <v>0</v>
      </c>
      <c r="AT3" s="6">
        <v>0</v>
      </c>
    </row>
    <row r="4" spans="1:46">
      <c r="B4" s="6" t="s">
        <v>107</v>
      </c>
      <c r="D4" s="6" t="s">
        <v>163</v>
      </c>
      <c r="F4" s="6" t="s">
        <v>176</v>
      </c>
      <c r="G4" s="6" t="str">
        <f>"3181312100169204"</f>
        <v>3181312100169204</v>
      </c>
      <c r="I4" s="6" t="s">
        <v>177</v>
      </c>
      <c r="J4" s="6" t="str">
        <f>"yuppe cotton pants_ivory"</f>
        <v>yuppe cotton pants_ivory</v>
      </c>
      <c r="K4" s="6">
        <v>66000</v>
      </c>
      <c r="L4" s="6">
        <v>0</v>
      </c>
      <c r="M4" s="6">
        <v>0</v>
      </c>
      <c r="N4" s="6" t="str">
        <f>""</f>
        <v/>
      </c>
      <c r="O4" s="6">
        <v>33944</v>
      </c>
      <c r="P4" s="6" t="s">
        <v>178</v>
      </c>
      <c r="R4" s="6" t="s">
        <v>179</v>
      </c>
      <c r="S4" s="6" t="s">
        <v>180</v>
      </c>
      <c r="T4" s="6">
        <v>0</v>
      </c>
      <c r="U4" s="6">
        <v>0</v>
      </c>
      <c r="V4" s="6">
        <v>0</v>
      </c>
      <c r="W4" s="6">
        <v>0</v>
      </c>
      <c r="X4" s="6" t="s">
        <v>169</v>
      </c>
      <c r="Z4" s="6" t="s">
        <v>170</v>
      </c>
      <c r="AA4" s="6" t="s">
        <v>171</v>
      </c>
      <c r="AB4" s="6">
        <v>66000</v>
      </c>
      <c r="AC4" s="6" t="str">
        <f>""</f>
        <v/>
      </c>
      <c r="AS4" s="6">
        <v>0</v>
      </c>
      <c r="AT4" s="6">
        <v>0</v>
      </c>
    </row>
    <row r="5" spans="1:46">
      <c r="B5" s="6" t="s">
        <v>107</v>
      </c>
      <c r="D5" s="6" t="s">
        <v>163</v>
      </c>
      <c r="F5" s="6" t="s">
        <v>181</v>
      </c>
      <c r="G5" s="6" t="str">
        <f>"3181312100169320"</f>
        <v>3181312100169320</v>
      </c>
      <c r="I5" s="6" t="s">
        <v>177</v>
      </c>
      <c r="J5" s="6" t="str">
        <f>"yuppe cotton pants_ivory"</f>
        <v>yuppe cotton pants_ivory</v>
      </c>
      <c r="K5" s="6">
        <v>66000</v>
      </c>
      <c r="L5" s="6">
        <v>0</v>
      </c>
      <c r="M5" s="6">
        <v>0</v>
      </c>
      <c r="N5" s="6" t="str">
        <f>""</f>
        <v/>
      </c>
      <c r="O5" s="6">
        <v>33943</v>
      </c>
      <c r="P5" s="6" t="s">
        <v>182</v>
      </c>
      <c r="R5" s="6" t="s">
        <v>183</v>
      </c>
      <c r="S5" s="6" t="s">
        <v>184</v>
      </c>
      <c r="T5" s="6">
        <v>0</v>
      </c>
      <c r="U5" s="6">
        <v>0</v>
      </c>
      <c r="V5" s="6">
        <v>0</v>
      </c>
      <c r="W5" s="6">
        <v>0</v>
      </c>
      <c r="X5" s="6" t="s">
        <v>169</v>
      </c>
      <c r="Z5" s="6" t="s">
        <v>170</v>
      </c>
      <c r="AA5" s="6" t="s">
        <v>171</v>
      </c>
      <c r="AB5" s="6">
        <v>66000</v>
      </c>
      <c r="AC5" s="6" t="str">
        <f>""</f>
        <v/>
      </c>
      <c r="AS5" s="6">
        <v>0</v>
      </c>
      <c r="AT5" s="6">
        <v>0</v>
      </c>
    </row>
    <row r="6" spans="1:46">
      <c r="B6" s="6" t="s">
        <v>107</v>
      </c>
      <c r="D6" s="6" t="s">
        <v>163</v>
      </c>
      <c r="F6" s="6" t="s">
        <v>185</v>
      </c>
      <c r="G6" s="6" t="str">
        <f>"3181312100199204"</f>
        <v>3181312100199204</v>
      </c>
      <c r="I6" s="6" t="s">
        <v>186</v>
      </c>
      <c r="J6" s="6" t="str">
        <f>"yuppe cotton pants_black"</f>
        <v>yuppe cotton pants_black</v>
      </c>
      <c r="K6" s="6">
        <v>66000</v>
      </c>
      <c r="L6" s="6">
        <v>0</v>
      </c>
      <c r="M6" s="6">
        <v>0</v>
      </c>
      <c r="N6" s="6" t="str">
        <f>""</f>
        <v/>
      </c>
      <c r="O6" s="6">
        <v>33941</v>
      </c>
      <c r="P6" s="6" t="s">
        <v>187</v>
      </c>
      <c r="R6" s="6" t="s">
        <v>188</v>
      </c>
      <c r="S6" s="6" t="s">
        <v>189</v>
      </c>
      <c r="T6" s="6">
        <v>0</v>
      </c>
      <c r="U6" s="6">
        <v>0</v>
      </c>
      <c r="V6" s="6">
        <v>0</v>
      </c>
      <c r="W6" s="6">
        <v>0</v>
      </c>
      <c r="X6" s="6" t="s">
        <v>169</v>
      </c>
      <c r="Z6" s="6" t="s">
        <v>170</v>
      </c>
      <c r="AA6" s="6" t="s">
        <v>171</v>
      </c>
      <c r="AB6" s="6">
        <v>66000</v>
      </c>
      <c r="AC6" s="6" t="str">
        <f>""</f>
        <v/>
      </c>
      <c r="AS6" s="6">
        <v>0</v>
      </c>
      <c r="AT6" s="6">
        <v>0</v>
      </c>
    </row>
    <row r="7" spans="1:46">
      <c r="B7" s="6" t="s">
        <v>107</v>
      </c>
      <c r="D7" s="6" t="s">
        <v>163</v>
      </c>
      <c r="F7" s="6" t="s">
        <v>190</v>
      </c>
      <c r="G7" s="6" t="str">
        <f>"3181312100199320"</f>
        <v>3181312100199320</v>
      </c>
      <c r="I7" s="6" t="s">
        <v>186</v>
      </c>
      <c r="J7" s="6" t="str">
        <f>"yuppe cotton pants_black"</f>
        <v>yuppe cotton pants_black</v>
      </c>
      <c r="K7" s="6">
        <v>66000</v>
      </c>
      <c r="L7" s="6">
        <v>0</v>
      </c>
      <c r="M7" s="6">
        <v>0</v>
      </c>
      <c r="N7" s="6" t="str">
        <f>""</f>
        <v/>
      </c>
      <c r="O7" s="6">
        <v>33940</v>
      </c>
      <c r="P7" s="6" t="s">
        <v>191</v>
      </c>
      <c r="R7" s="6" t="s">
        <v>192</v>
      </c>
      <c r="S7" s="6" t="s">
        <v>193</v>
      </c>
      <c r="T7" s="6">
        <v>0</v>
      </c>
      <c r="U7" s="6">
        <v>0</v>
      </c>
      <c r="V7" s="6">
        <v>0</v>
      </c>
      <c r="W7" s="6">
        <v>0</v>
      </c>
      <c r="X7" s="6" t="s">
        <v>169</v>
      </c>
      <c r="Z7" s="6" t="s">
        <v>170</v>
      </c>
      <c r="AA7" s="6" t="s">
        <v>171</v>
      </c>
      <c r="AB7" s="6">
        <v>66000</v>
      </c>
      <c r="AC7" s="6" t="str">
        <f>""</f>
        <v/>
      </c>
      <c r="AS7" s="6">
        <v>0</v>
      </c>
      <c r="AT7" s="6">
        <v>0</v>
      </c>
    </row>
    <row r="8" spans="1:46">
      <c r="B8" s="6" t="s">
        <v>107</v>
      </c>
      <c r="D8" s="6" t="s">
        <v>163</v>
      </c>
      <c r="F8" s="6" t="s">
        <v>194</v>
      </c>
      <c r="G8" s="6" t="str">
        <f>"3181332101599320"</f>
        <v>3181332101599320</v>
      </c>
      <c r="I8" s="6" t="s">
        <v>195</v>
      </c>
      <c r="J8" s="6" t="str">
        <f>"belt wrap skirt_black"</f>
        <v>belt wrap skirt_black</v>
      </c>
      <c r="K8" s="6">
        <v>68000</v>
      </c>
      <c r="L8" s="6">
        <v>0</v>
      </c>
      <c r="M8" s="6">
        <v>0</v>
      </c>
      <c r="N8" s="6" t="str">
        <f>""</f>
        <v/>
      </c>
      <c r="O8" s="6">
        <v>33938</v>
      </c>
      <c r="P8" s="6" t="s">
        <v>196</v>
      </c>
      <c r="R8" s="6" t="s">
        <v>197</v>
      </c>
      <c r="S8" s="6" t="s">
        <v>198</v>
      </c>
      <c r="T8" s="6">
        <v>0</v>
      </c>
      <c r="U8" s="6">
        <v>0</v>
      </c>
      <c r="V8" s="6">
        <v>0</v>
      </c>
      <c r="W8" s="6">
        <v>0</v>
      </c>
      <c r="X8" s="6" t="s">
        <v>169</v>
      </c>
      <c r="Z8" s="6" t="s">
        <v>170</v>
      </c>
      <c r="AA8" s="6" t="s">
        <v>171</v>
      </c>
      <c r="AB8" s="6">
        <v>68000</v>
      </c>
      <c r="AC8" s="6" t="str">
        <f>""</f>
        <v/>
      </c>
      <c r="AS8" s="6">
        <v>0</v>
      </c>
      <c r="AT8" s="6">
        <v>0</v>
      </c>
    </row>
    <row r="9" spans="1:46">
      <c r="B9" s="6" t="s">
        <v>107</v>
      </c>
      <c r="D9" s="6" t="s">
        <v>163</v>
      </c>
      <c r="F9" s="6" t="s">
        <v>199</v>
      </c>
      <c r="G9" s="6" t="str">
        <f>"3181332101574320"</f>
        <v>3181332101574320</v>
      </c>
      <c r="I9" s="6" t="s">
        <v>200</v>
      </c>
      <c r="J9" s="6" t="str">
        <f>"belt wrap skirt_beige"</f>
        <v>belt wrap skirt_beige</v>
      </c>
      <c r="K9" s="6">
        <v>68000</v>
      </c>
      <c r="L9" s="6">
        <v>0</v>
      </c>
      <c r="M9" s="6">
        <v>0</v>
      </c>
      <c r="N9" s="6" t="str">
        <f>""</f>
        <v/>
      </c>
      <c r="O9" s="6">
        <v>33936</v>
      </c>
      <c r="P9" s="6" t="s">
        <v>201</v>
      </c>
      <c r="R9" s="6" t="s">
        <v>202</v>
      </c>
      <c r="S9" s="6" t="s">
        <v>203</v>
      </c>
      <c r="T9" s="6">
        <v>0</v>
      </c>
      <c r="U9" s="6">
        <v>0</v>
      </c>
      <c r="V9" s="6">
        <v>0</v>
      </c>
      <c r="W9" s="6">
        <v>0</v>
      </c>
      <c r="X9" s="6" t="s">
        <v>169</v>
      </c>
      <c r="Z9" s="6" t="s">
        <v>170</v>
      </c>
      <c r="AA9" s="6" t="s">
        <v>171</v>
      </c>
      <c r="AB9" s="6">
        <v>68000</v>
      </c>
      <c r="AC9" s="6" t="str">
        <f>""</f>
        <v/>
      </c>
      <c r="AS9" s="6">
        <v>0</v>
      </c>
      <c r="AT9" s="6">
        <v>0</v>
      </c>
    </row>
    <row r="10" spans="1:46">
      <c r="B10" s="6" t="s">
        <v>107</v>
      </c>
      <c r="D10" s="6" t="s">
        <v>163</v>
      </c>
      <c r="F10" s="6" t="s">
        <v>204</v>
      </c>
      <c r="G10" s="6" t="str">
        <f>"3181332100425320"</f>
        <v>3181332100425320</v>
      </c>
      <c r="I10" s="6" t="s">
        <v>205</v>
      </c>
      <c r="J10" s="6" t="str">
        <f>"denim stirpe skirt_skyblue"</f>
        <v>denim stirpe skirt_skyblue</v>
      </c>
      <c r="K10" s="6">
        <v>69000</v>
      </c>
      <c r="L10" s="6">
        <v>0</v>
      </c>
      <c r="M10" s="6">
        <v>0</v>
      </c>
      <c r="N10" s="6" t="str">
        <f>""</f>
        <v/>
      </c>
      <c r="O10" s="6">
        <v>33934</v>
      </c>
      <c r="P10" s="6" t="s">
        <v>206</v>
      </c>
      <c r="R10" s="6" t="s">
        <v>207</v>
      </c>
      <c r="S10" s="6" t="s">
        <v>208</v>
      </c>
      <c r="T10" s="6">
        <v>0</v>
      </c>
      <c r="U10" s="6">
        <v>0</v>
      </c>
      <c r="V10" s="6">
        <v>0</v>
      </c>
      <c r="W10" s="6">
        <v>0</v>
      </c>
      <c r="X10" s="6" t="s">
        <v>169</v>
      </c>
      <c r="Z10" s="6" t="s">
        <v>170</v>
      </c>
      <c r="AA10" s="6" t="s">
        <v>171</v>
      </c>
      <c r="AB10" s="6">
        <v>69000</v>
      </c>
      <c r="AC10" s="6" t="str">
        <f>""</f>
        <v/>
      </c>
      <c r="AS10" s="6">
        <v>0</v>
      </c>
      <c r="AT10" s="6">
        <v>0</v>
      </c>
    </row>
    <row r="11" spans="1:46">
      <c r="B11" s="6" t="s">
        <v>107</v>
      </c>
      <c r="D11" s="6" t="s">
        <v>163</v>
      </c>
      <c r="F11" s="6" t="s">
        <v>209</v>
      </c>
      <c r="G11" s="6" t="str">
        <f>"3181332100430320"</f>
        <v>3181332100430320</v>
      </c>
      <c r="I11" s="6" t="s">
        <v>210</v>
      </c>
      <c r="J11" s="6" t="str">
        <f>"denim stirpe skirt_navy"</f>
        <v>denim stirpe skirt_navy</v>
      </c>
      <c r="K11" s="6">
        <v>69000</v>
      </c>
      <c r="L11" s="6">
        <v>0</v>
      </c>
      <c r="M11" s="6">
        <v>0</v>
      </c>
      <c r="N11" s="6" t="str">
        <f>""</f>
        <v/>
      </c>
      <c r="O11" s="6">
        <v>33932</v>
      </c>
      <c r="P11" s="6" t="s">
        <v>211</v>
      </c>
      <c r="R11" s="6" t="s">
        <v>212</v>
      </c>
      <c r="S11" s="6" t="s">
        <v>213</v>
      </c>
      <c r="T11" s="6">
        <v>0</v>
      </c>
      <c r="U11" s="6">
        <v>0</v>
      </c>
      <c r="V11" s="6">
        <v>0</v>
      </c>
      <c r="W11" s="6">
        <v>0</v>
      </c>
      <c r="X11" s="6" t="s">
        <v>169</v>
      </c>
      <c r="Z11" s="6" t="s">
        <v>170</v>
      </c>
      <c r="AA11" s="6" t="s">
        <v>171</v>
      </c>
      <c r="AB11" s="6">
        <v>69000</v>
      </c>
      <c r="AC11" s="6" t="str">
        <f>""</f>
        <v/>
      </c>
      <c r="AS11" s="6">
        <v>0</v>
      </c>
      <c r="AT11" s="6">
        <v>0</v>
      </c>
    </row>
    <row r="12" spans="1:46">
      <c r="B12" s="6" t="s">
        <v>107</v>
      </c>
      <c r="D12" s="6" t="s">
        <v>163</v>
      </c>
      <c r="F12" s="6" t="s">
        <v>214</v>
      </c>
      <c r="G12" s="6" t="str">
        <f>"3181222102991208"</f>
        <v>3181222102991208</v>
      </c>
      <c r="I12" s="6" t="s">
        <v>215</v>
      </c>
      <c r="J12" s="6" t="str">
        <f>"neck point T-shirts_white"</f>
        <v>neck point T-shirts_white</v>
      </c>
      <c r="K12" s="6">
        <v>55000</v>
      </c>
      <c r="L12" s="6">
        <v>0</v>
      </c>
      <c r="M12" s="6">
        <v>0</v>
      </c>
      <c r="N12" s="6" t="str">
        <f>""</f>
        <v/>
      </c>
      <c r="O12" s="6">
        <v>33930</v>
      </c>
      <c r="P12" s="6" t="s">
        <v>216</v>
      </c>
      <c r="R12" s="6" t="s">
        <v>217</v>
      </c>
      <c r="S12" s="6" t="s">
        <v>218</v>
      </c>
      <c r="T12" s="6">
        <v>0</v>
      </c>
      <c r="U12" s="6">
        <v>0</v>
      </c>
      <c r="V12" s="6">
        <v>0</v>
      </c>
      <c r="W12" s="6">
        <v>0</v>
      </c>
      <c r="X12" s="6" t="s">
        <v>169</v>
      </c>
      <c r="Z12" s="6" t="s">
        <v>170</v>
      </c>
      <c r="AA12" s="6" t="s">
        <v>171</v>
      </c>
      <c r="AB12" s="6">
        <v>55000</v>
      </c>
      <c r="AC12" s="6" t="str">
        <f>""</f>
        <v/>
      </c>
      <c r="AS12" s="6">
        <v>0</v>
      </c>
      <c r="AT12" s="6">
        <v>0</v>
      </c>
    </row>
    <row r="13" spans="1:46">
      <c r="B13" s="6" t="s">
        <v>107</v>
      </c>
      <c r="D13" s="6" t="s">
        <v>163</v>
      </c>
      <c r="F13" s="6" t="s">
        <v>219</v>
      </c>
      <c r="G13" s="6" t="str">
        <f>"3181222102930208"</f>
        <v>3181222102930208</v>
      </c>
      <c r="I13" s="6" t="s">
        <v>220</v>
      </c>
      <c r="J13" s="6" t="str">
        <f>"neck point T-shirts_navy"</f>
        <v>neck point T-shirts_navy</v>
      </c>
      <c r="K13" s="6">
        <v>55000</v>
      </c>
      <c r="L13" s="6">
        <v>0</v>
      </c>
      <c r="M13" s="6">
        <v>0</v>
      </c>
      <c r="N13" s="6" t="str">
        <f>""</f>
        <v/>
      </c>
      <c r="O13" s="6">
        <v>33928</v>
      </c>
      <c r="P13" s="6" t="s">
        <v>221</v>
      </c>
      <c r="R13" s="6" t="s">
        <v>212</v>
      </c>
      <c r="S13" s="6" t="s">
        <v>222</v>
      </c>
      <c r="T13" s="6">
        <v>0</v>
      </c>
      <c r="U13" s="6">
        <v>0</v>
      </c>
      <c r="V13" s="6">
        <v>0</v>
      </c>
      <c r="W13" s="6">
        <v>0</v>
      </c>
      <c r="X13" s="6" t="s">
        <v>169</v>
      </c>
      <c r="Z13" s="6" t="s">
        <v>170</v>
      </c>
      <c r="AA13" s="6" t="s">
        <v>171</v>
      </c>
      <c r="AB13" s="6">
        <v>55000</v>
      </c>
      <c r="AC13" s="6" t="str">
        <f>""</f>
        <v/>
      </c>
      <c r="AS13" s="6">
        <v>0</v>
      </c>
      <c r="AT13" s="6">
        <v>0</v>
      </c>
    </row>
    <row r="14" spans="1:46">
      <c r="B14" s="6" t="s">
        <v>107</v>
      </c>
      <c r="D14" s="6" t="s">
        <v>163</v>
      </c>
      <c r="F14" s="6" t="s">
        <v>223</v>
      </c>
      <c r="G14" s="6" t="str">
        <f>"3181212101491208"</f>
        <v>3181212101491208</v>
      </c>
      <c r="I14" s="6" t="s">
        <v>224</v>
      </c>
      <c r="J14" s="6" t="str">
        <f>"sailor button shirts_white"</f>
        <v>sailor button shirts_white</v>
      </c>
      <c r="K14" s="6">
        <v>89000</v>
      </c>
      <c r="L14" s="6">
        <v>0</v>
      </c>
      <c r="M14" s="6">
        <v>0</v>
      </c>
      <c r="N14" s="6" t="str">
        <f>""</f>
        <v/>
      </c>
      <c r="O14" s="6">
        <v>33926</v>
      </c>
      <c r="P14" s="6" t="s">
        <v>225</v>
      </c>
      <c r="R14" s="6" t="s">
        <v>217</v>
      </c>
      <c r="S14" s="6" t="s">
        <v>226</v>
      </c>
      <c r="T14" s="6">
        <v>0</v>
      </c>
      <c r="U14" s="6">
        <v>0</v>
      </c>
      <c r="V14" s="6">
        <v>0</v>
      </c>
      <c r="W14" s="6">
        <v>0</v>
      </c>
      <c r="X14" s="6" t="s">
        <v>169</v>
      </c>
      <c r="Z14" s="6" t="s">
        <v>170</v>
      </c>
      <c r="AA14" s="6" t="s">
        <v>171</v>
      </c>
      <c r="AB14" s="6">
        <v>89000</v>
      </c>
      <c r="AC14" s="6" t="str">
        <f>""</f>
        <v/>
      </c>
      <c r="AS14" s="6">
        <v>0</v>
      </c>
      <c r="AT14" s="6">
        <v>0</v>
      </c>
    </row>
    <row r="15" spans="1:46">
      <c r="B15" s="6" t="s">
        <v>107</v>
      </c>
      <c r="D15" s="6" t="s">
        <v>163</v>
      </c>
      <c r="F15" s="6" t="s">
        <v>227</v>
      </c>
      <c r="G15" s="6" t="str">
        <f>"3181212101401208"</f>
        <v>3181212101401208</v>
      </c>
      <c r="I15" s="6" t="s">
        <v>228</v>
      </c>
      <c r="J15" s="6" t="str">
        <f>"sailor button shirts_pink"</f>
        <v>sailor button shirts_pink</v>
      </c>
      <c r="K15" s="6">
        <v>89000</v>
      </c>
      <c r="L15" s="6">
        <v>0</v>
      </c>
      <c r="M15" s="6">
        <v>0</v>
      </c>
      <c r="N15" s="6" t="str">
        <f>""</f>
        <v/>
      </c>
      <c r="O15" s="6">
        <v>33924</v>
      </c>
      <c r="P15" s="6" t="s">
        <v>229</v>
      </c>
      <c r="R15" s="6" t="s">
        <v>230</v>
      </c>
      <c r="S15" s="6" t="s">
        <v>231</v>
      </c>
      <c r="T15" s="6">
        <v>0</v>
      </c>
      <c r="U15" s="6">
        <v>0</v>
      </c>
      <c r="V15" s="6">
        <v>0</v>
      </c>
      <c r="W15" s="6">
        <v>0</v>
      </c>
      <c r="X15" s="6" t="s">
        <v>169</v>
      </c>
      <c r="Z15" s="6" t="s">
        <v>170</v>
      </c>
      <c r="AA15" s="6" t="s">
        <v>171</v>
      </c>
      <c r="AB15" s="6">
        <v>89000</v>
      </c>
      <c r="AC15" s="6" t="str">
        <f>""</f>
        <v/>
      </c>
      <c r="AS15" s="6">
        <v>0</v>
      </c>
      <c r="AT15" s="6">
        <v>0</v>
      </c>
    </row>
    <row r="16" spans="1:46">
      <c r="B16" s="6" t="s">
        <v>107</v>
      </c>
      <c r="D16" s="6" t="s">
        <v>163</v>
      </c>
      <c r="F16" s="6" t="s">
        <v>232</v>
      </c>
      <c r="G16" s="6" t="str">
        <f>"3181212101391208"</f>
        <v>3181212101391208</v>
      </c>
      <c r="I16" s="6" t="s">
        <v>233</v>
      </c>
      <c r="J16" s="6" t="str">
        <f>"wave stripe shirts_white"</f>
        <v>wave stripe shirts_white</v>
      </c>
      <c r="K16" s="6">
        <v>84000</v>
      </c>
      <c r="L16" s="6">
        <v>0</v>
      </c>
      <c r="M16" s="6">
        <v>0</v>
      </c>
      <c r="N16" s="6" t="str">
        <f>""</f>
        <v/>
      </c>
      <c r="O16" s="6">
        <v>33922</v>
      </c>
      <c r="P16" s="6" t="s">
        <v>234</v>
      </c>
      <c r="R16" s="6" t="s">
        <v>217</v>
      </c>
      <c r="S16" s="6" t="s">
        <v>235</v>
      </c>
      <c r="T16" s="6">
        <v>0</v>
      </c>
      <c r="U16" s="6">
        <v>0</v>
      </c>
      <c r="V16" s="6">
        <v>0</v>
      </c>
      <c r="W16" s="6">
        <v>0</v>
      </c>
      <c r="X16" s="6" t="s">
        <v>169</v>
      </c>
      <c r="Z16" s="6" t="s">
        <v>170</v>
      </c>
      <c r="AA16" s="6" t="s">
        <v>171</v>
      </c>
      <c r="AB16" s="6">
        <v>84000</v>
      </c>
      <c r="AC16" s="6" t="str">
        <f>""</f>
        <v/>
      </c>
      <c r="AS16" s="6">
        <v>0</v>
      </c>
      <c r="AT16" s="6">
        <v>0</v>
      </c>
    </row>
    <row r="17" spans="2:46">
      <c r="B17" s="6" t="s">
        <v>107</v>
      </c>
      <c r="D17" s="6" t="s">
        <v>163</v>
      </c>
      <c r="F17" s="6" t="s">
        <v>236</v>
      </c>
      <c r="G17" s="6" t="str">
        <f>"3181212101325208"</f>
        <v>3181212101325208</v>
      </c>
      <c r="I17" s="6" t="s">
        <v>237</v>
      </c>
      <c r="J17" s="6" t="str">
        <f>"wave stripe shirts_blue"</f>
        <v>wave stripe shirts_blue</v>
      </c>
      <c r="K17" s="6">
        <v>84000</v>
      </c>
      <c r="L17" s="6">
        <v>0</v>
      </c>
      <c r="M17" s="6">
        <v>0</v>
      </c>
      <c r="N17" s="6" t="str">
        <f>""</f>
        <v/>
      </c>
      <c r="O17" s="6">
        <v>33920</v>
      </c>
      <c r="P17" s="6" t="s">
        <v>238</v>
      </c>
      <c r="R17" s="6" t="s">
        <v>239</v>
      </c>
      <c r="S17" s="6" t="s">
        <v>240</v>
      </c>
      <c r="T17" s="6">
        <v>0</v>
      </c>
      <c r="U17" s="6">
        <v>0</v>
      </c>
      <c r="V17" s="6">
        <v>0</v>
      </c>
      <c r="W17" s="6">
        <v>0</v>
      </c>
      <c r="X17" s="6" t="s">
        <v>169</v>
      </c>
      <c r="Z17" s="6" t="s">
        <v>170</v>
      </c>
      <c r="AA17" s="6" t="s">
        <v>171</v>
      </c>
      <c r="AB17" s="6">
        <v>84000</v>
      </c>
      <c r="AC17" s="6" t="str">
        <f>""</f>
        <v/>
      </c>
      <c r="AS17" s="6">
        <v>0</v>
      </c>
      <c r="AT17" s="6">
        <v>0</v>
      </c>
    </row>
    <row r="18" spans="2:46">
      <c r="B18" s="6" t="s">
        <v>107</v>
      </c>
      <c r="D18" s="6" t="s">
        <v>163</v>
      </c>
      <c r="F18" s="6" t="s">
        <v>241</v>
      </c>
      <c r="G18" s="6" t="str">
        <f>"3181212101223108"</f>
        <v>3181212101223108</v>
      </c>
      <c r="I18" s="6" t="s">
        <v>242</v>
      </c>
      <c r="J18" s="6" t="str">
        <f>"color shirring shirts_skyblue"</f>
        <v>color shirring shirts_skyblue</v>
      </c>
      <c r="K18" s="6">
        <v>88000</v>
      </c>
      <c r="L18" s="6">
        <v>0</v>
      </c>
      <c r="M18" s="6">
        <v>0</v>
      </c>
      <c r="N18" s="6" t="str">
        <f>""</f>
        <v/>
      </c>
      <c r="O18" s="6">
        <v>33918</v>
      </c>
      <c r="P18" s="6" t="s">
        <v>243</v>
      </c>
      <c r="R18" s="6" t="s">
        <v>207</v>
      </c>
      <c r="S18" s="6" t="s">
        <v>244</v>
      </c>
      <c r="T18" s="6">
        <v>0</v>
      </c>
      <c r="U18" s="6">
        <v>0</v>
      </c>
      <c r="V18" s="6">
        <v>0</v>
      </c>
      <c r="W18" s="6">
        <v>0</v>
      </c>
      <c r="X18" s="6" t="s">
        <v>169</v>
      </c>
      <c r="Z18" s="6" t="s">
        <v>170</v>
      </c>
      <c r="AA18" s="6" t="s">
        <v>171</v>
      </c>
      <c r="AB18" s="6">
        <v>88000</v>
      </c>
      <c r="AC18" s="6" t="str">
        <f>""</f>
        <v/>
      </c>
      <c r="AS18" s="6">
        <v>0</v>
      </c>
      <c r="AT18" s="6">
        <v>0</v>
      </c>
    </row>
    <row r="19" spans="2:46">
      <c r="B19" s="6" t="s">
        <v>107</v>
      </c>
      <c r="D19" s="6" t="s">
        <v>163</v>
      </c>
      <c r="F19" s="6" t="s">
        <v>245</v>
      </c>
      <c r="G19" s="6" t="str">
        <f>"3181212101299108"</f>
        <v>3181212101299108</v>
      </c>
      <c r="I19" s="6" t="s">
        <v>246</v>
      </c>
      <c r="J19" s="6" t="str">
        <f>"color shirring shirts_black"</f>
        <v>color shirring shirts_black</v>
      </c>
      <c r="K19" s="6">
        <v>88000</v>
      </c>
      <c r="L19" s="6">
        <v>0</v>
      </c>
      <c r="M19" s="6">
        <v>0</v>
      </c>
      <c r="N19" s="6" t="str">
        <f>""</f>
        <v/>
      </c>
      <c r="O19" s="6">
        <v>33916</v>
      </c>
      <c r="P19" s="6" t="s">
        <v>247</v>
      </c>
      <c r="R19" s="6" t="s">
        <v>197</v>
      </c>
      <c r="S19" s="6" t="s">
        <v>248</v>
      </c>
      <c r="T19" s="6">
        <v>0</v>
      </c>
      <c r="U19" s="6">
        <v>0</v>
      </c>
      <c r="V19" s="6">
        <v>0</v>
      </c>
      <c r="W19" s="6">
        <v>0</v>
      </c>
      <c r="X19" s="6" t="s">
        <v>169</v>
      </c>
      <c r="Z19" s="6" t="s">
        <v>170</v>
      </c>
      <c r="AA19" s="6" t="s">
        <v>171</v>
      </c>
      <c r="AB19" s="6">
        <v>88000</v>
      </c>
      <c r="AC19" s="6" t="str">
        <f>""</f>
        <v/>
      </c>
      <c r="AS19" s="6">
        <v>0</v>
      </c>
      <c r="AT19" s="6">
        <v>0</v>
      </c>
    </row>
    <row r="20" spans="2:46">
      <c r="B20" s="6" t="s">
        <v>107</v>
      </c>
      <c r="D20" s="6" t="s">
        <v>163</v>
      </c>
      <c r="F20" s="6" t="s">
        <v>249</v>
      </c>
      <c r="G20" s="6" t="str">
        <f>"3181212101191208"</f>
        <v>3181212101191208</v>
      </c>
      <c r="I20" s="6" t="s">
        <v>250</v>
      </c>
      <c r="J20" s="6" t="str">
        <f>"collar point shirts_white"</f>
        <v>collar point shirts_white</v>
      </c>
      <c r="K20" s="6">
        <v>78000</v>
      </c>
      <c r="L20" s="6">
        <v>0</v>
      </c>
      <c r="M20" s="6">
        <v>0</v>
      </c>
      <c r="N20" s="6" t="str">
        <f>""</f>
        <v/>
      </c>
      <c r="O20" s="6">
        <v>33914</v>
      </c>
      <c r="P20" s="6" t="s">
        <v>251</v>
      </c>
      <c r="R20" s="6" t="s">
        <v>217</v>
      </c>
      <c r="S20" s="6" t="s">
        <v>252</v>
      </c>
      <c r="T20" s="6">
        <v>0</v>
      </c>
      <c r="U20" s="6">
        <v>0</v>
      </c>
      <c r="V20" s="6">
        <v>0</v>
      </c>
      <c r="W20" s="6">
        <v>0</v>
      </c>
      <c r="X20" s="6" t="s">
        <v>169</v>
      </c>
      <c r="Z20" s="6" t="s">
        <v>170</v>
      </c>
      <c r="AA20" s="6" t="s">
        <v>171</v>
      </c>
      <c r="AB20" s="6">
        <v>78000</v>
      </c>
      <c r="AC20" s="6" t="str">
        <f>""</f>
        <v/>
      </c>
      <c r="AS20" s="6">
        <v>0</v>
      </c>
      <c r="AT20" s="6">
        <v>0</v>
      </c>
    </row>
    <row r="21" spans="2:46">
      <c r="B21" s="6" t="s">
        <v>107</v>
      </c>
      <c r="D21" s="6" t="s">
        <v>163</v>
      </c>
      <c r="F21" s="6" t="s">
        <v>253</v>
      </c>
      <c r="G21" s="6" t="str">
        <f>"3181212101101208"</f>
        <v>3181212101101208</v>
      </c>
      <c r="I21" s="6" t="s">
        <v>254</v>
      </c>
      <c r="J21" s="6" t="str">
        <f>"collar point shirts_pink"</f>
        <v>collar point shirts_pink</v>
      </c>
      <c r="K21" s="6">
        <v>78000</v>
      </c>
      <c r="L21" s="6">
        <v>0</v>
      </c>
      <c r="M21" s="6">
        <v>0</v>
      </c>
      <c r="N21" s="6" t="str">
        <f>""</f>
        <v/>
      </c>
      <c r="O21" s="6">
        <v>33912</v>
      </c>
      <c r="P21" s="6" t="s">
        <v>255</v>
      </c>
      <c r="R21" s="6" t="s">
        <v>230</v>
      </c>
      <c r="S21" s="6" t="s">
        <v>256</v>
      </c>
      <c r="T21" s="6">
        <v>0</v>
      </c>
      <c r="U21" s="6">
        <v>0</v>
      </c>
      <c r="V21" s="6">
        <v>0</v>
      </c>
      <c r="W21" s="6">
        <v>0</v>
      </c>
      <c r="X21" s="6" t="s">
        <v>169</v>
      </c>
      <c r="Z21" s="6" t="s">
        <v>170</v>
      </c>
      <c r="AA21" s="6" t="s">
        <v>171</v>
      </c>
      <c r="AB21" s="6">
        <v>78000</v>
      </c>
      <c r="AC21" s="6" t="str">
        <f>""</f>
        <v/>
      </c>
      <c r="AS21" s="6">
        <v>0</v>
      </c>
      <c r="AT21" s="6">
        <v>0</v>
      </c>
    </row>
    <row r="22" spans="2:46">
      <c r="B22" s="6" t="s">
        <v>107</v>
      </c>
      <c r="D22" s="6" t="s">
        <v>163</v>
      </c>
      <c r="F22" s="6" t="s">
        <v>257</v>
      </c>
      <c r="G22" s="6" t="str">
        <f>"3181212101065208"</f>
        <v>3181212101065208</v>
      </c>
      <c r="I22" s="6" t="s">
        <v>258</v>
      </c>
      <c r="J22" s="6" t="str">
        <f>"flare shirts_yellow"</f>
        <v>flare shirts_yellow</v>
      </c>
      <c r="K22" s="6">
        <v>77000</v>
      </c>
      <c r="L22" s="6">
        <v>0</v>
      </c>
      <c r="M22" s="6">
        <v>0</v>
      </c>
      <c r="N22" s="6" t="str">
        <f>""</f>
        <v/>
      </c>
      <c r="O22" s="6">
        <v>33910</v>
      </c>
      <c r="P22" s="6" t="s">
        <v>259</v>
      </c>
      <c r="R22" s="6" t="s">
        <v>260</v>
      </c>
      <c r="S22" s="6" t="s">
        <v>261</v>
      </c>
      <c r="T22" s="6">
        <v>0</v>
      </c>
      <c r="U22" s="6">
        <v>0</v>
      </c>
      <c r="V22" s="6">
        <v>0</v>
      </c>
      <c r="W22" s="6">
        <v>0</v>
      </c>
      <c r="X22" s="6" t="s">
        <v>169</v>
      </c>
      <c r="Z22" s="6" t="s">
        <v>170</v>
      </c>
      <c r="AA22" s="6" t="s">
        <v>171</v>
      </c>
      <c r="AB22" s="6">
        <v>77000</v>
      </c>
      <c r="AC22" s="6" t="str">
        <f>""</f>
        <v/>
      </c>
      <c r="AS22" s="6">
        <v>0</v>
      </c>
      <c r="AT22" s="6">
        <v>0</v>
      </c>
    </row>
    <row r="23" spans="2:46">
      <c r="B23" s="6" t="s">
        <v>107</v>
      </c>
      <c r="D23" s="6" t="s">
        <v>163</v>
      </c>
      <c r="F23" s="6" t="s">
        <v>262</v>
      </c>
      <c r="G23" s="6" t="str">
        <f>"3181212101001208"</f>
        <v>3181212101001208</v>
      </c>
      <c r="I23" s="6" t="s">
        <v>263</v>
      </c>
      <c r="J23" s="6" t="str">
        <f>"flare shirts_pink"</f>
        <v>flare shirts_pink</v>
      </c>
      <c r="K23" s="6">
        <v>77000</v>
      </c>
      <c r="L23" s="6">
        <v>0</v>
      </c>
      <c r="M23" s="6">
        <v>0</v>
      </c>
      <c r="N23" s="6" t="str">
        <f>""</f>
        <v/>
      </c>
      <c r="O23" s="6">
        <v>33908</v>
      </c>
      <c r="P23" s="6" t="s">
        <v>264</v>
      </c>
      <c r="R23" s="6" t="s">
        <v>230</v>
      </c>
      <c r="S23" s="6" t="s">
        <v>265</v>
      </c>
      <c r="T23" s="6">
        <v>0</v>
      </c>
      <c r="U23" s="6">
        <v>0</v>
      </c>
      <c r="V23" s="6">
        <v>0</v>
      </c>
      <c r="W23" s="6">
        <v>0</v>
      </c>
      <c r="X23" s="6" t="s">
        <v>169</v>
      </c>
      <c r="Z23" s="6" t="s">
        <v>170</v>
      </c>
      <c r="AA23" s="6" t="s">
        <v>171</v>
      </c>
      <c r="AB23" s="6">
        <v>77000</v>
      </c>
      <c r="AC23" s="6" t="str">
        <f>""</f>
        <v/>
      </c>
      <c r="AS23" s="6">
        <v>0</v>
      </c>
      <c r="AT23" s="6">
        <v>0</v>
      </c>
    </row>
    <row r="24" spans="2:46">
      <c r="B24" s="6" t="s">
        <v>107</v>
      </c>
      <c r="D24" s="6" t="s">
        <v>163</v>
      </c>
      <c r="F24" s="6" t="s">
        <v>266</v>
      </c>
      <c r="G24" s="6" t="str">
        <f>"3181212100923208"</f>
        <v>3181212100923208</v>
      </c>
      <c r="I24" s="6" t="s">
        <v>267</v>
      </c>
      <c r="J24" s="6" t="str">
        <f>"zip up shirts_skyblue"</f>
        <v>zip up shirts_skyblue</v>
      </c>
      <c r="K24" s="6">
        <v>92000</v>
      </c>
      <c r="L24" s="6">
        <v>0</v>
      </c>
      <c r="M24" s="6">
        <v>0</v>
      </c>
      <c r="N24" s="6" t="str">
        <f>""</f>
        <v/>
      </c>
      <c r="O24" s="6">
        <v>33906</v>
      </c>
      <c r="P24" s="6" t="s">
        <v>268</v>
      </c>
      <c r="R24" s="6" t="s">
        <v>207</v>
      </c>
      <c r="S24" s="6" t="s">
        <v>269</v>
      </c>
      <c r="T24" s="6">
        <v>0</v>
      </c>
      <c r="U24" s="6">
        <v>0</v>
      </c>
      <c r="V24" s="6">
        <v>0</v>
      </c>
      <c r="W24" s="6">
        <v>0</v>
      </c>
      <c r="X24" s="6" t="s">
        <v>169</v>
      </c>
      <c r="Z24" s="6" t="s">
        <v>170</v>
      </c>
      <c r="AA24" s="6" t="s">
        <v>171</v>
      </c>
      <c r="AB24" s="6">
        <v>92000</v>
      </c>
      <c r="AC24" s="6" t="str">
        <f>""</f>
        <v/>
      </c>
      <c r="AS24" s="6">
        <v>0</v>
      </c>
      <c r="AT24" s="6">
        <v>0</v>
      </c>
    </row>
    <row r="25" spans="2:46">
      <c r="B25" s="6" t="s">
        <v>107</v>
      </c>
      <c r="D25" s="6" t="s">
        <v>163</v>
      </c>
      <c r="F25" s="6" t="s">
        <v>270</v>
      </c>
      <c r="G25" s="6" t="str">
        <f>"3181212100999208"</f>
        <v>3181212100999208</v>
      </c>
      <c r="I25" s="6" t="s">
        <v>271</v>
      </c>
      <c r="J25" s="6" t="str">
        <f>"zip up shirts_black"</f>
        <v>zip up shirts_black</v>
      </c>
      <c r="K25" s="6">
        <v>92000</v>
      </c>
      <c r="L25" s="6">
        <v>0</v>
      </c>
      <c r="M25" s="6">
        <v>0</v>
      </c>
      <c r="N25" s="6" t="str">
        <f>""</f>
        <v/>
      </c>
      <c r="O25" s="6">
        <v>33904</v>
      </c>
      <c r="P25" s="6" t="s">
        <v>272</v>
      </c>
      <c r="R25" s="6" t="s">
        <v>197</v>
      </c>
      <c r="S25" s="6" t="s">
        <v>273</v>
      </c>
      <c r="T25" s="6">
        <v>0</v>
      </c>
      <c r="U25" s="6">
        <v>0</v>
      </c>
      <c r="V25" s="6">
        <v>0</v>
      </c>
      <c r="W25" s="6">
        <v>0</v>
      </c>
      <c r="X25" s="6" t="s">
        <v>169</v>
      </c>
      <c r="Z25" s="6" t="s">
        <v>170</v>
      </c>
      <c r="AA25" s="6" t="s">
        <v>171</v>
      </c>
      <c r="AB25" s="6">
        <v>92000</v>
      </c>
      <c r="AC25" s="6" t="str">
        <f>""</f>
        <v/>
      </c>
      <c r="AS25" s="6">
        <v>0</v>
      </c>
      <c r="AT25" s="6">
        <v>0</v>
      </c>
    </row>
    <row r="26" spans="2:46">
      <c r="B26" s="6" t="s">
        <v>107</v>
      </c>
      <c r="D26" s="6" t="s">
        <v>163</v>
      </c>
      <c r="F26" s="6" t="s">
        <v>274</v>
      </c>
      <c r="G26" s="6" t="str">
        <f>"3181252102162208"</f>
        <v>3181252102162208</v>
      </c>
      <c r="I26" s="6" t="s">
        <v>275</v>
      </c>
      <c r="J26" s="6" t="str">
        <f>"waist shirring onepiece_orange"</f>
        <v>waist shirring onepiece_orange</v>
      </c>
      <c r="K26" s="6">
        <v>105000</v>
      </c>
      <c r="L26" s="6">
        <v>0</v>
      </c>
      <c r="M26" s="6">
        <v>0</v>
      </c>
      <c r="N26" s="6" t="str">
        <f>""</f>
        <v/>
      </c>
      <c r="O26" s="6">
        <v>33902</v>
      </c>
      <c r="P26" s="6" t="s">
        <v>276</v>
      </c>
      <c r="R26" s="6" t="s">
        <v>277</v>
      </c>
      <c r="S26" s="6" t="s">
        <v>278</v>
      </c>
      <c r="T26" s="6">
        <v>0</v>
      </c>
      <c r="U26" s="6">
        <v>0</v>
      </c>
      <c r="V26" s="6">
        <v>0</v>
      </c>
      <c r="W26" s="6">
        <v>0</v>
      </c>
      <c r="X26" s="6" t="s">
        <v>169</v>
      </c>
      <c r="Z26" s="6" t="s">
        <v>170</v>
      </c>
      <c r="AA26" s="6" t="s">
        <v>171</v>
      </c>
      <c r="AB26" s="6">
        <v>105000</v>
      </c>
      <c r="AC26" s="6" t="str">
        <f>""</f>
        <v/>
      </c>
      <c r="AS26" s="6">
        <v>0</v>
      </c>
      <c r="AT26" s="6">
        <v>0</v>
      </c>
    </row>
    <row r="27" spans="2:46">
      <c r="B27" s="6" t="s">
        <v>107</v>
      </c>
      <c r="D27" s="6" t="s">
        <v>163</v>
      </c>
      <c r="F27" s="6" t="s">
        <v>279</v>
      </c>
      <c r="G27" s="6" t="str">
        <f>"3181252102103208"</f>
        <v>3181252102103208</v>
      </c>
      <c r="I27" s="6" t="s">
        <v>280</v>
      </c>
      <c r="J27" s="6" t="str">
        <f>"waist shirring onepiece_light purple"</f>
        <v>waist shirring onepiece_light purple</v>
      </c>
      <c r="K27" s="6">
        <v>105000</v>
      </c>
      <c r="L27" s="6">
        <v>0</v>
      </c>
      <c r="M27" s="6">
        <v>0</v>
      </c>
      <c r="N27" s="6" t="str">
        <f>""</f>
        <v/>
      </c>
      <c r="O27" s="6">
        <v>33900</v>
      </c>
      <c r="P27" s="6" t="s">
        <v>281</v>
      </c>
      <c r="R27" s="6" t="s">
        <v>282</v>
      </c>
      <c r="S27" s="6" t="s">
        <v>283</v>
      </c>
      <c r="T27" s="6">
        <v>0</v>
      </c>
      <c r="U27" s="6">
        <v>0</v>
      </c>
      <c r="V27" s="6">
        <v>0</v>
      </c>
      <c r="W27" s="6">
        <v>0</v>
      </c>
      <c r="X27" s="6" t="s">
        <v>169</v>
      </c>
      <c r="Z27" s="6" t="s">
        <v>170</v>
      </c>
      <c r="AA27" s="6" t="s">
        <v>171</v>
      </c>
      <c r="AB27" s="6">
        <v>105000</v>
      </c>
      <c r="AC27" s="6" t="str">
        <f>""</f>
        <v/>
      </c>
      <c r="AS27" s="6">
        <v>0</v>
      </c>
      <c r="AT27" s="6">
        <v>0</v>
      </c>
    </row>
    <row r="28" spans="2:46">
      <c r="B28" s="6" t="s">
        <v>107</v>
      </c>
      <c r="D28" s="6" t="s">
        <v>163</v>
      </c>
      <c r="F28" s="6" t="s">
        <v>284</v>
      </c>
      <c r="G28" s="6" t="str">
        <f>"3181132100518208"</f>
        <v>3181132100518208</v>
      </c>
      <c r="I28" s="6" t="s">
        <v>285</v>
      </c>
      <c r="J28" s="6" t="str">
        <f>"frill cardigan_navy"</f>
        <v>frill cardigan_navy</v>
      </c>
      <c r="K28" s="6">
        <v>78000</v>
      </c>
      <c r="L28" s="6">
        <v>0</v>
      </c>
      <c r="M28" s="6">
        <v>0</v>
      </c>
      <c r="N28" s="6" t="str">
        <f>""</f>
        <v/>
      </c>
      <c r="O28" s="6">
        <v>33898</v>
      </c>
      <c r="P28" s="6" t="s">
        <v>286</v>
      </c>
      <c r="R28" s="6" t="s">
        <v>212</v>
      </c>
      <c r="S28" s="6" t="s">
        <v>287</v>
      </c>
      <c r="T28" s="6">
        <v>0</v>
      </c>
      <c r="U28" s="6">
        <v>0</v>
      </c>
      <c r="V28" s="6">
        <v>0</v>
      </c>
      <c r="W28" s="6">
        <v>0</v>
      </c>
      <c r="X28" s="6" t="s">
        <v>169</v>
      </c>
      <c r="Z28" s="6" t="s">
        <v>170</v>
      </c>
      <c r="AA28" s="6" t="s">
        <v>171</v>
      </c>
      <c r="AB28" s="6">
        <v>78000</v>
      </c>
      <c r="AC28" s="6" t="str">
        <f>""</f>
        <v/>
      </c>
      <c r="AS28" s="6">
        <v>0</v>
      </c>
      <c r="AT28" s="6">
        <v>0</v>
      </c>
    </row>
    <row r="29" spans="2:46">
      <c r="B29" s="6" t="s">
        <v>107</v>
      </c>
      <c r="D29" s="6" t="s">
        <v>163</v>
      </c>
      <c r="F29" s="6" t="s">
        <v>288</v>
      </c>
      <c r="G29" s="6" t="str">
        <f>"3181132100566208"</f>
        <v>3181132100566208</v>
      </c>
      <c r="I29" s="6" t="s">
        <v>289</v>
      </c>
      <c r="J29" s="6" t="str">
        <f>"frill cardigan_dark pink"</f>
        <v>frill cardigan_dark pink</v>
      </c>
      <c r="K29" s="6">
        <v>78000</v>
      </c>
      <c r="L29" s="6">
        <v>0</v>
      </c>
      <c r="M29" s="6">
        <v>0</v>
      </c>
      <c r="N29" s="6" t="str">
        <f>""</f>
        <v/>
      </c>
      <c r="O29" s="6">
        <v>33896</v>
      </c>
      <c r="P29" s="6" t="s">
        <v>290</v>
      </c>
      <c r="R29" s="6" t="s">
        <v>291</v>
      </c>
      <c r="S29" s="6" t="s">
        <v>292</v>
      </c>
      <c r="T29" s="6">
        <v>0</v>
      </c>
      <c r="U29" s="6">
        <v>0</v>
      </c>
      <c r="V29" s="6">
        <v>0</v>
      </c>
      <c r="W29" s="6">
        <v>0</v>
      </c>
      <c r="X29" s="6" t="s">
        <v>169</v>
      </c>
      <c r="Z29" s="6" t="s">
        <v>170</v>
      </c>
      <c r="AA29" s="6" t="s">
        <v>171</v>
      </c>
      <c r="AB29" s="6">
        <v>78000</v>
      </c>
      <c r="AC29" s="6" t="str">
        <f>""</f>
        <v/>
      </c>
      <c r="AS29" s="6">
        <v>0</v>
      </c>
      <c r="AT29" s="6">
        <v>0</v>
      </c>
    </row>
    <row r="30" spans="2:46">
      <c r="B30" s="6" t="s">
        <v>107</v>
      </c>
      <c r="D30" s="6" t="s">
        <v>163</v>
      </c>
      <c r="F30" s="6" t="s">
        <v>293</v>
      </c>
      <c r="G30" s="6" t="str">
        <f>"3181112100690208"</f>
        <v>3181112100690208</v>
      </c>
      <c r="I30" s="6" t="s">
        <v>294</v>
      </c>
      <c r="J30" s="6" t="str">
        <f>"frill trench coat_light grey"</f>
        <v>frill trench coat_light grey</v>
      </c>
      <c r="K30" s="6">
        <v>159000</v>
      </c>
      <c r="L30" s="6">
        <v>0</v>
      </c>
      <c r="M30" s="6">
        <v>0</v>
      </c>
      <c r="N30" s="6" t="str">
        <f>""</f>
        <v/>
      </c>
      <c r="O30" s="6">
        <v>33894</v>
      </c>
      <c r="P30" s="6" t="s">
        <v>295</v>
      </c>
      <c r="R30" s="6" t="s">
        <v>296</v>
      </c>
      <c r="S30" s="6" t="s">
        <v>297</v>
      </c>
      <c r="T30" s="6">
        <v>0</v>
      </c>
      <c r="U30" s="6">
        <v>0</v>
      </c>
      <c r="V30" s="6">
        <v>0</v>
      </c>
      <c r="W30" s="6">
        <v>0</v>
      </c>
      <c r="X30" s="6" t="s">
        <v>169</v>
      </c>
      <c r="Z30" s="6" t="s">
        <v>170</v>
      </c>
      <c r="AA30" s="6" t="s">
        <v>171</v>
      </c>
      <c r="AB30" s="6">
        <v>159000</v>
      </c>
      <c r="AC30" s="6" t="str">
        <f>""</f>
        <v/>
      </c>
      <c r="AS30" s="6">
        <v>0</v>
      </c>
      <c r="AT30" s="6">
        <v>0</v>
      </c>
    </row>
    <row r="31" spans="2:46">
      <c r="B31" s="6" t="s">
        <v>107</v>
      </c>
      <c r="D31" s="6" t="s">
        <v>163</v>
      </c>
      <c r="F31" s="6" t="s">
        <v>298</v>
      </c>
      <c r="G31" s="6" t="str">
        <f>"3181112100674208"</f>
        <v>3181112100674208</v>
      </c>
      <c r="I31" s="6" t="s">
        <v>299</v>
      </c>
      <c r="J31" s="6" t="str">
        <f>"frill trench coat_beige"</f>
        <v>frill trench coat_beige</v>
      </c>
      <c r="K31" s="6">
        <v>159000</v>
      </c>
      <c r="L31" s="6">
        <v>0</v>
      </c>
      <c r="M31" s="6">
        <v>0</v>
      </c>
      <c r="N31" s="6" t="str">
        <f>""</f>
        <v/>
      </c>
      <c r="O31" s="6">
        <v>33892</v>
      </c>
      <c r="P31" s="6" t="s">
        <v>300</v>
      </c>
      <c r="R31" s="6" t="s">
        <v>202</v>
      </c>
      <c r="S31" s="6" t="s">
        <v>301</v>
      </c>
      <c r="T31" s="6">
        <v>0</v>
      </c>
      <c r="U31" s="6">
        <v>0</v>
      </c>
      <c r="V31" s="6">
        <v>0</v>
      </c>
      <c r="W31" s="6">
        <v>0</v>
      </c>
      <c r="X31" s="6" t="s">
        <v>169</v>
      </c>
      <c r="Z31" s="6" t="s">
        <v>170</v>
      </c>
      <c r="AA31" s="6" t="s">
        <v>171</v>
      </c>
      <c r="AB31" s="6">
        <v>159000</v>
      </c>
      <c r="AC31" s="6" t="str">
        <f>""</f>
        <v/>
      </c>
      <c r="AS31" s="6">
        <v>0</v>
      </c>
      <c r="AT31" s="6">
        <v>0</v>
      </c>
    </row>
    <row r="32" spans="2:46">
      <c r="B32" s="6" t="s">
        <v>114</v>
      </c>
      <c r="D32" s="6" t="s">
        <v>163</v>
      </c>
      <c r="F32" s="6" t="s">
        <v>302</v>
      </c>
      <c r="G32" s="6" t="str">
        <f>"2000000012117"</f>
        <v>2000000012117</v>
      </c>
      <c r="I32" s="6" t="s">
        <v>303</v>
      </c>
      <c r="J32" s="6" t="str">
        <f>"Becky Pink ARS00574_PK"</f>
        <v>Becky Pink ARS00574_PK</v>
      </c>
      <c r="K32" s="6">
        <v>75000</v>
      </c>
      <c r="L32" s="6">
        <v>0</v>
      </c>
      <c r="M32" s="6">
        <v>0</v>
      </c>
      <c r="N32" s="6" t="str">
        <f>""</f>
        <v/>
      </c>
      <c r="O32" s="6">
        <v>33890</v>
      </c>
      <c r="P32" s="6" t="s">
        <v>304</v>
      </c>
      <c r="R32" s="6" t="s">
        <v>305</v>
      </c>
      <c r="S32" s="6" t="s">
        <v>306</v>
      </c>
      <c r="T32" s="6">
        <v>0</v>
      </c>
      <c r="U32" s="6">
        <v>0</v>
      </c>
      <c r="V32" s="6">
        <v>0</v>
      </c>
      <c r="W32" s="6">
        <v>0</v>
      </c>
      <c r="X32" s="6" t="s">
        <v>169</v>
      </c>
      <c r="Z32" s="6" t="s">
        <v>170</v>
      </c>
      <c r="AA32" s="6" t="s">
        <v>171</v>
      </c>
      <c r="AB32" s="6">
        <v>75000</v>
      </c>
      <c r="AC32" s="6" t="str">
        <f>""</f>
        <v/>
      </c>
      <c r="AS32" s="6">
        <v>0</v>
      </c>
      <c r="AT32" s="6">
        <v>0</v>
      </c>
    </row>
    <row r="33" spans="2:46">
      <c r="B33" s="6" t="s">
        <v>114</v>
      </c>
      <c r="D33" s="6" t="s">
        <v>163</v>
      </c>
      <c r="F33" s="6" t="s">
        <v>307</v>
      </c>
      <c r="G33" s="6" t="str">
        <f>"2000000012124"</f>
        <v>2000000012124</v>
      </c>
      <c r="I33" s="6" t="s">
        <v>308</v>
      </c>
      <c r="J33" s="6" t="str">
        <f>"Becky Burgundy ARS00574_BU"</f>
        <v>Becky Burgundy ARS00574_BU</v>
      </c>
      <c r="K33" s="6">
        <v>75000</v>
      </c>
      <c r="L33" s="6">
        <v>0</v>
      </c>
      <c r="M33" s="6">
        <v>0</v>
      </c>
      <c r="N33" s="6" t="str">
        <f>""</f>
        <v/>
      </c>
      <c r="O33" s="6">
        <v>33888</v>
      </c>
      <c r="P33" s="6" t="s">
        <v>309</v>
      </c>
      <c r="R33" s="6" t="s">
        <v>310</v>
      </c>
      <c r="S33" s="6" t="s">
        <v>311</v>
      </c>
      <c r="T33" s="6">
        <v>0</v>
      </c>
      <c r="U33" s="6">
        <v>0</v>
      </c>
      <c r="V33" s="6">
        <v>0</v>
      </c>
      <c r="W33" s="6">
        <v>0</v>
      </c>
      <c r="X33" s="6" t="s">
        <v>169</v>
      </c>
      <c r="Z33" s="6" t="s">
        <v>170</v>
      </c>
      <c r="AA33" s="6" t="s">
        <v>171</v>
      </c>
      <c r="AB33" s="6">
        <v>75000</v>
      </c>
      <c r="AC33" s="6" t="str">
        <f>""</f>
        <v/>
      </c>
      <c r="AS33" s="6">
        <v>0</v>
      </c>
      <c r="AT33" s="6">
        <v>0</v>
      </c>
    </row>
    <row r="34" spans="2:46">
      <c r="B34" s="6" t="s">
        <v>114</v>
      </c>
      <c r="D34" s="6" t="s">
        <v>163</v>
      </c>
      <c r="F34" s="6" t="s">
        <v>312</v>
      </c>
      <c r="G34" s="6" t="str">
        <f>"2000000012254"</f>
        <v>2000000012254</v>
      </c>
      <c r="I34" s="6" t="s">
        <v>313</v>
      </c>
      <c r="J34" s="6" t="str">
        <f>"Kassia Red KDK00576_RD"</f>
        <v>Kassia Red KDK00576_RD</v>
      </c>
      <c r="K34" s="6">
        <v>63000</v>
      </c>
      <c r="L34" s="6">
        <v>0</v>
      </c>
      <c r="M34" s="6">
        <v>0</v>
      </c>
      <c r="N34" s="6" t="str">
        <f>""</f>
        <v/>
      </c>
      <c r="O34" s="6">
        <v>33886</v>
      </c>
      <c r="P34" s="6" t="s">
        <v>314</v>
      </c>
      <c r="R34" s="6" t="s">
        <v>315</v>
      </c>
      <c r="S34" s="6" t="s">
        <v>316</v>
      </c>
      <c r="T34" s="6">
        <v>0</v>
      </c>
      <c r="U34" s="6">
        <v>0</v>
      </c>
      <c r="V34" s="6">
        <v>0</v>
      </c>
      <c r="W34" s="6">
        <v>0</v>
      </c>
      <c r="X34" s="6" t="s">
        <v>169</v>
      </c>
      <c r="Z34" s="6" t="s">
        <v>170</v>
      </c>
      <c r="AA34" s="6" t="s">
        <v>171</v>
      </c>
      <c r="AB34" s="6">
        <v>63000</v>
      </c>
      <c r="AC34" s="6" t="str">
        <f>""</f>
        <v/>
      </c>
      <c r="AS34" s="6">
        <v>0</v>
      </c>
      <c r="AT34" s="6">
        <v>0</v>
      </c>
    </row>
    <row r="35" spans="2:46">
      <c r="B35" s="6" t="s">
        <v>114</v>
      </c>
      <c r="D35" s="6" t="s">
        <v>163</v>
      </c>
      <c r="F35" s="6" t="s">
        <v>317</v>
      </c>
      <c r="G35" s="6" t="str">
        <f>"2000000012230"</f>
        <v>2000000012230</v>
      </c>
      <c r="I35" s="6" t="s">
        <v>318</v>
      </c>
      <c r="J35" s="6" t="str">
        <f>"Kassia Light Purple KDK00576_LP"</f>
        <v>Kassia Light Purple KDK00576_LP</v>
      </c>
      <c r="K35" s="6">
        <v>63000</v>
      </c>
      <c r="L35" s="6">
        <v>0</v>
      </c>
      <c r="M35" s="6">
        <v>0</v>
      </c>
      <c r="N35" s="6" t="str">
        <f>""</f>
        <v/>
      </c>
      <c r="O35" s="6">
        <v>33884</v>
      </c>
      <c r="P35" s="6" t="s">
        <v>319</v>
      </c>
      <c r="R35" s="6" t="s">
        <v>320</v>
      </c>
      <c r="S35" s="6" t="s">
        <v>321</v>
      </c>
      <c r="T35" s="6">
        <v>0</v>
      </c>
      <c r="U35" s="6">
        <v>0</v>
      </c>
      <c r="V35" s="6">
        <v>0</v>
      </c>
      <c r="W35" s="6">
        <v>0</v>
      </c>
      <c r="X35" s="6" t="s">
        <v>169</v>
      </c>
      <c r="Z35" s="6" t="s">
        <v>170</v>
      </c>
      <c r="AA35" s="6" t="s">
        <v>171</v>
      </c>
      <c r="AB35" s="6">
        <v>63000</v>
      </c>
      <c r="AC35" s="6" t="str">
        <f>""</f>
        <v/>
      </c>
      <c r="AS35" s="6">
        <v>0</v>
      </c>
      <c r="AT35" s="6">
        <v>0</v>
      </c>
    </row>
    <row r="36" spans="2:46">
      <c r="B36" s="6" t="s">
        <v>114</v>
      </c>
      <c r="D36" s="6" t="s">
        <v>163</v>
      </c>
      <c r="F36" s="6" t="s">
        <v>322</v>
      </c>
      <c r="G36" s="6" t="str">
        <f>"2000000012247"</f>
        <v>2000000012247</v>
      </c>
      <c r="I36" s="6" t="s">
        <v>323</v>
      </c>
      <c r="J36" s="6" t="str">
        <f>"Kassia Ivory KDK00576_IV"</f>
        <v>Kassia Ivory KDK00576_IV</v>
      </c>
      <c r="K36" s="6">
        <v>63000</v>
      </c>
      <c r="L36" s="6">
        <v>0</v>
      </c>
      <c r="M36" s="6">
        <v>0</v>
      </c>
      <c r="N36" s="6" t="str">
        <f>""</f>
        <v/>
      </c>
      <c r="O36" s="6">
        <v>33882</v>
      </c>
      <c r="P36" s="6" t="s">
        <v>324</v>
      </c>
      <c r="R36" s="6" t="s">
        <v>325</v>
      </c>
      <c r="S36" s="6" t="s">
        <v>326</v>
      </c>
      <c r="T36" s="6">
        <v>0</v>
      </c>
      <c r="U36" s="6">
        <v>0</v>
      </c>
      <c r="V36" s="6">
        <v>0</v>
      </c>
      <c r="W36" s="6">
        <v>0</v>
      </c>
      <c r="X36" s="6" t="s">
        <v>169</v>
      </c>
      <c r="Z36" s="6" t="s">
        <v>170</v>
      </c>
      <c r="AA36" s="6" t="s">
        <v>171</v>
      </c>
      <c r="AB36" s="6">
        <v>63000</v>
      </c>
      <c r="AC36" s="6" t="str">
        <f>""</f>
        <v/>
      </c>
      <c r="AS36" s="6">
        <v>0</v>
      </c>
      <c r="AT36" s="6">
        <v>0</v>
      </c>
    </row>
    <row r="37" spans="2:46">
      <c r="B37" s="6" t="s">
        <v>114</v>
      </c>
      <c r="D37" s="6" t="s">
        <v>163</v>
      </c>
      <c r="F37" s="6" t="s">
        <v>327</v>
      </c>
      <c r="G37" s="6" t="str">
        <f>"2000000012223"</f>
        <v>2000000012223</v>
      </c>
      <c r="I37" s="6" t="s">
        <v>328</v>
      </c>
      <c r="J37" s="6" t="str">
        <f>"Kassia Indy Pink KDK00576_IP"</f>
        <v>Kassia Indy Pink KDK00576_IP</v>
      </c>
      <c r="K37" s="6">
        <v>63000</v>
      </c>
      <c r="L37" s="6">
        <v>0</v>
      </c>
      <c r="M37" s="6">
        <v>0</v>
      </c>
      <c r="N37" s="6" t="str">
        <f>""</f>
        <v/>
      </c>
      <c r="O37" s="6">
        <v>33880</v>
      </c>
      <c r="P37" s="6" t="s">
        <v>329</v>
      </c>
      <c r="R37" s="6" t="s">
        <v>330</v>
      </c>
      <c r="S37" s="6" t="s">
        <v>331</v>
      </c>
      <c r="T37" s="6">
        <v>0</v>
      </c>
      <c r="U37" s="6">
        <v>0</v>
      </c>
      <c r="V37" s="6">
        <v>0</v>
      </c>
      <c r="W37" s="6">
        <v>0</v>
      </c>
      <c r="X37" s="6" t="s">
        <v>169</v>
      </c>
      <c r="Z37" s="6" t="s">
        <v>170</v>
      </c>
      <c r="AA37" s="6" t="s">
        <v>171</v>
      </c>
      <c r="AB37" s="6">
        <v>63000</v>
      </c>
      <c r="AC37" s="6" t="str">
        <f>""</f>
        <v/>
      </c>
      <c r="AS37" s="6">
        <v>0</v>
      </c>
      <c r="AT37" s="6">
        <v>0</v>
      </c>
    </row>
    <row r="38" spans="2:46">
      <c r="B38" s="6" t="s">
        <v>114</v>
      </c>
      <c r="D38" s="6" t="s">
        <v>163</v>
      </c>
      <c r="F38" s="6" t="s">
        <v>332</v>
      </c>
      <c r="G38" s="6" t="str">
        <f>"2000000012216"</f>
        <v>2000000012216</v>
      </c>
      <c r="I38" s="6" t="s">
        <v>333</v>
      </c>
      <c r="J38" s="6" t="str">
        <f>"Kassia Black KDK00576_BK"</f>
        <v>Kassia Black KDK00576_BK</v>
      </c>
      <c r="K38" s="6">
        <v>63000</v>
      </c>
      <c r="L38" s="6">
        <v>0</v>
      </c>
      <c r="M38" s="6">
        <v>0</v>
      </c>
      <c r="N38" s="6" t="str">
        <f>""</f>
        <v/>
      </c>
      <c r="O38" s="6">
        <v>33878</v>
      </c>
      <c r="P38" s="6" t="s">
        <v>334</v>
      </c>
      <c r="R38" s="6" t="s">
        <v>335</v>
      </c>
      <c r="S38" s="6" t="s">
        <v>336</v>
      </c>
      <c r="T38" s="6">
        <v>0</v>
      </c>
      <c r="U38" s="6">
        <v>0</v>
      </c>
      <c r="V38" s="6">
        <v>0</v>
      </c>
      <c r="W38" s="6">
        <v>0</v>
      </c>
      <c r="X38" s="6" t="s">
        <v>169</v>
      </c>
      <c r="Z38" s="6" t="s">
        <v>170</v>
      </c>
      <c r="AA38" s="6" t="s">
        <v>171</v>
      </c>
      <c r="AB38" s="6">
        <v>63000</v>
      </c>
      <c r="AC38" s="6" t="str">
        <f>""</f>
        <v/>
      </c>
      <c r="AS38" s="6">
        <v>0</v>
      </c>
      <c r="AT38" s="6">
        <v>0</v>
      </c>
    </row>
    <row r="39" spans="2:46">
      <c r="B39" s="6" t="s">
        <v>114</v>
      </c>
      <c r="D39" s="6" t="s">
        <v>163</v>
      </c>
      <c r="F39" s="6" t="s">
        <v>337</v>
      </c>
      <c r="G39" s="6" t="str">
        <f>"2000000012209"</f>
        <v>2000000012209</v>
      </c>
      <c r="I39" s="6" t="s">
        <v>338</v>
      </c>
      <c r="J39" s="6" t="str">
        <f>"Lottie Purple DSS00575_PP"</f>
        <v>Lottie Purple DSS00575_PP</v>
      </c>
      <c r="K39" s="6">
        <v>79000</v>
      </c>
      <c r="L39" s="6">
        <v>0</v>
      </c>
      <c r="M39" s="6">
        <v>0</v>
      </c>
      <c r="N39" s="6" t="str">
        <f>""</f>
        <v/>
      </c>
      <c r="O39" s="6">
        <v>33876</v>
      </c>
      <c r="P39" s="6" t="s">
        <v>339</v>
      </c>
      <c r="R39" s="6" t="s">
        <v>340</v>
      </c>
      <c r="S39" s="6" t="s">
        <v>341</v>
      </c>
      <c r="T39" s="6">
        <v>0</v>
      </c>
      <c r="U39" s="6">
        <v>0</v>
      </c>
      <c r="V39" s="6">
        <v>0</v>
      </c>
      <c r="W39" s="6">
        <v>0</v>
      </c>
      <c r="X39" s="6" t="s">
        <v>169</v>
      </c>
      <c r="Z39" s="6" t="s">
        <v>170</v>
      </c>
      <c r="AA39" s="6" t="s">
        <v>171</v>
      </c>
      <c r="AB39" s="6">
        <v>79000</v>
      </c>
      <c r="AC39" s="6" t="str">
        <f>""</f>
        <v/>
      </c>
      <c r="AS39" s="6">
        <v>0</v>
      </c>
      <c r="AT39" s="6">
        <v>0</v>
      </c>
    </row>
    <row r="40" spans="2:46">
      <c r="B40" s="6" t="s">
        <v>114</v>
      </c>
      <c r="D40" s="6" t="s">
        <v>163</v>
      </c>
      <c r="F40" s="6" t="s">
        <v>342</v>
      </c>
      <c r="G40" s="6" t="str">
        <f>"2000000012179"</f>
        <v>2000000012179</v>
      </c>
      <c r="I40" s="6" t="s">
        <v>343</v>
      </c>
      <c r="J40" s="6" t="str">
        <f>"Lottie Mustard DSS00575_MU"</f>
        <v>Lottie Mustard DSS00575_MU</v>
      </c>
      <c r="K40" s="6">
        <v>79000</v>
      </c>
      <c r="L40" s="6">
        <v>0</v>
      </c>
      <c r="M40" s="6">
        <v>0</v>
      </c>
      <c r="N40" s="6" t="str">
        <f>""</f>
        <v/>
      </c>
      <c r="O40" s="6">
        <v>33874</v>
      </c>
      <c r="P40" s="6" t="s">
        <v>344</v>
      </c>
      <c r="R40" s="6" t="s">
        <v>345</v>
      </c>
      <c r="S40" s="6" t="s">
        <v>346</v>
      </c>
      <c r="T40" s="6">
        <v>0</v>
      </c>
      <c r="U40" s="6">
        <v>0</v>
      </c>
      <c r="V40" s="6">
        <v>0</v>
      </c>
      <c r="W40" s="6">
        <v>0</v>
      </c>
      <c r="X40" s="6" t="s">
        <v>169</v>
      </c>
      <c r="Z40" s="6" t="s">
        <v>170</v>
      </c>
      <c r="AA40" s="6" t="s">
        <v>171</v>
      </c>
      <c r="AB40" s="6">
        <v>79000</v>
      </c>
      <c r="AC40" s="6" t="str">
        <f>""</f>
        <v/>
      </c>
      <c r="AS40" s="6">
        <v>0</v>
      </c>
      <c r="AT40" s="6">
        <v>0</v>
      </c>
    </row>
    <row r="41" spans="2:46">
      <c r="B41" s="6" t="s">
        <v>114</v>
      </c>
      <c r="D41" s="6" t="s">
        <v>163</v>
      </c>
      <c r="F41" s="6" t="s">
        <v>347</v>
      </c>
      <c r="G41" s="6" t="str">
        <f>"2000000012193"</f>
        <v>2000000012193</v>
      </c>
      <c r="I41" s="6" t="s">
        <v>348</v>
      </c>
      <c r="J41" s="6" t="str">
        <f>"Lottie Ivory DSS00575_IV"</f>
        <v>Lottie Ivory DSS00575_IV</v>
      </c>
      <c r="K41" s="6">
        <v>79000</v>
      </c>
      <c r="L41" s="6">
        <v>0</v>
      </c>
      <c r="M41" s="6">
        <v>0</v>
      </c>
      <c r="N41" s="6" t="str">
        <f>""</f>
        <v/>
      </c>
      <c r="O41" s="6">
        <v>33872</v>
      </c>
      <c r="P41" s="6" t="s">
        <v>349</v>
      </c>
      <c r="R41" s="6" t="s">
        <v>325</v>
      </c>
      <c r="S41" s="6" t="s">
        <v>350</v>
      </c>
      <c r="T41" s="6">
        <v>0</v>
      </c>
      <c r="U41" s="6">
        <v>0</v>
      </c>
      <c r="V41" s="6">
        <v>0</v>
      </c>
      <c r="W41" s="6">
        <v>0</v>
      </c>
      <c r="X41" s="6" t="s">
        <v>169</v>
      </c>
      <c r="Z41" s="6" t="s">
        <v>170</v>
      </c>
      <c r="AA41" s="6" t="s">
        <v>171</v>
      </c>
      <c r="AB41" s="6">
        <v>79000</v>
      </c>
      <c r="AC41" s="6" t="str">
        <f>""</f>
        <v/>
      </c>
      <c r="AS41" s="6">
        <v>0</v>
      </c>
      <c r="AT41" s="6">
        <v>0</v>
      </c>
    </row>
    <row r="42" spans="2:46">
      <c r="B42" s="6" t="s">
        <v>114</v>
      </c>
      <c r="D42" s="6" t="s">
        <v>163</v>
      </c>
      <c r="F42" s="6" t="s">
        <v>351</v>
      </c>
      <c r="G42" s="6" t="str">
        <f>"2000000012162"</f>
        <v>2000000012162</v>
      </c>
      <c r="I42" s="6" t="s">
        <v>352</v>
      </c>
      <c r="J42" s="6" t="str">
        <f>"Lottie Black DSS00575_BK"</f>
        <v>Lottie Black DSS00575_BK</v>
      </c>
      <c r="K42" s="6">
        <v>79000</v>
      </c>
      <c r="L42" s="6">
        <v>0</v>
      </c>
      <c r="M42" s="6">
        <v>0</v>
      </c>
      <c r="N42" s="6" t="str">
        <f>""</f>
        <v/>
      </c>
      <c r="O42" s="6">
        <v>33870</v>
      </c>
      <c r="P42" s="6" t="s">
        <v>353</v>
      </c>
      <c r="R42" s="6" t="s">
        <v>335</v>
      </c>
      <c r="S42" s="6" t="s">
        <v>354</v>
      </c>
      <c r="T42" s="6">
        <v>0</v>
      </c>
      <c r="U42" s="6">
        <v>0</v>
      </c>
      <c r="V42" s="6">
        <v>0</v>
      </c>
      <c r="W42" s="6">
        <v>0</v>
      </c>
      <c r="X42" s="6" t="s">
        <v>169</v>
      </c>
      <c r="Z42" s="6" t="s">
        <v>170</v>
      </c>
      <c r="AA42" s="6" t="s">
        <v>171</v>
      </c>
      <c r="AB42" s="6">
        <v>79000</v>
      </c>
      <c r="AC42" s="6" t="str">
        <f>""</f>
        <v/>
      </c>
      <c r="AS42" s="6">
        <v>0</v>
      </c>
      <c r="AT42" s="6">
        <v>0</v>
      </c>
    </row>
    <row r="43" spans="2:46">
      <c r="B43" s="6" t="s">
        <v>114</v>
      </c>
      <c r="D43" s="6" t="s">
        <v>163</v>
      </c>
      <c r="F43" s="6" t="s">
        <v>355</v>
      </c>
      <c r="G43" s="6" t="str">
        <f>"2000000012186"</f>
        <v>2000000012186</v>
      </c>
      <c r="I43" s="6" t="s">
        <v>356</v>
      </c>
      <c r="J43" s="6" t="str">
        <f>"Lottie Beige DSS00575_BG"</f>
        <v>Lottie Beige DSS00575_BG</v>
      </c>
      <c r="K43" s="6">
        <v>79000</v>
      </c>
      <c r="L43" s="6">
        <v>0</v>
      </c>
      <c r="M43" s="6">
        <v>0</v>
      </c>
      <c r="N43" s="6" t="str">
        <f>""</f>
        <v/>
      </c>
      <c r="O43" s="6">
        <v>33868</v>
      </c>
      <c r="P43" s="6" t="s">
        <v>357</v>
      </c>
      <c r="R43" s="6" t="s">
        <v>358</v>
      </c>
      <c r="S43" s="6" t="s">
        <v>359</v>
      </c>
      <c r="T43" s="6">
        <v>0</v>
      </c>
      <c r="U43" s="6">
        <v>0</v>
      </c>
      <c r="V43" s="6">
        <v>0</v>
      </c>
      <c r="W43" s="6">
        <v>0</v>
      </c>
      <c r="X43" s="6" t="s">
        <v>169</v>
      </c>
      <c r="Z43" s="6" t="s">
        <v>170</v>
      </c>
      <c r="AA43" s="6" t="s">
        <v>171</v>
      </c>
      <c r="AB43" s="6">
        <v>79000</v>
      </c>
      <c r="AC43" s="6" t="str">
        <f>""</f>
        <v/>
      </c>
      <c r="AS43" s="6">
        <v>0</v>
      </c>
      <c r="AT43" s="6">
        <v>0</v>
      </c>
    </row>
    <row r="44" spans="2:46">
      <c r="B44" s="6" t="s">
        <v>114</v>
      </c>
      <c r="D44" s="6" t="s">
        <v>163</v>
      </c>
      <c r="F44" s="6" t="s">
        <v>360</v>
      </c>
      <c r="G44" s="6" t="str">
        <f>"2000000012094"</f>
        <v>2000000012094</v>
      </c>
      <c r="I44" s="6" t="s">
        <v>361</v>
      </c>
      <c r="J44" s="6" t="str">
        <f>"Demilune Light Gray PHK00573_LG"</f>
        <v>Demilune Light Gray PHK00573_LG</v>
      </c>
      <c r="K44" s="6">
        <v>49000</v>
      </c>
      <c r="L44" s="6">
        <v>0</v>
      </c>
      <c r="M44" s="6">
        <v>0</v>
      </c>
      <c r="N44" s="6" t="str">
        <f>""</f>
        <v/>
      </c>
      <c r="O44" s="6">
        <v>33866</v>
      </c>
      <c r="P44" s="6" t="s">
        <v>362</v>
      </c>
      <c r="R44" s="6" t="s">
        <v>363</v>
      </c>
      <c r="S44" s="6" t="s">
        <v>364</v>
      </c>
      <c r="T44" s="6">
        <v>0</v>
      </c>
      <c r="U44" s="6">
        <v>0</v>
      </c>
      <c r="V44" s="6">
        <v>0</v>
      </c>
      <c r="W44" s="6">
        <v>0</v>
      </c>
      <c r="X44" s="6" t="s">
        <v>169</v>
      </c>
      <c r="Z44" s="6" t="s">
        <v>170</v>
      </c>
      <c r="AA44" s="6" t="s">
        <v>171</v>
      </c>
      <c r="AB44" s="6">
        <v>49000</v>
      </c>
      <c r="AC44" s="6" t="str">
        <f>""</f>
        <v/>
      </c>
      <c r="AS44" s="6">
        <v>0</v>
      </c>
      <c r="AT44" s="6">
        <v>0</v>
      </c>
    </row>
    <row r="45" spans="2:46">
      <c r="B45" s="6" t="s">
        <v>114</v>
      </c>
      <c r="D45" s="6" t="s">
        <v>163</v>
      </c>
      <c r="F45" s="6" t="s">
        <v>365</v>
      </c>
      <c r="G45" s="6" t="str">
        <f>"2000000012087"</f>
        <v>2000000012087</v>
      </c>
      <c r="I45" s="6" t="s">
        <v>366</v>
      </c>
      <c r="J45" s="6" t="str">
        <f>"Demilune Indy Pink PHK00573_IP"</f>
        <v>Demilune Indy Pink PHK00573_IP</v>
      </c>
      <c r="K45" s="6">
        <v>49000</v>
      </c>
      <c r="L45" s="6">
        <v>0</v>
      </c>
      <c r="M45" s="6">
        <v>0</v>
      </c>
      <c r="N45" s="6" t="str">
        <f>""</f>
        <v/>
      </c>
      <c r="O45" s="6">
        <v>33864</v>
      </c>
      <c r="P45" s="6" t="s">
        <v>367</v>
      </c>
      <c r="R45" s="6" t="s">
        <v>330</v>
      </c>
      <c r="S45" s="6" t="s">
        <v>368</v>
      </c>
      <c r="T45" s="6">
        <v>0</v>
      </c>
      <c r="U45" s="6">
        <v>0</v>
      </c>
      <c r="V45" s="6">
        <v>0</v>
      </c>
      <c r="W45" s="6">
        <v>0</v>
      </c>
      <c r="X45" s="6" t="s">
        <v>169</v>
      </c>
      <c r="Z45" s="6" t="s">
        <v>170</v>
      </c>
      <c r="AA45" s="6" t="s">
        <v>171</v>
      </c>
      <c r="AB45" s="6">
        <v>49000</v>
      </c>
      <c r="AC45" s="6" t="str">
        <f>""</f>
        <v/>
      </c>
      <c r="AS45" s="6">
        <v>0</v>
      </c>
      <c r="AT45" s="6">
        <v>0</v>
      </c>
    </row>
    <row r="46" spans="2:46">
      <c r="B46" s="6" t="s">
        <v>114</v>
      </c>
      <c r="D46" s="6" t="s">
        <v>163</v>
      </c>
      <c r="F46" s="6" t="s">
        <v>369</v>
      </c>
      <c r="G46" s="6" t="str">
        <f>"2000000012070"</f>
        <v>2000000012070</v>
      </c>
      <c r="I46" s="6" t="s">
        <v>370</v>
      </c>
      <c r="J46" s="6" t="str">
        <f>"Demilune Brown PHK00573_BR"</f>
        <v>Demilune Brown PHK00573_BR</v>
      </c>
      <c r="K46" s="6">
        <v>49000</v>
      </c>
      <c r="L46" s="6">
        <v>0</v>
      </c>
      <c r="M46" s="6">
        <v>0</v>
      </c>
      <c r="N46" s="6" t="str">
        <f>""</f>
        <v/>
      </c>
      <c r="O46" s="6">
        <v>33862</v>
      </c>
      <c r="P46" s="6" t="s">
        <v>371</v>
      </c>
      <c r="R46" s="6" t="s">
        <v>372</v>
      </c>
      <c r="S46" s="6" t="s">
        <v>373</v>
      </c>
      <c r="T46" s="6">
        <v>0</v>
      </c>
      <c r="U46" s="6">
        <v>0</v>
      </c>
      <c r="V46" s="6">
        <v>0</v>
      </c>
      <c r="W46" s="6">
        <v>0</v>
      </c>
      <c r="X46" s="6" t="s">
        <v>169</v>
      </c>
      <c r="Z46" s="6" t="s">
        <v>170</v>
      </c>
      <c r="AA46" s="6" t="s">
        <v>171</v>
      </c>
      <c r="AB46" s="6">
        <v>49000</v>
      </c>
      <c r="AC46" s="6" t="str">
        <f>""</f>
        <v/>
      </c>
      <c r="AS46" s="6">
        <v>0</v>
      </c>
      <c r="AT46" s="6">
        <v>0</v>
      </c>
    </row>
    <row r="47" spans="2:46">
      <c r="B47" s="6" t="s">
        <v>114</v>
      </c>
      <c r="D47" s="6" t="s">
        <v>163</v>
      </c>
      <c r="F47" s="6" t="s">
        <v>374</v>
      </c>
      <c r="G47" s="6" t="str">
        <f>"2000000012063"</f>
        <v>2000000012063</v>
      </c>
      <c r="I47" s="6" t="s">
        <v>375</v>
      </c>
      <c r="J47" s="6" t="str">
        <f>"Demilune Black PHK00573_BK"</f>
        <v>Demilune Black PHK00573_BK</v>
      </c>
      <c r="K47" s="6">
        <v>49000</v>
      </c>
      <c r="L47" s="6">
        <v>0</v>
      </c>
      <c r="M47" s="6">
        <v>0</v>
      </c>
      <c r="N47" s="6" t="str">
        <f>""</f>
        <v/>
      </c>
      <c r="O47" s="6">
        <v>33860</v>
      </c>
      <c r="P47" s="6" t="s">
        <v>376</v>
      </c>
      <c r="R47" s="6" t="s">
        <v>335</v>
      </c>
      <c r="S47" s="6" t="s">
        <v>377</v>
      </c>
      <c r="T47" s="6">
        <v>0</v>
      </c>
      <c r="U47" s="6">
        <v>0</v>
      </c>
      <c r="V47" s="6">
        <v>0</v>
      </c>
      <c r="W47" s="6">
        <v>0</v>
      </c>
      <c r="X47" s="6" t="s">
        <v>169</v>
      </c>
      <c r="Z47" s="6" t="s">
        <v>170</v>
      </c>
      <c r="AA47" s="6" t="s">
        <v>171</v>
      </c>
      <c r="AB47" s="6">
        <v>49000</v>
      </c>
      <c r="AC47" s="6" t="str">
        <f>""</f>
        <v/>
      </c>
      <c r="AS47" s="6">
        <v>0</v>
      </c>
      <c r="AT47" s="6">
        <v>0</v>
      </c>
    </row>
    <row r="48" spans="2:46">
      <c r="B48" s="6" t="s">
        <v>114</v>
      </c>
      <c r="D48" s="6" t="s">
        <v>163</v>
      </c>
      <c r="F48" s="6" t="s">
        <v>378</v>
      </c>
      <c r="G48" s="6" t="str">
        <f>"2000000012100"</f>
        <v>2000000012100</v>
      </c>
      <c r="I48" s="6" t="s">
        <v>379</v>
      </c>
      <c r="J48" s="6" t="str">
        <f>"Demilune Beige PHK00573_BG"</f>
        <v>Demilune Beige PHK00573_BG</v>
      </c>
      <c r="K48" s="6">
        <v>49000</v>
      </c>
      <c r="L48" s="6">
        <v>0</v>
      </c>
      <c r="M48" s="6">
        <v>0</v>
      </c>
      <c r="N48" s="6" t="str">
        <f>""</f>
        <v/>
      </c>
      <c r="O48" s="6">
        <v>33858</v>
      </c>
      <c r="P48" s="6" t="s">
        <v>380</v>
      </c>
      <c r="R48" s="6" t="s">
        <v>358</v>
      </c>
      <c r="S48" s="6" t="s">
        <v>381</v>
      </c>
      <c r="T48" s="6">
        <v>0</v>
      </c>
      <c r="U48" s="6">
        <v>0</v>
      </c>
      <c r="V48" s="6">
        <v>0</v>
      </c>
      <c r="W48" s="6">
        <v>0</v>
      </c>
      <c r="X48" s="6" t="s">
        <v>169</v>
      </c>
      <c r="Z48" s="6" t="s">
        <v>170</v>
      </c>
      <c r="AA48" s="6" t="s">
        <v>171</v>
      </c>
      <c r="AB48" s="6">
        <v>49000</v>
      </c>
      <c r="AC48" s="6" t="str">
        <f>""</f>
        <v/>
      </c>
      <c r="AS48" s="6">
        <v>0</v>
      </c>
      <c r="AT48" s="6">
        <v>0</v>
      </c>
    </row>
    <row r="49" spans="2:46">
      <c r="B49" s="6" t="s">
        <v>114</v>
      </c>
      <c r="D49" s="6" t="s">
        <v>163</v>
      </c>
      <c r="F49" s="6" t="s">
        <v>382</v>
      </c>
      <c r="G49" s="6" t="str">
        <f>"2000000011998"</f>
        <v>2000000011998</v>
      </c>
      <c r="I49" s="6" t="s">
        <v>383</v>
      </c>
      <c r="J49" s="6" t="str">
        <f>"Matilda Black KDK00571_BK"</f>
        <v>Matilda Black KDK00571_BK</v>
      </c>
      <c r="K49" s="6">
        <v>53000</v>
      </c>
      <c r="L49" s="6">
        <v>0</v>
      </c>
      <c r="M49" s="6">
        <v>0</v>
      </c>
      <c r="N49" s="6" t="str">
        <f>""</f>
        <v/>
      </c>
      <c r="O49" s="6">
        <v>33856</v>
      </c>
      <c r="P49" s="6" t="s">
        <v>384</v>
      </c>
      <c r="R49" s="6" t="s">
        <v>335</v>
      </c>
      <c r="S49" s="6" t="s">
        <v>385</v>
      </c>
      <c r="T49" s="6">
        <v>0</v>
      </c>
      <c r="U49" s="6">
        <v>0</v>
      </c>
      <c r="V49" s="6">
        <v>0</v>
      </c>
      <c r="W49" s="6">
        <v>0</v>
      </c>
      <c r="X49" s="6" t="s">
        <v>169</v>
      </c>
      <c r="Z49" s="6" t="s">
        <v>170</v>
      </c>
      <c r="AA49" s="6" t="s">
        <v>171</v>
      </c>
      <c r="AB49" s="6">
        <v>53000</v>
      </c>
      <c r="AC49" s="6" t="str">
        <f>""</f>
        <v/>
      </c>
      <c r="AS49" s="6">
        <v>0</v>
      </c>
      <c r="AT49" s="6">
        <v>0</v>
      </c>
    </row>
    <row r="50" spans="2:46">
      <c r="B50" s="6" t="s">
        <v>114</v>
      </c>
      <c r="D50" s="6" t="s">
        <v>163</v>
      </c>
      <c r="F50" s="6" t="s">
        <v>386</v>
      </c>
      <c r="G50" s="6" t="str">
        <f>"2000000012032"</f>
        <v>2000000012032</v>
      </c>
      <c r="I50" s="6" t="s">
        <v>387</v>
      </c>
      <c r="J50" s="6" t="str">
        <f>"Joy Light Gray KJS00572_LG"</f>
        <v>Joy Light Gray KJS00572_LG</v>
      </c>
      <c r="K50" s="6">
        <v>59000</v>
      </c>
      <c r="L50" s="6">
        <v>0</v>
      </c>
      <c r="M50" s="6">
        <v>0</v>
      </c>
      <c r="N50" s="6" t="str">
        <f>""</f>
        <v/>
      </c>
      <c r="O50" s="6">
        <v>33854</v>
      </c>
      <c r="P50" s="6" t="s">
        <v>388</v>
      </c>
      <c r="R50" s="6" t="s">
        <v>363</v>
      </c>
      <c r="S50" s="6" t="s">
        <v>389</v>
      </c>
      <c r="T50" s="6">
        <v>0</v>
      </c>
      <c r="U50" s="6">
        <v>0</v>
      </c>
      <c r="V50" s="6">
        <v>0</v>
      </c>
      <c r="W50" s="6">
        <v>0</v>
      </c>
      <c r="X50" s="6" t="s">
        <v>169</v>
      </c>
      <c r="Z50" s="6" t="s">
        <v>170</v>
      </c>
      <c r="AA50" s="6" t="s">
        <v>171</v>
      </c>
      <c r="AB50" s="6">
        <v>59000</v>
      </c>
      <c r="AC50" s="6" t="str">
        <f>""</f>
        <v/>
      </c>
      <c r="AS50" s="6">
        <v>0</v>
      </c>
      <c r="AT50" s="6">
        <v>0</v>
      </c>
    </row>
    <row r="51" spans="2:46">
      <c r="B51" s="6" t="s">
        <v>114</v>
      </c>
      <c r="D51" s="6" t="s">
        <v>163</v>
      </c>
      <c r="F51" s="6" t="s">
        <v>390</v>
      </c>
      <c r="G51" s="6" t="str">
        <f>"2000000012056"</f>
        <v>2000000012056</v>
      </c>
      <c r="I51" s="6" t="s">
        <v>391</v>
      </c>
      <c r="J51" s="6" t="str">
        <f>"Joy Khaki KJS00572_KK"</f>
        <v>Joy Khaki KJS00572_KK</v>
      </c>
      <c r="K51" s="6">
        <v>59000</v>
      </c>
      <c r="L51" s="6">
        <v>0</v>
      </c>
      <c r="M51" s="6">
        <v>0</v>
      </c>
      <c r="N51" s="6" t="str">
        <f>""</f>
        <v/>
      </c>
      <c r="O51" s="6">
        <v>33852</v>
      </c>
      <c r="P51" s="6" t="s">
        <v>392</v>
      </c>
      <c r="R51" s="6" t="s">
        <v>393</v>
      </c>
      <c r="S51" s="6" t="s">
        <v>394</v>
      </c>
      <c r="T51" s="6">
        <v>0</v>
      </c>
      <c r="U51" s="6">
        <v>0</v>
      </c>
      <c r="V51" s="6">
        <v>0</v>
      </c>
      <c r="W51" s="6">
        <v>0</v>
      </c>
      <c r="X51" s="6" t="s">
        <v>169</v>
      </c>
      <c r="Z51" s="6" t="s">
        <v>170</v>
      </c>
      <c r="AA51" s="6" t="s">
        <v>171</v>
      </c>
      <c r="AB51" s="6">
        <v>59000</v>
      </c>
      <c r="AC51" s="6" t="str">
        <f>""</f>
        <v/>
      </c>
      <c r="AS51" s="6">
        <v>0</v>
      </c>
      <c r="AT51" s="6">
        <v>0</v>
      </c>
    </row>
    <row r="52" spans="2:46">
      <c r="B52" s="6" t="s">
        <v>114</v>
      </c>
      <c r="D52" s="6" t="s">
        <v>163</v>
      </c>
      <c r="F52" s="6" t="s">
        <v>395</v>
      </c>
      <c r="G52" s="6" t="str">
        <f>"2000000012025"</f>
        <v>2000000012025</v>
      </c>
      <c r="I52" s="6" t="s">
        <v>396</v>
      </c>
      <c r="J52" s="6" t="str">
        <f>"Joy Ivory KJS00572_IV"</f>
        <v>Joy Ivory KJS00572_IV</v>
      </c>
      <c r="K52" s="6">
        <v>59000</v>
      </c>
      <c r="L52" s="6">
        <v>0</v>
      </c>
      <c r="M52" s="6">
        <v>0</v>
      </c>
      <c r="N52" s="6" t="str">
        <f>""</f>
        <v/>
      </c>
      <c r="O52" s="6">
        <v>33850</v>
      </c>
      <c r="P52" s="6" t="s">
        <v>397</v>
      </c>
      <c r="R52" s="6" t="s">
        <v>325</v>
      </c>
      <c r="S52" s="6" t="s">
        <v>398</v>
      </c>
      <c r="T52" s="6">
        <v>0</v>
      </c>
      <c r="U52" s="6">
        <v>0</v>
      </c>
      <c r="V52" s="6">
        <v>0</v>
      </c>
      <c r="W52" s="6">
        <v>0</v>
      </c>
      <c r="X52" s="6" t="s">
        <v>169</v>
      </c>
      <c r="Z52" s="6" t="s">
        <v>170</v>
      </c>
      <c r="AA52" s="6" t="s">
        <v>171</v>
      </c>
      <c r="AB52" s="6">
        <v>59000</v>
      </c>
      <c r="AC52" s="6" t="str">
        <f>""</f>
        <v/>
      </c>
      <c r="AS52" s="6">
        <v>0</v>
      </c>
      <c r="AT52" s="6">
        <v>0</v>
      </c>
    </row>
    <row r="53" spans="2:46">
      <c r="B53" s="6" t="s">
        <v>114</v>
      </c>
      <c r="D53" s="6" t="s">
        <v>163</v>
      </c>
      <c r="F53" s="6" t="s">
        <v>399</v>
      </c>
      <c r="G53" s="6" t="str">
        <f>"2000000012018"</f>
        <v>2000000012018</v>
      </c>
      <c r="I53" s="6" t="s">
        <v>400</v>
      </c>
      <c r="J53" s="6" t="str">
        <f>"Joy Indy Pink KJS00572_IP"</f>
        <v>Joy Indy Pink KJS00572_IP</v>
      </c>
      <c r="K53" s="6">
        <v>59000</v>
      </c>
      <c r="L53" s="6">
        <v>0</v>
      </c>
      <c r="M53" s="6">
        <v>0</v>
      </c>
      <c r="N53" s="6" t="str">
        <f>""</f>
        <v/>
      </c>
      <c r="O53" s="6">
        <v>33848</v>
      </c>
      <c r="P53" s="6" t="s">
        <v>401</v>
      </c>
      <c r="R53" s="6" t="s">
        <v>330</v>
      </c>
      <c r="S53" s="6" t="s">
        <v>402</v>
      </c>
      <c r="T53" s="6">
        <v>0</v>
      </c>
      <c r="U53" s="6">
        <v>0</v>
      </c>
      <c r="V53" s="6">
        <v>0</v>
      </c>
      <c r="W53" s="6">
        <v>0</v>
      </c>
      <c r="X53" s="6" t="s">
        <v>169</v>
      </c>
      <c r="Z53" s="6" t="s">
        <v>170</v>
      </c>
      <c r="AA53" s="6" t="s">
        <v>171</v>
      </c>
      <c r="AB53" s="6">
        <v>59000</v>
      </c>
      <c r="AC53" s="6" t="str">
        <f>""</f>
        <v/>
      </c>
      <c r="AS53" s="6">
        <v>0</v>
      </c>
      <c r="AT53" s="6">
        <v>0</v>
      </c>
    </row>
    <row r="54" spans="2:46">
      <c r="B54" s="6" t="s">
        <v>114</v>
      </c>
      <c r="D54" s="6" t="s">
        <v>163</v>
      </c>
      <c r="F54" s="6" t="s">
        <v>403</v>
      </c>
      <c r="G54" s="6" t="str">
        <f>"2000000012049"</f>
        <v>2000000012049</v>
      </c>
      <c r="I54" s="6" t="s">
        <v>404</v>
      </c>
      <c r="J54" s="6" t="str">
        <f>"Joy Brown KJS00572_BR"</f>
        <v>Joy Brown KJS00572_BR</v>
      </c>
      <c r="K54" s="6">
        <v>59000</v>
      </c>
      <c r="L54" s="6">
        <v>0</v>
      </c>
      <c r="M54" s="6">
        <v>0</v>
      </c>
      <c r="N54" s="6" t="str">
        <f>""</f>
        <v/>
      </c>
      <c r="O54" s="6">
        <v>33846</v>
      </c>
      <c r="P54" s="6" t="s">
        <v>405</v>
      </c>
      <c r="R54" s="6" t="s">
        <v>372</v>
      </c>
      <c r="S54" s="6" t="s">
        <v>406</v>
      </c>
      <c r="T54" s="6">
        <v>0</v>
      </c>
      <c r="U54" s="6">
        <v>0</v>
      </c>
      <c r="V54" s="6">
        <v>0</v>
      </c>
      <c r="W54" s="6">
        <v>0</v>
      </c>
      <c r="X54" s="6" t="s">
        <v>169</v>
      </c>
      <c r="Z54" s="6" t="s">
        <v>170</v>
      </c>
      <c r="AA54" s="6" t="s">
        <v>171</v>
      </c>
      <c r="AB54" s="6">
        <v>59000</v>
      </c>
      <c r="AC54" s="6" t="str">
        <f>""</f>
        <v/>
      </c>
      <c r="AS54" s="6">
        <v>0</v>
      </c>
      <c r="AT54" s="6">
        <v>0</v>
      </c>
    </row>
    <row r="55" spans="2:46">
      <c r="B55" s="6" t="s">
        <v>114</v>
      </c>
      <c r="D55" s="6" t="s">
        <v>163</v>
      </c>
      <c r="F55" s="6" t="s">
        <v>407</v>
      </c>
      <c r="G55" s="6" t="str">
        <f>"2000000012001"</f>
        <v>2000000012001</v>
      </c>
      <c r="I55" s="6" t="s">
        <v>408</v>
      </c>
      <c r="J55" s="6" t="str">
        <f>"Joy Black KJS00572_BK"</f>
        <v>Joy Black KJS00572_BK</v>
      </c>
      <c r="K55" s="6">
        <v>59000</v>
      </c>
      <c r="L55" s="6">
        <v>0</v>
      </c>
      <c r="M55" s="6">
        <v>0</v>
      </c>
      <c r="N55" s="6" t="str">
        <f>""</f>
        <v/>
      </c>
      <c r="O55" s="6">
        <v>33844</v>
      </c>
      <c r="P55" s="6" t="s">
        <v>409</v>
      </c>
      <c r="R55" s="6" t="s">
        <v>335</v>
      </c>
      <c r="S55" s="6" t="s">
        <v>410</v>
      </c>
      <c r="T55" s="6">
        <v>0</v>
      </c>
      <c r="U55" s="6">
        <v>0</v>
      </c>
      <c r="V55" s="6">
        <v>0</v>
      </c>
      <c r="W55" s="6">
        <v>0</v>
      </c>
      <c r="X55" s="6" t="s">
        <v>169</v>
      </c>
      <c r="Z55" s="6" t="s">
        <v>170</v>
      </c>
      <c r="AA55" s="6" t="s">
        <v>171</v>
      </c>
      <c r="AB55" s="6">
        <v>59000</v>
      </c>
      <c r="AC55" s="6" t="str">
        <f>""</f>
        <v/>
      </c>
      <c r="AS55" s="6">
        <v>0</v>
      </c>
      <c r="AT55" s="6">
        <v>0</v>
      </c>
    </row>
    <row r="56" spans="2:46">
      <c r="B56" s="6" t="s">
        <v>114</v>
      </c>
      <c r="D56" s="6" t="s">
        <v>163</v>
      </c>
      <c r="F56" s="6" t="s">
        <v>411</v>
      </c>
      <c r="G56" s="6" t="str">
        <f>"2000000009667"</f>
        <v>2000000009667</v>
      </c>
      <c r="I56" s="6" t="s">
        <v>412</v>
      </c>
      <c r="J56" s="6" t="str">
        <f>"Mardi Pink KDK00545_PK"</f>
        <v>Mardi Pink KDK00545_PK</v>
      </c>
      <c r="K56" s="6">
        <v>44000</v>
      </c>
      <c r="L56" s="6">
        <v>0</v>
      </c>
      <c r="M56" s="6">
        <v>0</v>
      </c>
      <c r="N56" s="6" t="str">
        <f>""</f>
        <v/>
      </c>
      <c r="O56" s="6">
        <v>33842</v>
      </c>
      <c r="P56" s="6" t="s">
        <v>413</v>
      </c>
      <c r="R56" s="6" t="s">
        <v>305</v>
      </c>
      <c r="S56" s="6" t="s">
        <v>414</v>
      </c>
      <c r="T56" s="6">
        <v>0</v>
      </c>
      <c r="U56" s="6">
        <v>0</v>
      </c>
      <c r="V56" s="6">
        <v>0</v>
      </c>
      <c r="W56" s="6">
        <v>0</v>
      </c>
      <c r="X56" s="6" t="s">
        <v>169</v>
      </c>
      <c r="Z56" s="6" t="s">
        <v>170</v>
      </c>
      <c r="AA56" s="6" t="s">
        <v>171</v>
      </c>
      <c r="AB56" s="6">
        <v>44000</v>
      </c>
      <c r="AC56" s="6" t="str">
        <f>""</f>
        <v/>
      </c>
      <c r="AS56" s="6">
        <v>0</v>
      </c>
      <c r="AT56" s="6">
        <v>0</v>
      </c>
    </row>
    <row r="57" spans="2:46">
      <c r="B57" s="6" t="s">
        <v>114</v>
      </c>
      <c r="D57" s="6" t="s">
        <v>163</v>
      </c>
      <c r="F57" s="6" t="s">
        <v>415</v>
      </c>
      <c r="G57" s="6" t="str">
        <f>"2000000009636"</f>
        <v>2000000009636</v>
      </c>
      <c r="I57" s="6" t="s">
        <v>416</v>
      </c>
      <c r="J57" s="6" t="str">
        <f>"Mardi Mustard KDK00545_MU"</f>
        <v>Mardi Mustard KDK00545_MU</v>
      </c>
      <c r="K57" s="6">
        <v>44000</v>
      </c>
      <c r="L57" s="6">
        <v>0</v>
      </c>
      <c r="M57" s="6">
        <v>0</v>
      </c>
      <c r="N57" s="6" t="str">
        <f>""</f>
        <v/>
      </c>
      <c r="O57" s="6">
        <v>33840</v>
      </c>
      <c r="P57" s="6" t="s">
        <v>417</v>
      </c>
      <c r="R57" s="6" t="s">
        <v>345</v>
      </c>
      <c r="S57" s="6" t="s">
        <v>418</v>
      </c>
      <c r="T57" s="6">
        <v>0</v>
      </c>
      <c r="U57" s="6">
        <v>0</v>
      </c>
      <c r="V57" s="6">
        <v>0</v>
      </c>
      <c r="W57" s="6">
        <v>0</v>
      </c>
      <c r="X57" s="6" t="s">
        <v>169</v>
      </c>
      <c r="Z57" s="6" t="s">
        <v>170</v>
      </c>
      <c r="AA57" s="6" t="s">
        <v>171</v>
      </c>
      <c r="AB57" s="6">
        <v>44000</v>
      </c>
      <c r="AC57" s="6" t="str">
        <f>""</f>
        <v/>
      </c>
      <c r="AS57" s="6">
        <v>0</v>
      </c>
      <c r="AT57" s="6">
        <v>0</v>
      </c>
    </row>
    <row r="58" spans="2:46">
      <c r="B58" s="6" t="s">
        <v>114</v>
      </c>
      <c r="D58" s="6" t="s">
        <v>163</v>
      </c>
      <c r="F58" s="6" t="s">
        <v>419</v>
      </c>
      <c r="G58" s="6" t="str">
        <f>"2000000009643"</f>
        <v>2000000009643</v>
      </c>
      <c r="I58" s="6" t="s">
        <v>420</v>
      </c>
      <c r="J58" s="6" t="str">
        <f>"Mardi Brown KDK00545_BR"</f>
        <v>Mardi Brown KDK00545_BR</v>
      </c>
      <c r="K58" s="6">
        <v>44000</v>
      </c>
      <c r="L58" s="6">
        <v>0</v>
      </c>
      <c r="M58" s="6">
        <v>0</v>
      </c>
      <c r="N58" s="6" t="str">
        <f>""</f>
        <v/>
      </c>
      <c r="O58" s="6">
        <v>33838</v>
      </c>
      <c r="P58" s="6" t="s">
        <v>421</v>
      </c>
      <c r="R58" s="6" t="s">
        <v>372</v>
      </c>
      <c r="S58" s="6" t="s">
        <v>422</v>
      </c>
      <c r="T58" s="6">
        <v>0</v>
      </c>
      <c r="U58" s="6">
        <v>0</v>
      </c>
      <c r="V58" s="6">
        <v>0</v>
      </c>
      <c r="W58" s="6">
        <v>0</v>
      </c>
      <c r="X58" s="6" t="s">
        <v>169</v>
      </c>
      <c r="Z58" s="6" t="s">
        <v>170</v>
      </c>
      <c r="AA58" s="6" t="s">
        <v>171</v>
      </c>
      <c r="AB58" s="6">
        <v>44000</v>
      </c>
      <c r="AC58" s="6" t="str">
        <f>""</f>
        <v/>
      </c>
      <c r="AS58" s="6">
        <v>0</v>
      </c>
      <c r="AT58" s="6">
        <v>0</v>
      </c>
    </row>
    <row r="59" spans="2:46">
      <c r="B59" s="6" t="s">
        <v>114</v>
      </c>
      <c r="D59" s="6" t="s">
        <v>163</v>
      </c>
      <c r="F59" s="6" t="s">
        <v>423</v>
      </c>
      <c r="G59" s="6" t="str">
        <f>"2000000009650"</f>
        <v>2000000009650</v>
      </c>
      <c r="I59" s="6" t="s">
        <v>424</v>
      </c>
      <c r="J59" s="6" t="str">
        <f>"Mardi Blue KDK00545_BL"</f>
        <v>Mardi Blue KDK00545_BL</v>
      </c>
      <c r="K59" s="6">
        <v>44000</v>
      </c>
      <c r="L59" s="6">
        <v>0</v>
      </c>
      <c r="M59" s="6">
        <v>0</v>
      </c>
      <c r="N59" s="6" t="str">
        <f>""</f>
        <v/>
      </c>
      <c r="O59" s="6">
        <v>33836</v>
      </c>
      <c r="P59" s="6" t="s">
        <v>425</v>
      </c>
      <c r="R59" s="6" t="s">
        <v>426</v>
      </c>
      <c r="S59" s="6" t="s">
        <v>427</v>
      </c>
      <c r="T59" s="6">
        <v>0</v>
      </c>
      <c r="U59" s="6">
        <v>0</v>
      </c>
      <c r="V59" s="6">
        <v>0</v>
      </c>
      <c r="W59" s="6">
        <v>0</v>
      </c>
      <c r="X59" s="6" t="s">
        <v>169</v>
      </c>
      <c r="Z59" s="6" t="s">
        <v>170</v>
      </c>
      <c r="AA59" s="6" t="s">
        <v>171</v>
      </c>
      <c r="AB59" s="6">
        <v>44000</v>
      </c>
      <c r="AC59" s="6" t="str">
        <f>""</f>
        <v/>
      </c>
      <c r="AS59" s="6">
        <v>0</v>
      </c>
      <c r="AT59" s="6">
        <v>0</v>
      </c>
    </row>
    <row r="60" spans="2:46">
      <c r="B60" s="6" t="s">
        <v>114</v>
      </c>
      <c r="D60" s="6" t="s">
        <v>163</v>
      </c>
      <c r="F60" s="6" t="s">
        <v>428</v>
      </c>
      <c r="G60" s="6" t="str">
        <f>"2000000009629"</f>
        <v>2000000009629</v>
      </c>
      <c r="I60" s="6" t="s">
        <v>429</v>
      </c>
      <c r="J60" s="6" t="str">
        <f>"Mardi Black KDK00545_BK"</f>
        <v>Mardi Black KDK00545_BK</v>
      </c>
      <c r="K60" s="6">
        <v>44000</v>
      </c>
      <c r="L60" s="6">
        <v>0</v>
      </c>
      <c r="M60" s="6">
        <v>0</v>
      </c>
      <c r="N60" s="6" t="str">
        <f>""</f>
        <v/>
      </c>
      <c r="O60" s="6">
        <v>33834</v>
      </c>
      <c r="P60" s="6" t="s">
        <v>430</v>
      </c>
      <c r="R60" s="6" t="s">
        <v>335</v>
      </c>
      <c r="S60" s="6" t="s">
        <v>431</v>
      </c>
      <c r="T60" s="6">
        <v>0</v>
      </c>
      <c r="U60" s="6">
        <v>0</v>
      </c>
      <c r="V60" s="6">
        <v>0</v>
      </c>
      <c r="W60" s="6">
        <v>0</v>
      </c>
      <c r="X60" s="6" t="s">
        <v>169</v>
      </c>
      <c r="Z60" s="6" t="s">
        <v>170</v>
      </c>
      <c r="AA60" s="6" t="s">
        <v>171</v>
      </c>
      <c r="AB60" s="6">
        <v>44000</v>
      </c>
      <c r="AC60" s="6" t="str">
        <f>""</f>
        <v/>
      </c>
      <c r="AS60" s="6">
        <v>0</v>
      </c>
      <c r="AT60" s="6">
        <v>0</v>
      </c>
    </row>
    <row r="61" spans="2:46">
      <c r="B61" s="6" t="s">
        <v>114</v>
      </c>
      <c r="D61" s="6" t="s">
        <v>163</v>
      </c>
      <c r="F61" s="6" t="s">
        <v>432</v>
      </c>
      <c r="G61" s="6" t="str">
        <f>"2000000009674"</f>
        <v>2000000009674</v>
      </c>
      <c r="I61" s="6" t="s">
        <v>433</v>
      </c>
      <c r="J61" s="6" t="str">
        <f>"Mardi Beige KDK00545_BG"</f>
        <v>Mardi Beige KDK00545_BG</v>
      </c>
      <c r="K61" s="6">
        <v>44000</v>
      </c>
      <c r="L61" s="6">
        <v>0</v>
      </c>
      <c r="M61" s="6">
        <v>0</v>
      </c>
      <c r="N61" s="6" t="str">
        <f>""</f>
        <v/>
      </c>
      <c r="O61" s="6">
        <v>33832</v>
      </c>
      <c r="P61" s="6" t="s">
        <v>434</v>
      </c>
      <c r="R61" s="6" t="s">
        <v>358</v>
      </c>
      <c r="S61" s="6" t="s">
        <v>435</v>
      </c>
      <c r="T61" s="6">
        <v>0</v>
      </c>
      <c r="U61" s="6">
        <v>0</v>
      </c>
      <c r="V61" s="6">
        <v>0</v>
      </c>
      <c r="W61" s="6">
        <v>0</v>
      </c>
      <c r="X61" s="6" t="s">
        <v>169</v>
      </c>
      <c r="Z61" s="6" t="s">
        <v>170</v>
      </c>
      <c r="AA61" s="6" t="s">
        <v>171</v>
      </c>
      <c r="AB61" s="6">
        <v>44000</v>
      </c>
      <c r="AC61" s="6" t="str">
        <f>""</f>
        <v/>
      </c>
      <c r="AS61" s="6">
        <v>0</v>
      </c>
      <c r="AT61" s="6">
        <v>0</v>
      </c>
    </row>
    <row r="62" spans="2:46">
      <c r="B62" s="6" t="s">
        <v>114</v>
      </c>
      <c r="D62" s="6" t="s">
        <v>163</v>
      </c>
      <c r="F62" s="6" t="s">
        <v>436</v>
      </c>
      <c r="G62" s="6" t="str">
        <f>"2000000009421"</f>
        <v>2000000009421</v>
      </c>
      <c r="I62" s="6" t="s">
        <v>437</v>
      </c>
      <c r="J62" s="6" t="str">
        <f>"Joanna SkyBlue ARS00540_SB"</f>
        <v>Joanna SkyBlue ARS00540_SB</v>
      </c>
      <c r="K62" s="6">
        <v>63000</v>
      </c>
      <c r="L62" s="6">
        <v>0</v>
      </c>
      <c r="M62" s="6">
        <v>0</v>
      </c>
      <c r="N62" s="6" t="str">
        <f>""</f>
        <v/>
      </c>
      <c r="O62" s="6">
        <v>33830</v>
      </c>
      <c r="P62" s="6" t="s">
        <v>438</v>
      </c>
      <c r="R62" s="6" t="s">
        <v>439</v>
      </c>
      <c r="S62" s="6" t="s">
        <v>440</v>
      </c>
      <c r="T62" s="6">
        <v>0</v>
      </c>
      <c r="U62" s="6">
        <v>0</v>
      </c>
      <c r="V62" s="6">
        <v>0</v>
      </c>
      <c r="W62" s="6">
        <v>0</v>
      </c>
      <c r="X62" s="6" t="s">
        <v>169</v>
      </c>
      <c r="Z62" s="6" t="s">
        <v>170</v>
      </c>
      <c r="AA62" s="6" t="s">
        <v>171</v>
      </c>
      <c r="AB62" s="6">
        <v>63000</v>
      </c>
      <c r="AC62" s="6" t="str">
        <f>""</f>
        <v/>
      </c>
      <c r="AS62" s="6">
        <v>0</v>
      </c>
      <c r="AT62" s="6">
        <v>0</v>
      </c>
    </row>
    <row r="63" spans="2:46">
      <c r="B63" s="6" t="s">
        <v>114</v>
      </c>
      <c r="D63" s="6" t="s">
        <v>163</v>
      </c>
      <c r="F63" s="6" t="s">
        <v>441</v>
      </c>
      <c r="G63" s="6" t="str">
        <f>"2000000009438"</f>
        <v>2000000009438</v>
      </c>
      <c r="I63" s="6" t="s">
        <v>442</v>
      </c>
      <c r="J63" s="6" t="str">
        <f>"Joanna Ivory ARS00540_IV"</f>
        <v>Joanna Ivory ARS00540_IV</v>
      </c>
      <c r="K63" s="6">
        <v>63000</v>
      </c>
      <c r="L63" s="6">
        <v>0</v>
      </c>
      <c r="M63" s="6">
        <v>0</v>
      </c>
      <c r="N63" s="6" t="str">
        <f>""</f>
        <v/>
      </c>
      <c r="O63" s="6">
        <v>33828</v>
      </c>
      <c r="P63" s="6" t="s">
        <v>443</v>
      </c>
      <c r="R63" s="6" t="s">
        <v>325</v>
      </c>
      <c r="S63" s="6" t="s">
        <v>444</v>
      </c>
      <c r="T63" s="6">
        <v>0</v>
      </c>
      <c r="U63" s="6">
        <v>0</v>
      </c>
      <c r="V63" s="6">
        <v>0</v>
      </c>
      <c r="W63" s="6">
        <v>0</v>
      </c>
      <c r="X63" s="6" t="s">
        <v>169</v>
      </c>
      <c r="Z63" s="6" t="s">
        <v>170</v>
      </c>
      <c r="AA63" s="6" t="s">
        <v>171</v>
      </c>
      <c r="AB63" s="6">
        <v>63000</v>
      </c>
      <c r="AC63" s="6" t="str">
        <f>""</f>
        <v/>
      </c>
      <c r="AS63" s="6">
        <v>0</v>
      </c>
      <c r="AT63" s="6">
        <v>0</v>
      </c>
    </row>
    <row r="64" spans="2:46">
      <c r="B64" s="6" t="s">
        <v>114</v>
      </c>
      <c r="D64" s="6" t="s">
        <v>163</v>
      </c>
      <c r="F64" s="6" t="s">
        <v>445</v>
      </c>
      <c r="G64" s="6" t="str">
        <f>"2000000009414"</f>
        <v>2000000009414</v>
      </c>
      <c r="I64" s="6" t="s">
        <v>446</v>
      </c>
      <c r="J64" s="6" t="str">
        <f>"Joanna Brown ARS00540_BR"</f>
        <v>Joanna Brown ARS00540_BR</v>
      </c>
      <c r="K64" s="6">
        <v>63000</v>
      </c>
      <c r="L64" s="6">
        <v>0</v>
      </c>
      <c r="M64" s="6">
        <v>0</v>
      </c>
      <c r="N64" s="6" t="str">
        <f>""</f>
        <v/>
      </c>
      <c r="O64" s="6">
        <v>33826</v>
      </c>
      <c r="P64" s="6" t="s">
        <v>447</v>
      </c>
      <c r="R64" s="6" t="s">
        <v>372</v>
      </c>
      <c r="S64" s="6" t="s">
        <v>448</v>
      </c>
      <c r="T64" s="6">
        <v>0</v>
      </c>
      <c r="U64" s="6">
        <v>0</v>
      </c>
      <c r="V64" s="6">
        <v>0</v>
      </c>
      <c r="W64" s="6">
        <v>0</v>
      </c>
      <c r="X64" s="6" t="s">
        <v>169</v>
      </c>
      <c r="Z64" s="6" t="s">
        <v>170</v>
      </c>
      <c r="AA64" s="6" t="s">
        <v>171</v>
      </c>
      <c r="AB64" s="6">
        <v>63000</v>
      </c>
      <c r="AC64" s="6" t="str">
        <f>""</f>
        <v/>
      </c>
      <c r="AS64" s="6">
        <v>0</v>
      </c>
      <c r="AT64" s="6">
        <v>0</v>
      </c>
    </row>
    <row r="65" spans="2:46">
      <c r="B65" s="6" t="s">
        <v>114</v>
      </c>
      <c r="D65" s="6" t="s">
        <v>163</v>
      </c>
      <c r="F65" s="6" t="s">
        <v>449</v>
      </c>
      <c r="G65" s="6" t="str">
        <f>"2000000009445"</f>
        <v>2000000009445</v>
      </c>
      <c r="I65" s="6" t="s">
        <v>450</v>
      </c>
      <c r="J65" s="6" t="str">
        <f>"Joanna Black ARS00540_BK"</f>
        <v>Joanna Black ARS00540_BK</v>
      </c>
      <c r="K65" s="6">
        <v>63000</v>
      </c>
      <c r="L65" s="6">
        <v>0</v>
      </c>
      <c r="M65" s="6">
        <v>0</v>
      </c>
      <c r="N65" s="6" t="str">
        <f>""</f>
        <v/>
      </c>
      <c r="O65" s="6">
        <v>33824</v>
      </c>
      <c r="P65" s="6" t="s">
        <v>451</v>
      </c>
      <c r="R65" s="6" t="s">
        <v>335</v>
      </c>
      <c r="S65" s="6" t="s">
        <v>452</v>
      </c>
      <c r="T65" s="6">
        <v>0</v>
      </c>
      <c r="U65" s="6">
        <v>0</v>
      </c>
      <c r="V65" s="6">
        <v>0</v>
      </c>
      <c r="W65" s="6">
        <v>0</v>
      </c>
      <c r="X65" s="6" t="s">
        <v>169</v>
      </c>
      <c r="Z65" s="6" t="s">
        <v>170</v>
      </c>
      <c r="AA65" s="6" t="s">
        <v>171</v>
      </c>
      <c r="AB65" s="6">
        <v>63000</v>
      </c>
      <c r="AC65" s="6" t="str">
        <f>""</f>
        <v/>
      </c>
      <c r="AS65" s="6">
        <v>0</v>
      </c>
      <c r="AT65" s="6">
        <v>0</v>
      </c>
    </row>
    <row r="66" spans="2:46">
      <c r="B66" s="6" t="s">
        <v>114</v>
      </c>
      <c r="D66" s="6" t="s">
        <v>163</v>
      </c>
      <c r="F66" s="6" t="s">
        <v>453</v>
      </c>
      <c r="G66" s="6" t="str">
        <f>"2000000009452"</f>
        <v>2000000009452</v>
      </c>
      <c r="I66" s="6" t="s">
        <v>454</v>
      </c>
      <c r="J66" s="6" t="str">
        <f>"Joanna Beige ARS00540_BG"</f>
        <v>Joanna Beige ARS00540_BG</v>
      </c>
      <c r="K66" s="6">
        <v>63000</v>
      </c>
      <c r="L66" s="6">
        <v>0</v>
      </c>
      <c r="M66" s="6">
        <v>0</v>
      </c>
      <c r="N66" s="6" t="str">
        <f>""</f>
        <v/>
      </c>
      <c r="O66" s="6">
        <v>33822</v>
      </c>
      <c r="P66" s="6" t="s">
        <v>455</v>
      </c>
      <c r="R66" s="6" t="s">
        <v>358</v>
      </c>
      <c r="S66" s="6" t="s">
        <v>456</v>
      </c>
      <c r="T66" s="6">
        <v>0</v>
      </c>
      <c r="U66" s="6">
        <v>0</v>
      </c>
      <c r="V66" s="6">
        <v>0</v>
      </c>
      <c r="W66" s="6">
        <v>0</v>
      </c>
      <c r="X66" s="6" t="s">
        <v>169</v>
      </c>
      <c r="Z66" s="6" t="s">
        <v>170</v>
      </c>
      <c r="AA66" s="6" t="s">
        <v>171</v>
      </c>
      <c r="AB66" s="6">
        <v>63000</v>
      </c>
      <c r="AC66" s="6" t="str">
        <f>""</f>
        <v/>
      </c>
      <c r="AS66" s="6">
        <v>0</v>
      </c>
      <c r="AT66" s="6">
        <v>0</v>
      </c>
    </row>
    <row r="67" spans="2:46">
      <c r="B67" s="6" t="s">
        <v>114</v>
      </c>
      <c r="D67" s="6" t="s">
        <v>163</v>
      </c>
      <c r="F67" s="6" t="s">
        <v>457</v>
      </c>
      <c r="G67" s="6" t="str">
        <f>"2000000009568"</f>
        <v>2000000009568</v>
      </c>
      <c r="I67" s="6" t="s">
        <v>458</v>
      </c>
      <c r="J67" s="6" t="str">
        <f>"Adela Ivory NGI00542_IV"</f>
        <v>Adela Ivory NGI00542_IV</v>
      </c>
      <c r="K67" s="6">
        <v>66000</v>
      </c>
      <c r="L67" s="6">
        <v>0</v>
      </c>
      <c r="M67" s="6">
        <v>0</v>
      </c>
      <c r="N67" s="6" t="str">
        <f>""</f>
        <v/>
      </c>
      <c r="O67" s="6">
        <v>33820</v>
      </c>
      <c r="P67" s="6" t="s">
        <v>459</v>
      </c>
      <c r="R67" s="6" t="s">
        <v>325</v>
      </c>
      <c r="S67" s="6" t="s">
        <v>460</v>
      </c>
      <c r="T67" s="6">
        <v>0</v>
      </c>
      <c r="U67" s="6">
        <v>0</v>
      </c>
      <c r="V67" s="6">
        <v>0</v>
      </c>
      <c r="W67" s="6">
        <v>0</v>
      </c>
      <c r="X67" s="6" t="s">
        <v>169</v>
      </c>
      <c r="Z67" s="6" t="s">
        <v>170</v>
      </c>
      <c r="AA67" s="6" t="s">
        <v>171</v>
      </c>
      <c r="AB67" s="6">
        <v>66000</v>
      </c>
      <c r="AC67" s="6" t="str">
        <f>""</f>
        <v/>
      </c>
      <c r="AS67" s="6">
        <v>0</v>
      </c>
      <c r="AT67" s="6">
        <v>0</v>
      </c>
    </row>
    <row r="68" spans="2:46">
      <c r="B68" s="6" t="s">
        <v>114</v>
      </c>
      <c r="D68" s="6" t="s">
        <v>163</v>
      </c>
      <c r="F68" s="6" t="s">
        <v>461</v>
      </c>
      <c r="G68" s="6" t="str">
        <f>"2000000009537"</f>
        <v>2000000009537</v>
      </c>
      <c r="I68" s="6" t="s">
        <v>462</v>
      </c>
      <c r="J68" s="6" t="str">
        <f>"Adela Brown NGI00542_BR"</f>
        <v>Adela Brown NGI00542_BR</v>
      </c>
      <c r="K68" s="6">
        <v>66000</v>
      </c>
      <c r="L68" s="6">
        <v>0</v>
      </c>
      <c r="M68" s="6">
        <v>0</v>
      </c>
      <c r="N68" s="6" t="str">
        <f>""</f>
        <v/>
      </c>
      <c r="O68" s="6">
        <v>33818</v>
      </c>
      <c r="P68" s="6" t="s">
        <v>463</v>
      </c>
      <c r="R68" s="6" t="s">
        <v>372</v>
      </c>
      <c r="S68" s="6" t="s">
        <v>464</v>
      </c>
      <c r="T68" s="6">
        <v>0</v>
      </c>
      <c r="U68" s="6">
        <v>0</v>
      </c>
      <c r="V68" s="6">
        <v>0</v>
      </c>
      <c r="W68" s="6">
        <v>0</v>
      </c>
      <c r="X68" s="6" t="s">
        <v>169</v>
      </c>
      <c r="Z68" s="6" t="s">
        <v>170</v>
      </c>
      <c r="AA68" s="6" t="s">
        <v>171</v>
      </c>
      <c r="AB68" s="6">
        <v>66000</v>
      </c>
      <c r="AC68" s="6" t="str">
        <f>""</f>
        <v/>
      </c>
      <c r="AS68" s="6">
        <v>0</v>
      </c>
      <c r="AT68" s="6">
        <v>0</v>
      </c>
    </row>
    <row r="69" spans="2:46">
      <c r="B69" s="6" t="s">
        <v>114</v>
      </c>
      <c r="D69" s="6" t="s">
        <v>163</v>
      </c>
      <c r="F69" s="6" t="s">
        <v>465</v>
      </c>
      <c r="G69" s="6" t="str">
        <f>"2000000009551"</f>
        <v>2000000009551</v>
      </c>
      <c r="I69" s="6" t="s">
        <v>466</v>
      </c>
      <c r="J69" s="6" t="str">
        <f>"Adela Blue NGI00542_BL"</f>
        <v>Adela Blue NGI00542_BL</v>
      </c>
      <c r="K69" s="6">
        <v>66000</v>
      </c>
      <c r="L69" s="6">
        <v>0</v>
      </c>
      <c r="M69" s="6">
        <v>0</v>
      </c>
      <c r="N69" s="6" t="str">
        <f>""</f>
        <v/>
      </c>
      <c r="O69" s="6">
        <v>33816</v>
      </c>
      <c r="P69" s="6" t="s">
        <v>467</v>
      </c>
      <c r="R69" s="6" t="s">
        <v>426</v>
      </c>
      <c r="S69" s="6" t="s">
        <v>468</v>
      </c>
      <c r="T69" s="6">
        <v>0</v>
      </c>
      <c r="U69" s="6">
        <v>0</v>
      </c>
      <c r="V69" s="6">
        <v>0</v>
      </c>
      <c r="W69" s="6">
        <v>0</v>
      </c>
      <c r="X69" s="6" t="s">
        <v>169</v>
      </c>
      <c r="Z69" s="6" t="s">
        <v>170</v>
      </c>
      <c r="AA69" s="6" t="s">
        <v>171</v>
      </c>
      <c r="AB69" s="6">
        <v>66000</v>
      </c>
      <c r="AC69" s="6" t="str">
        <f>""</f>
        <v/>
      </c>
      <c r="AS69" s="6">
        <v>0</v>
      </c>
      <c r="AT69" s="6">
        <v>0</v>
      </c>
    </row>
    <row r="70" spans="2:46">
      <c r="B70" s="6" t="s">
        <v>114</v>
      </c>
      <c r="D70" s="6" t="s">
        <v>163</v>
      </c>
      <c r="F70" s="6" t="s">
        <v>469</v>
      </c>
      <c r="G70" s="6" t="str">
        <f>"2000000009520"</f>
        <v>2000000009520</v>
      </c>
      <c r="I70" s="6" t="s">
        <v>470</v>
      </c>
      <c r="J70" s="6" t="str">
        <f>"Adela Black NGI00542_BK"</f>
        <v>Adela Black NGI00542_BK</v>
      </c>
      <c r="K70" s="6">
        <v>66000</v>
      </c>
      <c r="L70" s="6">
        <v>0</v>
      </c>
      <c r="M70" s="6">
        <v>0</v>
      </c>
      <c r="N70" s="6" t="str">
        <f>""</f>
        <v/>
      </c>
      <c r="O70" s="6">
        <v>33814</v>
      </c>
      <c r="P70" s="6" t="s">
        <v>471</v>
      </c>
      <c r="R70" s="6" t="s">
        <v>335</v>
      </c>
      <c r="S70" s="6" t="s">
        <v>472</v>
      </c>
      <c r="T70" s="6">
        <v>0</v>
      </c>
      <c r="U70" s="6">
        <v>0</v>
      </c>
      <c r="V70" s="6">
        <v>0</v>
      </c>
      <c r="W70" s="6">
        <v>0</v>
      </c>
      <c r="X70" s="6" t="s">
        <v>169</v>
      </c>
      <c r="Z70" s="6" t="s">
        <v>170</v>
      </c>
      <c r="AA70" s="6" t="s">
        <v>171</v>
      </c>
      <c r="AB70" s="6">
        <v>66000</v>
      </c>
      <c r="AC70" s="6" t="str">
        <f>""</f>
        <v/>
      </c>
      <c r="AS70" s="6">
        <v>0</v>
      </c>
      <c r="AT70" s="6">
        <v>0</v>
      </c>
    </row>
    <row r="71" spans="2:46">
      <c r="B71" s="6" t="s">
        <v>114</v>
      </c>
      <c r="D71" s="6" t="s">
        <v>163</v>
      </c>
      <c r="F71" s="6" t="s">
        <v>473</v>
      </c>
      <c r="G71" s="6" t="str">
        <f>"2000000009544"</f>
        <v>2000000009544</v>
      </c>
      <c r="I71" s="6" t="s">
        <v>474</v>
      </c>
      <c r="J71" s="6" t="str">
        <f>"Adela Beige NGI00542_BG"</f>
        <v>Adela Beige NGI00542_BG</v>
      </c>
      <c r="K71" s="6">
        <v>66000</v>
      </c>
      <c r="L71" s="6">
        <v>0</v>
      </c>
      <c r="M71" s="6">
        <v>0</v>
      </c>
      <c r="N71" s="6" t="str">
        <f>""</f>
        <v/>
      </c>
      <c r="O71" s="6">
        <v>33812</v>
      </c>
      <c r="P71" s="6" t="s">
        <v>475</v>
      </c>
      <c r="R71" s="6" t="s">
        <v>358</v>
      </c>
      <c r="S71" s="6" t="s">
        <v>476</v>
      </c>
      <c r="T71" s="6">
        <v>0</v>
      </c>
      <c r="U71" s="6">
        <v>0</v>
      </c>
      <c r="V71" s="6">
        <v>0</v>
      </c>
      <c r="W71" s="6">
        <v>0</v>
      </c>
      <c r="X71" s="6" t="s">
        <v>169</v>
      </c>
      <c r="Z71" s="6" t="s">
        <v>170</v>
      </c>
      <c r="AA71" s="6" t="s">
        <v>171</v>
      </c>
      <c r="AB71" s="6">
        <v>66000</v>
      </c>
      <c r="AC71" s="6" t="str">
        <f>""</f>
        <v/>
      </c>
      <c r="AS71" s="6">
        <v>0</v>
      </c>
      <c r="AT71" s="6">
        <v>0</v>
      </c>
    </row>
    <row r="72" spans="2:46">
      <c r="B72" s="6" t="s">
        <v>108</v>
      </c>
      <c r="D72" s="6" t="s">
        <v>163</v>
      </c>
      <c r="F72" s="6" t="s">
        <v>477</v>
      </c>
      <c r="G72" s="6" t="str">
        <f>"A17S2TBU144OGXL"</f>
        <v>A17S2TBU144OGXL</v>
      </c>
      <c r="I72" s="6" t="s">
        <v>478</v>
      </c>
      <c r="J72" s="6" t="str">
        <f>"UNISEX ALIVE STRIPE T-SHIRT atb144u(Orange)"</f>
        <v>UNISEX ALIVE STRIPE T-SHIRT atb144u(Orange)</v>
      </c>
      <c r="K72" s="6">
        <v>39000</v>
      </c>
      <c r="L72" s="6">
        <v>0</v>
      </c>
      <c r="M72" s="6">
        <v>0</v>
      </c>
      <c r="N72" s="6" t="str">
        <f>""</f>
        <v/>
      </c>
      <c r="O72" s="6">
        <v>33810</v>
      </c>
      <c r="P72" s="6" t="s">
        <v>479</v>
      </c>
      <c r="R72" s="6" t="s">
        <v>480</v>
      </c>
      <c r="S72" s="6" t="s">
        <v>481</v>
      </c>
      <c r="T72" s="6">
        <v>0</v>
      </c>
      <c r="U72" s="6">
        <v>0</v>
      </c>
      <c r="V72" s="6">
        <v>0</v>
      </c>
      <c r="W72" s="6">
        <v>0</v>
      </c>
      <c r="X72" s="6" t="s">
        <v>169</v>
      </c>
      <c r="Z72" s="6" t="s">
        <v>170</v>
      </c>
      <c r="AA72" s="6" t="s">
        <v>171</v>
      </c>
      <c r="AB72" s="6">
        <v>39000</v>
      </c>
      <c r="AC72" s="6" t="str">
        <f>""</f>
        <v/>
      </c>
      <c r="AS72" s="6">
        <v>0</v>
      </c>
      <c r="AT72" s="6">
        <v>0</v>
      </c>
    </row>
    <row r="73" spans="2:46">
      <c r="B73" s="6" t="s">
        <v>108</v>
      </c>
      <c r="D73" s="6" t="s">
        <v>163</v>
      </c>
      <c r="F73" s="6" t="s">
        <v>482</v>
      </c>
      <c r="G73" s="6" t="str">
        <f>"A17S2TBU144OGL"</f>
        <v>A17S2TBU144OGL</v>
      </c>
      <c r="I73" s="6" t="s">
        <v>478</v>
      </c>
      <c r="J73" s="6" t="str">
        <f>"UNISEX ALIVE STRIPE T-SHIRT atb144u(Orange)"</f>
        <v>UNISEX ALIVE STRIPE T-SHIRT atb144u(Orange)</v>
      </c>
      <c r="K73" s="6">
        <v>39000</v>
      </c>
      <c r="L73" s="6">
        <v>0</v>
      </c>
      <c r="M73" s="6">
        <v>0</v>
      </c>
      <c r="N73" s="6" t="str">
        <f>""</f>
        <v/>
      </c>
      <c r="O73" s="6">
        <v>33809</v>
      </c>
      <c r="P73" s="6" t="s">
        <v>483</v>
      </c>
      <c r="R73" s="6" t="s">
        <v>484</v>
      </c>
      <c r="S73" s="6" t="s">
        <v>485</v>
      </c>
      <c r="T73" s="6">
        <v>0</v>
      </c>
      <c r="U73" s="6">
        <v>0</v>
      </c>
      <c r="V73" s="6">
        <v>0</v>
      </c>
      <c r="W73" s="6">
        <v>0</v>
      </c>
      <c r="X73" s="6" t="s">
        <v>169</v>
      </c>
      <c r="Z73" s="6" t="s">
        <v>170</v>
      </c>
      <c r="AA73" s="6" t="s">
        <v>171</v>
      </c>
      <c r="AB73" s="6">
        <v>39000</v>
      </c>
      <c r="AC73" s="6" t="str">
        <f>""</f>
        <v/>
      </c>
      <c r="AS73" s="6">
        <v>0</v>
      </c>
      <c r="AT73" s="6">
        <v>0</v>
      </c>
    </row>
    <row r="74" spans="2:46">
      <c r="B74" s="6" t="s">
        <v>108</v>
      </c>
      <c r="D74" s="6" t="s">
        <v>163</v>
      </c>
      <c r="F74" s="6" t="s">
        <v>486</v>
      </c>
      <c r="G74" s="6" t="str">
        <f>"A17S2TBU144OGM"</f>
        <v>A17S2TBU144OGM</v>
      </c>
      <c r="I74" s="6" t="s">
        <v>478</v>
      </c>
      <c r="J74" s="6" t="str">
        <f>"UNISEX ALIVE STRIPE T-SHIRT atb144u(Orange)"</f>
        <v>UNISEX ALIVE STRIPE T-SHIRT atb144u(Orange)</v>
      </c>
      <c r="K74" s="6">
        <v>39000</v>
      </c>
      <c r="L74" s="6">
        <v>0</v>
      </c>
      <c r="M74" s="6">
        <v>0</v>
      </c>
      <c r="N74" s="6" t="str">
        <f>""</f>
        <v/>
      </c>
      <c r="O74" s="6">
        <v>33808</v>
      </c>
      <c r="P74" s="6" t="s">
        <v>487</v>
      </c>
      <c r="R74" s="6" t="s">
        <v>488</v>
      </c>
      <c r="S74" s="6" t="s">
        <v>489</v>
      </c>
      <c r="T74" s="6">
        <v>0</v>
      </c>
      <c r="U74" s="6">
        <v>0</v>
      </c>
      <c r="V74" s="6">
        <v>0</v>
      </c>
      <c r="W74" s="6">
        <v>0</v>
      </c>
      <c r="X74" s="6" t="s">
        <v>169</v>
      </c>
      <c r="Z74" s="6" t="s">
        <v>170</v>
      </c>
      <c r="AA74" s="6" t="s">
        <v>171</v>
      </c>
      <c r="AB74" s="6">
        <v>39000</v>
      </c>
      <c r="AC74" s="6" t="str">
        <f>""</f>
        <v/>
      </c>
      <c r="AS74" s="6">
        <v>0</v>
      </c>
      <c r="AT74" s="6">
        <v>0</v>
      </c>
    </row>
    <row r="75" spans="2:46">
      <c r="B75" s="6" t="s">
        <v>108</v>
      </c>
      <c r="D75" s="6" t="s">
        <v>163</v>
      </c>
      <c r="F75" s="6" t="s">
        <v>490</v>
      </c>
      <c r="G75" s="6" t="str">
        <f>"A17S2TBU144OGS"</f>
        <v>A17S2TBU144OGS</v>
      </c>
      <c r="I75" s="6" t="s">
        <v>478</v>
      </c>
      <c r="J75" s="6" t="str">
        <f>"UNISEX ALIVE STRIPE T-SHIRT atb144u(Orange)"</f>
        <v>UNISEX ALIVE STRIPE T-SHIRT atb144u(Orange)</v>
      </c>
      <c r="K75" s="6">
        <v>39000</v>
      </c>
      <c r="L75" s="6">
        <v>0</v>
      </c>
      <c r="M75" s="6">
        <v>0</v>
      </c>
      <c r="N75" s="6" t="str">
        <f>""</f>
        <v/>
      </c>
      <c r="O75" s="6">
        <v>33807</v>
      </c>
      <c r="P75" s="6" t="s">
        <v>491</v>
      </c>
      <c r="R75" s="6" t="s">
        <v>492</v>
      </c>
      <c r="S75" s="6" t="s">
        <v>493</v>
      </c>
      <c r="T75" s="6">
        <v>0</v>
      </c>
      <c r="U75" s="6">
        <v>0</v>
      </c>
      <c r="V75" s="6">
        <v>0</v>
      </c>
      <c r="W75" s="6">
        <v>0</v>
      </c>
      <c r="X75" s="6" t="s">
        <v>169</v>
      </c>
      <c r="Z75" s="6" t="s">
        <v>170</v>
      </c>
      <c r="AA75" s="6" t="s">
        <v>171</v>
      </c>
      <c r="AB75" s="6">
        <v>39000</v>
      </c>
      <c r="AC75" s="6" t="str">
        <f>""</f>
        <v/>
      </c>
      <c r="AS75" s="6">
        <v>0</v>
      </c>
      <c r="AT75" s="6">
        <v>0</v>
      </c>
    </row>
    <row r="76" spans="2:46">
      <c r="B76" s="6" t="s">
        <v>108</v>
      </c>
      <c r="D76" s="6" t="s">
        <v>163</v>
      </c>
      <c r="F76" s="6" t="s">
        <v>494</v>
      </c>
      <c r="G76" s="6" t="str">
        <f>"A17S2TBU144OGXS"</f>
        <v>A17S2TBU144OGXS</v>
      </c>
      <c r="I76" s="6" t="s">
        <v>478</v>
      </c>
      <c r="J76" s="6" t="str">
        <f>"UNISEX ALIVE STRIPE T-SHIRT atb144u(Orange)"</f>
        <v>UNISEX ALIVE STRIPE T-SHIRT atb144u(Orange)</v>
      </c>
      <c r="K76" s="6">
        <v>39000</v>
      </c>
      <c r="L76" s="6">
        <v>0</v>
      </c>
      <c r="M76" s="6">
        <v>0</v>
      </c>
      <c r="N76" s="6" t="str">
        <f>""</f>
        <v/>
      </c>
      <c r="O76" s="6">
        <v>33806</v>
      </c>
      <c r="P76" s="6" t="s">
        <v>495</v>
      </c>
      <c r="R76" s="6" t="s">
        <v>496</v>
      </c>
      <c r="S76" s="6" t="s">
        <v>497</v>
      </c>
      <c r="T76" s="6">
        <v>0</v>
      </c>
      <c r="U76" s="6">
        <v>0</v>
      </c>
      <c r="V76" s="6">
        <v>0</v>
      </c>
      <c r="W76" s="6">
        <v>0</v>
      </c>
      <c r="X76" s="6" t="s">
        <v>169</v>
      </c>
      <c r="Z76" s="6" t="s">
        <v>170</v>
      </c>
      <c r="AA76" s="6" t="s">
        <v>171</v>
      </c>
      <c r="AB76" s="6">
        <v>39000</v>
      </c>
      <c r="AC76" s="6" t="str">
        <f>""</f>
        <v/>
      </c>
      <c r="AS76" s="6">
        <v>0</v>
      </c>
      <c r="AT76" s="6">
        <v>0</v>
      </c>
    </row>
    <row r="77" spans="2:46">
      <c r="B77" s="6" t="s">
        <v>498</v>
      </c>
      <c r="D77" s="6" t="s">
        <v>499</v>
      </c>
      <c r="F77" s="6" t="s">
        <v>500</v>
      </c>
      <c r="G77" s="6" t="str">
        <f>"OL18SPOP04MBFH"</f>
        <v>OL18SPOP04MBFH</v>
      </c>
      <c r="H77" s="6" t="s">
        <v>501</v>
      </c>
      <c r="I77" s="6" t="s">
        <v>502</v>
      </c>
      <c r="J77" s="6" t="str">
        <f>"POINT CUFFS V NECK DRESS_MINT BLUE"</f>
        <v>POINT CUFFS V NECK DRESS_MINT BLUE</v>
      </c>
      <c r="K77" s="6">
        <v>0</v>
      </c>
      <c r="L77" s="6">
        <v>0</v>
      </c>
      <c r="M77" s="6">
        <v>0</v>
      </c>
      <c r="N77" s="6" t="str">
        <f>""</f>
        <v/>
      </c>
      <c r="O77" s="6">
        <v>33755</v>
      </c>
      <c r="P77" s="6" t="s">
        <v>501</v>
      </c>
      <c r="R77" s="6" t="s">
        <v>503</v>
      </c>
      <c r="S77" s="6" t="s">
        <v>504</v>
      </c>
      <c r="T77" s="6">
        <v>0</v>
      </c>
      <c r="U77" s="6">
        <v>0</v>
      </c>
      <c r="V77" s="6">
        <v>0</v>
      </c>
      <c r="W77" s="6">
        <v>0</v>
      </c>
      <c r="X77" s="6" t="s">
        <v>169</v>
      </c>
      <c r="Z77" s="6" t="s">
        <v>170</v>
      </c>
      <c r="AA77" s="6" t="s">
        <v>171</v>
      </c>
      <c r="AB77" s="6">
        <v>0</v>
      </c>
      <c r="AC77" s="6" t="str">
        <f>""</f>
        <v/>
      </c>
      <c r="AS77" s="6">
        <v>0</v>
      </c>
      <c r="AT77" s="6">
        <v>0</v>
      </c>
    </row>
    <row r="78" spans="2:46">
      <c r="B78" s="6" t="s">
        <v>498</v>
      </c>
      <c r="D78" s="6" t="s">
        <v>499</v>
      </c>
      <c r="F78" s="6" t="s">
        <v>505</v>
      </c>
      <c r="G78" s="6" t="str">
        <f>"OL18SPOP01PKFH"</f>
        <v>OL18SPOP01PKFH</v>
      </c>
      <c r="H78" s="6" t="s">
        <v>506</v>
      </c>
      <c r="I78" s="6" t="s">
        <v>507</v>
      </c>
      <c r="J78" s="6" t="str">
        <f>"SMOCKING SLEEVE PLEATS DERSS_LIGHT PINK"</f>
        <v>SMOCKING SLEEVE PLEATS DERSS_LIGHT PINK</v>
      </c>
      <c r="K78" s="6">
        <v>0</v>
      </c>
      <c r="L78" s="6">
        <v>0</v>
      </c>
      <c r="M78" s="6">
        <v>0</v>
      </c>
      <c r="N78" s="6" t="str">
        <f>""</f>
        <v/>
      </c>
      <c r="O78" s="6">
        <v>33753</v>
      </c>
      <c r="P78" s="6" t="s">
        <v>506</v>
      </c>
      <c r="R78" s="6" t="s">
        <v>508</v>
      </c>
      <c r="S78" s="6" t="s">
        <v>509</v>
      </c>
      <c r="T78" s="6">
        <v>0</v>
      </c>
      <c r="U78" s="6">
        <v>0</v>
      </c>
      <c r="V78" s="6">
        <v>0</v>
      </c>
      <c r="W78" s="6">
        <v>0</v>
      </c>
      <c r="X78" s="6" t="s">
        <v>169</v>
      </c>
      <c r="Z78" s="6" t="s">
        <v>170</v>
      </c>
      <c r="AA78" s="6" t="s">
        <v>171</v>
      </c>
      <c r="AB78" s="6">
        <v>0</v>
      </c>
      <c r="AC78" s="6" t="str">
        <f>""</f>
        <v/>
      </c>
      <c r="AS78" s="6">
        <v>0</v>
      </c>
      <c r="AT78" s="6">
        <v>0</v>
      </c>
    </row>
    <row r="79" spans="2:46">
      <c r="B79" s="6" t="s">
        <v>498</v>
      </c>
      <c r="D79" s="6" t="s">
        <v>499</v>
      </c>
      <c r="F79" s="6" t="s">
        <v>510</v>
      </c>
      <c r="G79" s="6" t="str">
        <f>"OL18SPOP02BGFH"</f>
        <v>OL18SPOP02BGFH</v>
      </c>
      <c r="H79" s="6" t="s">
        <v>511</v>
      </c>
      <c r="I79" s="6" t="s">
        <v>512</v>
      </c>
      <c r="J79" s="6" t="str">
        <f>"SMOCKING PLEATS MINI DRESS_BLUSH GREEN"</f>
        <v>SMOCKING PLEATS MINI DRESS_BLUSH GREEN</v>
      </c>
      <c r="K79" s="6">
        <v>0</v>
      </c>
      <c r="L79" s="6">
        <v>0</v>
      </c>
      <c r="M79" s="6">
        <v>0</v>
      </c>
      <c r="N79" s="6" t="str">
        <f>""</f>
        <v/>
      </c>
      <c r="O79" s="6">
        <v>33751</v>
      </c>
      <c r="P79" s="6" t="s">
        <v>511</v>
      </c>
      <c r="R79" s="6" t="s">
        <v>513</v>
      </c>
      <c r="S79" s="6" t="s">
        <v>514</v>
      </c>
      <c r="T79" s="6">
        <v>0</v>
      </c>
      <c r="U79" s="6">
        <v>0</v>
      </c>
      <c r="V79" s="6">
        <v>0</v>
      </c>
      <c r="W79" s="6">
        <v>0</v>
      </c>
      <c r="X79" s="6" t="s">
        <v>169</v>
      </c>
      <c r="Z79" s="6" t="s">
        <v>170</v>
      </c>
      <c r="AA79" s="6" t="s">
        <v>171</v>
      </c>
      <c r="AB79" s="6">
        <v>0</v>
      </c>
      <c r="AC79" s="6" t="str">
        <f>""</f>
        <v/>
      </c>
      <c r="AS79" s="6">
        <v>0</v>
      </c>
      <c r="AT79" s="6">
        <v>0</v>
      </c>
    </row>
    <row r="80" spans="2:46">
      <c r="B80" s="6" t="s">
        <v>498</v>
      </c>
      <c r="D80" s="6" t="s">
        <v>499</v>
      </c>
      <c r="F80" s="6" t="s">
        <v>515</v>
      </c>
      <c r="G80" s="6" t="str">
        <f>"OL18SPOP04YEFH"</f>
        <v>OL18SPOP04YEFH</v>
      </c>
      <c r="H80" s="6" t="s">
        <v>516</v>
      </c>
      <c r="I80" s="6" t="s">
        <v>517</v>
      </c>
      <c r="J80" s="6" t="str">
        <f>"POINT CUFFS V NECK DRESS_YELLOW"</f>
        <v>POINT CUFFS V NECK DRESS_YELLOW</v>
      </c>
      <c r="K80" s="6">
        <v>0</v>
      </c>
      <c r="L80" s="6">
        <v>0</v>
      </c>
      <c r="M80" s="6">
        <v>0</v>
      </c>
      <c r="N80" s="6" t="str">
        <f>""</f>
        <v/>
      </c>
      <c r="O80" s="6">
        <v>33749</v>
      </c>
      <c r="P80" s="6" t="s">
        <v>516</v>
      </c>
      <c r="R80" s="6" t="s">
        <v>518</v>
      </c>
      <c r="S80" s="6" t="s">
        <v>519</v>
      </c>
      <c r="T80" s="6">
        <v>0</v>
      </c>
      <c r="U80" s="6">
        <v>0</v>
      </c>
      <c r="V80" s="6">
        <v>0</v>
      </c>
      <c r="W80" s="6">
        <v>0</v>
      </c>
      <c r="X80" s="6" t="s">
        <v>169</v>
      </c>
      <c r="Z80" s="6" t="s">
        <v>170</v>
      </c>
      <c r="AA80" s="6" t="s">
        <v>171</v>
      </c>
      <c r="AB80" s="6">
        <v>0</v>
      </c>
      <c r="AC80" s="6" t="str">
        <f>""</f>
        <v/>
      </c>
      <c r="AS80" s="6">
        <v>0</v>
      </c>
      <c r="AT80" s="6">
        <v>0</v>
      </c>
    </row>
    <row r="81" spans="2:46">
      <c r="B81" s="6" t="s">
        <v>498</v>
      </c>
      <c r="D81" s="6" t="s">
        <v>499</v>
      </c>
      <c r="F81" s="6" t="s">
        <v>520</v>
      </c>
      <c r="G81" s="6" t="str">
        <f>"OL18SPOP01SBFH"</f>
        <v>OL18SPOP01SBFH</v>
      </c>
      <c r="H81" s="6" t="s">
        <v>521</v>
      </c>
      <c r="I81" s="6" t="s">
        <v>522</v>
      </c>
      <c r="J81" s="6" t="str">
        <f>"SMOCKING SLEEVE PLEATS DRESS_SKY BLUE"</f>
        <v>SMOCKING SLEEVE PLEATS DRESS_SKY BLUE</v>
      </c>
      <c r="K81" s="6">
        <v>0</v>
      </c>
      <c r="L81" s="6">
        <v>0</v>
      </c>
      <c r="M81" s="6">
        <v>0</v>
      </c>
      <c r="N81" s="6" t="str">
        <f>""</f>
        <v/>
      </c>
      <c r="O81" s="6">
        <v>33747</v>
      </c>
      <c r="P81" s="6" t="s">
        <v>521</v>
      </c>
      <c r="R81" s="6" t="s">
        <v>523</v>
      </c>
      <c r="S81" s="6" t="s">
        <v>524</v>
      </c>
      <c r="T81" s="6">
        <v>0</v>
      </c>
      <c r="U81" s="6">
        <v>0</v>
      </c>
      <c r="V81" s="6">
        <v>0</v>
      </c>
      <c r="W81" s="6">
        <v>0</v>
      </c>
      <c r="X81" s="6" t="s">
        <v>169</v>
      </c>
      <c r="Z81" s="6" t="s">
        <v>170</v>
      </c>
      <c r="AA81" s="6" t="s">
        <v>171</v>
      </c>
      <c r="AB81" s="6">
        <v>0</v>
      </c>
      <c r="AC81" s="6" t="str">
        <f>""</f>
        <v/>
      </c>
      <c r="AS81" s="6">
        <v>0</v>
      </c>
      <c r="AT81" s="6">
        <v>0</v>
      </c>
    </row>
    <row r="82" spans="2:46">
      <c r="B82" s="6" t="s">
        <v>498</v>
      </c>
      <c r="D82" s="6" t="s">
        <v>499</v>
      </c>
      <c r="F82" s="6" t="s">
        <v>525</v>
      </c>
      <c r="G82" s="6" t="str">
        <f>"OL18SPBL01RPFH"</f>
        <v>OL18SPBL01RPFH</v>
      </c>
      <c r="H82" s="6" t="s">
        <v>526</v>
      </c>
      <c r="I82" s="6" t="s">
        <v>527</v>
      </c>
      <c r="J82" s="6" t="str">
        <f>"STRING POINT PRILL BLOUSE_ROSE PINK"</f>
        <v>STRING POINT PRILL BLOUSE_ROSE PINK</v>
      </c>
      <c r="K82" s="6">
        <v>0</v>
      </c>
      <c r="L82" s="6">
        <v>0</v>
      </c>
      <c r="M82" s="6">
        <v>0</v>
      </c>
      <c r="N82" s="6" t="str">
        <f>""</f>
        <v/>
      </c>
      <c r="O82" s="6">
        <v>33745</v>
      </c>
      <c r="P82" s="6" t="s">
        <v>526</v>
      </c>
      <c r="R82" s="6" t="s">
        <v>528</v>
      </c>
      <c r="S82" s="6" t="s">
        <v>529</v>
      </c>
      <c r="T82" s="6">
        <v>0</v>
      </c>
      <c r="U82" s="6">
        <v>0</v>
      </c>
      <c r="V82" s="6">
        <v>0</v>
      </c>
      <c r="W82" s="6">
        <v>0</v>
      </c>
      <c r="X82" s="6" t="s">
        <v>169</v>
      </c>
      <c r="Z82" s="6" t="s">
        <v>170</v>
      </c>
      <c r="AA82" s="6" t="s">
        <v>171</v>
      </c>
      <c r="AB82" s="6">
        <v>0</v>
      </c>
      <c r="AC82" s="6" t="str">
        <f>""</f>
        <v/>
      </c>
      <c r="AS82" s="6">
        <v>0</v>
      </c>
      <c r="AT82" s="6">
        <v>0</v>
      </c>
    </row>
    <row r="83" spans="2:46">
      <c r="B83" s="6" t="s">
        <v>498</v>
      </c>
      <c r="D83" s="6" t="s">
        <v>499</v>
      </c>
      <c r="F83" s="6" t="s">
        <v>530</v>
      </c>
      <c r="G83" s="6" t="str">
        <f>"OL18SPOT01YEFH"</f>
        <v>OL18SPOT01YEFH</v>
      </c>
      <c r="H83" s="6" t="s">
        <v>531</v>
      </c>
      <c r="I83" s="6" t="s">
        <v>532</v>
      </c>
      <c r="J83" s="6" t="str">
        <f>"INVERTED PLEATS SLEEVE TRENCH COAT_ YELLOW"</f>
        <v>INVERTED PLEATS SLEEVE TRENCH COAT_ YELLOW</v>
      </c>
      <c r="K83" s="6">
        <v>0</v>
      </c>
      <c r="L83" s="6">
        <v>0</v>
      </c>
      <c r="M83" s="6">
        <v>0</v>
      </c>
      <c r="N83" s="6" t="str">
        <f>""</f>
        <v/>
      </c>
      <c r="O83" s="6">
        <v>33743</v>
      </c>
      <c r="P83" s="6" t="s">
        <v>531</v>
      </c>
      <c r="R83" s="6" t="s">
        <v>518</v>
      </c>
      <c r="S83" s="6" t="s">
        <v>533</v>
      </c>
      <c r="T83" s="6">
        <v>0</v>
      </c>
      <c r="U83" s="6">
        <v>0</v>
      </c>
      <c r="V83" s="6">
        <v>0</v>
      </c>
      <c r="W83" s="6">
        <v>0</v>
      </c>
      <c r="X83" s="6" t="s">
        <v>169</v>
      </c>
      <c r="Z83" s="6" t="s">
        <v>170</v>
      </c>
      <c r="AA83" s="6" t="s">
        <v>171</v>
      </c>
      <c r="AB83" s="6">
        <v>0</v>
      </c>
      <c r="AC83" s="6" t="str">
        <f>""</f>
        <v/>
      </c>
      <c r="AS83" s="6">
        <v>0</v>
      </c>
      <c r="AT83" s="6">
        <v>0</v>
      </c>
    </row>
    <row r="84" spans="2:46">
      <c r="B84" s="6" t="s">
        <v>498</v>
      </c>
      <c r="D84" s="6" t="s">
        <v>499</v>
      </c>
      <c r="F84" s="6" t="s">
        <v>534</v>
      </c>
      <c r="G84" s="6" t="str">
        <f>"OL18SPOT01MTFH"</f>
        <v>OL18SPOT01MTFH</v>
      </c>
      <c r="H84" s="6" t="s">
        <v>535</v>
      </c>
      <c r="I84" s="6" t="s">
        <v>536</v>
      </c>
      <c r="J84" s="6" t="str">
        <f>"INVERTED PLEATS SLEEVE TRENCH COAT_ MINT BLUE"</f>
        <v>INVERTED PLEATS SLEEVE TRENCH COAT_ MINT BLUE</v>
      </c>
      <c r="K84" s="6">
        <v>0</v>
      </c>
      <c r="L84" s="6">
        <v>0</v>
      </c>
      <c r="M84" s="6">
        <v>0</v>
      </c>
      <c r="N84" s="6" t="str">
        <f>""</f>
        <v/>
      </c>
      <c r="O84" s="6">
        <v>33741</v>
      </c>
      <c r="P84" s="6" t="s">
        <v>535</v>
      </c>
      <c r="R84" s="6" t="s">
        <v>503</v>
      </c>
      <c r="S84" s="6" t="s">
        <v>537</v>
      </c>
      <c r="T84" s="6">
        <v>0</v>
      </c>
      <c r="U84" s="6">
        <v>0</v>
      </c>
      <c r="V84" s="6">
        <v>0</v>
      </c>
      <c r="W84" s="6">
        <v>0</v>
      </c>
      <c r="X84" s="6" t="s">
        <v>169</v>
      </c>
      <c r="Z84" s="6" t="s">
        <v>170</v>
      </c>
      <c r="AA84" s="6" t="s">
        <v>171</v>
      </c>
      <c r="AB84" s="6">
        <v>0</v>
      </c>
      <c r="AC84" s="6" t="str">
        <f>""</f>
        <v/>
      </c>
      <c r="AS84" s="6">
        <v>0</v>
      </c>
      <c r="AT84" s="6">
        <v>0</v>
      </c>
    </row>
    <row r="85" spans="2:46">
      <c r="B85" s="6" t="s">
        <v>498</v>
      </c>
      <c r="D85" s="6" t="s">
        <v>499</v>
      </c>
      <c r="F85" s="6" t="s">
        <v>538</v>
      </c>
      <c r="G85" s="6" t="str">
        <f>"OL18SPAC01LDFS"</f>
        <v>OL18SPAC01LDFS</v>
      </c>
      <c r="H85" s="6" t="s">
        <v>539</v>
      </c>
      <c r="I85" s="6" t="s">
        <v>540</v>
      </c>
      <c r="J85" s="6" t="str">
        <f>"18 spring bracelet"</f>
        <v>18 spring bracelet</v>
      </c>
      <c r="K85" s="6">
        <v>0</v>
      </c>
      <c r="L85" s="6">
        <v>0</v>
      </c>
      <c r="M85" s="6">
        <v>0</v>
      </c>
      <c r="N85" s="6" t="str">
        <f>""</f>
        <v/>
      </c>
      <c r="O85" s="6">
        <v>33739</v>
      </c>
      <c r="P85" s="6" t="s">
        <v>539</v>
      </c>
      <c r="R85" s="6" t="s">
        <v>541</v>
      </c>
      <c r="S85" s="6" t="s">
        <v>542</v>
      </c>
      <c r="T85" s="6">
        <v>0</v>
      </c>
      <c r="U85" s="6">
        <v>0</v>
      </c>
      <c r="V85" s="6">
        <v>0</v>
      </c>
      <c r="W85" s="6">
        <v>0</v>
      </c>
      <c r="X85" s="6" t="s">
        <v>169</v>
      </c>
      <c r="Z85" s="6" t="s">
        <v>170</v>
      </c>
      <c r="AA85" s="6" t="s">
        <v>171</v>
      </c>
      <c r="AB85" s="6">
        <v>0</v>
      </c>
      <c r="AC85" s="6" t="str">
        <f>""</f>
        <v/>
      </c>
      <c r="AS85" s="6">
        <v>0</v>
      </c>
      <c r="AT85" s="6">
        <v>0</v>
      </c>
    </row>
    <row r="86" spans="2:46">
      <c r="B86" s="6" t="s">
        <v>498</v>
      </c>
      <c r="D86" s="6" t="s">
        <v>499</v>
      </c>
      <c r="F86" s="6" t="s">
        <v>543</v>
      </c>
      <c r="G86" s="6" t="str">
        <f>"OL17WTBL02NYFH"</f>
        <v>OL17WTBL02NYFH</v>
      </c>
      <c r="H86" s="6" t="s">
        <v>544</v>
      </c>
      <c r="I86" s="6" t="s">
        <v>545</v>
      </c>
      <c r="J86" s="6" t="str">
        <f>"DAISY DOT PRINT SHIRRING BLOUSE_NAVY"</f>
        <v>DAISY DOT PRINT SHIRRING BLOUSE_NAVY</v>
      </c>
      <c r="K86" s="6">
        <v>0</v>
      </c>
      <c r="L86" s="6">
        <v>0</v>
      </c>
      <c r="M86" s="6">
        <v>0</v>
      </c>
      <c r="N86" s="6" t="str">
        <f>""</f>
        <v/>
      </c>
      <c r="O86" s="6">
        <v>33737</v>
      </c>
      <c r="P86" s="6" t="s">
        <v>544</v>
      </c>
      <c r="R86" s="6" t="s">
        <v>546</v>
      </c>
      <c r="S86" s="6" t="s">
        <v>547</v>
      </c>
      <c r="T86" s="6">
        <v>0</v>
      </c>
      <c r="U86" s="6">
        <v>0</v>
      </c>
      <c r="V86" s="6">
        <v>0</v>
      </c>
      <c r="W86" s="6">
        <v>0</v>
      </c>
      <c r="X86" s="6" t="s">
        <v>169</v>
      </c>
      <c r="Z86" s="6" t="s">
        <v>170</v>
      </c>
      <c r="AA86" s="6" t="s">
        <v>171</v>
      </c>
      <c r="AB86" s="6">
        <v>0</v>
      </c>
      <c r="AC86" s="6" t="str">
        <f>""</f>
        <v/>
      </c>
      <c r="AS86" s="6">
        <v>0</v>
      </c>
      <c r="AT86" s="6">
        <v>0</v>
      </c>
    </row>
    <row r="87" spans="2:46">
      <c r="B87" s="6" t="s">
        <v>498</v>
      </c>
      <c r="D87" s="6" t="s">
        <v>499</v>
      </c>
      <c r="F87" s="6" t="s">
        <v>548</v>
      </c>
      <c r="G87" s="6" t="str">
        <f>"OL17WTBL02RDFH"</f>
        <v>OL17WTBL02RDFH</v>
      </c>
      <c r="H87" s="6" t="s">
        <v>549</v>
      </c>
      <c r="I87" s="6" t="s">
        <v>550</v>
      </c>
      <c r="J87" s="6" t="str">
        <f>"DAISY DOT PRINT SHIRRING BLOUSE_RED"</f>
        <v>DAISY DOT PRINT SHIRRING BLOUSE_RED</v>
      </c>
      <c r="K87" s="6">
        <v>0</v>
      </c>
      <c r="L87" s="6">
        <v>0</v>
      </c>
      <c r="M87" s="6">
        <v>0</v>
      </c>
      <c r="N87" s="6" t="str">
        <f>""</f>
        <v/>
      </c>
      <c r="O87" s="6">
        <v>33735</v>
      </c>
      <c r="P87" s="6" t="s">
        <v>549</v>
      </c>
      <c r="R87" s="6" t="s">
        <v>551</v>
      </c>
      <c r="S87" s="6" t="s">
        <v>552</v>
      </c>
      <c r="T87" s="6">
        <v>0</v>
      </c>
      <c r="U87" s="6">
        <v>0</v>
      </c>
      <c r="V87" s="6">
        <v>0</v>
      </c>
      <c r="W87" s="6">
        <v>0</v>
      </c>
      <c r="X87" s="6" t="s">
        <v>169</v>
      </c>
      <c r="Z87" s="6" t="s">
        <v>170</v>
      </c>
      <c r="AA87" s="6" t="s">
        <v>171</v>
      </c>
      <c r="AB87" s="6">
        <v>0</v>
      </c>
      <c r="AC87" s="6" t="str">
        <f>""</f>
        <v/>
      </c>
      <c r="AS87" s="6">
        <v>0</v>
      </c>
      <c r="AT87" s="6">
        <v>0</v>
      </c>
    </row>
    <row r="88" spans="2:46">
      <c r="B88" s="6" t="s">
        <v>498</v>
      </c>
      <c r="D88" s="6" t="s">
        <v>499</v>
      </c>
      <c r="F88" s="6" t="s">
        <v>553</v>
      </c>
      <c r="G88" s="6" t="str">
        <f>"OL17WTOP01RDSH"</f>
        <v>OL17WTOP01RDSH</v>
      </c>
      <c r="H88" s="6" t="s">
        <v>554</v>
      </c>
      <c r="I88" s="6" t="s">
        <v>555</v>
      </c>
      <c r="J88" s="6" t="str">
        <f>"DAISY DOT PRINT CORSET BELT DRESS_RED/S"</f>
        <v>DAISY DOT PRINT CORSET BELT DRESS_RED/S</v>
      </c>
      <c r="K88" s="6">
        <v>0</v>
      </c>
      <c r="L88" s="6">
        <v>0</v>
      </c>
      <c r="M88" s="6">
        <v>0</v>
      </c>
      <c r="N88" s="6" t="str">
        <f>""</f>
        <v/>
      </c>
      <c r="O88" s="6">
        <v>33733</v>
      </c>
      <c r="P88" s="6" t="s">
        <v>554</v>
      </c>
      <c r="R88" s="6" t="s">
        <v>556</v>
      </c>
      <c r="S88" s="6" t="s">
        <v>557</v>
      </c>
      <c r="T88" s="6">
        <v>0</v>
      </c>
      <c r="U88" s="6">
        <v>0</v>
      </c>
      <c r="V88" s="6">
        <v>0</v>
      </c>
      <c r="W88" s="6">
        <v>0</v>
      </c>
      <c r="X88" s="6" t="s">
        <v>169</v>
      </c>
      <c r="Z88" s="6" t="s">
        <v>170</v>
      </c>
      <c r="AA88" s="6" t="s">
        <v>171</v>
      </c>
      <c r="AB88" s="6">
        <v>0</v>
      </c>
      <c r="AC88" s="6" t="str">
        <f>""</f>
        <v/>
      </c>
      <c r="AS88" s="6">
        <v>0</v>
      </c>
      <c r="AT88" s="6">
        <v>0</v>
      </c>
    </row>
    <row r="89" spans="2:46">
      <c r="B89" s="6" t="s">
        <v>498</v>
      </c>
      <c r="D89" s="6" t="s">
        <v>499</v>
      </c>
      <c r="F89" s="6" t="s">
        <v>558</v>
      </c>
      <c r="G89" s="6" t="str">
        <f>"OL17WTOP01RDMH"</f>
        <v>OL17WTOP01RDMH</v>
      </c>
      <c r="H89" s="6" t="s">
        <v>559</v>
      </c>
      <c r="I89" s="6" t="s">
        <v>560</v>
      </c>
      <c r="J89" s="6" t="str">
        <f>"DAISY DOT PRINT CORSET BELT DRESS_RED/M"</f>
        <v>DAISY DOT PRINT CORSET BELT DRESS_RED/M</v>
      </c>
      <c r="K89" s="6">
        <v>0</v>
      </c>
      <c r="L89" s="6">
        <v>0</v>
      </c>
      <c r="M89" s="6">
        <v>0</v>
      </c>
      <c r="N89" s="6" t="str">
        <f>""</f>
        <v/>
      </c>
      <c r="O89" s="6">
        <v>33731</v>
      </c>
      <c r="P89" s="6" t="s">
        <v>559</v>
      </c>
      <c r="R89" s="6" t="s">
        <v>561</v>
      </c>
      <c r="S89" s="6" t="s">
        <v>562</v>
      </c>
      <c r="T89" s="6">
        <v>0</v>
      </c>
      <c r="U89" s="6">
        <v>0</v>
      </c>
      <c r="V89" s="6">
        <v>0</v>
      </c>
      <c r="W89" s="6">
        <v>0</v>
      </c>
      <c r="X89" s="6" t="s">
        <v>169</v>
      </c>
      <c r="Z89" s="6" t="s">
        <v>170</v>
      </c>
      <c r="AA89" s="6" t="s">
        <v>171</v>
      </c>
      <c r="AB89" s="6">
        <v>0</v>
      </c>
      <c r="AC89" s="6" t="str">
        <f>""</f>
        <v/>
      </c>
      <c r="AS89" s="6">
        <v>0</v>
      </c>
      <c r="AT89" s="6">
        <v>0</v>
      </c>
    </row>
    <row r="90" spans="2:46">
      <c r="B90" s="6" t="s">
        <v>498</v>
      </c>
      <c r="D90" s="6" t="s">
        <v>499</v>
      </c>
      <c r="F90" s="6" t="s">
        <v>563</v>
      </c>
      <c r="G90" s="6" t="str">
        <f>"OL17WTOP01NYSH"</f>
        <v>OL17WTOP01NYSH</v>
      </c>
      <c r="H90" s="6" t="s">
        <v>564</v>
      </c>
      <c r="I90" s="6" t="s">
        <v>565</v>
      </c>
      <c r="J90" s="6" t="str">
        <f>"DAISY DOT PRINT CORSET BELT DRESS_NAVY/S"</f>
        <v>DAISY DOT PRINT CORSET BELT DRESS_NAVY/S</v>
      </c>
      <c r="K90" s="6">
        <v>0</v>
      </c>
      <c r="L90" s="6">
        <v>0</v>
      </c>
      <c r="M90" s="6">
        <v>0</v>
      </c>
      <c r="N90" s="6" t="str">
        <f>""</f>
        <v/>
      </c>
      <c r="O90" s="6">
        <v>33729</v>
      </c>
      <c r="P90" s="6" t="s">
        <v>564</v>
      </c>
      <c r="R90" s="6" t="s">
        <v>566</v>
      </c>
      <c r="S90" s="6" t="s">
        <v>567</v>
      </c>
      <c r="T90" s="6">
        <v>0</v>
      </c>
      <c r="U90" s="6">
        <v>0</v>
      </c>
      <c r="V90" s="6">
        <v>0</v>
      </c>
      <c r="W90" s="6">
        <v>0</v>
      </c>
      <c r="X90" s="6" t="s">
        <v>169</v>
      </c>
      <c r="Z90" s="6" t="s">
        <v>170</v>
      </c>
      <c r="AA90" s="6" t="s">
        <v>171</v>
      </c>
      <c r="AB90" s="6">
        <v>0</v>
      </c>
      <c r="AC90" s="6" t="str">
        <f>""</f>
        <v/>
      </c>
      <c r="AS90" s="6">
        <v>0</v>
      </c>
      <c r="AT90" s="6">
        <v>0</v>
      </c>
    </row>
    <row r="91" spans="2:46">
      <c r="B91" s="6" t="s">
        <v>498</v>
      </c>
      <c r="D91" s="6" t="s">
        <v>499</v>
      </c>
      <c r="F91" s="6" t="s">
        <v>568</v>
      </c>
      <c r="G91" s="6" t="str">
        <f>"OL17WTOP01NYMH"</f>
        <v>OL17WTOP01NYMH</v>
      </c>
      <c r="H91" s="6" t="s">
        <v>569</v>
      </c>
      <c r="I91" s="6" t="s">
        <v>570</v>
      </c>
      <c r="J91" s="6" t="str">
        <f>"DAISY DOT PRINT CORSET BELT DRESS_NAVY/M"</f>
        <v>DAISY DOT PRINT CORSET BELT DRESS_NAVY/M</v>
      </c>
      <c r="K91" s="6">
        <v>0</v>
      </c>
      <c r="L91" s="6">
        <v>0</v>
      </c>
      <c r="M91" s="6">
        <v>0</v>
      </c>
      <c r="N91" s="6" t="str">
        <f>""</f>
        <v/>
      </c>
      <c r="O91" s="6">
        <v>33727</v>
      </c>
      <c r="P91" s="6" t="s">
        <v>569</v>
      </c>
      <c r="R91" s="6" t="s">
        <v>571</v>
      </c>
      <c r="S91" s="6" t="s">
        <v>572</v>
      </c>
      <c r="T91" s="6">
        <v>0</v>
      </c>
      <c r="U91" s="6">
        <v>0</v>
      </c>
      <c r="V91" s="6">
        <v>0</v>
      </c>
      <c r="W91" s="6">
        <v>0</v>
      </c>
      <c r="X91" s="6" t="s">
        <v>169</v>
      </c>
      <c r="Z91" s="6" t="s">
        <v>170</v>
      </c>
      <c r="AA91" s="6" t="s">
        <v>171</v>
      </c>
      <c r="AB91" s="6">
        <v>0</v>
      </c>
      <c r="AC91" s="6" t="str">
        <f>""</f>
        <v/>
      </c>
      <c r="AS91" s="6">
        <v>0</v>
      </c>
      <c r="AT91" s="6">
        <v>0</v>
      </c>
    </row>
    <row r="92" spans="2:46">
      <c r="B92" s="6" t="s">
        <v>498</v>
      </c>
      <c r="D92" s="6" t="s">
        <v>499</v>
      </c>
      <c r="F92" s="6" t="s">
        <v>573</v>
      </c>
      <c r="G92" s="6" t="str">
        <f>"OLX1ST17OP01PLFH"</f>
        <v>OLX1ST17OP01PLFH</v>
      </c>
      <c r="H92" s="6" t="s">
        <v>574</v>
      </c>
      <c r="I92" s="6" t="s">
        <v>575</v>
      </c>
      <c r="J92" s="6" t="str">
        <f>"COLOR POINT SHIRNING DRESS_PURPLE"</f>
        <v>COLOR POINT SHIRNING DRESS_PURPLE</v>
      </c>
      <c r="K92" s="6">
        <v>0</v>
      </c>
      <c r="L92" s="6">
        <v>0</v>
      </c>
      <c r="M92" s="6">
        <v>0</v>
      </c>
      <c r="N92" s="6" t="str">
        <f>""</f>
        <v/>
      </c>
      <c r="O92" s="6">
        <v>33725</v>
      </c>
      <c r="P92" s="6" t="s">
        <v>574</v>
      </c>
      <c r="R92" s="6" t="s">
        <v>576</v>
      </c>
      <c r="S92" s="6" t="s">
        <v>577</v>
      </c>
      <c r="T92" s="6">
        <v>0</v>
      </c>
      <c r="U92" s="6">
        <v>0</v>
      </c>
      <c r="V92" s="6">
        <v>0</v>
      </c>
      <c r="W92" s="6">
        <v>0</v>
      </c>
      <c r="X92" s="6" t="s">
        <v>169</v>
      </c>
      <c r="Z92" s="6" t="s">
        <v>170</v>
      </c>
      <c r="AA92" s="6" t="s">
        <v>171</v>
      </c>
      <c r="AB92" s="6">
        <v>0</v>
      </c>
      <c r="AC92" s="6" t="str">
        <f>""</f>
        <v/>
      </c>
      <c r="AS92" s="6">
        <v>0</v>
      </c>
      <c r="AT92" s="6">
        <v>0</v>
      </c>
    </row>
    <row r="93" spans="2:46">
      <c r="B93" s="6" t="s">
        <v>498</v>
      </c>
      <c r="D93" s="6" t="s">
        <v>499</v>
      </c>
      <c r="F93" s="6" t="s">
        <v>578</v>
      </c>
      <c r="G93" s="6" t="str">
        <f>"OLX1ST17OP01BKFH"</f>
        <v>OLX1ST17OP01BKFH</v>
      </c>
      <c r="H93" s="6" t="s">
        <v>579</v>
      </c>
      <c r="I93" s="6" t="s">
        <v>580</v>
      </c>
      <c r="J93" s="6" t="str">
        <f>"COLOR POINT SHIRNING DRESS_BLACK"</f>
        <v>COLOR POINT SHIRNING DRESS_BLACK</v>
      </c>
      <c r="K93" s="6">
        <v>0</v>
      </c>
      <c r="L93" s="6">
        <v>0</v>
      </c>
      <c r="M93" s="6">
        <v>0</v>
      </c>
      <c r="N93" s="6" t="str">
        <f>""</f>
        <v/>
      </c>
      <c r="O93" s="6">
        <v>33723</v>
      </c>
      <c r="P93" s="6" t="s">
        <v>579</v>
      </c>
      <c r="R93" s="6" t="s">
        <v>581</v>
      </c>
      <c r="S93" s="6" t="s">
        <v>582</v>
      </c>
      <c r="T93" s="6">
        <v>0</v>
      </c>
      <c r="U93" s="6">
        <v>0</v>
      </c>
      <c r="V93" s="6">
        <v>0</v>
      </c>
      <c r="W93" s="6">
        <v>0</v>
      </c>
      <c r="X93" s="6" t="s">
        <v>169</v>
      </c>
      <c r="Z93" s="6" t="s">
        <v>170</v>
      </c>
      <c r="AA93" s="6" t="s">
        <v>171</v>
      </c>
      <c r="AB93" s="6">
        <v>0</v>
      </c>
      <c r="AC93" s="6" t="str">
        <f>""</f>
        <v/>
      </c>
      <c r="AS93" s="6">
        <v>0</v>
      </c>
      <c r="AT93" s="6">
        <v>0</v>
      </c>
    </row>
    <row r="94" spans="2:46">
      <c r="B94" s="6" t="s">
        <v>498</v>
      </c>
      <c r="D94" s="6" t="s">
        <v>499</v>
      </c>
      <c r="F94" s="6" t="s">
        <v>583</v>
      </c>
      <c r="G94" s="6" t="str">
        <f>"OL16SPJK01NYMH"</f>
        <v>OL16SPJK01NYMH</v>
      </c>
      <c r="H94" s="6" t="s">
        <v>584</v>
      </c>
      <c r="I94" s="6" t="s">
        <v>585</v>
      </c>
      <c r="J94" s="6" t="str">
        <f>"CHECK SUIT SINGLE JACKET_navy/M"</f>
        <v>CHECK SUIT SINGLE JACKET_navy/M</v>
      </c>
      <c r="K94" s="6">
        <v>0</v>
      </c>
      <c r="L94" s="6">
        <v>0</v>
      </c>
      <c r="M94" s="6">
        <v>0</v>
      </c>
      <c r="N94" s="6" t="str">
        <f>""</f>
        <v/>
      </c>
      <c r="O94" s="6">
        <v>33721</v>
      </c>
      <c r="P94" s="6" t="s">
        <v>584</v>
      </c>
      <c r="R94" s="6" t="s">
        <v>586</v>
      </c>
      <c r="S94" s="6" t="s">
        <v>587</v>
      </c>
      <c r="T94" s="6">
        <v>0</v>
      </c>
      <c r="U94" s="6">
        <v>0</v>
      </c>
      <c r="V94" s="6">
        <v>0</v>
      </c>
      <c r="W94" s="6">
        <v>0</v>
      </c>
      <c r="X94" s="6" t="s">
        <v>169</v>
      </c>
      <c r="Z94" s="6" t="s">
        <v>170</v>
      </c>
      <c r="AA94" s="6" t="s">
        <v>171</v>
      </c>
      <c r="AB94" s="6">
        <v>0</v>
      </c>
      <c r="AC94" s="6" t="str">
        <f>""</f>
        <v/>
      </c>
      <c r="AS94" s="6">
        <v>0</v>
      </c>
      <c r="AT94" s="6">
        <v>0</v>
      </c>
    </row>
    <row r="95" spans="2:46">
      <c r="B95" s="6" t="s">
        <v>498</v>
      </c>
      <c r="D95" s="6" t="s">
        <v>499</v>
      </c>
      <c r="F95" s="6" t="s">
        <v>588</v>
      </c>
      <c r="G95" s="6" t="str">
        <f>"OL17WTOP02OBFH"</f>
        <v>OL17WTOP02OBFH</v>
      </c>
      <c r="H95" s="6" t="s">
        <v>589</v>
      </c>
      <c r="I95" s="6" t="s">
        <v>590</v>
      </c>
      <c r="J95" s="6" t="str">
        <f>"SHINING VELVET MINI DRESS_OCEAN BLUE"</f>
        <v>SHINING VELVET MINI DRESS_OCEAN BLUE</v>
      </c>
      <c r="K95" s="6">
        <v>0</v>
      </c>
      <c r="L95" s="6">
        <v>0</v>
      </c>
      <c r="M95" s="6">
        <v>0</v>
      </c>
      <c r="N95" s="6" t="str">
        <f>""</f>
        <v/>
      </c>
      <c r="O95" s="6">
        <v>33719</v>
      </c>
      <c r="P95" s="6" t="s">
        <v>589</v>
      </c>
      <c r="R95" s="6" t="s">
        <v>591</v>
      </c>
      <c r="S95" s="6" t="s">
        <v>592</v>
      </c>
      <c r="T95" s="6">
        <v>0</v>
      </c>
      <c r="U95" s="6">
        <v>0</v>
      </c>
      <c r="V95" s="6">
        <v>0</v>
      </c>
      <c r="W95" s="6">
        <v>0</v>
      </c>
      <c r="X95" s="6" t="s">
        <v>169</v>
      </c>
      <c r="Z95" s="6" t="s">
        <v>170</v>
      </c>
      <c r="AA95" s="6" t="s">
        <v>171</v>
      </c>
      <c r="AB95" s="6">
        <v>0</v>
      </c>
      <c r="AC95" s="6" t="str">
        <f>""</f>
        <v/>
      </c>
      <c r="AS95" s="6">
        <v>0</v>
      </c>
      <c r="AT95" s="6">
        <v>0</v>
      </c>
    </row>
    <row r="96" spans="2:46">
      <c r="B96" s="6" t="s">
        <v>498</v>
      </c>
      <c r="D96" s="6" t="s">
        <v>499</v>
      </c>
      <c r="F96" s="6" t="s">
        <v>593</v>
      </c>
      <c r="G96" s="6" t="str">
        <f>"OL17WTOP02BKFH"</f>
        <v>OL17WTOP02BKFH</v>
      </c>
      <c r="H96" s="6" t="s">
        <v>594</v>
      </c>
      <c r="I96" s="6" t="s">
        <v>595</v>
      </c>
      <c r="J96" s="6" t="str">
        <f>"SHINING VELVET MINI DRESS_BLACK"</f>
        <v>SHINING VELVET MINI DRESS_BLACK</v>
      </c>
      <c r="K96" s="6">
        <v>0</v>
      </c>
      <c r="L96" s="6">
        <v>0</v>
      </c>
      <c r="M96" s="6">
        <v>0</v>
      </c>
      <c r="N96" s="6" t="str">
        <f>""</f>
        <v/>
      </c>
      <c r="O96" s="6">
        <v>33717</v>
      </c>
      <c r="P96" s="6" t="s">
        <v>594</v>
      </c>
      <c r="R96" s="6" t="s">
        <v>596</v>
      </c>
      <c r="S96" s="6" t="s">
        <v>597</v>
      </c>
      <c r="T96" s="6">
        <v>0</v>
      </c>
      <c r="U96" s="6">
        <v>0</v>
      </c>
      <c r="V96" s="6">
        <v>0</v>
      </c>
      <c r="W96" s="6">
        <v>0</v>
      </c>
      <c r="X96" s="6" t="s">
        <v>169</v>
      </c>
      <c r="Z96" s="6" t="s">
        <v>170</v>
      </c>
      <c r="AA96" s="6" t="s">
        <v>171</v>
      </c>
      <c r="AB96" s="6">
        <v>0</v>
      </c>
      <c r="AC96" s="6" t="str">
        <f>""</f>
        <v/>
      </c>
      <c r="AS96" s="6">
        <v>0</v>
      </c>
      <c r="AT96" s="6">
        <v>0</v>
      </c>
    </row>
    <row r="97" spans="2:46">
      <c r="B97" s="6" t="s">
        <v>498</v>
      </c>
      <c r="D97" s="6" t="s">
        <v>499</v>
      </c>
      <c r="F97" s="6" t="s">
        <v>598</v>
      </c>
      <c r="G97" s="6" t="str">
        <f>"OL17WTOP04BKMH"</f>
        <v>OL17WTOP04BKMH</v>
      </c>
      <c r="H97" s="6" t="s">
        <v>599</v>
      </c>
      <c r="I97" s="6" t="s">
        <v>600</v>
      </c>
      <c r="J97" s="6" t="str">
        <f>"TUCK POINT LINE DRESS_BLACK/M"</f>
        <v>TUCK POINT LINE DRESS_BLACK/M</v>
      </c>
      <c r="K97" s="6">
        <v>0</v>
      </c>
      <c r="L97" s="6">
        <v>0</v>
      </c>
      <c r="M97" s="6">
        <v>0</v>
      </c>
      <c r="N97" s="6" t="str">
        <f>""</f>
        <v/>
      </c>
      <c r="O97" s="6">
        <v>33715</v>
      </c>
      <c r="P97" s="6" t="s">
        <v>599</v>
      </c>
      <c r="R97" s="6" t="s">
        <v>601</v>
      </c>
      <c r="S97" s="6" t="s">
        <v>602</v>
      </c>
      <c r="T97" s="6">
        <v>0</v>
      </c>
      <c r="U97" s="6">
        <v>0</v>
      </c>
      <c r="V97" s="6">
        <v>0</v>
      </c>
      <c r="W97" s="6">
        <v>0</v>
      </c>
      <c r="X97" s="6" t="s">
        <v>169</v>
      </c>
      <c r="Z97" s="6" t="s">
        <v>170</v>
      </c>
      <c r="AA97" s="6" t="s">
        <v>171</v>
      </c>
      <c r="AB97" s="6">
        <v>0</v>
      </c>
      <c r="AC97" s="6" t="str">
        <f>""</f>
        <v/>
      </c>
      <c r="AS97" s="6">
        <v>0</v>
      </c>
      <c r="AT97" s="6">
        <v>0</v>
      </c>
    </row>
    <row r="98" spans="2:46">
      <c r="B98" s="6" t="s">
        <v>498</v>
      </c>
      <c r="D98" s="6" t="s">
        <v>499</v>
      </c>
      <c r="F98" s="6" t="s">
        <v>603</v>
      </c>
      <c r="G98" s="6" t="str">
        <f>"OL17WTOP04BKSH"</f>
        <v>OL17WTOP04BKSH</v>
      </c>
      <c r="H98" s="6" t="s">
        <v>604</v>
      </c>
      <c r="I98" s="6" t="s">
        <v>605</v>
      </c>
      <c r="J98" s="6" t="str">
        <f>"TUCK POINT LINE DRESS_BLACK/S"</f>
        <v>TUCK POINT LINE DRESS_BLACK/S</v>
      </c>
      <c r="K98" s="6">
        <v>0</v>
      </c>
      <c r="L98" s="6">
        <v>0</v>
      </c>
      <c r="M98" s="6">
        <v>0</v>
      </c>
      <c r="N98" s="6" t="str">
        <f>""</f>
        <v/>
      </c>
      <c r="O98" s="6">
        <v>33713</v>
      </c>
      <c r="P98" s="6" t="s">
        <v>604</v>
      </c>
      <c r="R98" s="6" t="s">
        <v>606</v>
      </c>
      <c r="S98" s="6" t="s">
        <v>607</v>
      </c>
      <c r="T98" s="6">
        <v>0</v>
      </c>
      <c r="U98" s="6">
        <v>0</v>
      </c>
      <c r="V98" s="6">
        <v>0</v>
      </c>
      <c r="W98" s="6">
        <v>0</v>
      </c>
      <c r="X98" s="6" t="s">
        <v>169</v>
      </c>
      <c r="Z98" s="6" t="s">
        <v>170</v>
      </c>
      <c r="AA98" s="6" t="s">
        <v>171</v>
      </c>
      <c r="AB98" s="6">
        <v>0</v>
      </c>
      <c r="AC98" s="6" t="str">
        <f>""</f>
        <v/>
      </c>
      <c r="AS98" s="6">
        <v>0</v>
      </c>
      <c r="AT98" s="6">
        <v>0</v>
      </c>
    </row>
    <row r="99" spans="2:46">
      <c r="B99" s="6" t="s">
        <v>498</v>
      </c>
      <c r="D99" s="6" t="s">
        <v>499</v>
      </c>
      <c r="F99" s="6" t="s">
        <v>608</v>
      </c>
      <c r="G99" s="6" t="str">
        <f>"OL17WTOP04RPMH"</f>
        <v>OL17WTOP04RPMH</v>
      </c>
      <c r="H99" s="6" t="s">
        <v>609</v>
      </c>
      <c r="I99" s="6" t="s">
        <v>610</v>
      </c>
      <c r="J99" s="6" t="str">
        <f>"TUCK POINT LINE DRESS_ROSE PINK/M"</f>
        <v>TUCK POINT LINE DRESS_ROSE PINK/M</v>
      </c>
      <c r="K99" s="6">
        <v>0</v>
      </c>
      <c r="L99" s="6">
        <v>0</v>
      </c>
      <c r="M99" s="6">
        <v>0</v>
      </c>
      <c r="N99" s="6" t="str">
        <f>""</f>
        <v/>
      </c>
      <c r="O99" s="6">
        <v>33711</v>
      </c>
      <c r="P99" s="6" t="s">
        <v>609</v>
      </c>
      <c r="R99" s="6" t="s">
        <v>611</v>
      </c>
      <c r="S99" s="6" t="s">
        <v>612</v>
      </c>
      <c r="T99" s="6">
        <v>0</v>
      </c>
      <c r="U99" s="6">
        <v>0</v>
      </c>
      <c r="V99" s="6">
        <v>0</v>
      </c>
      <c r="W99" s="6">
        <v>0</v>
      </c>
      <c r="X99" s="6" t="s">
        <v>169</v>
      </c>
      <c r="Z99" s="6" t="s">
        <v>170</v>
      </c>
      <c r="AA99" s="6" t="s">
        <v>171</v>
      </c>
      <c r="AB99" s="6">
        <v>0</v>
      </c>
      <c r="AC99" s="6" t="str">
        <f>""</f>
        <v/>
      </c>
      <c r="AS99" s="6">
        <v>0</v>
      </c>
      <c r="AT99" s="6">
        <v>0</v>
      </c>
    </row>
    <row r="100" spans="2:46">
      <c r="B100" s="6" t="s">
        <v>498</v>
      </c>
      <c r="D100" s="6" t="s">
        <v>499</v>
      </c>
      <c r="F100" s="6" t="s">
        <v>613</v>
      </c>
      <c r="G100" s="6" t="str">
        <f>"OL17WTOP04RPSH"</f>
        <v>OL17WTOP04RPSH</v>
      </c>
      <c r="H100" s="6" t="s">
        <v>614</v>
      </c>
      <c r="I100" s="6" t="s">
        <v>615</v>
      </c>
      <c r="J100" s="6" t="str">
        <f>"TUCK POINT LINE DRESS_ROSE PINK/S"</f>
        <v>TUCK POINT LINE DRESS_ROSE PINK/S</v>
      </c>
      <c r="K100" s="6">
        <v>0</v>
      </c>
      <c r="L100" s="6">
        <v>0</v>
      </c>
      <c r="M100" s="6">
        <v>0</v>
      </c>
      <c r="N100" s="6" t="str">
        <f>""</f>
        <v/>
      </c>
      <c r="O100" s="6">
        <v>33709</v>
      </c>
      <c r="P100" s="6" t="s">
        <v>614</v>
      </c>
      <c r="R100" s="6" t="s">
        <v>616</v>
      </c>
      <c r="S100" s="6" t="s">
        <v>617</v>
      </c>
      <c r="T100" s="6">
        <v>0</v>
      </c>
      <c r="U100" s="6">
        <v>0</v>
      </c>
      <c r="V100" s="6">
        <v>0</v>
      </c>
      <c r="W100" s="6">
        <v>0</v>
      </c>
      <c r="X100" s="6" t="s">
        <v>169</v>
      </c>
      <c r="Z100" s="6" t="s">
        <v>170</v>
      </c>
      <c r="AA100" s="6" t="s">
        <v>171</v>
      </c>
      <c r="AB100" s="6">
        <v>0</v>
      </c>
      <c r="AC100" s="6" t="str">
        <f>""</f>
        <v/>
      </c>
      <c r="AS100" s="6">
        <v>0</v>
      </c>
      <c r="AT100" s="6">
        <v>0</v>
      </c>
    </row>
    <row r="101" spans="2:46">
      <c r="B101" s="6" t="s">
        <v>498</v>
      </c>
      <c r="D101" s="6" t="s">
        <v>499</v>
      </c>
      <c r="F101" s="6" t="s">
        <v>618</v>
      </c>
      <c r="G101" s="6" t="str">
        <f>"OL17WTOT02OCFH"</f>
        <v>OL17WTOT02OCFH</v>
      </c>
      <c r="H101" s="6" t="s">
        <v>619</v>
      </c>
      <c r="I101" s="6" t="s">
        <v>620</v>
      </c>
      <c r="J101" s="6" t="str">
        <f>"DOUBLE BOTTON COAT_ORANGE CAMEL"</f>
        <v>DOUBLE BOTTON COAT_ORANGE CAMEL</v>
      </c>
      <c r="K101" s="6">
        <v>0</v>
      </c>
      <c r="L101" s="6">
        <v>0</v>
      </c>
      <c r="M101" s="6">
        <v>0</v>
      </c>
      <c r="N101" s="6" t="str">
        <f>""</f>
        <v/>
      </c>
      <c r="O101" s="6">
        <v>33707</v>
      </c>
      <c r="P101" s="6" t="s">
        <v>619</v>
      </c>
      <c r="R101" s="6" t="s">
        <v>621</v>
      </c>
      <c r="S101" s="6" t="s">
        <v>622</v>
      </c>
      <c r="T101" s="6">
        <v>0</v>
      </c>
      <c r="U101" s="6">
        <v>0</v>
      </c>
      <c r="V101" s="6">
        <v>0</v>
      </c>
      <c r="W101" s="6">
        <v>0</v>
      </c>
      <c r="X101" s="6" t="s">
        <v>169</v>
      </c>
      <c r="Z101" s="6" t="s">
        <v>170</v>
      </c>
      <c r="AA101" s="6" t="s">
        <v>171</v>
      </c>
      <c r="AB101" s="6">
        <v>0</v>
      </c>
      <c r="AC101" s="6" t="str">
        <f>""</f>
        <v/>
      </c>
      <c r="AS101" s="6">
        <v>0</v>
      </c>
      <c r="AT101" s="6">
        <v>0</v>
      </c>
    </row>
    <row r="102" spans="2:46">
      <c r="B102" s="6" t="s">
        <v>498</v>
      </c>
      <c r="D102" s="6" t="s">
        <v>499</v>
      </c>
      <c r="F102" s="6" t="s">
        <v>623</v>
      </c>
      <c r="G102" s="6" t="str">
        <f>"OL17WTOT02CHFH"</f>
        <v>OL17WTOT02CHFH</v>
      </c>
      <c r="H102" s="6" t="s">
        <v>624</v>
      </c>
      <c r="I102" s="6" t="s">
        <v>625</v>
      </c>
      <c r="J102" s="6" t="str">
        <f>"DOUBLE BOTTON COAT_CHOCOLATE"</f>
        <v>DOUBLE BOTTON COAT_CHOCOLATE</v>
      </c>
      <c r="K102" s="6">
        <v>0</v>
      </c>
      <c r="L102" s="6">
        <v>0</v>
      </c>
      <c r="M102" s="6">
        <v>0</v>
      </c>
      <c r="N102" s="6" t="str">
        <f>""</f>
        <v/>
      </c>
      <c r="O102" s="6">
        <v>33705</v>
      </c>
      <c r="P102" s="6" t="s">
        <v>624</v>
      </c>
      <c r="R102" s="6" t="s">
        <v>621</v>
      </c>
      <c r="S102" s="6" t="s">
        <v>626</v>
      </c>
      <c r="T102" s="6">
        <v>0</v>
      </c>
      <c r="U102" s="6">
        <v>0</v>
      </c>
      <c r="V102" s="6">
        <v>0</v>
      </c>
      <c r="W102" s="6">
        <v>0</v>
      </c>
      <c r="X102" s="6" t="s">
        <v>169</v>
      </c>
      <c r="Z102" s="6" t="s">
        <v>170</v>
      </c>
      <c r="AA102" s="6" t="s">
        <v>171</v>
      </c>
      <c r="AB102" s="6">
        <v>0</v>
      </c>
      <c r="AC102" s="6" t="str">
        <f>""</f>
        <v/>
      </c>
      <c r="AS102" s="6">
        <v>0</v>
      </c>
      <c r="AT102" s="6">
        <v>0</v>
      </c>
    </row>
    <row r="103" spans="2:46">
      <c r="B103" s="6" t="s">
        <v>498</v>
      </c>
      <c r="D103" s="6" t="s">
        <v>499</v>
      </c>
      <c r="F103" s="6" t="s">
        <v>627</v>
      </c>
      <c r="G103" s="6" t="str">
        <f>"OL17WTOT01BGMH"</f>
        <v>OL17WTOT01BGMH</v>
      </c>
      <c r="H103" s="6" t="s">
        <v>628</v>
      </c>
      <c r="I103" s="6" t="s">
        <v>629</v>
      </c>
      <c r="J103" s="6" t="str">
        <f>"PUFF SLEEVES  VOLUME LINE  COAT_BLUISH GREEN"</f>
        <v>PUFF SLEEVES  VOLUME LINE  COAT_BLUISH GREEN</v>
      </c>
      <c r="K103" s="6">
        <v>0</v>
      </c>
      <c r="L103" s="6">
        <v>0</v>
      </c>
      <c r="M103" s="6">
        <v>0</v>
      </c>
      <c r="N103" s="6" t="str">
        <f>""</f>
        <v/>
      </c>
      <c r="O103" s="6">
        <v>33703</v>
      </c>
      <c r="P103" s="6" t="s">
        <v>628</v>
      </c>
      <c r="R103" s="6" t="s">
        <v>630</v>
      </c>
      <c r="S103" s="6" t="s">
        <v>631</v>
      </c>
      <c r="T103" s="6">
        <v>0</v>
      </c>
      <c r="U103" s="6">
        <v>0</v>
      </c>
      <c r="V103" s="6">
        <v>0</v>
      </c>
      <c r="W103" s="6">
        <v>0</v>
      </c>
      <c r="X103" s="6" t="s">
        <v>169</v>
      </c>
      <c r="Z103" s="6" t="s">
        <v>170</v>
      </c>
      <c r="AA103" s="6" t="s">
        <v>171</v>
      </c>
      <c r="AB103" s="6">
        <v>0</v>
      </c>
      <c r="AC103" s="6" t="str">
        <f>""</f>
        <v/>
      </c>
      <c r="AS103" s="6">
        <v>0</v>
      </c>
      <c r="AT103" s="6">
        <v>0</v>
      </c>
    </row>
    <row r="104" spans="2:46">
      <c r="B104" s="6" t="s">
        <v>498</v>
      </c>
      <c r="D104" s="6" t="s">
        <v>499</v>
      </c>
      <c r="F104" s="6" t="s">
        <v>632</v>
      </c>
      <c r="G104" s="6" t="str">
        <f>"OL17WTOT01BGSH"</f>
        <v>OL17WTOT01BGSH</v>
      </c>
      <c r="H104" s="6" t="s">
        <v>633</v>
      </c>
      <c r="I104" s="6" t="s">
        <v>629</v>
      </c>
      <c r="J104" s="6" t="str">
        <f>"PUFF SLEEVES  VOLUME LINE  COAT_BLUISH GREEN"</f>
        <v>PUFF SLEEVES  VOLUME LINE  COAT_BLUISH GREEN</v>
      </c>
      <c r="K104" s="6">
        <v>0</v>
      </c>
      <c r="L104" s="6">
        <v>0</v>
      </c>
      <c r="M104" s="6">
        <v>0</v>
      </c>
      <c r="N104" s="6" t="str">
        <f>""</f>
        <v/>
      </c>
      <c r="O104" s="6">
        <v>33702</v>
      </c>
      <c r="P104" s="6" t="s">
        <v>633</v>
      </c>
      <c r="R104" s="6" t="s">
        <v>634</v>
      </c>
      <c r="S104" s="6" t="s">
        <v>635</v>
      </c>
      <c r="T104" s="6">
        <v>0</v>
      </c>
      <c r="U104" s="6">
        <v>0</v>
      </c>
      <c r="V104" s="6">
        <v>0</v>
      </c>
      <c r="W104" s="6">
        <v>0</v>
      </c>
      <c r="X104" s="6" t="s">
        <v>169</v>
      </c>
      <c r="Z104" s="6" t="s">
        <v>170</v>
      </c>
      <c r="AA104" s="6" t="s">
        <v>171</v>
      </c>
      <c r="AB104" s="6">
        <v>0</v>
      </c>
      <c r="AC104" s="6" t="str">
        <f>""</f>
        <v/>
      </c>
      <c r="AS104" s="6">
        <v>0</v>
      </c>
      <c r="AT104" s="6">
        <v>0</v>
      </c>
    </row>
    <row r="105" spans="2:46">
      <c r="B105" s="6" t="s">
        <v>498</v>
      </c>
      <c r="D105" s="6" t="s">
        <v>499</v>
      </c>
      <c r="F105" s="6" t="s">
        <v>636</v>
      </c>
      <c r="G105" s="6" t="str">
        <f>"OL17WTOT01BEMH"</f>
        <v>OL17WTOT01BEMH</v>
      </c>
      <c r="H105" s="6" t="s">
        <v>637</v>
      </c>
      <c r="I105" s="6" t="s">
        <v>638</v>
      </c>
      <c r="J105" s="6" t="str">
        <f>"PUFF SLEEVES  VOLUME LINE  COAT_BEIGE/M"</f>
        <v>PUFF SLEEVES  VOLUME LINE  COAT_BEIGE/M</v>
      </c>
      <c r="K105" s="6">
        <v>0</v>
      </c>
      <c r="L105" s="6">
        <v>0</v>
      </c>
      <c r="M105" s="6">
        <v>0</v>
      </c>
      <c r="N105" s="6" t="str">
        <f>""</f>
        <v/>
      </c>
      <c r="O105" s="6">
        <v>33700</v>
      </c>
      <c r="P105" s="6" t="s">
        <v>637</v>
      </c>
      <c r="R105" s="6" t="s">
        <v>639</v>
      </c>
      <c r="S105" s="6" t="s">
        <v>640</v>
      </c>
      <c r="T105" s="6">
        <v>0</v>
      </c>
      <c r="U105" s="6">
        <v>0</v>
      </c>
      <c r="V105" s="6">
        <v>0</v>
      </c>
      <c r="W105" s="6">
        <v>0</v>
      </c>
      <c r="X105" s="6" t="s">
        <v>169</v>
      </c>
      <c r="Z105" s="6" t="s">
        <v>170</v>
      </c>
      <c r="AA105" s="6" t="s">
        <v>171</v>
      </c>
      <c r="AB105" s="6">
        <v>0</v>
      </c>
      <c r="AC105" s="6" t="str">
        <f>""</f>
        <v/>
      </c>
      <c r="AS105" s="6">
        <v>0</v>
      </c>
      <c r="AT105" s="6">
        <v>0</v>
      </c>
    </row>
    <row r="106" spans="2:46">
      <c r="B106" s="6" t="s">
        <v>498</v>
      </c>
      <c r="D106" s="6" t="s">
        <v>499</v>
      </c>
      <c r="F106" s="6" t="s">
        <v>641</v>
      </c>
      <c r="G106" s="6" t="str">
        <f>"OL17WTOT01BESH"</f>
        <v>OL17WTOT01BESH</v>
      </c>
      <c r="H106" s="6" t="s">
        <v>642</v>
      </c>
      <c r="I106" s="6" t="s">
        <v>643</v>
      </c>
      <c r="J106" s="6" t="str">
        <f>"PUFF SLEEVES  VOLUME LINE  COAT _BEIGE/S"</f>
        <v>PUFF SLEEVES  VOLUME LINE  COAT _BEIGE/S</v>
      </c>
      <c r="K106" s="6">
        <v>0</v>
      </c>
      <c r="L106" s="6">
        <v>0</v>
      </c>
      <c r="M106" s="6">
        <v>0</v>
      </c>
      <c r="N106" s="6" t="str">
        <f>""</f>
        <v/>
      </c>
      <c r="O106" s="6">
        <v>33698</v>
      </c>
      <c r="P106" s="6" t="s">
        <v>642</v>
      </c>
      <c r="R106" s="6" t="s">
        <v>644</v>
      </c>
      <c r="S106" s="6" t="s">
        <v>645</v>
      </c>
      <c r="T106" s="6">
        <v>0</v>
      </c>
      <c r="U106" s="6">
        <v>0</v>
      </c>
      <c r="V106" s="6">
        <v>0</v>
      </c>
      <c r="W106" s="6">
        <v>0</v>
      </c>
      <c r="X106" s="6" t="s">
        <v>169</v>
      </c>
      <c r="Z106" s="6" t="s">
        <v>170</v>
      </c>
      <c r="AA106" s="6" t="s">
        <v>171</v>
      </c>
      <c r="AB106" s="6">
        <v>0</v>
      </c>
      <c r="AC106" s="6" t="str">
        <f>""</f>
        <v/>
      </c>
      <c r="AS106" s="6">
        <v>0</v>
      </c>
      <c r="AT106" s="6">
        <v>0</v>
      </c>
    </row>
    <row r="107" spans="2:46">
      <c r="B107" s="6" t="s">
        <v>498</v>
      </c>
      <c r="D107" s="6" t="s">
        <v>499</v>
      </c>
      <c r="F107" s="6" t="s">
        <v>646</v>
      </c>
      <c r="G107" s="6" t="str">
        <f>"OL17WTOT01RDMH"</f>
        <v>OL17WTOT01RDMH</v>
      </c>
      <c r="H107" s="6" t="s">
        <v>647</v>
      </c>
      <c r="I107" s="6" t="s">
        <v>648</v>
      </c>
      <c r="J107" s="6" t="str">
        <f>"PUFF SLEEVES  VOLUME LINE  COAT _RED/M"</f>
        <v>PUFF SLEEVES  VOLUME LINE  COAT _RED/M</v>
      </c>
      <c r="K107" s="6">
        <v>0</v>
      </c>
      <c r="L107" s="6">
        <v>0</v>
      </c>
      <c r="M107" s="6">
        <v>0</v>
      </c>
      <c r="N107" s="6" t="str">
        <f>""</f>
        <v/>
      </c>
      <c r="O107" s="6">
        <v>33696</v>
      </c>
      <c r="P107" s="6" t="s">
        <v>647</v>
      </c>
      <c r="R107" s="6" t="s">
        <v>561</v>
      </c>
      <c r="S107" s="6" t="s">
        <v>649</v>
      </c>
      <c r="T107" s="6">
        <v>0</v>
      </c>
      <c r="U107" s="6">
        <v>0</v>
      </c>
      <c r="V107" s="6">
        <v>0</v>
      </c>
      <c r="W107" s="6">
        <v>0</v>
      </c>
      <c r="X107" s="6" t="s">
        <v>169</v>
      </c>
      <c r="Z107" s="6" t="s">
        <v>170</v>
      </c>
      <c r="AA107" s="6" t="s">
        <v>171</v>
      </c>
      <c r="AB107" s="6">
        <v>0</v>
      </c>
      <c r="AC107" s="6" t="str">
        <f>""</f>
        <v/>
      </c>
      <c r="AS107" s="6">
        <v>0</v>
      </c>
      <c r="AT107" s="6">
        <v>0</v>
      </c>
    </row>
    <row r="108" spans="2:46">
      <c r="B108" s="6" t="s">
        <v>498</v>
      </c>
      <c r="D108" s="6" t="s">
        <v>499</v>
      </c>
      <c r="F108" s="6" t="s">
        <v>650</v>
      </c>
      <c r="G108" s="6" t="str">
        <f>"OL17WTOT01RDSH"</f>
        <v>OL17WTOT01RDSH</v>
      </c>
      <c r="H108" s="6" t="s">
        <v>651</v>
      </c>
      <c r="I108" s="6" t="s">
        <v>652</v>
      </c>
      <c r="J108" s="6" t="str">
        <f>"PUFF SLEEVES  VOLUME LINE  COAT _RED/S"</f>
        <v>PUFF SLEEVES  VOLUME LINE  COAT _RED/S</v>
      </c>
      <c r="K108" s="6">
        <v>0</v>
      </c>
      <c r="L108" s="6">
        <v>0</v>
      </c>
      <c r="M108" s="6">
        <v>0</v>
      </c>
      <c r="N108" s="6" t="str">
        <f>""</f>
        <v/>
      </c>
      <c r="O108" s="6">
        <v>33694</v>
      </c>
      <c r="P108" s="6" t="s">
        <v>651</v>
      </c>
      <c r="R108" s="6" t="s">
        <v>556</v>
      </c>
      <c r="S108" s="6" t="s">
        <v>653</v>
      </c>
      <c r="T108" s="6">
        <v>0</v>
      </c>
      <c r="U108" s="6">
        <v>0</v>
      </c>
      <c r="V108" s="6">
        <v>0</v>
      </c>
      <c r="W108" s="6">
        <v>0</v>
      </c>
      <c r="X108" s="6" t="s">
        <v>169</v>
      </c>
      <c r="Z108" s="6" t="s">
        <v>170</v>
      </c>
      <c r="AA108" s="6" t="s">
        <v>171</v>
      </c>
      <c r="AB108" s="6">
        <v>0</v>
      </c>
      <c r="AC108" s="6" t="str">
        <f>""</f>
        <v/>
      </c>
      <c r="AS108" s="6">
        <v>0</v>
      </c>
      <c r="AT108" s="6">
        <v>0</v>
      </c>
    </row>
    <row r="109" spans="2:46">
      <c r="B109" s="6" t="s">
        <v>498</v>
      </c>
      <c r="D109" s="6" t="s">
        <v>499</v>
      </c>
      <c r="F109" s="6" t="s">
        <v>654</v>
      </c>
      <c r="G109" s="6" t="str">
        <f>"OL17WTOT01DPMH"</f>
        <v>OL17WTOT01DPMH</v>
      </c>
      <c r="H109" s="6" t="s">
        <v>655</v>
      </c>
      <c r="I109" s="6" t="s">
        <v>656</v>
      </c>
      <c r="J109" s="6" t="str">
        <f>"PUFF SLEEVES  VOLUME LINE  COAT _DEEP PINK/M"</f>
        <v>PUFF SLEEVES  VOLUME LINE  COAT _DEEP PINK/M</v>
      </c>
      <c r="K109" s="6">
        <v>0</v>
      </c>
      <c r="L109" s="6">
        <v>0</v>
      </c>
      <c r="M109" s="6">
        <v>0</v>
      </c>
      <c r="N109" s="6" t="str">
        <f>""</f>
        <v/>
      </c>
      <c r="O109" s="6">
        <v>33692</v>
      </c>
      <c r="P109" s="6" t="s">
        <v>655</v>
      </c>
      <c r="R109" s="6" t="s">
        <v>657</v>
      </c>
      <c r="S109" s="6" t="s">
        <v>658</v>
      </c>
      <c r="T109" s="6">
        <v>0</v>
      </c>
      <c r="U109" s="6">
        <v>0</v>
      </c>
      <c r="V109" s="6">
        <v>0</v>
      </c>
      <c r="W109" s="6">
        <v>0</v>
      </c>
      <c r="X109" s="6" t="s">
        <v>169</v>
      </c>
      <c r="Z109" s="6" t="s">
        <v>170</v>
      </c>
      <c r="AA109" s="6" t="s">
        <v>171</v>
      </c>
      <c r="AB109" s="6">
        <v>0</v>
      </c>
      <c r="AC109" s="6" t="str">
        <f>""</f>
        <v/>
      </c>
      <c r="AS109" s="6">
        <v>0</v>
      </c>
      <c r="AT109" s="6">
        <v>0</v>
      </c>
    </row>
    <row r="110" spans="2:46">
      <c r="B110" s="6" t="s">
        <v>498</v>
      </c>
      <c r="D110" s="6" t="s">
        <v>499</v>
      </c>
      <c r="F110" s="6" t="s">
        <v>659</v>
      </c>
      <c r="G110" s="6" t="str">
        <f>"OL17WTOT01DPSH"</f>
        <v>OL17WTOT01DPSH</v>
      </c>
      <c r="H110" s="6" t="s">
        <v>660</v>
      </c>
      <c r="I110" s="6" t="s">
        <v>661</v>
      </c>
      <c r="J110" s="6" t="str">
        <f>"PUFF SLEEVES  VOLUME LINE  COAT_ DEEP PINK/S"</f>
        <v>PUFF SLEEVES  VOLUME LINE  COAT_ DEEP PINK/S</v>
      </c>
      <c r="K110" s="6">
        <v>0</v>
      </c>
      <c r="L110" s="6">
        <v>0</v>
      </c>
      <c r="M110" s="6">
        <v>0</v>
      </c>
      <c r="N110" s="6" t="str">
        <f>""</f>
        <v/>
      </c>
      <c r="O110" s="6">
        <v>33690</v>
      </c>
      <c r="P110" s="6" t="s">
        <v>660</v>
      </c>
      <c r="R110" s="6" t="s">
        <v>662</v>
      </c>
      <c r="S110" s="6" t="s">
        <v>663</v>
      </c>
      <c r="T110" s="6">
        <v>0</v>
      </c>
      <c r="U110" s="6">
        <v>0</v>
      </c>
      <c r="V110" s="6">
        <v>0</v>
      </c>
      <c r="W110" s="6">
        <v>0</v>
      </c>
      <c r="X110" s="6" t="s">
        <v>169</v>
      </c>
      <c r="Z110" s="6" t="s">
        <v>170</v>
      </c>
      <c r="AA110" s="6" t="s">
        <v>171</v>
      </c>
      <c r="AB110" s="6">
        <v>0</v>
      </c>
      <c r="AC110" s="6" t="str">
        <f>""</f>
        <v/>
      </c>
      <c r="AS110" s="6">
        <v>0</v>
      </c>
      <c r="AT110" s="6">
        <v>0</v>
      </c>
    </row>
    <row r="111" spans="2:46">
      <c r="B111" s="6" t="s">
        <v>498</v>
      </c>
      <c r="D111" s="6" t="s">
        <v>499</v>
      </c>
      <c r="F111" s="6" t="s">
        <v>664</v>
      </c>
      <c r="G111" s="6" t="str">
        <f>"OL17WTSKS01BNFH"</f>
        <v>OL17WTSKS01BNFH</v>
      </c>
      <c r="H111" s="6" t="s">
        <v>665</v>
      </c>
      <c r="I111" s="6" t="s">
        <v>666</v>
      </c>
      <c r="J111" s="6" t="str">
        <f>"DAISY PATTERN COLOR MIX SOCKS_BRAUN"</f>
        <v>DAISY PATTERN COLOR MIX SOCKS_BRAUN</v>
      </c>
      <c r="K111" s="6">
        <v>0</v>
      </c>
      <c r="L111" s="6">
        <v>0</v>
      </c>
      <c r="M111" s="6">
        <v>0</v>
      </c>
      <c r="N111" s="6" t="str">
        <f>""</f>
        <v/>
      </c>
      <c r="O111" s="6">
        <v>33688</v>
      </c>
      <c r="P111" s="6" t="s">
        <v>665</v>
      </c>
      <c r="R111" s="6" t="s">
        <v>667</v>
      </c>
      <c r="S111" s="6" t="s">
        <v>668</v>
      </c>
      <c r="T111" s="6">
        <v>0</v>
      </c>
      <c r="U111" s="6">
        <v>0</v>
      </c>
      <c r="V111" s="6">
        <v>0</v>
      </c>
      <c r="W111" s="6">
        <v>0</v>
      </c>
      <c r="X111" s="6" t="s">
        <v>169</v>
      </c>
      <c r="Z111" s="6" t="s">
        <v>170</v>
      </c>
      <c r="AA111" s="6" t="s">
        <v>171</v>
      </c>
      <c r="AB111" s="6">
        <v>0</v>
      </c>
      <c r="AC111" s="6" t="str">
        <f>""</f>
        <v/>
      </c>
      <c r="AS111" s="6">
        <v>0</v>
      </c>
      <c r="AT111" s="6">
        <v>0</v>
      </c>
    </row>
    <row r="112" spans="2:46">
      <c r="B112" s="6" t="s">
        <v>498</v>
      </c>
      <c r="D112" s="6" t="s">
        <v>499</v>
      </c>
      <c r="F112" s="6" t="s">
        <v>669</v>
      </c>
      <c r="G112" s="6" t="str">
        <f>"OL17WTSKS01NYFH"</f>
        <v>OL17WTSKS01NYFH</v>
      </c>
      <c r="H112" s="6" t="s">
        <v>670</v>
      </c>
      <c r="I112" s="6" t="s">
        <v>671</v>
      </c>
      <c r="J112" s="6" t="str">
        <f>"DAISY PATTERN COLOR MIX SOCKS_NAVY"</f>
        <v>DAISY PATTERN COLOR MIX SOCKS_NAVY</v>
      </c>
      <c r="K112" s="6">
        <v>0</v>
      </c>
      <c r="L112" s="6">
        <v>0</v>
      </c>
      <c r="M112" s="6">
        <v>0</v>
      </c>
      <c r="N112" s="6" t="str">
        <f>""</f>
        <v/>
      </c>
      <c r="O112" s="6">
        <v>33686</v>
      </c>
      <c r="P112" s="6" t="s">
        <v>670</v>
      </c>
      <c r="R112" s="6" t="s">
        <v>546</v>
      </c>
      <c r="S112" s="6" t="s">
        <v>672</v>
      </c>
      <c r="T112" s="6">
        <v>0</v>
      </c>
      <c r="U112" s="6">
        <v>0</v>
      </c>
      <c r="V112" s="6">
        <v>0</v>
      </c>
      <c r="W112" s="6">
        <v>0</v>
      </c>
      <c r="X112" s="6" t="s">
        <v>169</v>
      </c>
      <c r="Z112" s="6" t="s">
        <v>170</v>
      </c>
      <c r="AA112" s="6" t="s">
        <v>171</v>
      </c>
      <c r="AB112" s="6">
        <v>0</v>
      </c>
      <c r="AC112" s="6" t="str">
        <f>""</f>
        <v/>
      </c>
      <c r="AS112" s="6">
        <v>0</v>
      </c>
      <c r="AT112" s="6">
        <v>0</v>
      </c>
    </row>
    <row r="113" spans="2:46">
      <c r="B113" s="6" t="s">
        <v>498</v>
      </c>
      <c r="D113" s="6" t="s">
        <v>499</v>
      </c>
      <c r="F113" s="6" t="s">
        <v>673</v>
      </c>
      <c r="G113" s="6" t="str">
        <f>"OL17WTSKT01DBSH"</f>
        <v>OL17WTSKT01DBSH</v>
      </c>
      <c r="H113" s="6" t="s">
        <v>674</v>
      </c>
      <c r="I113" s="6" t="s">
        <v>675</v>
      </c>
      <c r="J113" s="6" t="str">
        <f>"MERMAID CHECK SLIT SKIRT  DARK BLUE/S"</f>
        <v>MERMAID CHECK SLIT SKIRT  DARK BLUE/S</v>
      </c>
      <c r="K113" s="6">
        <v>0</v>
      </c>
      <c r="L113" s="6">
        <v>0</v>
      </c>
      <c r="M113" s="6">
        <v>0</v>
      </c>
      <c r="N113" s="6" t="str">
        <f>""</f>
        <v/>
      </c>
      <c r="O113" s="6">
        <v>33684</v>
      </c>
      <c r="P113" s="6" t="s">
        <v>674</v>
      </c>
      <c r="R113" s="6" t="s">
        <v>676</v>
      </c>
      <c r="S113" s="6" t="s">
        <v>677</v>
      </c>
      <c r="T113" s="6">
        <v>0</v>
      </c>
      <c r="U113" s="6">
        <v>0</v>
      </c>
      <c r="V113" s="6">
        <v>0</v>
      </c>
      <c r="W113" s="6">
        <v>0</v>
      </c>
      <c r="X113" s="6" t="s">
        <v>169</v>
      </c>
      <c r="Z113" s="6" t="s">
        <v>170</v>
      </c>
      <c r="AA113" s="6" t="s">
        <v>171</v>
      </c>
      <c r="AB113" s="6">
        <v>0</v>
      </c>
      <c r="AC113" s="6" t="str">
        <f>""</f>
        <v/>
      </c>
      <c r="AS113" s="6">
        <v>0</v>
      </c>
      <c r="AT113" s="6">
        <v>0</v>
      </c>
    </row>
    <row r="114" spans="2:46">
      <c r="B114" s="6" t="s">
        <v>498</v>
      </c>
      <c r="D114" s="6" t="s">
        <v>499</v>
      </c>
      <c r="F114" s="6" t="s">
        <v>678</v>
      </c>
      <c r="G114" s="6" t="str">
        <f>"OL17WTSKT01DBMH"</f>
        <v>OL17WTSKT01DBMH</v>
      </c>
      <c r="H114" s="6" t="s">
        <v>679</v>
      </c>
      <c r="I114" s="6" t="s">
        <v>680</v>
      </c>
      <c r="J114" s="6" t="str">
        <f>"MERMAID CHECK SLIT SKIRT  DARK BLUE/M"</f>
        <v>MERMAID CHECK SLIT SKIRT  DARK BLUE/M</v>
      </c>
      <c r="K114" s="6">
        <v>0</v>
      </c>
      <c r="L114" s="6">
        <v>0</v>
      </c>
      <c r="M114" s="6">
        <v>0</v>
      </c>
      <c r="N114" s="6" t="str">
        <f>""</f>
        <v/>
      </c>
      <c r="O114" s="6">
        <v>33682</v>
      </c>
      <c r="P114" s="6" t="s">
        <v>679</v>
      </c>
      <c r="R114" s="6" t="s">
        <v>681</v>
      </c>
      <c r="S114" s="6" t="s">
        <v>682</v>
      </c>
      <c r="T114" s="6">
        <v>0</v>
      </c>
      <c r="U114" s="6">
        <v>0</v>
      </c>
      <c r="V114" s="6">
        <v>0</v>
      </c>
      <c r="W114" s="6">
        <v>0</v>
      </c>
      <c r="X114" s="6" t="s">
        <v>169</v>
      </c>
      <c r="Z114" s="6" t="s">
        <v>170</v>
      </c>
      <c r="AA114" s="6" t="s">
        <v>171</v>
      </c>
      <c r="AB114" s="6">
        <v>0</v>
      </c>
      <c r="AC114" s="6" t="str">
        <f>""</f>
        <v/>
      </c>
      <c r="AS114" s="6">
        <v>0</v>
      </c>
      <c r="AT114" s="6">
        <v>0</v>
      </c>
    </row>
    <row r="115" spans="2:46">
      <c r="B115" s="6" t="s">
        <v>498</v>
      </c>
      <c r="D115" s="6" t="s">
        <v>499</v>
      </c>
      <c r="F115" s="6" t="s">
        <v>683</v>
      </c>
      <c r="G115" s="6" t="str">
        <f>"OL17WTSKT01DGMH"</f>
        <v>OL17WTSKT01DGMH</v>
      </c>
      <c r="H115" s="6" t="s">
        <v>684</v>
      </c>
      <c r="I115" s="6" t="s">
        <v>685</v>
      </c>
      <c r="J115" s="6" t="str">
        <f>"MERMAID CHECK SLIT SKIRT  DARK GREEN/M"</f>
        <v>MERMAID CHECK SLIT SKIRT  DARK GREEN/M</v>
      </c>
      <c r="K115" s="6">
        <v>0</v>
      </c>
      <c r="L115" s="6">
        <v>0</v>
      </c>
      <c r="M115" s="6">
        <v>0</v>
      </c>
      <c r="N115" s="6" t="str">
        <f>""</f>
        <v/>
      </c>
      <c r="O115" s="6">
        <v>33680</v>
      </c>
      <c r="P115" s="6" t="s">
        <v>684</v>
      </c>
      <c r="R115" s="6" t="s">
        <v>686</v>
      </c>
      <c r="S115" s="6" t="s">
        <v>687</v>
      </c>
      <c r="T115" s="6">
        <v>0</v>
      </c>
      <c r="U115" s="6">
        <v>0</v>
      </c>
      <c r="V115" s="6">
        <v>0</v>
      </c>
      <c r="W115" s="6">
        <v>0</v>
      </c>
      <c r="X115" s="6" t="s">
        <v>169</v>
      </c>
      <c r="Z115" s="6" t="s">
        <v>170</v>
      </c>
      <c r="AA115" s="6" t="s">
        <v>171</v>
      </c>
      <c r="AB115" s="6">
        <v>0</v>
      </c>
      <c r="AC115" s="6" t="str">
        <f>""</f>
        <v/>
      </c>
      <c r="AS115" s="6">
        <v>0</v>
      </c>
      <c r="AT115" s="6">
        <v>0</v>
      </c>
    </row>
    <row r="116" spans="2:46">
      <c r="B116" s="6" t="s">
        <v>498</v>
      </c>
      <c r="D116" s="6" t="s">
        <v>499</v>
      </c>
      <c r="F116" s="6" t="s">
        <v>688</v>
      </c>
      <c r="G116" s="6" t="str">
        <f>"OL17WTSKT01DGSH"</f>
        <v>OL17WTSKT01DGSH</v>
      </c>
      <c r="H116" s="6" t="s">
        <v>689</v>
      </c>
      <c r="I116" s="6" t="s">
        <v>690</v>
      </c>
      <c r="J116" s="6" t="str">
        <f>"MERMAID CHECK SLIT SKIRT  DARK GREEN/S"</f>
        <v>MERMAID CHECK SLIT SKIRT  DARK GREEN/S</v>
      </c>
      <c r="K116" s="6">
        <v>0</v>
      </c>
      <c r="L116" s="6">
        <v>0</v>
      </c>
      <c r="M116" s="6">
        <v>0</v>
      </c>
      <c r="N116" s="6" t="str">
        <f>""</f>
        <v/>
      </c>
      <c r="O116" s="6">
        <v>33678</v>
      </c>
      <c r="P116" s="6" t="s">
        <v>689</v>
      </c>
      <c r="R116" s="6" t="s">
        <v>691</v>
      </c>
      <c r="S116" s="6" t="s">
        <v>692</v>
      </c>
      <c r="T116" s="6">
        <v>0</v>
      </c>
      <c r="U116" s="6">
        <v>0</v>
      </c>
      <c r="V116" s="6">
        <v>0</v>
      </c>
      <c r="W116" s="6">
        <v>0</v>
      </c>
      <c r="X116" s="6" t="s">
        <v>169</v>
      </c>
      <c r="Z116" s="6" t="s">
        <v>170</v>
      </c>
      <c r="AA116" s="6" t="s">
        <v>171</v>
      </c>
      <c r="AB116" s="6">
        <v>0</v>
      </c>
      <c r="AC116" s="6" t="str">
        <f>""</f>
        <v/>
      </c>
      <c r="AS116" s="6">
        <v>0</v>
      </c>
      <c r="AT116" s="6">
        <v>0</v>
      </c>
    </row>
    <row r="117" spans="2:46">
      <c r="B117" s="6" t="s">
        <v>498</v>
      </c>
      <c r="D117" s="6" t="s">
        <v>499</v>
      </c>
      <c r="F117" s="6" t="s">
        <v>693</v>
      </c>
      <c r="G117" s="6" t="str">
        <f>"OL17WTSKT02PCMH"</f>
        <v>OL17WTSKT02PCMH</v>
      </c>
      <c r="H117" s="6" t="s">
        <v>694</v>
      </c>
      <c r="I117" s="6" t="s">
        <v>695</v>
      </c>
      <c r="J117" s="6" t="str">
        <f>"VELVET POINT MINI SKIRT CHECKED/M"</f>
        <v>VELVET POINT MINI SKIRT CHECKED/M</v>
      </c>
      <c r="K117" s="6">
        <v>0</v>
      </c>
      <c r="L117" s="6">
        <v>0</v>
      </c>
      <c r="M117" s="6">
        <v>0</v>
      </c>
      <c r="N117" s="6" t="str">
        <f>""</f>
        <v/>
      </c>
      <c r="O117" s="6">
        <v>33676</v>
      </c>
      <c r="P117" s="6" t="s">
        <v>694</v>
      </c>
      <c r="R117" s="6" t="s">
        <v>696</v>
      </c>
      <c r="S117" s="6" t="s">
        <v>697</v>
      </c>
      <c r="T117" s="6">
        <v>0</v>
      </c>
      <c r="U117" s="6">
        <v>0</v>
      </c>
      <c r="V117" s="6">
        <v>0</v>
      </c>
      <c r="W117" s="6">
        <v>0</v>
      </c>
      <c r="X117" s="6" t="s">
        <v>169</v>
      </c>
      <c r="Z117" s="6" t="s">
        <v>170</v>
      </c>
      <c r="AA117" s="6" t="s">
        <v>171</v>
      </c>
      <c r="AB117" s="6">
        <v>0</v>
      </c>
      <c r="AC117" s="6" t="str">
        <f>""</f>
        <v/>
      </c>
      <c r="AS117" s="6">
        <v>0</v>
      </c>
      <c r="AT117" s="6">
        <v>0</v>
      </c>
    </row>
    <row r="118" spans="2:46">
      <c r="B118" s="6" t="s">
        <v>498</v>
      </c>
      <c r="D118" s="6" t="s">
        <v>499</v>
      </c>
      <c r="F118" s="6" t="s">
        <v>698</v>
      </c>
      <c r="G118" s="6" t="str">
        <f>"OL17WTSKT02PCSH"</f>
        <v>OL17WTSKT02PCSH</v>
      </c>
      <c r="H118" s="6" t="s">
        <v>699</v>
      </c>
      <c r="I118" s="6" t="s">
        <v>700</v>
      </c>
      <c r="J118" s="6" t="str">
        <f>"VELVET POINT MINI SKIRT  CHECKED/S"</f>
        <v>VELVET POINT MINI SKIRT  CHECKED/S</v>
      </c>
      <c r="K118" s="6">
        <v>0</v>
      </c>
      <c r="L118" s="6">
        <v>0</v>
      </c>
      <c r="M118" s="6">
        <v>0</v>
      </c>
      <c r="N118" s="6" t="str">
        <f>""</f>
        <v/>
      </c>
      <c r="O118" s="6">
        <v>33674</v>
      </c>
      <c r="P118" s="6" t="s">
        <v>699</v>
      </c>
      <c r="R118" s="6" t="s">
        <v>701</v>
      </c>
      <c r="S118" s="6" t="s">
        <v>702</v>
      </c>
      <c r="T118" s="6">
        <v>0</v>
      </c>
      <c r="U118" s="6">
        <v>0</v>
      </c>
      <c r="V118" s="6">
        <v>0</v>
      </c>
      <c r="W118" s="6">
        <v>0</v>
      </c>
      <c r="X118" s="6" t="s">
        <v>169</v>
      </c>
      <c r="Z118" s="6" t="s">
        <v>170</v>
      </c>
      <c r="AA118" s="6" t="s">
        <v>171</v>
      </c>
      <c r="AB118" s="6">
        <v>0</v>
      </c>
      <c r="AC118" s="6" t="str">
        <f>""</f>
        <v/>
      </c>
      <c r="AS118" s="6">
        <v>0</v>
      </c>
      <c r="AT118" s="6">
        <v>0</v>
      </c>
    </row>
    <row r="119" spans="2:46">
      <c r="B119" s="6" t="s">
        <v>498</v>
      </c>
      <c r="D119" s="6" t="s">
        <v>499</v>
      </c>
      <c r="F119" s="6" t="s">
        <v>703</v>
      </c>
      <c r="G119" s="6" t="str">
        <f>"OL17WTSKT02RDMH"</f>
        <v>OL17WTSKT02RDMH</v>
      </c>
      <c r="H119" s="6" t="s">
        <v>704</v>
      </c>
      <c r="I119" s="6" t="s">
        <v>705</v>
      </c>
      <c r="J119" s="6" t="str">
        <f>"VELVET POINT MINI SKIRT RED/M"</f>
        <v>VELVET POINT MINI SKIRT RED/M</v>
      </c>
      <c r="K119" s="6">
        <v>0</v>
      </c>
      <c r="L119" s="6">
        <v>0</v>
      </c>
      <c r="M119" s="6">
        <v>0</v>
      </c>
      <c r="N119" s="6" t="str">
        <f>""</f>
        <v/>
      </c>
      <c r="O119" s="6">
        <v>33672</v>
      </c>
      <c r="P119" s="6" t="s">
        <v>704</v>
      </c>
      <c r="R119" s="6" t="s">
        <v>561</v>
      </c>
      <c r="S119" s="6" t="s">
        <v>706</v>
      </c>
      <c r="T119" s="6">
        <v>0</v>
      </c>
      <c r="U119" s="6">
        <v>0</v>
      </c>
      <c r="V119" s="6">
        <v>0</v>
      </c>
      <c r="W119" s="6">
        <v>0</v>
      </c>
      <c r="X119" s="6" t="s">
        <v>169</v>
      </c>
      <c r="Z119" s="6" t="s">
        <v>170</v>
      </c>
      <c r="AA119" s="6" t="s">
        <v>171</v>
      </c>
      <c r="AB119" s="6">
        <v>0</v>
      </c>
      <c r="AC119" s="6" t="str">
        <f>""</f>
        <v/>
      </c>
      <c r="AS119" s="6">
        <v>0</v>
      </c>
      <c r="AT119" s="6">
        <v>0</v>
      </c>
    </row>
    <row r="120" spans="2:46">
      <c r="B120" s="6" t="s">
        <v>498</v>
      </c>
      <c r="D120" s="6" t="s">
        <v>499</v>
      </c>
      <c r="F120" s="6" t="s">
        <v>707</v>
      </c>
      <c r="G120" s="6" t="str">
        <f>"OL17WTSKT02RDSH"</f>
        <v>OL17WTSKT02RDSH</v>
      </c>
      <c r="H120" s="6" t="s">
        <v>708</v>
      </c>
      <c r="I120" s="6" t="s">
        <v>709</v>
      </c>
      <c r="J120" s="6" t="str">
        <f>"VELVET POINT MINI SKIRT  RED/S"</f>
        <v>VELVET POINT MINI SKIRT  RED/S</v>
      </c>
      <c r="K120" s="6">
        <v>0</v>
      </c>
      <c r="L120" s="6">
        <v>0</v>
      </c>
      <c r="M120" s="6">
        <v>0</v>
      </c>
      <c r="N120" s="6" t="str">
        <f>""</f>
        <v/>
      </c>
      <c r="O120" s="6">
        <v>33670</v>
      </c>
      <c r="P120" s="6" t="s">
        <v>708</v>
      </c>
      <c r="R120" s="6" t="s">
        <v>556</v>
      </c>
      <c r="S120" s="6" t="s">
        <v>710</v>
      </c>
      <c r="T120" s="6">
        <v>0</v>
      </c>
      <c r="U120" s="6">
        <v>0</v>
      </c>
      <c r="V120" s="6">
        <v>0</v>
      </c>
      <c r="W120" s="6">
        <v>0</v>
      </c>
      <c r="X120" s="6" t="s">
        <v>169</v>
      </c>
      <c r="Z120" s="6" t="s">
        <v>170</v>
      </c>
      <c r="AA120" s="6" t="s">
        <v>171</v>
      </c>
      <c r="AB120" s="6">
        <v>0</v>
      </c>
      <c r="AC120" s="6" t="str">
        <f>""</f>
        <v/>
      </c>
      <c r="AS120" s="6">
        <v>0</v>
      </c>
      <c r="AT120" s="6">
        <v>0</v>
      </c>
    </row>
    <row r="121" spans="2:46">
      <c r="B121" s="6" t="s">
        <v>498</v>
      </c>
      <c r="D121" s="6" t="s">
        <v>499</v>
      </c>
      <c r="F121" s="6" t="s">
        <v>711</v>
      </c>
      <c r="G121" s="6" t="str">
        <f>"OL17FLBL02MUFH"</f>
        <v>OL17FLBL02MUFH</v>
      </c>
      <c r="H121" s="6" t="s">
        <v>712</v>
      </c>
      <c r="I121" s="6" t="s">
        <v>713</v>
      </c>
      <c r="J121" s="6" t="str">
        <f>"POINT SLEEVES BASIC BLOUSE_MUSTARD"</f>
        <v>POINT SLEEVES BASIC BLOUSE_MUSTARD</v>
      </c>
      <c r="K121" s="6">
        <v>0</v>
      </c>
      <c r="L121" s="6">
        <v>0</v>
      </c>
      <c r="M121" s="6">
        <v>0</v>
      </c>
      <c r="N121" s="6" t="str">
        <f>""</f>
        <v/>
      </c>
      <c r="O121" s="6">
        <v>33668</v>
      </c>
      <c r="P121" s="6" t="s">
        <v>712</v>
      </c>
      <c r="R121" s="6" t="s">
        <v>714</v>
      </c>
      <c r="S121" s="6" t="s">
        <v>715</v>
      </c>
      <c r="T121" s="6">
        <v>0</v>
      </c>
      <c r="U121" s="6">
        <v>0</v>
      </c>
      <c r="V121" s="6">
        <v>0</v>
      </c>
      <c r="W121" s="6">
        <v>0</v>
      </c>
      <c r="X121" s="6" t="s">
        <v>169</v>
      </c>
      <c r="Z121" s="6" t="s">
        <v>170</v>
      </c>
      <c r="AA121" s="6" t="s">
        <v>171</v>
      </c>
      <c r="AB121" s="6">
        <v>0</v>
      </c>
      <c r="AC121" s="6" t="str">
        <f>""</f>
        <v/>
      </c>
      <c r="AS121" s="6">
        <v>0</v>
      </c>
      <c r="AT121" s="6">
        <v>0</v>
      </c>
    </row>
    <row r="122" spans="2:46">
      <c r="B122" s="6" t="s">
        <v>498</v>
      </c>
      <c r="D122" s="6" t="s">
        <v>499</v>
      </c>
      <c r="F122" s="6" t="s">
        <v>716</v>
      </c>
      <c r="G122" s="6" t="str">
        <f>"OL15WTOT01LVFH"</f>
        <v>OL15WTOT01LVFH</v>
      </c>
      <c r="H122" s="6" t="s">
        <v>717</v>
      </c>
      <c r="I122" s="6" t="s">
        <v>718</v>
      </c>
      <c r="J122" s="6" t="str">
        <f>"DROP SHOULDER WOOL COAT_LIGHT VIOLET"</f>
        <v>DROP SHOULDER WOOL COAT_LIGHT VIOLET</v>
      </c>
      <c r="K122" s="6">
        <v>0</v>
      </c>
      <c r="L122" s="6">
        <v>0</v>
      </c>
      <c r="M122" s="6">
        <v>0</v>
      </c>
      <c r="N122" s="6" t="str">
        <f>""</f>
        <v/>
      </c>
      <c r="O122" s="6">
        <v>33666</v>
      </c>
      <c r="P122" s="6" t="s">
        <v>717</v>
      </c>
      <c r="R122" s="6" t="s">
        <v>719</v>
      </c>
      <c r="S122" s="6" t="s">
        <v>720</v>
      </c>
      <c r="T122" s="6">
        <v>0</v>
      </c>
      <c r="U122" s="6">
        <v>0</v>
      </c>
      <c r="V122" s="6">
        <v>0</v>
      </c>
      <c r="W122" s="6">
        <v>0</v>
      </c>
      <c r="X122" s="6" t="s">
        <v>169</v>
      </c>
      <c r="Z122" s="6" t="s">
        <v>170</v>
      </c>
      <c r="AA122" s="6" t="s">
        <v>171</v>
      </c>
      <c r="AB122" s="6">
        <v>0</v>
      </c>
      <c r="AC122" s="6" t="str">
        <f>""</f>
        <v/>
      </c>
      <c r="AS122" s="6">
        <v>0</v>
      </c>
      <c r="AT122" s="6">
        <v>0</v>
      </c>
    </row>
    <row r="123" spans="2:46">
      <c r="B123" s="6" t="s">
        <v>498</v>
      </c>
      <c r="D123" s="6" t="s">
        <v>499</v>
      </c>
      <c r="F123" s="6" t="s">
        <v>721</v>
      </c>
      <c r="G123" s="6" t="str">
        <f>"OL17FLOP02OBMH"</f>
        <v>OL17FLOP02OBMH</v>
      </c>
      <c r="H123" s="6" t="s">
        <v>722</v>
      </c>
      <c r="I123" s="6" t="s">
        <v>723</v>
      </c>
      <c r="J123" s="6" t="str">
        <f>"PUFF SHOULDER BUTTON LACE DRESS_ORANGE BROWN/M"</f>
        <v>PUFF SHOULDER BUTTON LACE DRESS_ORANGE BROWN/M</v>
      </c>
      <c r="K123" s="6">
        <v>0</v>
      </c>
      <c r="L123" s="6">
        <v>0</v>
      </c>
      <c r="M123" s="6">
        <v>0</v>
      </c>
      <c r="N123" s="6" t="str">
        <f>""</f>
        <v/>
      </c>
      <c r="O123" s="6">
        <v>33664</v>
      </c>
      <c r="P123" s="6" t="s">
        <v>722</v>
      </c>
      <c r="R123" s="6" t="s">
        <v>724</v>
      </c>
      <c r="S123" s="6" t="s">
        <v>725</v>
      </c>
      <c r="T123" s="6">
        <v>0</v>
      </c>
      <c r="U123" s="6">
        <v>0</v>
      </c>
      <c r="V123" s="6">
        <v>0</v>
      </c>
      <c r="W123" s="6">
        <v>0</v>
      </c>
      <c r="X123" s="6" t="s">
        <v>169</v>
      </c>
      <c r="Z123" s="6" t="s">
        <v>170</v>
      </c>
      <c r="AA123" s="6" t="s">
        <v>171</v>
      </c>
      <c r="AB123" s="6">
        <v>0</v>
      </c>
      <c r="AC123" s="6" t="str">
        <f>""</f>
        <v/>
      </c>
      <c r="AS123" s="6">
        <v>0</v>
      </c>
      <c r="AT123" s="6">
        <v>0</v>
      </c>
    </row>
    <row r="124" spans="2:46">
      <c r="B124" s="6" t="s">
        <v>498</v>
      </c>
      <c r="D124" s="6" t="s">
        <v>499</v>
      </c>
      <c r="F124" s="6" t="s">
        <v>726</v>
      </c>
      <c r="G124" s="6" t="str">
        <f>"OL17FLOP02OBSH"</f>
        <v>OL17FLOP02OBSH</v>
      </c>
      <c r="H124" s="6" t="s">
        <v>727</v>
      </c>
      <c r="I124" s="6" t="s">
        <v>728</v>
      </c>
      <c r="J124" s="6" t="str">
        <f>"PUFF SHOULDER BUTTON LACE DRESS_ORANGE BROWN/S"</f>
        <v>PUFF SHOULDER BUTTON LACE DRESS_ORANGE BROWN/S</v>
      </c>
      <c r="K124" s="6">
        <v>0</v>
      </c>
      <c r="L124" s="6">
        <v>0</v>
      </c>
      <c r="M124" s="6">
        <v>0</v>
      </c>
      <c r="N124" s="6" t="str">
        <f>""</f>
        <v/>
      </c>
      <c r="O124" s="6">
        <v>33662</v>
      </c>
      <c r="P124" s="6" t="s">
        <v>727</v>
      </c>
      <c r="R124" s="6" t="s">
        <v>729</v>
      </c>
      <c r="S124" s="6" t="s">
        <v>730</v>
      </c>
      <c r="T124" s="6">
        <v>0</v>
      </c>
      <c r="U124" s="6">
        <v>0</v>
      </c>
      <c r="V124" s="6">
        <v>0</v>
      </c>
      <c r="W124" s="6">
        <v>0</v>
      </c>
      <c r="X124" s="6" t="s">
        <v>169</v>
      </c>
      <c r="Z124" s="6" t="s">
        <v>170</v>
      </c>
      <c r="AA124" s="6" t="s">
        <v>171</v>
      </c>
      <c r="AB124" s="6">
        <v>0</v>
      </c>
      <c r="AC124" s="6" t="str">
        <f>""</f>
        <v/>
      </c>
      <c r="AS124" s="6">
        <v>0</v>
      </c>
      <c r="AT124" s="6">
        <v>0</v>
      </c>
    </row>
    <row r="125" spans="2:46">
      <c r="B125" s="6" t="s">
        <v>498</v>
      </c>
      <c r="D125" s="6" t="s">
        <v>499</v>
      </c>
      <c r="F125" s="6" t="s">
        <v>731</v>
      </c>
      <c r="G125" s="6" t="str">
        <f>"OL17FLOP02RPFH"</f>
        <v>OL17FLOP02RPFH</v>
      </c>
      <c r="H125" s="6" t="s">
        <v>732</v>
      </c>
      <c r="I125" s="6" t="s">
        <v>733</v>
      </c>
      <c r="J125" s="6" t="str">
        <f>"FLOWR LACE ALL PLEATS DRESS_ROSE PINK"</f>
        <v>FLOWR LACE ALL PLEATS DRESS_ROSE PINK</v>
      </c>
      <c r="K125" s="6">
        <v>0</v>
      </c>
      <c r="L125" s="6">
        <v>0</v>
      </c>
      <c r="M125" s="6">
        <v>0</v>
      </c>
      <c r="N125" s="6" t="str">
        <f>""</f>
        <v/>
      </c>
      <c r="O125" s="6">
        <v>33660</v>
      </c>
      <c r="P125" s="6" t="s">
        <v>732</v>
      </c>
      <c r="R125" s="6" t="s">
        <v>528</v>
      </c>
      <c r="S125" s="6" t="s">
        <v>734</v>
      </c>
      <c r="T125" s="6">
        <v>0</v>
      </c>
      <c r="U125" s="6">
        <v>0</v>
      </c>
      <c r="V125" s="6">
        <v>0</v>
      </c>
      <c r="W125" s="6">
        <v>0</v>
      </c>
      <c r="X125" s="6" t="s">
        <v>169</v>
      </c>
      <c r="Z125" s="6" t="s">
        <v>170</v>
      </c>
      <c r="AA125" s="6" t="s">
        <v>171</v>
      </c>
      <c r="AB125" s="6">
        <v>0</v>
      </c>
      <c r="AC125" s="6" t="str">
        <f>""</f>
        <v/>
      </c>
      <c r="AS125" s="6">
        <v>0</v>
      </c>
      <c r="AT125" s="6">
        <v>0</v>
      </c>
    </row>
    <row r="126" spans="2:46">
      <c r="B126" s="6" t="s">
        <v>498</v>
      </c>
      <c r="D126" s="6" t="s">
        <v>499</v>
      </c>
      <c r="F126" s="6" t="s">
        <v>735</v>
      </c>
      <c r="G126" s="6" t="str">
        <f>"OL17FLJK01BRFH"</f>
        <v>OL17FLJK01BRFH</v>
      </c>
      <c r="H126" s="6" t="s">
        <v>736</v>
      </c>
      <c r="I126" s="6" t="s">
        <v>737</v>
      </c>
      <c r="J126" s="6" t="str">
        <f>"STRAIGHT FIT CHECK JACKET_BROWN WITH 3COLORS"</f>
        <v>STRAIGHT FIT CHECK JACKET_BROWN WITH 3COLORS</v>
      </c>
      <c r="K126" s="6">
        <v>0</v>
      </c>
      <c r="L126" s="6">
        <v>0</v>
      </c>
      <c r="M126" s="6">
        <v>0</v>
      </c>
      <c r="N126" s="6" t="str">
        <f>""</f>
        <v/>
      </c>
      <c r="O126" s="6">
        <v>33658</v>
      </c>
      <c r="P126" s="6" t="s">
        <v>736</v>
      </c>
      <c r="R126" s="6" t="s">
        <v>738</v>
      </c>
      <c r="S126" s="6" t="s">
        <v>739</v>
      </c>
      <c r="T126" s="6">
        <v>0</v>
      </c>
      <c r="U126" s="6">
        <v>0</v>
      </c>
      <c r="V126" s="6">
        <v>0</v>
      </c>
      <c r="W126" s="6">
        <v>0</v>
      </c>
      <c r="X126" s="6" t="s">
        <v>169</v>
      </c>
      <c r="Z126" s="6" t="s">
        <v>170</v>
      </c>
      <c r="AA126" s="6" t="s">
        <v>171</v>
      </c>
      <c r="AB126" s="6">
        <v>0</v>
      </c>
      <c r="AC126" s="6" t="str">
        <f>""</f>
        <v/>
      </c>
      <c r="AS126" s="6">
        <v>0</v>
      </c>
      <c r="AT126" s="6">
        <v>0</v>
      </c>
    </row>
    <row r="127" spans="2:46">
      <c r="B127" s="6" t="s">
        <v>498</v>
      </c>
      <c r="D127" s="6" t="s">
        <v>499</v>
      </c>
      <c r="F127" s="6" t="s">
        <v>740</v>
      </c>
      <c r="G127" s="6" t="str">
        <f>"OL17FLOP02BGSH"</f>
        <v>OL17FLOP02BGSH</v>
      </c>
      <c r="H127" s="6" t="s">
        <v>741</v>
      </c>
      <c r="I127" s="6" t="s">
        <v>742</v>
      </c>
      <c r="J127" s="6" t="str">
        <f>"PUFF SHOULDER BUTTON LACE DRESS_BLUISH GREEN/S"</f>
        <v>PUFF SHOULDER BUTTON LACE DRESS_BLUISH GREEN/S</v>
      </c>
      <c r="K127" s="6">
        <v>0</v>
      </c>
      <c r="L127" s="6">
        <v>0</v>
      </c>
      <c r="M127" s="6">
        <v>0</v>
      </c>
      <c r="N127" s="6" t="str">
        <f>""</f>
        <v/>
      </c>
      <c r="O127" s="6">
        <v>33656</v>
      </c>
      <c r="P127" s="6" t="s">
        <v>741</v>
      </c>
      <c r="R127" s="6" t="s">
        <v>634</v>
      </c>
      <c r="S127" s="6" t="s">
        <v>743</v>
      </c>
      <c r="T127" s="6">
        <v>0</v>
      </c>
      <c r="U127" s="6">
        <v>0</v>
      </c>
      <c r="V127" s="6">
        <v>0</v>
      </c>
      <c r="W127" s="6">
        <v>0</v>
      </c>
      <c r="X127" s="6" t="s">
        <v>169</v>
      </c>
      <c r="Z127" s="6" t="s">
        <v>170</v>
      </c>
      <c r="AA127" s="6" t="s">
        <v>171</v>
      </c>
      <c r="AB127" s="6">
        <v>0</v>
      </c>
      <c r="AC127" s="6" t="str">
        <f>""</f>
        <v/>
      </c>
      <c r="AS127" s="6">
        <v>0</v>
      </c>
      <c r="AT127" s="6">
        <v>0</v>
      </c>
    </row>
    <row r="128" spans="2:46">
      <c r="B128" s="6" t="s">
        <v>498</v>
      </c>
      <c r="D128" s="6" t="s">
        <v>499</v>
      </c>
      <c r="F128" s="6" t="s">
        <v>744</v>
      </c>
      <c r="G128" s="6" t="str">
        <f>"OL17FLOP02BGMH"</f>
        <v>OL17FLOP02BGMH</v>
      </c>
      <c r="H128" s="6" t="s">
        <v>745</v>
      </c>
      <c r="I128" s="6" t="s">
        <v>746</v>
      </c>
      <c r="J128" s="6" t="str">
        <f>"PUFF SHOULDER BUTTON LACE DRESS_BLUISH GREEN/M"</f>
        <v>PUFF SHOULDER BUTTON LACE DRESS_BLUISH GREEN/M</v>
      </c>
      <c r="K128" s="6">
        <v>0</v>
      </c>
      <c r="L128" s="6">
        <v>0</v>
      </c>
      <c r="M128" s="6">
        <v>0</v>
      </c>
      <c r="N128" s="6" t="str">
        <f>""</f>
        <v/>
      </c>
      <c r="O128" s="6">
        <v>33654</v>
      </c>
      <c r="P128" s="6" t="s">
        <v>745</v>
      </c>
      <c r="R128" s="6" t="s">
        <v>630</v>
      </c>
      <c r="S128" s="6" t="s">
        <v>747</v>
      </c>
      <c r="T128" s="6">
        <v>0</v>
      </c>
      <c r="U128" s="6">
        <v>0</v>
      </c>
      <c r="V128" s="6">
        <v>0</v>
      </c>
      <c r="W128" s="6">
        <v>0</v>
      </c>
      <c r="X128" s="6" t="s">
        <v>169</v>
      </c>
      <c r="Z128" s="6" t="s">
        <v>170</v>
      </c>
      <c r="AA128" s="6" t="s">
        <v>171</v>
      </c>
      <c r="AB128" s="6">
        <v>0</v>
      </c>
      <c r="AC128" s="6" t="str">
        <f>""</f>
        <v/>
      </c>
      <c r="AS128" s="6">
        <v>0</v>
      </c>
      <c r="AT128" s="6">
        <v>0</v>
      </c>
    </row>
    <row r="129" spans="2:46">
      <c r="B129" s="6" t="s">
        <v>498</v>
      </c>
      <c r="D129" s="6" t="s">
        <v>499</v>
      </c>
      <c r="F129" s="6" t="s">
        <v>748</v>
      </c>
      <c r="G129" s="6" t="str">
        <f>"OL17FLBL02OCFH"</f>
        <v>OL17FLBL02OCFH</v>
      </c>
      <c r="H129" s="6" t="s">
        <v>749</v>
      </c>
      <c r="I129" s="6" t="s">
        <v>750</v>
      </c>
      <c r="J129" s="6" t="str">
        <f>"POINT SLEEVES BASIC BLOUSE_OCEAN"</f>
        <v>POINT SLEEVES BASIC BLOUSE_OCEAN</v>
      </c>
      <c r="K129" s="6">
        <v>0</v>
      </c>
      <c r="L129" s="6">
        <v>0</v>
      </c>
      <c r="M129" s="6">
        <v>0</v>
      </c>
      <c r="N129" s="6" t="str">
        <f>""</f>
        <v/>
      </c>
      <c r="O129" s="6">
        <v>33652</v>
      </c>
      <c r="P129" s="6" t="s">
        <v>749</v>
      </c>
      <c r="R129" s="6" t="s">
        <v>751</v>
      </c>
      <c r="S129" s="6" t="s">
        <v>752</v>
      </c>
      <c r="T129" s="6">
        <v>0</v>
      </c>
      <c r="U129" s="6">
        <v>0</v>
      </c>
      <c r="V129" s="6">
        <v>0</v>
      </c>
      <c r="W129" s="6">
        <v>0</v>
      </c>
      <c r="X129" s="6" t="s">
        <v>169</v>
      </c>
      <c r="Z129" s="6" t="s">
        <v>170</v>
      </c>
      <c r="AA129" s="6" t="s">
        <v>171</v>
      </c>
      <c r="AB129" s="6">
        <v>0</v>
      </c>
      <c r="AC129" s="6" t="str">
        <f>""</f>
        <v/>
      </c>
      <c r="AS129" s="6">
        <v>0</v>
      </c>
      <c r="AT129" s="6">
        <v>0</v>
      </c>
    </row>
    <row r="130" spans="2:46">
      <c r="B130" s="6" t="s">
        <v>498</v>
      </c>
      <c r="D130" s="6" t="s">
        <v>499</v>
      </c>
      <c r="F130" s="6" t="s">
        <v>753</v>
      </c>
      <c r="G130" s="6" t="str">
        <f>"OL17FLBL02PLFH"</f>
        <v>OL17FLBL02PLFH</v>
      </c>
      <c r="H130" s="6" t="s">
        <v>754</v>
      </c>
      <c r="I130" s="6" t="s">
        <v>755</v>
      </c>
      <c r="J130" s="6" t="str">
        <f>"POINT SLEEVES BASIC BLOUSE_PLUM"</f>
        <v>POINT SLEEVES BASIC BLOUSE_PLUM</v>
      </c>
      <c r="K130" s="6">
        <v>0</v>
      </c>
      <c r="L130" s="6">
        <v>0</v>
      </c>
      <c r="M130" s="6">
        <v>0</v>
      </c>
      <c r="N130" s="6" t="str">
        <f>""</f>
        <v/>
      </c>
      <c r="O130" s="6">
        <v>33650</v>
      </c>
      <c r="P130" s="6" t="s">
        <v>754</v>
      </c>
      <c r="R130" s="6" t="s">
        <v>756</v>
      </c>
      <c r="S130" s="6" t="s">
        <v>757</v>
      </c>
      <c r="T130" s="6">
        <v>0</v>
      </c>
      <c r="U130" s="6">
        <v>0</v>
      </c>
      <c r="V130" s="6">
        <v>0</v>
      </c>
      <c r="W130" s="6">
        <v>0</v>
      </c>
      <c r="X130" s="6" t="s">
        <v>169</v>
      </c>
      <c r="Z130" s="6" t="s">
        <v>170</v>
      </c>
      <c r="AA130" s="6" t="s">
        <v>171</v>
      </c>
      <c r="AB130" s="6">
        <v>0</v>
      </c>
      <c r="AC130" s="6" t="str">
        <f>""</f>
        <v/>
      </c>
      <c r="AS130" s="6">
        <v>0</v>
      </c>
      <c r="AT130" s="6">
        <v>0</v>
      </c>
    </row>
    <row r="131" spans="2:46">
      <c r="B131" s="6" t="s">
        <v>498</v>
      </c>
      <c r="D131" s="6" t="s">
        <v>499</v>
      </c>
      <c r="F131" s="6" t="s">
        <v>758</v>
      </c>
      <c r="G131" s="6" t="str">
        <f>"OL17FLSKT01BGMH"</f>
        <v>OL17FLSKT01BGMH</v>
      </c>
      <c r="H131" s="6" t="s">
        <v>759</v>
      </c>
      <c r="I131" s="6" t="s">
        <v>760</v>
      </c>
      <c r="J131" s="6" t="str">
        <f>"FLOWER DOT LACE MERMAID SKIRT_BLUSISH GREEN/M"</f>
        <v>FLOWER DOT LACE MERMAID SKIRT_BLUSISH GREEN/M</v>
      </c>
      <c r="K131" s="6">
        <v>0</v>
      </c>
      <c r="L131" s="6">
        <v>0</v>
      </c>
      <c r="M131" s="6">
        <v>0</v>
      </c>
      <c r="N131" s="6" t="str">
        <f>""</f>
        <v/>
      </c>
      <c r="O131" s="6">
        <v>33648</v>
      </c>
      <c r="P131" s="6" t="s">
        <v>759</v>
      </c>
      <c r="R131" s="6" t="s">
        <v>761</v>
      </c>
      <c r="S131" s="6" t="s">
        <v>762</v>
      </c>
      <c r="T131" s="6">
        <v>0</v>
      </c>
      <c r="U131" s="6">
        <v>0</v>
      </c>
      <c r="V131" s="6">
        <v>0</v>
      </c>
      <c r="W131" s="6">
        <v>0</v>
      </c>
      <c r="X131" s="6" t="s">
        <v>169</v>
      </c>
      <c r="Z131" s="6" t="s">
        <v>170</v>
      </c>
      <c r="AA131" s="6" t="s">
        <v>171</v>
      </c>
      <c r="AB131" s="6">
        <v>0</v>
      </c>
      <c r="AC131" s="6" t="str">
        <f>""</f>
        <v/>
      </c>
      <c r="AS131" s="6">
        <v>0</v>
      </c>
      <c r="AT131" s="6">
        <v>0</v>
      </c>
    </row>
    <row r="132" spans="2:46">
      <c r="B132" s="6" t="s">
        <v>498</v>
      </c>
      <c r="D132" s="6" t="s">
        <v>499</v>
      </c>
      <c r="F132" s="6" t="s">
        <v>763</v>
      </c>
      <c r="G132" s="6" t="str">
        <f>"OL17FLSKT01BGSH"</f>
        <v>OL17FLSKT01BGSH</v>
      </c>
      <c r="H132" s="6" t="s">
        <v>764</v>
      </c>
      <c r="I132" s="6" t="s">
        <v>765</v>
      </c>
      <c r="J132" s="6" t="str">
        <f>"FLOWER DOT LACE MERMAID SKIRT_BLUISH GREEN/S"</f>
        <v>FLOWER DOT LACE MERMAID SKIRT_BLUISH GREEN/S</v>
      </c>
      <c r="K132" s="6">
        <v>0</v>
      </c>
      <c r="L132" s="6">
        <v>0</v>
      </c>
      <c r="M132" s="6">
        <v>0</v>
      </c>
      <c r="N132" s="6" t="str">
        <f>""</f>
        <v/>
      </c>
      <c r="O132" s="6">
        <v>33646</v>
      </c>
      <c r="P132" s="6" t="s">
        <v>764</v>
      </c>
      <c r="R132" s="6" t="s">
        <v>634</v>
      </c>
      <c r="S132" s="6" t="s">
        <v>766</v>
      </c>
      <c r="T132" s="6">
        <v>0</v>
      </c>
      <c r="U132" s="6">
        <v>0</v>
      </c>
      <c r="V132" s="6">
        <v>0</v>
      </c>
      <c r="W132" s="6">
        <v>0</v>
      </c>
      <c r="X132" s="6" t="s">
        <v>169</v>
      </c>
      <c r="Z132" s="6" t="s">
        <v>170</v>
      </c>
      <c r="AA132" s="6" t="s">
        <v>171</v>
      </c>
      <c r="AB132" s="6">
        <v>0</v>
      </c>
      <c r="AC132" s="6" t="str">
        <f>""</f>
        <v/>
      </c>
      <c r="AS132" s="6">
        <v>0</v>
      </c>
      <c r="AT132" s="6">
        <v>0</v>
      </c>
    </row>
    <row r="133" spans="2:46">
      <c r="B133" s="6" t="s">
        <v>498</v>
      </c>
      <c r="D133" s="6" t="s">
        <v>499</v>
      </c>
      <c r="F133" s="6" t="s">
        <v>767</v>
      </c>
      <c r="G133" s="6" t="str">
        <f>"OL17FLSKT01BLSH"</f>
        <v>OL17FLSKT01BLSH</v>
      </c>
      <c r="H133" s="6" t="s">
        <v>768</v>
      </c>
      <c r="I133" s="6" t="s">
        <v>769</v>
      </c>
      <c r="J133" s="6" t="str">
        <f>"FLOWER DOT LACE MERMAID SKIRT_BLACK/S"</f>
        <v>FLOWER DOT LACE MERMAID SKIRT_BLACK/S</v>
      </c>
      <c r="K133" s="6">
        <v>0</v>
      </c>
      <c r="L133" s="6">
        <v>0</v>
      </c>
      <c r="M133" s="6">
        <v>0</v>
      </c>
      <c r="N133" s="6" t="str">
        <f>""</f>
        <v/>
      </c>
      <c r="O133" s="6">
        <v>33644</v>
      </c>
      <c r="P133" s="6" t="s">
        <v>768</v>
      </c>
      <c r="R133" s="6" t="s">
        <v>606</v>
      </c>
      <c r="S133" s="6" t="s">
        <v>770</v>
      </c>
      <c r="T133" s="6">
        <v>0</v>
      </c>
      <c r="U133" s="6">
        <v>0</v>
      </c>
      <c r="V133" s="6">
        <v>0</v>
      </c>
      <c r="W133" s="6">
        <v>0</v>
      </c>
      <c r="X133" s="6" t="s">
        <v>169</v>
      </c>
      <c r="Z133" s="6" t="s">
        <v>170</v>
      </c>
      <c r="AA133" s="6" t="s">
        <v>171</v>
      </c>
      <c r="AB133" s="6">
        <v>0</v>
      </c>
      <c r="AC133" s="6" t="str">
        <f>""</f>
        <v/>
      </c>
      <c r="AS133" s="6">
        <v>0</v>
      </c>
      <c r="AT133" s="6">
        <v>0</v>
      </c>
    </row>
    <row r="134" spans="2:46">
      <c r="B134" s="6" t="s">
        <v>498</v>
      </c>
      <c r="D134" s="6" t="s">
        <v>499</v>
      </c>
      <c r="F134" s="6" t="s">
        <v>771</v>
      </c>
      <c r="G134" s="6" t="str">
        <f>"OL17FLSKT01BLMH"</f>
        <v>OL17FLSKT01BLMH</v>
      </c>
      <c r="H134" s="6" t="s">
        <v>772</v>
      </c>
      <c r="I134" s="6" t="s">
        <v>773</v>
      </c>
      <c r="J134" s="6" t="str">
        <f>"FLOWER DOT LACE MERMAID SKIRT_BLACK/M"</f>
        <v>FLOWER DOT LACE MERMAID SKIRT_BLACK/M</v>
      </c>
      <c r="K134" s="6">
        <v>0</v>
      </c>
      <c r="L134" s="6">
        <v>0</v>
      </c>
      <c r="M134" s="6">
        <v>0</v>
      </c>
      <c r="N134" s="6" t="str">
        <f>""</f>
        <v/>
      </c>
      <c r="O134" s="6">
        <v>33642</v>
      </c>
      <c r="P134" s="6" t="s">
        <v>772</v>
      </c>
      <c r="R134" s="6" t="s">
        <v>601</v>
      </c>
      <c r="S134" s="6" t="s">
        <v>774</v>
      </c>
      <c r="T134" s="6">
        <v>0</v>
      </c>
      <c r="U134" s="6">
        <v>0</v>
      </c>
      <c r="V134" s="6">
        <v>0</v>
      </c>
      <c r="W134" s="6">
        <v>0</v>
      </c>
      <c r="X134" s="6" t="s">
        <v>169</v>
      </c>
      <c r="Z134" s="6" t="s">
        <v>170</v>
      </c>
      <c r="AA134" s="6" t="s">
        <v>171</v>
      </c>
      <c r="AB134" s="6">
        <v>0</v>
      </c>
      <c r="AC134" s="6" t="str">
        <f>""</f>
        <v/>
      </c>
      <c r="AS134" s="6">
        <v>0</v>
      </c>
      <c r="AT134" s="6">
        <v>0</v>
      </c>
    </row>
    <row r="135" spans="2:46">
      <c r="B135" s="6" t="s">
        <v>498</v>
      </c>
      <c r="D135" s="6" t="s">
        <v>499</v>
      </c>
      <c r="F135" s="6" t="s">
        <v>775</v>
      </c>
      <c r="G135" s="6" t="str">
        <f>"OL17FLJK01PLFH"</f>
        <v>OL17FLJK01PLFH</v>
      </c>
      <c r="H135" s="6" t="s">
        <v>776</v>
      </c>
      <c r="I135" s="6" t="s">
        <v>777</v>
      </c>
      <c r="J135" s="6" t="str">
        <f>"STRAGHT FIT SOLID JACKET_PLUM"</f>
        <v>STRAGHT FIT SOLID JACKET_PLUM</v>
      </c>
      <c r="K135" s="6">
        <v>0</v>
      </c>
      <c r="L135" s="6">
        <v>0</v>
      </c>
      <c r="M135" s="6">
        <v>0</v>
      </c>
      <c r="N135" s="6" t="str">
        <f>""</f>
        <v/>
      </c>
      <c r="O135" s="6">
        <v>33640</v>
      </c>
      <c r="P135" s="6" t="s">
        <v>776</v>
      </c>
      <c r="R135" s="6" t="s">
        <v>756</v>
      </c>
      <c r="S135" s="6" t="s">
        <v>778</v>
      </c>
      <c r="T135" s="6">
        <v>0</v>
      </c>
      <c r="U135" s="6">
        <v>0</v>
      </c>
      <c r="V135" s="6">
        <v>0</v>
      </c>
      <c r="W135" s="6">
        <v>0</v>
      </c>
      <c r="X135" s="6" t="s">
        <v>169</v>
      </c>
      <c r="Z135" s="6" t="s">
        <v>170</v>
      </c>
      <c r="AA135" s="6" t="s">
        <v>171</v>
      </c>
      <c r="AB135" s="6">
        <v>0</v>
      </c>
      <c r="AC135" s="6" t="str">
        <f>""</f>
        <v/>
      </c>
      <c r="AS135" s="6">
        <v>0</v>
      </c>
      <c r="AT135" s="6">
        <v>0</v>
      </c>
    </row>
    <row r="136" spans="2:46">
      <c r="B136" s="6" t="s">
        <v>498</v>
      </c>
      <c r="D136" s="6" t="s">
        <v>499</v>
      </c>
      <c r="F136" s="6" t="s">
        <v>779</v>
      </c>
      <c r="G136" s="6" t="str">
        <f>"OL17FLOP01IPFH"</f>
        <v>OL17FLOP01IPFH</v>
      </c>
      <c r="H136" s="6" t="s">
        <v>780</v>
      </c>
      <c r="I136" s="6" t="s">
        <v>781</v>
      </c>
      <c r="J136" s="6" t="str">
        <f>"INVERTED PLEAT SLEEVE ROBE DRESS INDAN PINK"</f>
        <v>INVERTED PLEAT SLEEVE ROBE DRESS INDAN PINK</v>
      </c>
      <c r="K136" s="6">
        <v>0</v>
      </c>
      <c r="L136" s="6">
        <v>0</v>
      </c>
      <c r="M136" s="6">
        <v>0</v>
      </c>
      <c r="N136" s="6" t="str">
        <f>""</f>
        <v/>
      </c>
      <c r="O136" s="6">
        <v>33638</v>
      </c>
      <c r="P136" s="6" t="s">
        <v>780</v>
      </c>
      <c r="R136" s="6" t="s">
        <v>782</v>
      </c>
      <c r="S136" s="6" t="s">
        <v>783</v>
      </c>
      <c r="T136" s="6">
        <v>0</v>
      </c>
      <c r="U136" s="6">
        <v>0</v>
      </c>
      <c r="V136" s="6">
        <v>0</v>
      </c>
      <c r="W136" s="6">
        <v>0</v>
      </c>
      <c r="X136" s="6" t="s">
        <v>169</v>
      </c>
      <c r="Z136" s="6" t="s">
        <v>170</v>
      </c>
      <c r="AA136" s="6" t="s">
        <v>171</v>
      </c>
      <c r="AB136" s="6">
        <v>0</v>
      </c>
      <c r="AC136" s="6" t="str">
        <f>""</f>
        <v/>
      </c>
      <c r="AS136" s="6">
        <v>0</v>
      </c>
      <c r="AT136" s="6">
        <v>0</v>
      </c>
    </row>
    <row r="137" spans="2:46">
      <c r="B137" s="6" t="s">
        <v>498</v>
      </c>
      <c r="D137" s="6" t="s">
        <v>499</v>
      </c>
      <c r="F137" s="6" t="s">
        <v>784</v>
      </c>
      <c r="G137" s="6" t="str">
        <f>"OL17FLOP01BGFH"</f>
        <v>OL17FLOP01BGFH</v>
      </c>
      <c r="H137" s="6" t="s">
        <v>785</v>
      </c>
      <c r="I137" s="6" t="s">
        <v>786</v>
      </c>
      <c r="J137" s="6" t="str">
        <f>"INVERTED PLEAT SLEEVE ROBE DRESS BLUISH GREEN"</f>
        <v>INVERTED PLEAT SLEEVE ROBE DRESS BLUISH GREEN</v>
      </c>
      <c r="K137" s="6">
        <v>0</v>
      </c>
      <c r="L137" s="6">
        <v>0</v>
      </c>
      <c r="M137" s="6">
        <v>0</v>
      </c>
      <c r="N137" s="6" t="str">
        <f>""</f>
        <v/>
      </c>
      <c r="O137" s="6">
        <v>33636</v>
      </c>
      <c r="P137" s="6" t="s">
        <v>785</v>
      </c>
      <c r="R137" s="6" t="s">
        <v>787</v>
      </c>
      <c r="S137" s="6" t="s">
        <v>788</v>
      </c>
      <c r="T137" s="6">
        <v>0</v>
      </c>
      <c r="U137" s="6">
        <v>0</v>
      </c>
      <c r="V137" s="6">
        <v>0</v>
      </c>
      <c r="W137" s="6">
        <v>0</v>
      </c>
      <c r="X137" s="6" t="s">
        <v>169</v>
      </c>
      <c r="Z137" s="6" t="s">
        <v>170</v>
      </c>
      <c r="AA137" s="6" t="s">
        <v>171</v>
      </c>
      <c r="AB137" s="6">
        <v>0</v>
      </c>
      <c r="AC137" s="6" t="str">
        <f>""</f>
        <v/>
      </c>
      <c r="AS137" s="6">
        <v>0</v>
      </c>
      <c r="AT137" s="6">
        <v>0</v>
      </c>
    </row>
    <row r="138" spans="2:46">
      <c r="B138" s="6" t="s">
        <v>498</v>
      </c>
      <c r="D138" s="6" t="s">
        <v>499</v>
      </c>
      <c r="F138" s="6" t="s">
        <v>789</v>
      </c>
      <c r="G138" s="6" t="str">
        <f>"OL17FLOP01DRFH"</f>
        <v>OL17FLOP01DRFH</v>
      </c>
      <c r="H138" s="6" t="s">
        <v>790</v>
      </c>
      <c r="I138" s="6" t="s">
        <v>791</v>
      </c>
      <c r="J138" s="6" t="str">
        <f>"INVERTED PLEAT SLEEVE ROBE DRESS DEEP RED"</f>
        <v>INVERTED PLEAT SLEEVE ROBE DRESS DEEP RED</v>
      </c>
      <c r="K138" s="6">
        <v>0</v>
      </c>
      <c r="L138" s="6">
        <v>0</v>
      </c>
      <c r="M138" s="6">
        <v>0</v>
      </c>
      <c r="N138" s="6" t="str">
        <f>""</f>
        <v/>
      </c>
      <c r="O138" s="6">
        <v>33634</v>
      </c>
      <c r="P138" s="6" t="s">
        <v>790</v>
      </c>
      <c r="R138" s="6" t="s">
        <v>792</v>
      </c>
      <c r="S138" s="6" t="s">
        <v>793</v>
      </c>
      <c r="T138" s="6">
        <v>0</v>
      </c>
      <c r="U138" s="6">
        <v>0</v>
      </c>
      <c r="V138" s="6">
        <v>0</v>
      </c>
      <c r="W138" s="6">
        <v>0</v>
      </c>
      <c r="X138" s="6" t="s">
        <v>169</v>
      </c>
      <c r="Z138" s="6" t="s">
        <v>170</v>
      </c>
      <c r="AA138" s="6" t="s">
        <v>171</v>
      </c>
      <c r="AB138" s="6">
        <v>0</v>
      </c>
      <c r="AC138" s="6" t="str">
        <f>""</f>
        <v/>
      </c>
      <c r="AS138" s="6">
        <v>0</v>
      </c>
      <c r="AT138" s="6">
        <v>0</v>
      </c>
    </row>
    <row r="139" spans="2:46">
      <c r="B139" s="6" t="s">
        <v>498</v>
      </c>
      <c r="D139" s="6" t="s">
        <v>499</v>
      </c>
      <c r="F139" s="6" t="s">
        <v>794</v>
      </c>
      <c r="G139" s="6" t="str">
        <f>"OL17FLAC01LDFS"</f>
        <v>OL17FLAC01LDFS</v>
      </c>
      <c r="H139" s="6" t="s">
        <v>795</v>
      </c>
      <c r="I139" s="6" t="s">
        <v>796</v>
      </c>
      <c r="J139" s="6" t="str">
        <f>"17 FALL OHL NECKLACE"</f>
        <v>17 FALL OHL NECKLACE</v>
      </c>
      <c r="K139" s="6">
        <v>0</v>
      </c>
      <c r="L139" s="6">
        <v>0</v>
      </c>
      <c r="M139" s="6">
        <v>0</v>
      </c>
      <c r="N139" s="6" t="str">
        <f>""</f>
        <v/>
      </c>
      <c r="O139" s="6">
        <v>33632</v>
      </c>
      <c r="P139" s="6" t="s">
        <v>795</v>
      </c>
      <c r="R139" s="6" t="s">
        <v>797</v>
      </c>
      <c r="S139" s="6" t="s">
        <v>798</v>
      </c>
      <c r="T139" s="6">
        <v>0</v>
      </c>
      <c r="U139" s="6">
        <v>0</v>
      </c>
      <c r="V139" s="6">
        <v>0</v>
      </c>
      <c r="W139" s="6">
        <v>0</v>
      </c>
      <c r="X139" s="6" t="s">
        <v>169</v>
      </c>
      <c r="Z139" s="6" t="s">
        <v>170</v>
      </c>
      <c r="AA139" s="6" t="s">
        <v>171</v>
      </c>
      <c r="AB139" s="6">
        <v>0</v>
      </c>
      <c r="AC139" s="6" t="str">
        <f>""</f>
        <v/>
      </c>
      <c r="AS139" s="6">
        <v>0</v>
      </c>
      <c r="AT139" s="6">
        <v>0</v>
      </c>
    </row>
    <row r="140" spans="2:46">
      <c r="B140" s="6" t="s">
        <v>498</v>
      </c>
      <c r="D140" s="6" t="s">
        <v>499</v>
      </c>
      <c r="F140" s="6" t="s">
        <v>799</v>
      </c>
      <c r="G140" s="6" t="str">
        <f>"OL17FLBL01GPFH"</f>
        <v>OL17FLBL01GPFH</v>
      </c>
      <c r="H140" s="6" t="s">
        <v>800</v>
      </c>
      <c r="I140" s="6" t="s">
        <v>801</v>
      </c>
      <c r="J140" s="6" t="str">
        <f>"CREOSS RUFFLE V NECK BLOUSE_GRAPE PINK"</f>
        <v>CREOSS RUFFLE V NECK BLOUSE_GRAPE PINK</v>
      </c>
      <c r="K140" s="6">
        <v>0</v>
      </c>
      <c r="L140" s="6">
        <v>0</v>
      </c>
      <c r="M140" s="6">
        <v>0</v>
      </c>
      <c r="N140" s="6" t="str">
        <f>""</f>
        <v/>
      </c>
      <c r="O140" s="6">
        <v>33630</v>
      </c>
      <c r="P140" s="6" t="s">
        <v>800</v>
      </c>
      <c r="R140" s="6" t="s">
        <v>802</v>
      </c>
      <c r="S140" s="6" t="s">
        <v>803</v>
      </c>
      <c r="T140" s="6">
        <v>0</v>
      </c>
      <c r="U140" s="6">
        <v>0</v>
      </c>
      <c r="V140" s="6">
        <v>0</v>
      </c>
      <c r="W140" s="6">
        <v>0</v>
      </c>
      <c r="X140" s="6" t="s">
        <v>169</v>
      </c>
      <c r="Z140" s="6" t="s">
        <v>170</v>
      </c>
      <c r="AA140" s="6" t="s">
        <v>171</v>
      </c>
      <c r="AB140" s="6">
        <v>0</v>
      </c>
      <c r="AC140" s="6" t="str">
        <f>""</f>
        <v/>
      </c>
      <c r="AS140" s="6">
        <v>0</v>
      </c>
      <c r="AT140" s="6">
        <v>0</v>
      </c>
    </row>
    <row r="141" spans="2:46">
      <c r="B141" s="6" t="s">
        <v>498</v>
      </c>
      <c r="D141" s="6" t="s">
        <v>499</v>
      </c>
      <c r="F141" s="6" t="s">
        <v>804</v>
      </c>
      <c r="G141" s="6" t="str">
        <f>"OL17FLBL01SPFH"</f>
        <v>OL17FLBL01SPFH</v>
      </c>
      <c r="H141" s="6" t="s">
        <v>805</v>
      </c>
      <c r="I141" s="6" t="s">
        <v>806</v>
      </c>
      <c r="J141" s="6" t="str">
        <f>"CROSS RUFFLE V NECK BLOUSE_SKIN PINK"</f>
        <v>CROSS RUFFLE V NECK BLOUSE_SKIN PINK</v>
      </c>
      <c r="K141" s="6">
        <v>0</v>
      </c>
      <c r="L141" s="6">
        <v>0</v>
      </c>
      <c r="M141" s="6">
        <v>0</v>
      </c>
      <c r="N141" s="6" t="str">
        <f>""</f>
        <v/>
      </c>
      <c r="O141" s="6">
        <v>33628</v>
      </c>
      <c r="P141" s="6" t="s">
        <v>805</v>
      </c>
      <c r="R141" s="6" t="s">
        <v>807</v>
      </c>
      <c r="S141" s="6" t="s">
        <v>808</v>
      </c>
      <c r="T141" s="6">
        <v>0</v>
      </c>
      <c r="U141" s="6">
        <v>0</v>
      </c>
      <c r="V141" s="6">
        <v>0</v>
      </c>
      <c r="W141" s="6">
        <v>0</v>
      </c>
      <c r="X141" s="6" t="s">
        <v>169</v>
      </c>
      <c r="Z141" s="6" t="s">
        <v>170</v>
      </c>
      <c r="AA141" s="6" t="s">
        <v>171</v>
      </c>
      <c r="AB141" s="6">
        <v>0</v>
      </c>
      <c r="AC141" s="6" t="str">
        <f>""</f>
        <v/>
      </c>
      <c r="AS141" s="6">
        <v>0</v>
      </c>
      <c r="AT141" s="6">
        <v>0</v>
      </c>
    </row>
    <row r="142" spans="2:46">
      <c r="B142" s="6" t="s">
        <v>498</v>
      </c>
      <c r="D142" s="6" t="s">
        <v>499</v>
      </c>
      <c r="F142" s="6" t="s">
        <v>809</v>
      </c>
      <c r="G142" s="6" t="str">
        <f>"OL17SSAC07LDFS"</f>
        <v>OL17SSAC07LDFS</v>
      </c>
      <c r="H142" s="6" t="s">
        <v>810</v>
      </c>
      <c r="I142" s="6" t="s">
        <v>811</v>
      </c>
      <c r="J142" s="6" t="str">
        <f>"SHINING MOMENT I PHONE CASE_F"</f>
        <v>SHINING MOMENT I PHONE CASE_F</v>
      </c>
      <c r="K142" s="6">
        <v>0</v>
      </c>
      <c r="L142" s="6">
        <v>0</v>
      </c>
      <c r="M142" s="6">
        <v>0</v>
      </c>
      <c r="N142" s="6" t="str">
        <f>""</f>
        <v/>
      </c>
      <c r="O142" s="6">
        <v>33626</v>
      </c>
      <c r="P142" s="6" t="s">
        <v>810</v>
      </c>
      <c r="R142" s="6" t="s">
        <v>797</v>
      </c>
      <c r="S142" s="6" t="s">
        <v>812</v>
      </c>
      <c r="T142" s="6">
        <v>0</v>
      </c>
      <c r="U142" s="6">
        <v>0</v>
      </c>
      <c r="V142" s="6">
        <v>0</v>
      </c>
      <c r="W142" s="6">
        <v>0</v>
      </c>
      <c r="X142" s="6" t="s">
        <v>169</v>
      </c>
      <c r="Z142" s="6" t="s">
        <v>170</v>
      </c>
      <c r="AA142" s="6" t="s">
        <v>171</v>
      </c>
      <c r="AB142" s="6">
        <v>0</v>
      </c>
      <c r="AC142" s="6" t="str">
        <f>""</f>
        <v/>
      </c>
      <c r="AS142" s="6">
        <v>0</v>
      </c>
      <c r="AT142" s="6">
        <v>0</v>
      </c>
    </row>
    <row r="143" spans="2:46">
      <c r="B143" s="6" t="s">
        <v>498</v>
      </c>
      <c r="D143" s="6" t="s">
        <v>499</v>
      </c>
      <c r="F143" s="6" t="s">
        <v>813</v>
      </c>
      <c r="G143" s="6" t="str">
        <f>"OL17SSAC06LDFS"</f>
        <v>OL17SSAC06LDFS</v>
      </c>
      <c r="H143" s="6" t="s">
        <v>814</v>
      </c>
      <c r="I143" s="6" t="s">
        <v>815</v>
      </c>
      <c r="J143" s="6" t="str">
        <f>"SHINING MOMENT I PHONE CASE_E"</f>
        <v>SHINING MOMENT I PHONE CASE_E</v>
      </c>
      <c r="K143" s="6">
        <v>0</v>
      </c>
      <c r="L143" s="6">
        <v>0</v>
      </c>
      <c r="M143" s="6">
        <v>0</v>
      </c>
      <c r="N143" s="6" t="str">
        <f>""</f>
        <v/>
      </c>
      <c r="O143" s="6">
        <v>33624</v>
      </c>
      <c r="P143" s="6" t="s">
        <v>814</v>
      </c>
      <c r="R143" s="6" t="s">
        <v>797</v>
      </c>
      <c r="S143" s="6" t="s">
        <v>816</v>
      </c>
      <c r="T143" s="6">
        <v>0</v>
      </c>
      <c r="U143" s="6">
        <v>0</v>
      </c>
      <c r="V143" s="6">
        <v>0</v>
      </c>
      <c r="W143" s="6">
        <v>0</v>
      </c>
      <c r="X143" s="6" t="s">
        <v>169</v>
      </c>
      <c r="Z143" s="6" t="s">
        <v>170</v>
      </c>
      <c r="AA143" s="6" t="s">
        <v>171</v>
      </c>
      <c r="AB143" s="6">
        <v>0</v>
      </c>
      <c r="AC143" s="6" t="str">
        <f>""</f>
        <v/>
      </c>
      <c r="AS143" s="6">
        <v>0</v>
      </c>
      <c r="AT143" s="6">
        <v>0</v>
      </c>
    </row>
    <row r="144" spans="2:46">
      <c r="B144" s="6" t="s">
        <v>498</v>
      </c>
      <c r="D144" s="6" t="s">
        <v>499</v>
      </c>
      <c r="F144" s="6" t="s">
        <v>817</v>
      </c>
      <c r="G144" s="6" t="str">
        <f>"OL17SSAC05LDFS"</f>
        <v>OL17SSAC05LDFS</v>
      </c>
      <c r="H144" s="6" t="s">
        <v>818</v>
      </c>
      <c r="I144" s="6" t="s">
        <v>819</v>
      </c>
      <c r="J144" s="6" t="str">
        <f>"SHINING MOMENT I PHONE CASE_D"</f>
        <v>SHINING MOMENT I PHONE CASE_D</v>
      </c>
      <c r="K144" s="6">
        <v>0</v>
      </c>
      <c r="L144" s="6">
        <v>0</v>
      </c>
      <c r="M144" s="6">
        <v>0</v>
      </c>
      <c r="N144" s="6" t="str">
        <f>""</f>
        <v/>
      </c>
      <c r="O144" s="6">
        <v>33622</v>
      </c>
      <c r="P144" s="6" t="s">
        <v>818</v>
      </c>
      <c r="R144" s="6" t="s">
        <v>797</v>
      </c>
      <c r="S144" s="6" t="s">
        <v>820</v>
      </c>
      <c r="T144" s="6">
        <v>0</v>
      </c>
      <c r="U144" s="6">
        <v>0</v>
      </c>
      <c r="V144" s="6">
        <v>0</v>
      </c>
      <c r="W144" s="6">
        <v>0</v>
      </c>
      <c r="X144" s="6" t="s">
        <v>169</v>
      </c>
      <c r="Z144" s="6" t="s">
        <v>170</v>
      </c>
      <c r="AA144" s="6" t="s">
        <v>171</v>
      </c>
      <c r="AB144" s="6">
        <v>0</v>
      </c>
      <c r="AC144" s="6" t="str">
        <f>""</f>
        <v/>
      </c>
      <c r="AS144" s="6">
        <v>0</v>
      </c>
      <c r="AT144" s="6">
        <v>0</v>
      </c>
    </row>
    <row r="145" spans="2:46">
      <c r="B145" s="6" t="s">
        <v>498</v>
      </c>
      <c r="D145" s="6" t="s">
        <v>499</v>
      </c>
      <c r="F145" s="6" t="s">
        <v>821</v>
      </c>
      <c r="G145" s="6" t="str">
        <f>"OL17SSAC04LDFS"</f>
        <v>OL17SSAC04LDFS</v>
      </c>
      <c r="H145" s="6" t="s">
        <v>822</v>
      </c>
      <c r="I145" s="6" t="s">
        <v>823</v>
      </c>
      <c r="J145" s="6" t="str">
        <f>"SHINING MOMENT I PHONE CASE_C"</f>
        <v>SHINING MOMENT I PHONE CASE_C</v>
      </c>
      <c r="K145" s="6">
        <v>0</v>
      </c>
      <c r="L145" s="6">
        <v>0</v>
      </c>
      <c r="M145" s="6">
        <v>0</v>
      </c>
      <c r="N145" s="6" t="str">
        <f>""</f>
        <v/>
      </c>
      <c r="O145" s="6">
        <v>33620</v>
      </c>
      <c r="P145" s="6" t="s">
        <v>822</v>
      </c>
      <c r="R145" s="6" t="s">
        <v>797</v>
      </c>
      <c r="S145" s="6" t="s">
        <v>824</v>
      </c>
      <c r="T145" s="6">
        <v>0</v>
      </c>
      <c r="U145" s="6">
        <v>0</v>
      </c>
      <c r="V145" s="6">
        <v>0</v>
      </c>
      <c r="W145" s="6">
        <v>0</v>
      </c>
      <c r="X145" s="6" t="s">
        <v>169</v>
      </c>
      <c r="Z145" s="6" t="s">
        <v>170</v>
      </c>
      <c r="AA145" s="6" t="s">
        <v>171</v>
      </c>
      <c r="AB145" s="6">
        <v>0</v>
      </c>
      <c r="AC145" s="6" t="str">
        <f>""</f>
        <v/>
      </c>
      <c r="AS145" s="6">
        <v>0</v>
      </c>
      <c r="AT145" s="6">
        <v>0</v>
      </c>
    </row>
    <row r="146" spans="2:46">
      <c r="B146" s="6" t="s">
        <v>498</v>
      </c>
      <c r="D146" s="6" t="s">
        <v>499</v>
      </c>
      <c r="F146" s="6" t="s">
        <v>825</v>
      </c>
      <c r="G146" s="6" t="str">
        <f>"OL17SSAC03LDFS"</f>
        <v>OL17SSAC03LDFS</v>
      </c>
      <c r="H146" s="6" t="s">
        <v>826</v>
      </c>
      <c r="I146" s="6" t="s">
        <v>827</v>
      </c>
      <c r="J146" s="6" t="str">
        <f>"SHINING MOMENT I PHONE CASE_B"</f>
        <v>SHINING MOMENT I PHONE CASE_B</v>
      </c>
      <c r="K146" s="6">
        <v>0</v>
      </c>
      <c r="L146" s="6">
        <v>0</v>
      </c>
      <c r="M146" s="6">
        <v>0</v>
      </c>
      <c r="N146" s="6" t="str">
        <f>""</f>
        <v/>
      </c>
      <c r="O146" s="6">
        <v>33618</v>
      </c>
      <c r="P146" s="6" t="s">
        <v>826</v>
      </c>
      <c r="R146" s="6" t="s">
        <v>797</v>
      </c>
      <c r="S146" s="6" t="s">
        <v>828</v>
      </c>
      <c r="T146" s="6">
        <v>0</v>
      </c>
      <c r="U146" s="6">
        <v>0</v>
      </c>
      <c r="V146" s="6">
        <v>0</v>
      </c>
      <c r="W146" s="6">
        <v>0</v>
      </c>
      <c r="X146" s="6" t="s">
        <v>169</v>
      </c>
      <c r="Z146" s="6" t="s">
        <v>170</v>
      </c>
      <c r="AA146" s="6" t="s">
        <v>171</v>
      </c>
      <c r="AB146" s="6">
        <v>0</v>
      </c>
      <c r="AC146" s="6" t="str">
        <f>""</f>
        <v/>
      </c>
      <c r="AS146" s="6">
        <v>0</v>
      </c>
      <c r="AT146" s="6">
        <v>0</v>
      </c>
    </row>
    <row r="147" spans="2:46">
      <c r="B147" s="6" t="s">
        <v>498</v>
      </c>
      <c r="D147" s="6" t="s">
        <v>499</v>
      </c>
      <c r="F147" s="6" t="s">
        <v>829</v>
      </c>
      <c r="G147" s="6" t="str">
        <f>"OL17SSAC02LDFS"</f>
        <v>OL17SSAC02LDFS</v>
      </c>
      <c r="H147" s="6" t="s">
        <v>830</v>
      </c>
      <c r="I147" s="6" t="s">
        <v>831</v>
      </c>
      <c r="J147" s="6" t="str">
        <f>"SHINING MOMENT I PHONE CASE_A"</f>
        <v>SHINING MOMENT I PHONE CASE_A</v>
      </c>
      <c r="K147" s="6">
        <v>0</v>
      </c>
      <c r="L147" s="6">
        <v>0</v>
      </c>
      <c r="M147" s="6">
        <v>0</v>
      </c>
      <c r="N147" s="6" t="str">
        <f>""</f>
        <v/>
      </c>
      <c r="O147" s="6">
        <v>33616</v>
      </c>
      <c r="P147" s="6" t="s">
        <v>830</v>
      </c>
      <c r="R147" s="6" t="s">
        <v>797</v>
      </c>
      <c r="S147" s="6" t="s">
        <v>832</v>
      </c>
      <c r="T147" s="6">
        <v>0</v>
      </c>
      <c r="U147" s="6">
        <v>0</v>
      </c>
      <c r="V147" s="6">
        <v>0</v>
      </c>
      <c r="W147" s="6">
        <v>0</v>
      </c>
      <c r="X147" s="6" t="s">
        <v>169</v>
      </c>
      <c r="Z147" s="6" t="s">
        <v>170</v>
      </c>
      <c r="AA147" s="6" t="s">
        <v>171</v>
      </c>
      <c r="AB147" s="6">
        <v>0</v>
      </c>
      <c r="AC147" s="6" t="str">
        <f>""</f>
        <v/>
      </c>
      <c r="AS147" s="6">
        <v>0</v>
      </c>
      <c r="AT147" s="6">
        <v>0</v>
      </c>
    </row>
    <row r="148" spans="2:46">
      <c r="B148" s="6" t="s">
        <v>498</v>
      </c>
      <c r="D148" s="6" t="s">
        <v>499</v>
      </c>
      <c r="F148" s="6" t="s">
        <v>833</v>
      </c>
      <c r="G148" s="6" t="str">
        <f>"OL17SSAC01LDFS"</f>
        <v>OL17SSAC01LDFS</v>
      </c>
      <c r="H148" s="6" t="s">
        <v>834</v>
      </c>
      <c r="I148" s="6" t="s">
        <v>835</v>
      </c>
      <c r="J148" s="6" t="str">
        <f>"17SS SCARF"</f>
        <v>17SS SCARF</v>
      </c>
      <c r="K148" s="6">
        <v>0</v>
      </c>
      <c r="L148" s="6">
        <v>0</v>
      </c>
      <c r="M148" s="6">
        <v>0</v>
      </c>
      <c r="N148" s="6" t="str">
        <f>""</f>
        <v/>
      </c>
      <c r="O148" s="6">
        <v>33614</v>
      </c>
      <c r="P148" s="6" t="s">
        <v>834</v>
      </c>
      <c r="R148" s="6" t="s">
        <v>797</v>
      </c>
      <c r="S148" s="6" t="s">
        <v>836</v>
      </c>
      <c r="T148" s="6">
        <v>0</v>
      </c>
      <c r="U148" s="6">
        <v>0</v>
      </c>
      <c r="V148" s="6">
        <v>0</v>
      </c>
      <c r="W148" s="6">
        <v>0</v>
      </c>
      <c r="X148" s="6" t="s">
        <v>169</v>
      </c>
      <c r="Z148" s="6" t="s">
        <v>170</v>
      </c>
      <c r="AA148" s="6" t="s">
        <v>171</v>
      </c>
      <c r="AB148" s="6">
        <v>0</v>
      </c>
      <c r="AC148" s="6" t="str">
        <f>""</f>
        <v/>
      </c>
      <c r="AS148" s="6">
        <v>0</v>
      </c>
      <c r="AT148" s="6">
        <v>0</v>
      </c>
    </row>
    <row r="149" spans="2:46">
      <c r="B149" s="6" t="s">
        <v>498</v>
      </c>
      <c r="D149" s="6" t="s">
        <v>499</v>
      </c>
      <c r="F149" s="6" t="s">
        <v>837</v>
      </c>
      <c r="G149" s="6" t="str">
        <f>"OL17SMOP05NYFH"</f>
        <v>OL17SMOP05NYFH</v>
      </c>
      <c r="H149" s="6" t="s">
        <v>838</v>
      </c>
      <c r="I149" s="6" t="s">
        <v>839</v>
      </c>
      <c r="J149" s="6" t="str">
        <f>"BACK POINT FLOWER ROBE DRESS_NAVY"</f>
        <v>BACK POINT FLOWER ROBE DRESS_NAVY</v>
      </c>
      <c r="K149" s="6">
        <v>0</v>
      </c>
      <c r="L149" s="6">
        <v>0</v>
      </c>
      <c r="M149" s="6">
        <v>0</v>
      </c>
      <c r="N149" s="6" t="str">
        <f>""</f>
        <v/>
      </c>
      <c r="O149" s="6">
        <v>33612</v>
      </c>
      <c r="P149" s="6" t="s">
        <v>838</v>
      </c>
      <c r="R149" s="6" t="s">
        <v>546</v>
      </c>
      <c r="S149" s="6" t="s">
        <v>840</v>
      </c>
      <c r="T149" s="6">
        <v>0</v>
      </c>
      <c r="U149" s="6">
        <v>0</v>
      </c>
      <c r="V149" s="6">
        <v>0</v>
      </c>
      <c r="W149" s="6">
        <v>0</v>
      </c>
      <c r="X149" s="6" t="s">
        <v>169</v>
      </c>
      <c r="Z149" s="6" t="s">
        <v>170</v>
      </c>
      <c r="AA149" s="6" t="s">
        <v>171</v>
      </c>
      <c r="AB149" s="6">
        <v>0</v>
      </c>
      <c r="AC149" s="6" t="str">
        <f>""</f>
        <v/>
      </c>
      <c r="AS149" s="6">
        <v>0</v>
      </c>
      <c r="AT149" s="6">
        <v>0</v>
      </c>
    </row>
    <row r="150" spans="2:46">
      <c r="B150" s="6" t="s">
        <v>498</v>
      </c>
      <c r="D150" s="6" t="s">
        <v>499</v>
      </c>
      <c r="F150" s="6" t="s">
        <v>841</v>
      </c>
      <c r="G150" s="6" t="str">
        <f>"OL17SMOP05PPFH"</f>
        <v>OL17SMOP05PPFH</v>
      </c>
      <c r="H150" s="6" t="s">
        <v>842</v>
      </c>
      <c r="I150" s="6" t="s">
        <v>843</v>
      </c>
      <c r="J150" s="6" t="str">
        <f>"BACK POINT FLOWER ROBE DRESS_PEACH PINK"</f>
        <v>BACK POINT FLOWER ROBE DRESS_PEACH PINK</v>
      </c>
      <c r="K150" s="6">
        <v>0</v>
      </c>
      <c r="L150" s="6">
        <v>0</v>
      </c>
      <c r="M150" s="6">
        <v>0</v>
      </c>
      <c r="N150" s="6" t="str">
        <f>""</f>
        <v/>
      </c>
      <c r="O150" s="6">
        <v>33610</v>
      </c>
      <c r="P150" s="6" t="s">
        <v>842</v>
      </c>
      <c r="R150" s="6" t="s">
        <v>844</v>
      </c>
      <c r="S150" s="6" t="s">
        <v>845</v>
      </c>
      <c r="T150" s="6">
        <v>0</v>
      </c>
      <c r="U150" s="6">
        <v>0</v>
      </c>
      <c r="V150" s="6">
        <v>0</v>
      </c>
      <c r="W150" s="6">
        <v>0</v>
      </c>
      <c r="X150" s="6" t="s">
        <v>169</v>
      </c>
      <c r="Z150" s="6" t="s">
        <v>170</v>
      </c>
      <c r="AA150" s="6" t="s">
        <v>171</v>
      </c>
      <c r="AB150" s="6">
        <v>0</v>
      </c>
      <c r="AC150" s="6" t="str">
        <f>""</f>
        <v/>
      </c>
      <c r="AS150" s="6">
        <v>0</v>
      </c>
      <c r="AT150" s="6">
        <v>0</v>
      </c>
    </row>
    <row r="151" spans="2:46">
      <c r="B151" s="6" t="s">
        <v>498</v>
      </c>
      <c r="D151" s="6" t="s">
        <v>499</v>
      </c>
      <c r="F151" s="6" t="s">
        <v>846</v>
      </c>
      <c r="G151" s="6" t="str">
        <f>"OL17SMPT01WHMH"</f>
        <v>OL17SMPT01WHMH</v>
      </c>
      <c r="H151" s="6" t="s">
        <v>847</v>
      </c>
      <c r="I151" s="6" t="s">
        <v>848</v>
      </c>
      <c r="J151" s="6" t="str">
        <f>"POINT TAPE PLEATS SHORTS_WHITE"</f>
        <v>POINT TAPE PLEATS SHORTS_WHITE</v>
      </c>
      <c r="K151" s="6">
        <v>0</v>
      </c>
      <c r="L151" s="6">
        <v>0</v>
      </c>
      <c r="M151" s="6">
        <v>0</v>
      </c>
      <c r="N151" s="6" t="str">
        <f>""</f>
        <v/>
      </c>
      <c r="O151" s="6">
        <v>33608</v>
      </c>
      <c r="P151" s="6" t="s">
        <v>847</v>
      </c>
      <c r="R151" s="6" t="s">
        <v>849</v>
      </c>
      <c r="S151" s="6" t="s">
        <v>850</v>
      </c>
      <c r="T151" s="6">
        <v>0</v>
      </c>
      <c r="U151" s="6">
        <v>0</v>
      </c>
      <c r="V151" s="6">
        <v>0</v>
      </c>
      <c r="W151" s="6">
        <v>0</v>
      </c>
      <c r="X151" s="6" t="s">
        <v>169</v>
      </c>
      <c r="Z151" s="6" t="s">
        <v>170</v>
      </c>
      <c r="AA151" s="6" t="s">
        <v>171</v>
      </c>
      <c r="AB151" s="6">
        <v>0</v>
      </c>
      <c r="AC151" s="6" t="str">
        <f>""</f>
        <v/>
      </c>
      <c r="AS151" s="6">
        <v>0</v>
      </c>
      <c r="AT151" s="6">
        <v>0</v>
      </c>
    </row>
    <row r="152" spans="2:46">
      <c r="B152" s="6" t="s">
        <v>498</v>
      </c>
      <c r="D152" s="6" t="s">
        <v>499</v>
      </c>
      <c r="F152" s="6" t="s">
        <v>851</v>
      </c>
      <c r="G152" s="6" t="str">
        <f>"OL17SMPT01WHSH"</f>
        <v>OL17SMPT01WHSH</v>
      </c>
      <c r="H152" s="6" t="s">
        <v>852</v>
      </c>
      <c r="I152" s="6" t="s">
        <v>848</v>
      </c>
      <c r="J152" s="6" t="str">
        <f>"POINT TAPE PLEATS SHORTS_WHITE"</f>
        <v>POINT TAPE PLEATS SHORTS_WHITE</v>
      </c>
      <c r="K152" s="6">
        <v>0</v>
      </c>
      <c r="L152" s="6">
        <v>0</v>
      </c>
      <c r="M152" s="6">
        <v>0</v>
      </c>
      <c r="N152" s="6" t="str">
        <f>""</f>
        <v/>
      </c>
      <c r="O152" s="6">
        <v>33607</v>
      </c>
      <c r="P152" s="6" t="s">
        <v>852</v>
      </c>
      <c r="R152" s="6" t="s">
        <v>853</v>
      </c>
      <c r="S152" s="6" t="s">
        <v>854</v>
      </c>
      <c r="T152" s="6">
        <v>0</v>
      </c>
      <c r="U152" s="6">
        <v>0</v>
      </c>
      <c r="V152" s="6">
        <v>0</v>
      </c>
      <c r="W152" s="6">
        <v>0</v>
      </c>
      <c r="X152" s="6" t="s">
        <v>169</v>
      </c>
      <c r="Z152" s="6" t="s">
        <v>170</v>
      </c>
      <c r="AA152" s="6" t="s">
        <v>171</v>
      </c>
      <c r="AB152" s="6">
        <v>0</v>
      </c>
      <c r="AC152" s="6" t="str">
        <f>""</f>
        <v/>
      </c>
      <c r="AS152" s="6">
        <v>0</v>
      </c>
      <c r="AT152" s="6">
        <v>0</v>
      </c>
    </row>
    <row r="153" spans="2:46">
      <c r="B153" s="6" t="s">
        <v>498</v>
      </c>
      <c r="D153" s="6" t="s">
        <v>499</v>
      </c>
      <c r="F153" s="6" t="s">
        <v>855</v>
      </c>
      <c r="G153" s="6" t="str">
        <f>"OL17SMPT01NYMH"</f>
        <v>OL17SMPT01NYMH</v>
      </c>
      <c r="H153" s="6" t="s">
        <v>856</v>
      </c>
      <c r="I153" s="6" t="s">
        <v>857</v>
      </c>
      <c r="J153" s="6" t="str">
        <f>"POINT TAPE PLEATS SHORTS_NAVY"</f>
        <v>POINT TAPE PLEATS SHORTS_NAVY</v>
      </c>
      <c r="K153" s="6">
        <v>0</v>
      </c>
      <c r="L153" s="6">
        <v>0</v>
      </c>
      <c r="M153" s="6">
        <v>0</v>
      </c>
      <c r="N153" s="6" t="str">
        <f>""</f>
        <v/>
      </c>
      <c r="O153" s="6">
        <v>33605</v>
      </c>
      <c r="P153" s="6" t="s">
        <v>856</v>
      </c>
      <c r="R153" s="6" t="s">
        <v>858</v>
      </c>
      <c r="S153" s="6" t="s">
        <v>859</v>
      </c>
      <c r="T153" s="6">
        <v>0</v>
      </c>
      <c r="U153" s="6">
        <v>0</v>
      </c>
      <c r="V153" s="6">
        <v>0</v>
      </c>
      <c r="W153" s="6">
        <v>0</v>
      </c>
      <c r="X153" s="6" t="s">
        <v>169</v>
      </c>
      <c r="Z153" s="6" t="s">
        <v>170</v>
      </c>
      <c r="AA153" s="6" t="s">
        <v>171</v>
      </c>
      <c r="AB153" s="6">
        <v>0</v>
      </c>
      <c r="AC153" s="6" t="str">
        <f>""</f>
        <v/>
      </c>
      <c r="AS153" s="6">
        <v>0</v>
      </c>
      <c r="AT153" s="6">
        <v>0</v>
      </c>
    </row>
    <row r="154" spans="2:46">
      <c r="B154" s="6" t="s">
        <v>498</v>
      </c>
      <c r="D154" s="6" t="s">
        <v>499</v>
      </c>
      <c r="F154" s="6" t="s">
        <v>860</v>
      </c>
      <c r="G154" s="6" t="str">
        <f>"OL17SMPT01NYSH"</f>
        <v>OL17SMPT01NYSH</v>
      </c>
      <c r="H154" s="6" t="s">
        <v>861</v>
      </c>
      <c r="I154" s="6" t="s">
        <v>857</v>
      </c>
      <c r="J154" s="6" t="str">
        <f>"POINT TAPE PLEATS SHORTS_NAVY"</f>
        <v>POINT TAPE PLEATS SHORTS_NAVY</v>
      </c>
      <c r="K154" s="6">
        <v>0</v>
      </c>
      <c r="L154" s="6">
        <v>0</v>
      </c>
      <c r="M154" s="6">
        <v>0</v>
      </c>
      <c r="N154" s="6" t="str">
        <f>""</f>
        <v/>
      </c>
      <c r="O154" s="6">
        <v>33604</v>
      </c>
      <c r="P154" s="6" t="s">
        <v>861</v>
      </c>
      <c r="R154" s="6" t="s">
        <v>862</v>
      </c>
      <c r="S154" s="6" t="s">
        <v>863</v>
      </c>
      <c r="T154" s="6">
        <v>0</v>
      </c>
      <c r="U154" s="6">
        <v>0</v>
      </c>
      <c r="V154" s="6">
        <v>0</v>
      </c>
      <c r="W154" s="6">
        <v>0</v>
      </c>
      <c r="X154" s="6" t="s">
        <v>169</v>
      </c>
      <c r="Z154" s="6" t="s">
        <v>170</v>
      </c>
      <c r="AA154" s="6" t="s">
        <v>171</v>
      </c>
      <c r="AB154" s="6">
        <v>0</v>
      </c>
      <c r="AC154" s="6" t="str">
        <f>""</f>
        <v/>
      </c>
      <c r="AS154" s="6">
        <v>0</v>
      </c>
      <c r="AT154" s="6">
        <v>0</v>
      </c>
    </row>
    <row r="155" spans="2:46">
      <c r="B155" s="6" t="s">
        <v>498</v>
      </c>
      <c r="D155" s="6" t="s">
        <v>499</v>
      </c>
      <c r="F155" s="6" t="s">
        <v>864</v>
      </c>
      <c r="G155" s="6" t="str">
        <f>"OL17SMSK02GRMH"</f>
        <v>OL17SMSK02GRMH</v>
      </c>
      <c r="H155" s="6" t="s">
        <v>865</v>
      </c>
      <c r="I155" s="6" t="s">
        <v>866</v>
      </c>
      <c r="J155" s="6" t="str">
        <f>"POINT STRIPES LACE SKIRT_GREEN"</f>
        <v>POINT STRIPES LACE SKIRT_GREEN</v>
      </c>
      <c r="K155" s="6">
        <v>0</v>
      </c>
      <c r="L155" s="6">
        <v>0</v>
      </c>
      <c r="M155" s="6">
        <v>0</v>
      </c>
      <c r="N155" s="6" t="str">
        <f>""</f>
        <v/>
      </c>
      <c r="O155" s="6">
        <v>33602</v>
      </c>
      <c r="P155" s="6" t="s">
        <v>865</v>
      </c>
      <c r="R155" s="6" t="s">
        <v>867</v>
      </c>
      <c r="S155" s="6" t="s">
        <v>868</v>
      </c>
      <c r="T155" s="6">
        <v>0</v>
      </c>
      <c r="U155" s="6">
        <v>0</v>
      </c>
      <c r="V155" s="6">
        <v>0</v>
      </c>
      <c r="W155" s="6">
        <v>0</v>
      </c>
      <c r="X155" s="6" t="s">
        <v>169</v>
      </c>
      <c r="Z155" s="6" t="s">
        <v>170</v>
      </c>
      <c r="AA155" s="6" t="s">
        <v>171</v>
      </c>
      <c r="AB155" s="6">
        <v>0</v>
      </c>
      <c r="AC155" s="6" t="str">
        <f>""</f>
        <v/>
      </c>
      <c r="AS155" s="6">
        <v>0</v>
      </c>
      <c r="AT155" s="6">
        <v>0</v>
      </c>
    </row>
    <row r="156" spans="2:46">
      <c r="B156" s="6" t="s">
        <v>498</v>
      </c>
      <c r="D156" s="6" t="s">
        <v>499</v>
      </c>
      <c r="F156" s="6" t="s">
        <v>869</v>
      </c>
      <c r="G156" s="6" t="str">
        <f>"OL17SMSK02GRSH"</f>
        <v>OL17SMSK02GRSH</v>
      </c>
      <c r="H156" s="6" t="s">
        <v>870</v>
      </c>
      <c r="I156" s="6" t="s">
        <v>866</v>
      </c>
      <c r="J156" s="6" t="str">
        <f>"POINT STRIPES LACE SKIRT_GREEN"</f>
        <v>POINT STRIPES LACE SKIRT_GREEN</v>
      </c>
      <c r="K156" s="6">
        <v>0</v>
      </c>
      <c r="L156" s="6">
        <v>0</v>
      </c>
      <c r="M156" s="6">
        <v>0</v>
      </c>
      <c r="N156" s="6" t="str">
        <f>""</f>
        <v/>
      </c>
      <c r="O156" s="6">
        <v>33601</v>
      </c>
      <c r="P156" s="6" t="s">
        <v>870</v>
      </c>
      <c r="R156" s="6" t="s">
        <v>871</v>
      </c>
      <c r="S156" s="6" t="s">
        <v>872</v>
      </c>
      <c r="T156" s="6">
        <v>0</v>
      </c>
      <c r="U156" s="6">
        <v>0</v>
      </c>
      <c r="V156" s="6">
        <v>0</v>
      </c>
      <c r="W156" s="6">
        <v>0</v>
      </c>
      <c r="X156" s="6" t="s">
        <v>169</v>
      </c>
      <c r="Z156" s="6" t="s">
        <v>170</v>
      </c>
      <c r="AA156" s="6" t="s">
        <v>171</v>
      </c>
      <c r="AB156" s="6">
        <v>0</v>
      </c>
      <c r="AC156" s="6" t="str">
        <f>""</f>
        <v/>
      </c>
      <c r="AS156" s="6">
        <v>0</v>
      </c>
      <c r="AT156" s="6">
        <v>0</v>
      </c>
    </row>
    <row r="157" spans="2:46">
      <c r="B157" s="6" t="s">
        <v>498</v>
      </c>
      <c r="D157" s="6" t="s">
        <v>499</v>
      </c>
      <c r="F157" s="6" t="s">
        <v>873</v>
      </c>
      <c r="G157" s="6" t="str">
        <f>"OL17SMOP02GRMH"</f>
        <v>OL17SMOP02GRMH</v>
      </c>
      <c r="H157" s="6" t="s">
        <v>874</v>
      </c>
      <c r="I157" s="6" t="s">
        <v>875</v>
      </c>
      <c r="J157" s="6" t="str">
        <f>"SQUARE NECK LACE DRESS_GREEN"</f>
        <v>SQUARE NECK LACE DRESS_GREEN</v>
      </c>
      <c r="K157" s="6">
        <v>0</v>
      </c>
      <c r="L157" s="6">
        <v>0</v>
      </c>
      <c r="M157" s="6">
        <v>0</v>
      </c>
      <c r="N157" s="6" t="str">
        <f>""</f>
        <v/>
      </c>
      <c r="O157" s="6">
        <v>33599</v>
      </c>
      <c r="P157" s="6" t="s">
        <v>874</v>
      </c>
      <c r="R157" s="6" t="s">
        <v>867</v>
      </c>
      <c r="S157" s="6" t="s">
        <v>876</v>
      </c>
      <c r="T157" s="6">
        <v>0</v>
      </c>
      <c r="U157" s="6">
        <v>0</v>
      </c>
      <c r="V157" s="6">
        <v>0</v>
      </c>
      <c r="W157" s="6">
        <v>0</v>
      </c>
      <c r="X157" s="6" t="s">
        <v>169</v>
      </c>
      <c r="Z157" s="6" t="s">
        <v>170</v>
      </c>
      <c r="AA157" s="6" t="s">
        <v>171</v>
      </c>
      <c r="AB157" s="6">
        <v>0</v>
      </c>
      <c r="AC157" s="6" t="str">
        <f>""</f>
        <v/>
      </c>
      <c r="AS157" s="6">
        <v>0</v>
      </c>
      <c r="AT157" s="6">
        <v>0</v>
      </c>
    </row>
    <row r="158" spans="2:46">
      <c r="B158" s="6" t="s">
        <v>498</v>
      </c>
      <c r="D158" s="6" t="s">
        <v>499</v>
      </c>
      <c r="F158" s="6" t="s">
        <v>877</v>
      </c>
      <c r="G158" s="6" t="str">
        <f>"OL17SMOP02GRSH"</f>
        <v>OL17SMOP02GRSH</v>
      </c>
      <c r="H158" s="6" t="s">
        <v>878</v>
      </c>
      <c r="I158" s="6" t="s">
        <v>875</v>
      </c>
      <c r="J158" s="6" t="str">
        <f>"SQUARE NECK LACE DRESS_GREEN"</f>
        <v>SQUARE NECK LACE DRESS_GREEN</v>
      </c>
      <c r="K158" s="6">
        <v>0</v>
      </c>
      <c r="L158" s="6">
        <v>0</v>
      </c>
      <c r="M158" s="6">
        <v>0</v>
      </c>
      <c r="N158" s="6" t="str">
        <f>""</f>
        <v/>
      </c>
      <c r="O158" s="6">
        <v>33598</v>
      </c>
      <c r="P158" s="6" t="s">
        <v>878</v>
      </c>
      <c r="R158" s="6" t="s">
        <v>871</v>
      </c>
      <c r="S158" s="6" t="s">
        <v>879</v>
      </c>
      <c r="T158" s="6">
        <v>0</v>
      </c>
      <c r="U158" s="6">
        <v>0</v>
      </c>
      <c r="V158" s="6">
        <v>0</v>
      </c>
      <c r="W158" s="6">
        <v>0</v>
      </c>
      <c r="X158" s="6" t="s">
        <v>169</v>
      </c>
      <c r="Z158" s="6" t="s">
        <v>170</v>
      </c>
      <c r="AA158" s="6" t="s">
        <v>171</v>
      </c>
      <c r="AB158" s="6">
        <v>0</v>
      </c>
      <c r="AC158" s="6" t="str">
        <f>""</f>
        <v/>
      </c>
      <c r="AS158" s="6">
        <v>0</v>
      </c>
      <c r="AT158" s="6">
        <v>0</v>
      </c>
    </row>
    <row r="159" spans="2:46">
      <c r="B159" s="6" t="s">
        <v>498</v>
      </c>
      <c r="D159" s="6" t="s">
        <v>499</v>
      </c>
      <c r="F159" s="6" t="s">
        <v>880</v>
      </c>
      <c r="G159" s="6" t="str">
        <f>"OL17SMOP02YEMH"</f>
        <v>OL17SMOP02YEMH</v>
      </c>
      <c r="H159" s="6" t="s">
        <v>881</v>
      </c>
      <c r="I159" s="6" t="s">
        <v>882</v>
      </c>
      <c r="J159" s="6" t="str">
        <f>"SQUARE NECK LACE DRESS_YELLOW"</f>
        <v>SQUARE NECK LACE DRESS_YELLOW</v>
      </c>
      <c r="K159" s="6">
        <v>0</v>
      </c>
      <c r="L159" s="6">
        <v>0</v>
      </c>
      <c r="M159" s="6">
        <v>0</v>
      </c>
      <c r="N159" s="6" t="str">
        <f>""</f>
        <v/>
      </c>
      <c r="O159" s="6">
        <v>33596</v>
      </c>
      <c r="P159" s="6" t="s">
        <v>881</v>
      </c>
      <c r="R159" s="6" t="s">
        <v>883</v>
      </c>
      <c r="S159" s="6" t="s">
        <v>884</v>
      </c>
      <c r="T159" s="6">
        <v>0</v>
      </c>
      <c r="U159" s="6">
        <v>0</v>
      </c>
      <c r="V159" s="6">
        <v>0</v>
      </c>
      <c r="W159" s="6">
        <v>0</v>
      </c>
      <c r="X159" s="6" t="s">
        <v>169</v>
      </c>
      <c r="Z159" s="6" t="s">
        <v>170</v>
      </c>
      <c r="AA159" s="6" t="s">
        <v>171</v>
      </c>
      <c r="AB159" s="6">
        <v>0</v>
      </c>
      <c r="AC159" s="6" t="str">
        <f>""</f>
        <v/>
      </c>
      <c r="AS159" s="6">
        <v>0</v>
      </c>
      <c r="AT159" s="6">
        <v>0</v>
      </c>
    </row>
    <row r="160" spans="2:46">
      <c r="B160" s="6" t="s">
        <v>498</v>
      </c>
      <c r="D160" s="6" t="s">
        <v>499</v>
      </c>
      <c r="F160" s="6" t="s">
        <v>885</v>
      </c>
      <c r="G160" s="6" t="str">
        <f>"OL17SMOP02YESH"</f>
        <v>OL17SMOP02YESH</v>
      </c>
      <c r="H160" s="6" t="s">
        <v>886</v>
      </c>
      <c r="I160" s="6" t="s">
        <v>882</v>
      </c>
      <c r="J160" s="6" t="str">
        <f>"SQUARE NECK LACE DRESS_YELLOW"</f>
        <v>SQUARE NECK LACE DRESS_YELLOW</v>
      </c>
      <c r="K160" s="6">
        <v>0</v>
      </c>
      <c r="L160" s="6">
        <v>0</v>
      </c>
      <c r="M160" s="6">
        <v>0</v>
      </c>
      <c r="N160" s="6" t="str">
        <f>""</f>
        <v/>
      </c>
      <c r="O160" s="6">
        <v>33595</v>
      </c>
      <c r="P160" s="6" t="s">
        <v>886</v>
      </c>
      <c r="R160" s="6" t="s">
        <v>887</v>
      </c>
      <c r="S160" s="6" t="s">
        <v>888</v>
      </c>
      <c r="T160" s="6">
        <v>0</v>
      </c>
      <c r="U160" s="6">
        <v>0</v>
      </c>
      <c r="V160" s="6">
        <v>0</v>
      </c>
      <c r="W160" s="6">
        <v>0</v>
      </c>
      <c r="X160" s="6" t="s">
        <v>169</v>
      </c>
      <c r="Z160" s="6" t="s">
        <v>170</v>
      </c>
      <c r="AA160" s="6" t="s">
        <v>171</v>
      </c>
      <c r="AB160" s="6">
        <v>0</v>
      </c>
      <c r="AC160" s="6" t="str">
        <f>""</f>
        <v/>
      </c>
      <c r="AS160" s="6">
        <v>0</v>
      </c>
      <c r="AT160" s="6">
        <v>0</v>
      </c>
    </row>
    <row r="161" spans="2:46">
      <c r="B161" s="6" t="s">
        <v>498</v>
      </c>
      <c r="D161" s="6" t="s">
        <v>499</v>
      </c>
      <c r="F161" s="6" t="s">
        <v>889</v>
      </c>
      <c r="G161" s="6" t="str">
        <f>"OL17SMOP04WBFH"</f>
        <v>OL17SMOP04WBFH</v>
      </c>
      <c r="H161" s="6" t="s">
        <v>890</v>
      </c>
      <c r="I161" s="6" t="s">
        <v>891</v>
      </c>
      <c r="J161" s="6" t="str">
        <f>"CROSS SHORTS SLEEVE ROBE DRESS_WHITE BLUE STRIPE"</f>
        <v>CROSS SHORTS SLEEVE ROBE DRESS_WHITE BLUE STRIPE</v>
      </c>
      <c r="K161" s="6">
        <v>0</v>
      </c>
      <c r="L161" s="6">
        <v>0</v>
      </c>
      <c r="M161" s="6">
        <v>0</v>
      </c>
      <c r="N161" s="6" t="str">
        <f>""</f>
        <v/>
      </c>
      <c r="O161" s="6">
        <v>33593</v>
      </c>
      <c r="P161" s="6" t="s">
        <v>890</v>
      </c>
      <c r="R161" s="6" t="s">
        <v>892</v>
      </c>
      <c r="S161" s="6" t="s">
        <v>893</v>
      </c>
      <c r="T161" s="6">
        <v>0</v>
      </c>
      <c r="U161" s="6">
        <v>0</v>
      </c>
      <c r="V161" s="6">
        <v>0</v>
      </c>
      <c r="W161" s="6">
        <v>0</v>
      </c>
      <c r="X161" s="6" t="s">
        <v>169</v>
      </c>
      <c r="Z161" s="6" t="s">
        <v>170</v>
      </c>
      <c r="AA161" s="6" t="s">
        <v>171</v>
      </c>
      <c r="AB161" s="6">
        <v>0</v>
      </c>
      <c r="AC161" s="6" t="str">
        <f>""</f>
        <v/>
      </c>
      <c r="AS161" s="6">
        <v>0</v>
      </c>
      <c r="AT161" s="6">
        <v>0</v>
      </c>
    </row>
    <row r="162" spans="2:46">
      <c r="B162" s="6" t="s">
        <v>498</v>
      </c>
      <c r="D162" s="6" t="s">
        <v>499</v>
      </c>
      <c r="F162" s="6" t="s">
        <v>894</v>
      </c>
      <c r="G162" s="6" t="str">
        <f>"OL17SMOP04SBFH"</f>
        <v>OL17SMOP04SBFH</v>
      </c>
      <c r="H162" s="6" t="s">
        <v>895</v>
      </c>
      <c r="I162" s="6" t="s">
        <v>896</v>
      </c>
      <c r="J162" s="6" t="str">
        <f>"CROSS SHORTS SLEEVE ROBE DRESS_SKY BLUE"</f>
        <v>CROSS SHORTS SLEEVE ROBE DRESS_SKY BLUE</v>
      </c>
      <c r="K162" s="6">
        <v>0</v>
      </c>
      <c r="L162" s="6">
        <v>0</v>
      </c>
      <c r="M162" s="6">
        <v>0</v>
      </c>
      <c r="N162" s="6" t="str">
        <f>""</f>
        <v/>
      </c>
      <c r="O162" s="6">
        <v>33591</v>
      </c>
      <c r="P162" s="6" t="s">
        <v>895</v>
      </c>
      <c r="R162" s="6" t="s">
        <v>523</v>
      </c>
      <c r="S162" s="6" t="s">
        <v>897</v>
      </c>
      <c r="T162" s="6">
        <v>0</v>
      </c>
      <c r="U162" s="6">
        <v>0</v>
      </c>
      <c r="V162" s="6">
        <v>0</v>
      </c>
      <c r="W162" s="6">
        <v>0</v>
      </c>
      <c r="X162" s="6" t="s">
        <v>169</v>
      </c>
      <c r="Z162" s="6" t="s">
        <v>170</v>
      </c>
      <c r="AA162" s="6" t="s">
        <v>171</v>
      </c>
      <c r="AB162" s="6">
        <v>0</v>
      </c>
      <c r="AC162" s="6" t="str">
        <f>""</f>
        <v/>
      </c>
      <c r="AS162" s="6">
        <v>0</v>
      </c>
      <c r="AT162" s="6">
        <v>0</v>
      </c>
    </row>
    <row r="163" spans="2:46">
      <c r="B163" s="6" t="s">
        <v>498</v>
      </c>
      <c r="D163" s="6" t="s">
        <v>499</v>
      </c>
      <c r="F163" s="6" t="s">
        <v>898</v>
      </c>
      <c r="G163" s="6" t="str">
        <f>"OL17SMOP03YEFH"</f>
        <v>OL17SMOP03YEFH</v>
      </c>
      <c r="H163" s="6" t="s">
        <v>899</v>
      </c>
      <c r="I163" s="6" t="s">
        <v>900</v>
      </c>
      <c r="J163" s="6" t="str">
        <f>"COMBI COLLAR MINI DRESS_YELLOW"</f>
        <v>COMBI COLLAR MINI DRESS_YELLOW</v>
      </c>
      <c r="K163" s="6">
        <v>0</v>
      </c>
      <c r="L163" s="6">
        <v>0</v>
      </c>
      <c r="M163" s="6">
        <v>0</v>
      </c>
      <c r="N163" s="6" t="str">
        <f>""</f>
        <v/>
      </c>
      <c r="O163" s="6">
        <v>33589</v>
      </c>
      <c r="P163" s="6" t="s">
        <v>899</v>
      </c>
      <c r="R163" s="6" t="s">
        <v>518</v>
      </c>
      <c r="S163" s="6" t="s">
        <v>901</v>
      </c>
      <c r="T163" s="6">
        <v>0</v>
      </c>
      <c r="U163" s="6">
        <v>0</v>
      </c>
      <c r="V163" s="6">
        <v>0</v>
      </c>
      <c r="W163" s="6">
        <v>0</v>
      </c>
      <c r="X163" s="6" t="s">
        <v>169</v>
      </c>
      <c r="Z163" s="6" t="s">
        <v>170</v>
      </c>
      <c r="AA163" s="6" t="s">
        <v>171</v>
      </c>
      <c r="AB163" s="6">
        <v>0</v>
      </c>
      <c r="AC163" s="6" t="str">
        <f>""</f>
        <v/>
      </c>
      <c r="AS163" s="6">
        <v>0</v>
      </c>
      <c r="AT163" s="6">
        <v>0</v>
      </c>
    </row>
    <row r="164" spans="2:46">
      <c r="B164" s="6" t="s">
        <v>498</v>
      </c>
      <c r="D164" s="6" t="s">
        <v>499</v>
      </c>
      <c r="F164" s="6" t="s">
        <v>902</v>
      </c>
      <c r="G164" s="6" t="str">
        <f>"OL17SMOP03CBFH"</f>
        <v>OL17SMOP03CBFH</v>
      </c>
      <c r="H164" s="6" t="s">
        <v>903</v>
      </c>
      <c r="I164" s="6" t="s">
        <v>904</v>
      </c>
      <c r="J164" s="6" t="str">
        <f>"COMBI COLLAR MINI DRESS_COBALT BLUE"</f>
        <v>COMBI COLLAR MINI DRESS_COBALT BLUE</v>
      </c>
      <c r="K164" s="6">
        <v>0</v>
      </c>
      <c r="L164" s="6">
        <v>0</v>
      </c>
      <c r="M164" s="6">
        <v>0</v>
      </c>
      <c r="N164" s="6" t="str">
        <f>""</f>
        <v/>
      </c>
      <c r="O164" s="6">
        <v>33587</v>
      </c>
      <c r="P164" s="6" t="s">
        <v>903</v>
      </c>
      <c r="R164" s="6" t="s">
        <v>905</v>
      </c>
      <c r="S164" s="6" t="s">
        <v>906</v>
      </c>
      <c r="T164" s="6">
        <v>0</v>
      </c>
      <c r="U164" s="6">
        <v>0</v>
      </c>
      <c r="V164" s="6">
        <v>0</v>
      </c>
      <c r="W164" s="6">
        <v>0</v>
      </c>
      <c r="X164" s="6" t="s">
        <v>169</v>
      </c>
      <c r="Z164" s="6" t="s">
        <v>170</v>
      </c>
      <c r="AA164" s="6" t="s">
        <v>171</v>
      </c>
      <c r="AB164" s="6">
        <v>0</v>
      </c>
      <c r="AC164" s="6" t="str">
        <f>""</f>
        <v/>
      </c>
      <c r="AS164" s="6">
        <v>0</v>
      </c>
      <c r="AT164" s="6">
        <v>0</v>
      </c>
    </row>
    <row r="165" spans="2:46">
      <c r="B165" s="6" t="s">
        <v>498</v>
      </c>
      <c r="D165" s="6" t="s">
        <v>499</v>
      </c>
      <c r="F165" s="6" t="s">
        <v>907</v>
      </c>
      <c r="G165" s="6" t="str">
        <f>"OL17SMBL04PPFH"</f>
        <v>OL17SMBL04PPFH</v>
      </c>
      <c r="H165" s="6" t="s">
        <v>908</v>
      </c>
      <c r="I165" s="6" t="s">
        <v>909</v>
      </c>
      <c r="J165" s="6" t="str">
        <f>"SHOULDER PUFF SHINING  TOP_PEACH PINK"</f>
        <v>SHOULDER PUFF SHINING  TOP_PEACH PINK</v>
      </c>
      <c r="K165" s="6">
        <v>0</v>
      </c>
      <c r="L165" s="6">
        <v>0</v>
      </c>
      <c r="M165" s="6">
        <v>0</v>
      </c>
      <c r="N165" s="6" t="str">
        <f>""</f>
        <v/>
      </c>
      <c r="O165" s="6">
        <v>33585</v>
      </c>
      <c r="P165" s="6" t="s">
        <v>908</v>
      </c>
      <c r="R165" s="6" t="s">
        <v>844</v>
      </c>
      <c r="S165" s="6" t="s">
        <v>910</v>
      </c>
      <c r="T165" s="6">
        <v>0</v>
      </c>
      <c r="U165" s="6">
        <v>0</v>
      </c>
      <c r="V165" s="6">
        <v>0</v>
      </c>
      <c r="W165" s="6">
        <v>0</v>
      </c>
      <c r="X165" s="6" t="s">
        <v>169</v>
      </c>
      <c r="Z165" s="6" t="s">
        <v>170</v>
      </c>
      <c r="AA165" s="6" t="s">
        <v>171</v>
      </c>
      <c r="AB165" s="6">
        <v>0</v>
      </c>
      <c r="AC165" s="6" t="str">
        <f>""</f>
        <v/>
      </c>
      <c r="AS165" s="6">
        <v>0</v>
      </c>
      <c r="AT165" s="6">
        <v>0</v>
      </c>
    </row>
    <row r="166" spans="2:46">
      <c r="B166" s="6" t="s">
        <v>498</v>
      </c>
      <c r="D166" s="6" t="s">
        <v>499</v>
      </c>
      <c r="F166" s="6" t="s">
        <v>911</v>
      </c>
      <c r="G166" s="6" t="str">
        <f>"OL17SMBL04WHFH"</f>
        <v>OL17SMBL04WHFH</v>
      </c>
      <c r="H166" s="6" t="s">
        <v>912</v>
      </c>
      <c r="I166" s="6" t="s">
        <v>913</v>
      </c>
      <c r="J166" s="6" t="str">
        <f>"SHOULDER PUFF SPANGLE  TOP_WHITE"</f>
        <v>SHOULDER PUFF SPANGLE  TOP_WHITE</v>
      </c>
      <c r="K166" s="6">
        <v>0</v>
      </c>
      <c r="L166" s="6">
        <v>0</v>
      </c>
      <c r="M166" s="6">
        <v>0</v>
      </c>
      <c r="N166" s="6" t="str">
        <f>""</f>
        <v/>
      </c>
      <c r="O166" s="6">
        <v>33583</v>
      </c>
      <c r="P166" s="6" t="s">
        <v>912</v>
      </c>
      <c r="R166" s="6" t="s">
        <v>914</v>
      </c>
      <c r="S166" s="6" t="s">
        <v>915</v>
      </c>
      <c r="T166" s="6">
        <v>0</v>
      </c>
      <c r="U166" s="6">
        <v>0</v>
      </c>
      <c r="V166" s="6">
        <v>0</v>
      </c>
      <c r="W166" s="6">
        <v>0</v>
      </c>
      <c r="X166" s="6" t="s">
        <v>169</v>
      </c>
      <c r="Z166" s="6" t="s">
        <v>170</v>
      </c>
      <c r="AA166" s="6" t="s">
        <v>171</v>
      </c>
      <c r="AB166" s="6">
        <v>0</v>
      </c>
      <c r="AC166" s="6" t="str">
        <f>""</f>
        <v/>
      </c>
      <c r="AS166" s="6">
        <v>0</v>
      </c>
      <c r="AT166" s="6">
        <v>0</v>
      </c>
    </row>
    <row r="167" spans="2:46">
      <c r="B167" s="6" t="s">
        <v>498</v>
      </c>
      <c r="D167" s="6" t="s">
        <v>499</v>
      </c>
      <c r="F167" s="6" t="s">
        <v>916</v>
      </c>
      <c r="G167" s="6" t="str">
        <f>"OL17SMBL02SBFH"</f>
        <v>OL17SMBL02SBFH</v>
      </c>
      <c r="H167" s="6" t="s">
        <v>917</v>
      </c>
      <c r="I167" s="6" t="s">
        <v>918</v>
      </c>
      <c r="J167" s="6" t="str">
        <f>"SQUARE NECK OFF SHOULDER TOP_SKYBLUE"</f>
        <v>SQUARE NECK OFF SHOULDER TOP_SKYBLUE</v>
      </c>
      <c r="K167" s="6">
        <v>0</v>
      </c>
      <c r="L167" s="6">
        <v>0</v>
      </c>
      <c r="M167" s="6">
        <v>0</v>
      </c>
      <c r="N167" s="6" t="str">
        <f>""</f>
        <v/>
      </c>
      <c r="O167" s="6">
        <v>33581</v>
      </c>
      <c r="P167" s="6" t="s">
        <v>917</v>
      </c>
      <c r="R167" s="6" t="s">
        <v>919</v>
      </c>
      <c r="S167" s="6" t="s">
        <v>920</v>
      </c>
      <c r="T167" s="6">
        <v>0</v>
      </c>
      <c r="U167" s="6">
        <v>0</v>
      </c>
      <c r="V167" s="6">
        <v>0</v>
      </c>
      <c r="W167" s="6">
        <v>0</v>
      </c>
      <c r="X167" s="6" t="s">
        <v>169</v>
      </c>
      <c r="Z167" s="6" t="s">
        <v>170</v>
      </c>
      <c r="AA167" s="6" t="s">
        <v>171</v>
      </c>
      <c r="AB167" s="6">
        <v>0</v>
      </c>
      <c r="AC167" s="6" t="str">
        <f>""</f>
        <v/>
      </c>
      <c r="AS167" s="6">
        <v>0</v>
      </c>
      <c r="AT167" s="6">
        <v>0</v>
      </c>
    </row>
    <row r="168" spans="2:46">
      <c r="B168" s="6" t="s">
        <v>498</v>
      </c>
      <c r="D168" s="6" t="s">
        <v>499</v>
      </c>
      <c r="F168" s="6" t="s">
        <v>921</v>
      </c>
      <c r="G168" s="6" t="str">
        <f>"OL17SMBL03NYFH"</f>
        <v>OL17SMBL03NYFH</v>
      </c>
      <c r="H168" s="6" t="s">
        <v>922</v>
      </c>
      <c r="I168" s="6" t="s">
        <v>923</v>
      </c>
      <c r="J168" s="6" t="str">
        <f>"POINT TAPE OFF SHOULDER TOP_NAVY"</f>
        <v>POINT TAPE OFF SHOULDER TOP_NAVY</v>
      </c>
      <c r="K168" s="6">
        <v>0</v>
      </c>
      <c r="L168" s="6">
        <v>0</v>
      </c>
      <c r="M168" s="6">
        <v>0</v>
      </c>
      <c r="N168" s="6" t="str">
        <f>""</f>
        <v/>
      </c>
      <c r="O168" s="6">
        <v>33579</v>
      </c>
      <c r="P168" s="6" t="s">
        <v>922</v>
      </c>
      <c r="R168" s="6" t="s">
        <v>546</v>
      </c>
      <c r="S168" s="6" t="s">
        <v>924</v>
      </c>
      <c r="T168" s="6">
        <v>0</v>
      </c>
      <c r="U168" s="6">
        <v>0</v>
      </c>
      <c r="V168" s="6">
        <v>0</v>
      </c>
      <c r="W168" s="6">
        <v>0</v>
      </c>
      <c r="X168" s="6" t="s">
        <v>169</v>
      </c>
      <c r="Z168" s="6" t="s">
        <v>170</v>
      </c>
      <c r="AA168" s="6" t="s">
        <v>171</v>
      </c>
      <c r="AB168" s="6">
        <v>0</v>
      </c>
      <c r="AC168" s="6" t="str">
        <f>""</f>
        <v/>
      </c>
      <c r="AS168" s="6">
        <v>0</v>
      </c>
      <c r="AT168" s="6">
        <v>0</v>
      </c>
    </row>
    <row r="169" spans="2:46">
      <c r="B169" s="6" t="s">
        <v>498</v>
      </c>
      <c r="D169" s="6" t="s">
        <v>499</v>
      </c>
      <c r="F169" s="6" t="s">
        <v>925</v>
      </c>
      <c r="G169" s="6" t="str">
        <f>"OL17SMBL03WHFH"</f>
        <v>OL17SMBL03WHFH</v>
      </c>
      <c r="H169" s="6" t="s">
        <v>926</v>
      </c>
      <c r="I169" s="6" t="s">
        <v>927</v>
      </c>
      <c r="J169" s="6" t="str">
        <f>"POINT TAPE OFF SHOULDER TOP_WHITE"</f>
        <v>POINT TAPE OFF SHOULDER TOP_WHITE</v>
      </c>
      <c r="K169" s="6">
        <v>0</v>
      </c>
      <c r="L169" s="6">
        <v>0</v>
      </c>
      <c r="M169" s="6">
        <v>0</v>
      </c>
      <c r="N169" s="6" t="str">
        <f>""</f>
        <v/>
      </c>
      <c r="O169" s="6">
        <v>33577</v>
      </c>
      <c r="P169" s="6" t="s">
        <v>926</v>
      </c>
      <c r="R169" s="6" t="s">
        <v>914</v>
      </c>
      <c r="S169" s="6" t="s">
        <v>928</v>
      </c>
      <c r="T169" s="6">
        <v>0</v>
      </c>
      <c r="U169" s="6">
        <v>0</v>
      </c>
      <c r="V169" s="6">
        <v>0</v>
      </c>
      <c r="W169" s="6">
        <v>0</v>
      </c>
      <c r="X169" s="6" t="s">
        <v>169</v>
      </c>
      <c r="Z169" s="6" t="s">
        <v>170</v>
      </c>
      <c r="AA169" s="6" t="s">
        <v>171</v>
      </c>
      <c r="AB169" s="6">
        <v>0</v>
      </c>
      <c r="AC169" s="6" t="str">
        <f>""</f>
        <v/>
      </c>
      <c r="AS169" s="6">
        <v>0</v>
      </c>
      <c r="AT169" s="6">
        <v>0</v>
      </c>
    </row>
    <row r="170" spans="2:46">
      <c r="B170" s="6" t="s">
        <v>498</v>
      </c>
      <c r="D170" s="6" t="s">
        <v>499</v>
      </c>
      <c r="F170" s="6" t="s">
        <v>929</v>
      </c>
      <c r="G170" s="6" t="str">
        <f>"OL17SMBL02YEFH"</f>
        <v>OL17SMBL02YEFH</v>
      </c>
      <c r="H170" s="6" t="s">
        <v>930</v>
      </c>
      <c r="I170" s="6" t="s">
        <v>931</v>
      </c>
      <c r="J170" s="6" t="str">
        <f>"SQUARE NECK OFF SHOULDER TOP_YELLOW"</f>
        <v>SQUARE NECK OFF SHOULDER TOP_YELLOW</v>
      </c>
      <c r="K170" s="6">
        <v>0</v>
      </c>
      <c r="L170" s="6">
        <v>0</v>
      </c>
      <c r="M170" s="6">
        <v>0</v>
      </c>
      <c r="N170" s="6" t="str">
        <f>""</f>
        <v/>
      </c>
      <c r="O170" s="6">
        <v>33575</v>
      </c>
      <c r="P170" s="6" t="s">
        <v>930</v>
      </c>
      <c r="R170" s="6" t="s">
        <v>518</v>
      </c>
      <c r="S170" s="6" t="s">
        <v>932</v>
      </c>
      <c r="T170" s="6">
        <v>0</v>
      </c>
      <c r="U170" s="6">
        <v>0</v>
      </c>
      <c r="V170" s="6">
        <v>0</v>
      </c>
      <c r="W170" s="6">
        <v>0</v>
      </c>
      <c r="X170" s="6" t="s">
        <v>169</v>
      </c>
      <c r="Z170" s="6" t="s">
        <v>170</v>
      </c>
      <c r="AA170" s="6" t="s">
        <v>171</v>
      </c>
      <c r="AB170" s="6">
        <v>0</v>
      </c>
      <c r="AC170" s="6" t="str">
        <f>""</f>
        <v/>
      </c>
      <c r="AS170" s="6">
        <v>0</v>
      </c>
      <c r="AT170" s="6">
        <v>0</v>
      </c>
    </row>
    <row r="171" spans="2:46">
      <c r="B171" s="6" t="s">
        <v>498</v>
      </c>
      <c r="D171" s="6" t="s">
        <v>499</v>
      </c>
      <c r="F171" s="6" t="s">
        <v>933</v>
      </c>
      <c r="G171" s="6" t="str">
        <f>"OL17SMBL02MBFH"</f>
        <v>OL17SMBL02MBFH</v>
      </c>
      <c r="H171" s="6" t="s">
        <v>934</v>
      </c>
      <c r="I171" s="6" t="s">
        <v>935</v>
      </c>
      <c r="J171" s="6" t="str">
        <f>"SQUARE NECK OFF SHOULDER TOP_MINT BLUE"</f>
        <v>SQUARE NECK OFF SHOULDER TOP_MINT BLUE</v>
      </c>
      <c r="K171" s="6">
        <v>0</v>
      </c>
      <c r="L171" s="6">
        <v>0</v>
      </c>
      <c r="M171" s="6">
        <v>0</v>
      </c>
      <c r="N171" s="6" t="str">
        <f>""</f>
        <v/>
      </c>
      <c r="O171" s="6">
        <v>33573</v>
      </c>
      <c r="P171" s="6" t="s">
        <v>934</v>
      </c>
      <c r="R171" s="6" t="s">
        <v>503</v>
      </c>
      <c r="S171" s="6" t="s">
        <v>936</v>
      </c>
      <c r="T171" s="6">
        <v>0</v>
      </c>
      <c r="U171" s="6">
        <v>0</v>
      </c>
      <c r="V171" s="6">
        <v>0</v>
      </c>
      <c r="W171" s="6">
        <v>0</v>
      </c>
      <c r="X171" s="6" t="s">
        <v>169</v>
      </c>
      <c r="Z171" s="6" t="s">
        <v>170</v>
      </c>
      <c r="AA171" s="6" t="s">
        <v>171</v>
      </c>
      <c r="AB171" s="6">
        <v>0</v>
      </c>
      <c r="AC171" s="6" t="str">
        <f>""</f>
        <v/>
      </c>
      <c r="AS171" s="6">
        <v>0</v>
      </c>
      <c r="AT171" s="6">
        <v>0</v>
      </c>
    </row>
    <row r="172" spans="2:46">
      <c r="B172" s="6" t="s">
        <v>498</v>
      </c>
      <c r="D172" s="6" t="s">
        <v>499</v>
      </c>
      <c r="F172" s="6" t="s">
        <v>937</v>
      </c>
      <c r="G172" s="6" t="str">
        <f>"OL17SMBL01SPFH"</f>
        <v>OL17SMBL01SPFH</v>
      </c>
      <c r="H172" s="6" t="s">
        <v>938</v>
      </c>
      <c r="I172" s="6" t="s">
        <v>939</v>
      </c>
      <c r="J172" s="6" t="str">
        <f>"CANCAN PRILL OFF SHOULDER TOP_SALMON PINK"</f>
        <v>CANCAN PRILL OFF SHOULDER TOP_SALMON PINK</v>
      </c>
      <c r="K172" s="6">
        <v>0</v>
      </c>
      <c r="L172" s="6">
        <v>0</v>
      </c>
      <c r="M172" s="6">
        <v>0</v>
      </c>
      <c r="N172" s="6" t="str">
        <f>""</f>
        <v/>
      </c>
      <c r="O172" s="6">
        <v>33571</v>
      </c>
      <c r="P172" s="6" t="s">
        <v>938</v>
      </c>
      <c r="R172" s="6" t="s">
        <v>940</v>
      </c>
      <c r="S172" s="6" t="s">
        <v>941</v>
      </c>
      <c r="T172" s="6">
        <v>0</v>
      </c>
      <c r="U172" s="6">
        <v>0</v>
      </c>
      <c r="V172" s="6">
        <v>0</v>
      </c>
      <c r="W172" s="6">
        <v>0</v>
      </c>
      <c r="X172" s="6" t="s">
        <v>169</v>
      </c>
      <c r="Z172" s="6" t="s">
        <v>170</v>
      </c>
      <c r="AA172" s="6" t="s">
        <v>171</v>
      </c>
      <c r="AB172" s="6">
        <v>0</v>
      </c>
      <c r="AC172" s="6" t="str">
        <f>""</f>
        <v/>
      </c>
      <c r="AS172" s="6">
        <v>0</v>
      </c>
      <c r="AT172" s="6">
        <v>0</v>
      </c>
    </row>
    <row r="173" spans="2:46">
      <c r="B173" s="6" t="s">
        <v>498</v>
      </c>
      <c r="D173" s="6" t="s">
        <v>499</v>
      </c>
      <c r="F173" s="6" t="s">
        <v>942</v>
      </c>
      <c r="G173" s="6" t="str">
        <f>"OL17SMBL01SBFH"</f>
        <v>OL17SMBL01SBFH</v>
      </c>
      <c r="H173" s="6" t="s">
        <v>943</v>
      </c>
      <c r="I173" s="6" t="s">
        <v>944</v>
      </c>
      <c r="J173" s="6" t="str">
        <f>"CANCAN PRILL OFF SHOULDER TOP_SKY BLUE"</f>
        <v>CANCAN PRILL OFF SHOULDER TOP_SKY BLUE</v>
      </c>
      <c r="K173" s="6">
        <v>0</v>
      </c>
      <c r="L173" s="6">
        <v>0</v>
      </c>
      <c r="M173" s="6">
        <v>0</v>
      </c>
      <c r="N173" s="6" t="str">
        <f>""</f>
        <v/>
      </c>
      <c r="O173" s="6">
        <v>33569</v>
      </c>
      <c r="P173" s="6" t="s">
        <v>943</v>
      </c>
      <c r="R173" s="6" t="s">
        <v>523</v>
      </c>
      <c r="S173" s="6" t="s">
        <v>945</v>
      </c>
      <c r="T173" s="6">
        <v>0</v>
      </c>
      <c r="U173" s="6">
        <v>0</v>
      </c>
      <c r="V173" s="6">
        <v>0</v>
      </c>
      <c r="W173" s="6">
        <v>0</v>
      </c>
      <c r="X173" s="6" t="s">
        <v>169</v>
      </c>
      <c r="Z173" s="6" t="s">
        <v>170</v>
      </c>
      <c r="AA173" s="6" t="s">
        <v>171</v>
      </c>
      <c r="AB173" s="6">
        <v>0</v>
      </c>
      <c r="AC173" s="6" t="str">
        <f>""</f>
        <v/>
      </c>
      <c r="AS173" s="6">
        <v>0</v>
      </c>
      <c r="AT173" s="6">
        <v>0</v>
      </c>
    </row>
    <row r="174" spans="2:46">
      <c r="B174" s="6" t="s">
        <v>498</v>
      </c>
      <c r="D174" s="6" t="s">
        <v>499</v>
      </c>
      <c r="F174" s="6" t="s">
        <v>946</v>
      </c>
      <c r="G174" s="6" t="str">
        <f>"OL17SMOP01SBFH"</f>
        <v>OL17SMOP01SBFH</v>
      </c>
      <c r="H174" s="6" t="s">
        <v>947</v>
      </c>
      <c r="I174" s="6" t="s">
        <v>948</v>
      </c>
      <c r="J174" s="6" t="str">
        <f>"STRIPE LINE PLEAT SLIP DRESS_SKY BLUE"</f>
        <v>STRIPE LINE PLEAT SLIP DRESS_SKY BLUE</v>
      </c>
      <c r="K174" s="6">
        <v>0</v>
      </c>
      <c r="L174" s="6">
        <v>0</v>
      </c>
      <c r="M174" s="6">
        <v>0</v>
      </c>
      <c r="N174" s="6" t="str">
        <f>""</f>
        <v/>
      </c>
      <c r="O174" s="6">
        <v>33567</v>
      </c>
      <c r="P174" s="6" t="s">
        <v>947</v>
      </c>
      <c r="R174" s="6" t="s">
        <v>523</v>
      </c>
      <c r="S174" s="6" t="s">
        <v>949</v>
      </c>
      <c r="T174" s="6">
        <v>0</v>
      </c>
      <c r="U174" s="6">
        <v>0</v>
      </c>
      <c r="V174" s="6">
        <v>0</v>
      </c>
      <c r="W174" s="6">
        <v>0</v>
      </c>
      <c r="X174" s="6" t="s">
        <v>169</v>
      </c>
      <c r="Z174" s="6" t="s">
        <v>170</v>
      </c>
      <c r="AA174" s="6" t="s">
        <v>171</v>
      </c>
      <c r="AB174" s="6">
        <v>0</v>
      </c>
      <c r="AC174" s="6" t="str">
        <f>""</f>
        <v/>
      </c>
      <c r="AS174" s="6">
        <v>0</v>
      </c>
      <c r="AT174" s="6">
        <v>0</v>
      </c>
    </row>
    <row r="175" spans="2:46">
      <c r="B175" s="6" t="s">
        <v>498</v>
      </c>
      <c r="D175" s="6" t="s">
        <v>499</v>
      </c>
      <c r="F175" s="6" t="s">
        <v>950</v>
      </c>
      <c r="G175" s="6" t="str">
        <f>"OL17SMOP01BPFH"</f>
        <v>OL17SMOP01BPFH</v>
      </c>
      <c r="H175" s="6" t="s">
        <v>951</v>
      </c>
      <c r="I175" s="6" t="s">
        <v>952</v>
      </c>
      <c r="J175" s="6" t="str">
        <f>"STRIPE LINE PLEAT SLIP DRESS_BLUSH PINK"</f>
        <v>STRIPE LINE PLEAT SLIP DRESS_BLUSH PINK</v>
      </c>
      <c r="K175" s="6">
        <v>0</v>
      </c>
      <c r="L175" s="6">
        <v>0</v>
      </c>
      <c r="M175" s="6">
        <v>0</v>
      </c>
      <c r="N175" s="6" t="str">
        <f>""</f>
        <v/>
      </c>
      <c r="O175" s="6">
        <v>33565</v>
      </c>
      <c r="P175" s="6" t="s">
        <v>951</v>
      </c>
      <c r="R175" s="6" t="s">
        <v>953</v>
      </c>
      <c r="S175" s="6" t="s">
        <v>954</v>
      </c>
      <c r="T175" s="6">
        <v>0</v>
      </c>
      <c r="U175" s="6">
        <v>0</v>
      </c>
      <c r="V175" s="6">
        <v>0</v>
      </c>
      <c r="W175" s="6">
        <v>0</v>
      </c>
      <c r="X175" s="6" t="s">
        <v>169</v>
      </c>
      <c r="Z175" s="6" t="s">
        <v>170</v>
      </c>
      <c r="AA175" s="6" t="s">
        <v>171</v>
      </c>
      <c r="AB175" s="6">
        <v>0</v>
      </c>
      <c r="AC175" s="6" t="str">
        <f>""</f>
        <v/>
      </c>
      <c r="AS175" s="6">
        <v>0</v>
      </c>
      <c r="AT175" s="6">
        <v>0</v>
      </c>
    </row>
    <row r="176" spans="2:46">
      <c r="B176" s="6" t="s">
        <v>498</v>
      </c>
      <c r="D176" s="6" t="s">
        <v>499</v>
      </c>
      <c r="F176" s="6" t="s">
        <v>955</v>
      </c>
      <c r="G176" s="6" t="str">
        <f>"OL17SPSK02VIMH"</f>
        <v>OL17SPSK02VIMH</v>
      </c>
      <c r="H176" s="6" t="s">
        <v>956</v>
      </c>
      <c r="I176" s="6" t="s">
        <v>957</v>
      </c>
      <c r="J176" s="6" t="str">
        <f>"SHINING VELVET WAVE SKIRT_DEEP BLUE"</f>
        <v>SHINING VELVET WAVE SKIRT_DEEP BLUE</v>
      </c>
      <c r="K176" s="6">
        <v>0</v>
      </c>
      <c r="L176" s="6">
        <v>0</v>
      </c>
      <c r="M176" s="6">
        <v>0</v>
      </c>
      <c r="N176" s="6" t="str">
        <f>""</f>
        <v/>
      </c>
      <c r="O176" s="6">
        <v>33563</v>
      </c>
      <c r="P176" s="6" t="s">
        <v>956</v>
      </c>
      <c r="R176" s="6" t="s">
        <v>958</v>
      </c>
      <c r="S176" s="6" t="s">
        <v>959</v>
      </c>
      <c r="T176" s="6">
        <v>0</v>
      </c>
      <c r="U176" s="6">
        <v>0</v>
      </c>
      <c r="V176" s="6">
        <v>0</v>
      </c>
      <c r="W176" s="6">
        <v>0</v>
      </c>
      <c r="X176" s="6" t="s">
        <v>169</v>
      </c>
      <c r="Z176" s="6" t="s">
        <v>170</v>
      </c>
      <c r="AA176" s="6" t="s">
        <v>171</v>
      </c>
      <c r="AB176" s="6">
        <v>0</v>
      </c>
      <c r="AC176" s="6" t="str">
        <f>""</f>
        <v/>
      </c>
      <c r="AS176" s="6">
        <v>0</v>
      </c>
      <c r="AT176" s="6">
        <v>0</v>
      </c>
    </row>
    <row r="177" spans="2:46">
      <c r="B177" s="6" t="s">
        <v>498</v>
      </c>
      <c r="D177" s="6" t="s">
        <v>499</v>
      </c>
      <c r="F177" s="6" t="s">
        <v>960</v>
      </c>
      <c r="G177" s="6" t="str">
        <f>"OL17SPAC01LBFS"</f>
        <v>OL17SPAC01LBFS</v>
      </c>
      <c r="H177" s="6" t="s">
        <v>961</v>
      </c>
      <c r="I177" s="6" t="s">
        <v>962</v>
      </c>
      <c r="J177" s="6" t="str">
        <f>"SMOKY QUARTZ"</f>
        <v>SMOKY QUARTZ</v>
      </c>
      <c r="K177" s="6">
        <v>0</v>
      </c>
      <c r="L177" s="6">
        <v>0</v>
      </c>
      <c r="M177" s="6">
        <v>0</v>
      </c>
      <c r="N177" s="6" t="str">
        <f>""</f>
        <v/>
      </c>
      <c r="O177" s="6">
        <v>33561</v>
      </c>
      <c r="P177" s="6" t="s">
        <v>961</v>
      </c>
      <c r="R177" s="6" t="s">
        <v>963</v>
      </c>
      <c r="S177" s="6" t="s">
        <v>964</v>
      </c>
      <c r="T177" s="6">
        <v>0</v>
      </c>
      <c r="U177" s="6">
        <v>0</v>
      </c>
      <c r="V177" s="6">
        <v>0</v>
      </c>
      <c r="W177" s="6">
        <v>0</v>
      </c>
      <c r="X177" s="6" t="s">
        <v>169</v>
      </c>
      <c r="Z177" s="6" t="s">
        <v>170</v>
      </c>
      <c r="AA177" s="6" t="s">
        <v>171</v>
      </c>
      <c r="AB177" s="6">
        <v>0</v>
      </c>
      <c r="AC177" s="6" t="str">
        <f>""</f>
        <v/>
      </c>
      <c r="AS177" s="6">
        <v>0</v>
      </c>
      <c r="AT177" s="6">
        <v>0</v>
      </c>
    </row>
    <row r="178" spans="2:46">
      <c r="B178" s="6" t="s">
        <v>498</v>
      </c>
      <c r="D178" s="6" t="s">
        <v>499</v>
      </c>
      <c r="F178" s="6" t="s">
        <v>965</v>
      </c>
      <c r="G178" s="6" t="str">
        <f>"OL17SPAC01BLFS"</f>
        <v>OL17SPAC01BLFS</v>
      </c>
      <c r="H178" s="6" t="s">
        <v>966</v>
      </c>
      <c r="I178" s="6" t="s">
        <v>967</v>
      </c>
      <c r="J178" s="6" t="str">
        <f>"MOON STONE"</f>
        <v>MOON STONE</v>
      </c>
      <c r="K178" s="6">
        <v>0</v>
      </c>
      <c r="L178" s="6">
        <v>0</v>
      </c>
      <c r="M178" s="6">
        <v>0</v>
      </c>
      <c r="N178" s="6" t="str">
        <f>""</f>
        <v/>
      </c>
      <c r="O178" s="6">
        <v>33559</v>
      </c>
      <c r="P178" s="6" t="s">
        <v>966</v>
      </c>
      <c r="R178" s="6" t="s">
        <v>968</v>
      </c>
      <c r="S178" s="6" t="s">
        <v>969</v>
      </c>
      <c r="T178" s="6">
        <v>0</v>
      </c>
      <c r="U178" s="6">
        <v>0</v>
      </c>
      <c r="V178" s="6">
        <v>0</v>
      </c>
      <c r="W178" s="6">
        <v>0</v>
      </c>
      <c r="X178" s="6" t="s">
        <v>169</v>
      </c>
      <c r="Z178" s="6" t="s">
        <v>170</v>
      </c>
      <c r="AA178" s="6" t="s">
        <v>171</v>
      </c>
      <c r="AB178" s="6">
        <v>0</v>
      </c>
      <c r="AC178" s="6" t="str">
        <f>""</f>
        <v/>
      </c>
      <c r="AS178" s="6">
        <v>0</v>
      </c>
      <c r="AT178" s="6">
        <v>0</v>
      </c>
    </row>
    <row r="179" spans="2:46">
      <c r="B179" s="6" t="s">
        <v>498</v>
      </c>
      <c r="D179" s="6" t="s">
        <v>499</v>
      </c>
      <c r="F179" s="6" t="s">
        <v>970</v>
      </c>
      <c r="G179" s="6" t="str">
        <f>"OL17SPPT02DBMH"</f>
        <v>OL17SPPT02DBMH</v>
      </c>
      <c r="H179" s="6" t="s">
        <v>971</v>
      </c>
      <c r="I179" s="6" t="s">
        <v>972</v>
      </c>
      <c r="J179" s="6" t="str">
        <f>"POINT STITCH  DENIM PANTS"</f>
        <v>POINT STITCH  DENIM PANTS</v>
      </c>
      <c r="K179" s="6">
        <v>0</v>
      </c>
      <c r="L179" s="6">
        <v>0</v>
      </c>
      <c r="M179" s="6">
        <v>0</v>
      </c>
      <c r="N179" s="6" t="str">
        <f>""</f>
        <v/>
      </c>
      <c r="O179" s="6">
        <v>33557</v>
      </c>
      <c r="P179" s="6" t="s">
        <v>971</v>
      </c>
      <c r="R179" s="6" t="s">
        <v>958</v>
      </c>
      <c r="S179" s="6" t="s">
        <v>973</v>
      </c>
      <c r="T179" s="6">
        <v>0</v>
      </c>
      <c r="U179" s="6">
        <v>0</v>
      </c>
      <c r="V179" s="6">
        <v>0</v>
      </c>
      <c r="W179" s="6">
        <v>0</v>
      </c>
      <c r="X179" s="6" t="s">
        <v>169</v>
      </c>
      <c r="Z179" s="6" t="s">
        <v>170</v>
      </c>
      <c r="AA179" s="6" t="s">
        <v>171</v>
      </c>
      <c r="AB179" s="6">
        <v>0</v>
      </c>
      <c r="AC179" s="6" t="str">
        <f>""</f>
        <v/>
      </c>
      <c r="AS179" s="6">
        <v>0</v>
      </c>
      <c r="AT179" s="6">
        <v>0</v>
      </c>
    </row>
    <row r="180" spans="2:46">
      <c r="B180" s="6" t="s">
        <v>498</v>
      </c>
      <c r="D180" s="6" t="s">
        <v>499</v>
      </c>
      <c r="F180" s="6" t="s">
        <v>974</v>
      </c>
      <c r="G180" s="6" t="str">
        <f>"OL17SPPT02DBSH"</f>
        <v>OL17SPPT02DBSH</v>
      </c>
      <c r="H180" s="6" t="s">
        <v>975</v>
      </c>
      <c r="I180" s="6" t="s">
        <v>972</v>
      </c>
      <c r="J180" s="6" t="str">
        <f>"POINT STITCH  DENIM PANTS"</f>
        <v>POINT STITCH  DENIM PANTS</v>
      </c>
      <c r="K180" s="6">
        <v>0</v>
      </c>
      <c r="L180" s="6">
        <v>0</v>
      </c>
      <c r="M180" s="6">
        <v>0</v>
      </c>
      <c r="N180" s="6" t="str">
        <f>""</f>
        <v/>
      </c>
      <c r="O180" s="6">
        <v>33556</v>
      </c>
      <c r="P180" s="6" t="s">
        <v>975</v>
      </c>
      <c r="R180" s="6" t="s">
        <v>976</v>
      </c>
      <c r="S180" s="6" t="s">
        <v>977</v>
      </c>
      <c r="T180" s="6">
        <v>0</v>
      </c>
      <c r="U180" s="6">
        <v>0</v>
      </c>
      <c r="V180" s="6">
        <v>0</v>
      </c>
      <c r="W180" s="6">
        <v>0</v>
      </c>
      <c r="X180" s="6" t="s">
        <v>169</v>
      </c>
      <c r="Z180" s="6" t="s">
        <v>170</v>
      </c>
      <c r="AA180" s="6" t="s">
        <v>171</v>
      </c>
      <c r="AB180" s="6">
        <v>0</v>
      </c>
      <c r="AC180" s="6" t="str">
        <f>""</f>
        <v/>
      </c>
      <c r="AS180" s="6">
        <v>0</v>
      </c>
      <c r="AT180" s="6">
        <v>0</v>
      </c>
    </row>
    <row r="181" spans="2:46">
      <c r="B181" s="6" t="s">
        <v>498</v>
      </c>
      <c r="D181" s="6" t="s">
        <v>499</v>
      </c>
      <c r="F181" s="6" t="s">
        <v>978</v>
      </c>
      <c r="G181" s="6" t="str">
        <f>"OL17SPSK02VISH"</f>
        <v>OL17SPSK02VISH</v>
      </c>
      <c r="H181" s="6" t="s">
        <v>979</v>
      </c>
      <c r="I181" s="6" t="s">
        <v>980</v>
      </c>
      <c r="J181" s="6" t="str">
        <f>"SHINING VELVET WAVE SKIRT"</f>
        <v>SHINING VELVET WAVE SKIRT</v>
      </c>
      <c r="K181" s="6">
        <v>0</v>
      </c>
      <c r="L181" s="6">
        <v>0</v>
      </c>
      <c r="M181" s="6">
        <v>0</v>
      </c>
      <c r="N181" s="6" t="str">
        <f>""</f>
        <v/>
      </c>
      <c r="O181" s="6">
        <v>33554</v>
      </c>
      <c r="P181" s="6" t="s">
        <v>979</v>
      </c>
      <c r="R181" s="6" t="s">
        <v>976</v>
      </c>
      <c r="S181" s="6" t="s">
        <v>981</v>
      </c>
      <c r="T181" s="6">
        <v>0</v>
      </c>
      <c r="U181" s="6">
        <v>0</v>
      </c>
      <c r="V181" s="6">
        <v>0</v>
      </c>
      <c r="W181" s="6">
        <v>0</v>
      </c>
      <c r="X181" s="6" t="s">
        <v>169</v>
      </c>
      <c r="Z181" s="6" t="s">
        <v>170</v>
      </c>
      <c r="AA181" s="6" t="s">
        <v>171</v>
      </c>
      <c r="AB181" s="6">
        <v>0</v>
      </c>
      <c r="AC181" s="6" t="str">
        <f>""</f>
        <v/>
      </c>
      <c r="AS181" s="6">
        <v>0</v>
      </c>
      <c r="AT181" s="6">
        <v>0</v>
      </c>
    </row>
    <row r="182" spans="2:46">
      <c r="B182" s="6" t="s">
        <v>498</v>
      </c>
      <c r="D182" s="6" t="s">
        <v>499</v>
      </c>
      <c r="F182" s="6" t="s">
        <v>982</v>
      </c>
      <c r="G182" s="6" t="str">
        <f>"OL17SPOP05WHFH"</f>
        <v>OL17SPOP05WHFH</v>
      </c>
      <c r="H182" s="6" t="s">
        <v>983</v>
      </c>
      <c r="I182" s="6" t="s">
        <v>984</v>
      </c>
      <c r="J182" s="6" t="str">
        <f>"UNBALANCE PLEATS MAXI FROWER DRESS"</f>
        <v>UNBALANCE PLEATS MAXI FROWER DRESS</v>
      </c>
      <c r="K182" s="6">
        <v>0</v>
      </c>
      <c r="L182" s="6">
        <v>0</v>
      </c>
      <c r="M182" s="6">
        <v>0</v>
      </c>
      <c r="N182" s="6" t="str">
        <f>""</f>
        <v/>
      </c>
      <c r="O182" s="6">
        <v>33552</v>
      </c>
      <c r="P182" s="6" t="s">
        <v>983</v>
      </c>
      <c r="R182" s="6" t="s">
        <v>914</v>
      </c>
      <c r="S182" s="6" t="s">
        <v>985</v>
      </c>
      <c r="T182" s="6">
        <v>0</v>
      </c>
      <c r="U182" s="6">
        <v>0</v>
      </c>
      <c r="V182" s="6">
        <v>0</v>
      </c>
      <c r="W182" s="6">
        <v>0</v>
      </c>
      <c r="X182" s="6" t="s">
        <v>169</v>
      </c>
      <c r="Z182" s="6" t="s">
        <v>170</v>
      </c>
      <c r="AA182" s="6" t="s">
        <v>171</v>
      </c>
      <c r="AB182" s="6">
        <v>0</v>
      </c>
      <c r="AC182" s="6" t="str">
        <f>""</f>
        <v/>
      </c>
      <c r="AS182" s="6">
        <v>0</v>
      </c>
      <c r="AT182" s="6">
        <v>0</v>
      </c>
    </row>
    <row r="183" spans="2:46">
      <c r="B183" s="6" t="s">
        <v>498</v>
      </c>
      <c r="D183" s="6" t="s">
        <v>499</v>
      </c>
      <c r="F183" s="6" t="s">
        <v>986</v>
      </c>
      <c r="G183" s="6" t="str">
        <f>"OL17SPOP04IPFH"</f>
        <v>OL17SPOP04IPFH</v>
      </c>
      <c r="H183" s="6" t="s">
        <v>987</v>
      </c>
      <c r="I183" s="6" t="s">
        <v>984</v>
      </c>
      <c r="J183" s="6" t="str">
        <f>"UNBALANCE PLEATS MAXI FROWER DRESS"</f>
        <v>UNBALANCE PLEATS MAXI FROWER DRESS</v>
      </c>
      <c r="K183" s="6">
        <v>0</v>
      </c>
      <c r="L183" s="6">
        <v>0</v>
      </c>
      <c r="M183" s="6">
        <v>0</v>
      </c>
      <c r="N183" s="6" t="str">
        <f>""</f>
        <v/>
      </c>
      <c r="O183" s="6">
        <v>33551</v>
      </c>
      <c r="P183" s="6" t="s">
        <v>987</v>
      </c>
      <c r="R183" s="6" t="s">
        <v>508</v>
      </c>
      <c r="S183" s="6" t="s">
        <v>988</v>
      </c>
      <c r="T183" s="6">
        <v>0</v>
      </c>
      <c r="U183" s="6">
        <v>0</v>
      </c>
      <c r="V183" s="6">
        <v>0</v>
      </c>
      <c r="W183" s="6">
        <v>0</v>
      </c>
      <c r="X183" s="6" t="s">
        <v>169</v>
      </c>
      <c r="Z183" s="6" t="s">
        <v>170</v>
      </c>
      <c r="AA183" s="6" t="s">
        <v>171</v>
      </c>
      <c r="AB183" s="6">
        <v>0</v>
      </c>
      <c r="AC183" s="6" t="str">
        <f>""</f>
        <v/>
      </c>
      <c r="AS183" s="6">
        <v>0</v>
      </c>
      <c r="AT183" s="6">
        <v>0</v>
      </c>
    </row>
    <row r="184" spans="2:46">
      <c r="B184" s="6" t="s">
        <v>498</v>
      </c>
      <c r="D184" s="6" t="s">
        <v>499</v>
      </c>
      <c r="F184" s="6" t="s">
        <v>989</v>
      </c>
      <c r="G184" s="6" t="str">
        <f>"OL17SPOP03GWFH"</f>
        <v>OL17SPOP03GWFH</v>
      </c>
      <c r="H184" s="6" t="s">
        <v>990</v>
      </c>
      <c r="I184" s="6" t="s">
        <v>991</v>
      </c>
      <c r="J184" s="6" t="str">
        <f>"UNBALANCE PLEATS MAXI DRESS"</f>
        <v>UNBALANCE PLEATS MAXI DRESS</v>
      </c>
      <c r="K184" s="6">
        <v>0</v>
      </c>
      <c r="L184" s="6">
        <v>0</v>
      </c>
      <c r="M184" s="6">
        <v>0</v>
      </c>
      <c r="N184" s="6" t="str">
        <f>""</f>
        <v/>
      </c>
      <c r="O184" s="6">
        <v>33549</v>
      </c>
      <c r="P184" s="6" t="s">
        <v>990</v>
      </c>
      <c r="R184" s="6" t="s">
        <v>992</v>
      </c>
      <c r="S184" s="6" t="s">
        <v>993</v>
      </c>
      <c r="T184" s="6">
        <v>0</v>
      </c>
      <c r="U184" s="6">
        <v>0</v>
      </c>
      <c r="V184" s="6">
        <v>0</v>
      </c>
      <c r="W184" s="6">
        <v>0</v>
      </c>
      <c r="X184" s="6" t="s">
        <v>169</v>
      </c>
      <c r="Z184" s="6" t="s">
        <v>170</v>
      </c>
      <c r="AA184" s="6" t="s">
        <v>171</v>
      </c>
      <c r="AB184" s="6">
        <v>0</v>
      </c>
      <c r="AC184" s="6" t="str">
        <f>""</f>
        <v/>
      </c>
      <c r="AS184" s="6">
        <v>0</v>
      </c>
      <c r="AT184" s="6">
        <v>0</v>
      </c>
    </row>
    <row r="185" spans="2:46">
      <c r="B185" s="6" t="s">
        <v>498</v>
      </c>
      <c r="D185" s="6" t="s">
        <v>499</v>
      </c>
      <c r="F185" s="6" t="s">
        <v>994</v>
      </c>
      <c r="G185" s="6" t="str">
        <f>"OL17SPOP02MUFH"</f>
        <v>OL17SPOP02MUFH</v>
      </c>
      <c r="H185" s="6" t="s">
        <v>995</v>
      </c>
      <c r="I185" s="6" t="s">
        <v>996</v>
      </c>
      <c r="J185" s="6" t="str">
        <f>"PLEATS POINT MINI HEART DRESS"</f>
        <v>PLEATS POINT MINI HEART DRESS</v>
      </c>
      <c r="K185" s="6">
        <v>0</v>
      </c>
      <c r="L185" s="6">
        <v>0</v>
      </c>
      <c r="M185" s="6">
        <v>0</v>
      </c>
      <c r="N185" s="6" t="str">
        <f>""</f>
        <v/>
      </c>
      <c r="O185" s="6">
        <v>33547</v>
      </c>
      <c r="P185" s="6" t="s">
        <v>995</v>
      </c>
      <c r="R185" s="6" t="s">
        <v>518</v>
      </c>
      <c r="S185" s="6" t="s">
        <v>997</v>
      </c>
      <c r="T185" s="6">
        <v>0</v>
      </c>
      <c r="U185" s="6">
        <v>0</v>
      </c>
      <c r="V185" s="6">
        <v>0</v>
      </c>
      <c r="W185" s="6">
        <v>0</v>
      </c>
      <c r="X185" s="6" t="s">
        <v>169</v>
      </c>
      <c r="Z185" s="6" t="s">
        <v>170</v>
      </c>
      <c r="AA185" s="6" t="s">
        <v>171</v>
      </c>
      <c r="AB185" s="6">
        <v>0</v>
      </c>
      <c r="AC185" s="6" t="str">
        <f>""</f>
        <v/>
      </c>
      <c r="AS185" s="6">
        <v>0</v>
      </c>
      <c r="AT185" s="6">
        <v>0</v>
      </c>
    </row>
    <row r="186" spans="2:46">
      <c r="B186" s="6" t="s">
        <v>498</v>
      </c>
      <c r="D186" s="6" t="s">
        <v>499</v>
      </c>
      <c r="F186" s="6" t="s">
        <v>998</v>
      </c>
      <c r="G186" s="6" t="str">
        <f>"OL17SPOP01LPFH"</f>
        <v>OL17SPOP01LPFH</v>
      </c>
      <c r="H186" s="6" t="s">
        <v>999</v>
      </c>
      <c r="I186" s="6" t="s">
        <v>996</v>
      </c>
      <c r="J186" s="6" t="str">
        <f>"PLEATS POINT MINI HEART DRESS"</f>
        <v>PLEATS POINT MINI HEART DRESS</v>
      </c>
      <c r="K186" s="6">
        <v>0</v>
      </c>
      <c r="L186" s="6">
        <v>0</v>
      </c>
      <c r="M186" s="6">
        <v>0</v>
      </c>
      <c r="N186" s="6" t="str">
        <f>""</f>
        <v/>
      </c>
      <c r="O186" s="6">
        <v>33546</v>
      </c>
      <c r="P186" s="6" t="s">
        <v>999</v>
      </c>
      <c r="R186" s="6" t="s">
        <v>1000</v>
      </c>
      <c r="S186" s="6" t="s">
        <v>1001</v>
      </c>
      <c r="T186" s="6">
        <v>0</v>
      </c>
      <c r="U186" s="6">
        <v>0</v>
      </c>
      <c r="V186" s="6">
        <v>0</v>
      </c>
      <c r="W186" s="6">
        <v>0</v>
      </c>
      <c r="X186" s="6" t="s">
        <v>169</v>
      </c>
      <c r="Z186" s="6" t="s">
        <v>170</v>
      </c>
      <c r="AA186" s="6" t="s">
        <v>171</v>
      </c>
      <c r="AB186" s="6">
        <v>0</v>
      </c>
      <c r="AC186" s="6" t="str">
        <f>""</f>
        <v/>
      </c>
      <c r="AS186" s="6">
        <v>0</v>
      </c>
      <c r="AT186" s="6">
        <v>0</v>
      </c>
    </row>
    <row r="187" spans="2:46">
      <c r="B187" s="6" t="s">
        <v>498</v>
      </c>
      <c r="D187" s="6" t="s">
        <v>499</v>
      </c>
      <c r="F187" s="6" t="s">
        <v>1002</v>
      </c>
      <c r="G187" s="6" t="str">
        <f>"OL17SPKN01LPFK"</f>
        <v>OL17SPKN01LPFK</v>
      </c>
      <c r="H187" s="6" t="s">
        <v>1003</v>
      </c>
      <c r="I187" s="6" t="s">
        <v>1004</v>
      </c>
      <c r="J187" s="6" t="str">
        <f>"COLOR POINT M LINE KNIT"</f>
        <v>COLOR POINT M LINE KNIT</v>
      </c>
      <c r="K187" s="6">
        <v>0</v>
      </c>
      <c r="L187" s="6">
        <v>0</v>
      </c>
      <c r="M187" s="6">
        <v>0</v>
      </c>
      <c r="N187" s="6" t="str">
        <f>""</f>
        <v/>
      </c>
      <c r="O187" s="6">
        <v>33544</v>
      </c>
      <c r="P187" s="6" t="s">
        <v>1003</v>
      </c>
      <c r="R187" s="6" t="s">
        <v>1000</v>
      </c>
      <c r="S187" s="6" t="s">
        <v>1005</v>
      </c>
      <c r="T187" s="6">
        <v>0</v>
      </c>
      <c r="U187" s="6">
        <v>0</v>
      </c>
      <c r="V187" s="6">
        <v>0</v>
      </c>
      <c r="W187" s="6">
        <v>0</v>
      </c>
      <c r="X187" s="6" t="s">
        <v>169</v>
      </c>
      <c r="Z187" s="6" t="s">
        <v>170</v>
      </c>
      <c r="AA187" s="6" t="s">
        <v>171</v>
      </c>
      <c r="AB187" s="6">
        <v>0</v>
      </c>
      <c r="AC187" s="6" t="str">
        <f>""</f>
        <v/>
      </c>
      <c r="AS187" s="6">
        <v>0</v>
      </c>
      <c r="AT187" s="6">
        <v>0</v>
      </c>
    </row>
    <row r="188" spans="2:46">
      <c r="B188" s="6" t="s">
        <v>498</v>
      </c>
      <c r="D188" s="6" t="s">
        <v>499</v>
      </c>
      <c r="F188" s="6" t="s">
        <v>1006</v>
      </c>
      <c r="G188" s="6" t="str">
        <f>"OL17SPBL04IPFH"</f>
        <v>OL17SPBL04IPFH</v>
      </c>
      <c r="H188" s="6" t="s">
        <v>1007</v>
      </c>
      <c r="I188" s="6" t="s">
        <v>1008</v>
      </c>
      <c r="J188" s="6" t="str">
        <f>"PLEATS CUFFS PIPING LINE FLOWER BLOUSE"</f>
        <v>PLEATS CUFFS PIPING LINE FLOWER BLOUSE</v>
      </c>
      <c r="K188" s="6">
        <v>0</v>
      </c>
      <c r="L188" s="6">
        <v>0</v>
      </c>
      <c r="M188" s="6">
        <v>0</v>
      </c>
      <c r="N188" s="6" t="str">
        <f>""</f>
        <v/>
      </c>
      <c r="O188" s="6">
        <v>33542</v>
      </c>
      <c r="P188" s="6" t="s">
        <v>1007</v>
      </c>
      <c r="R188" s="6" t="s">
        <v>508</v>
      </c>
      <c r="S188" s="6" t="s">
        <v>1009</v>
      </c>
      <c r="T188" s="6">
        <v>0</v>
      </c>
      <c r="U188" s="6">
        <v>0</v>
      </c>
      <c r="V188" s="6">
        <v>0</v>
      </c>
      <c r="W188" s="6">
        <v>0</v>
      </c>
      <c r="X188" s="6" t="s">
        <v>169</v>
      </c>
      <c r="Z188" s="6" t="s">
        <v>170</v>
      </c>
      <c r="AA188" s="6" t="s">
        <v>171</v>
      </c>
      <c r="AB188" s="6">
        <v>0</v>
      </c>
      <c r="AC188" s="6" t="str">
        <f>""</f>
        <v/>
      </c>
      <c r="AS188" s="6">
        <v>0</v>
      </c>
      <c r="AT188" s="6">
        <v>0</v>
      </c>
    </row>
    <row r="189" spans="2:46">
      <c r="B189" s="6" t="s">
        <v>498</v>
      </c>
      <c r="D189" s="6" t="s">
        <v>499</v>
      </c>
      <c r="F189" s="6" t="s">
        <v>1010</v>
      </c>
      <c r="G189" s="6" t="str">
        <f>"OL17SPBL03WHFH"</f>
        <v>OL17SPBL03WHFH</v>
      </c>
      <c r="H189" s="6" t="s">
        <v>1011</v>
      </c>
      <c r="I189" s="6" t="s">
        <v>1008</v>
      </c>
      <c r="J189" s="6" t="str">
        <f>"PLEATS CUFFS PIPING LINE FLOWER BLOUSE"</f>
        <v>PLEATS CUFFS PIPING LINE FLOWER BLOUSE</v>
      </c>
      <c r="K189" s="6">
        <v>0</v>
      </c>
      <c r="L189" s="6">
        <v>0</v>
      </c>
      <c r="M189" s="6">
        <v>0</v>
      </c>
      <c r="N189" s="6" t="str">
        <f>""</f>
        <v/>
      </c>
      <c r="O189" s="6">
        <v>33541</v>
      </c>
      <c r="P189" s="6" t="s">
        <v>1011</v>
      </c>
      <c r="R189" s="6" t="s">
        <v>914</v>
      </c>
      <c r="S189" s="6" t="s">
        <v>1012</v>
      </c>
      <c r="T189" s="6">
        <v>0</v>
      </c>
      <c r="U189" s="6">
        <v>0</v>
      </c>
      <c r="V189" s="6">
        <v>0</v>
      </c>
      <c r="W189" s="6">
        <v>0</v>
      </c>
      <c r="X189" s="6" t="s">
        <v>169</v>
      </c>
      <c r="Z189" s="6" t="s">
        <v>170</v>
      </c>
      <c r="AA189" s="6" t="s">
        <v>171</v>
      </c>
      <c r="AB189" s="6">
        <v>0</v>
      </c>
      <c r="AC189" s="6" t="str">
        <f>""</f>
        <v/>
      </c>
      <c r="AS189" s="6">
        <v>0</v>
      </c>
      <c r="AT189" s="6">
        <v>0</v>
      </c>
    </row>
    <row r="190" spans="2:46">
      <c r="B190" s="6" t="s">
        <v>498</v>
      </c>
      <c r="D190" s="6" t="s">
        <v>499</v>
      </c>
      <c r="F190" s="6" t="s">
        <v>1013</v>
      </c>
      <c r="G190" s="6" t="str">
        <f>"OL17SPBL02LPFH"</f>
        <v>OL17SPBL02LPFH</v>
      </c>
      <c r="H190" s="6" t="s">
        <v>1014</v>
      </c>
      <c r="I190" s="6" t="s">
        <v>1015</v>
      </c>
      <c r="J190" s="6" t="str">
        <f>"PLEATS CUFFS PIPING LINE BLOUSE"</f>
        <v>PLEATS CUFFS PIPING LINE BLOUSE</v>
      </c>
      <c r="K190" s="6">
        <v>0</v>
      </c>
      <c r="L190" s="6">
        <v>0</v>
      </c>
      <c r="M190" s="6">
        <v>0</v>
      </c>
      <c r="N190" s="6" t="str">
        <f>""</f>
        <v/>
      </c>
      <c r="O190" s="6">
        <v>33539</v>
      </c>
      <c r="P190" s="6" t="s">
        <v>1014</v>
      </c>
      <c r="R190" s="6" t="s">
        <v>1000</v>
      </c>
      <c r="S190" s="6" t="s">
        <v>1016</v>
      </c>
      <c r="T190" s="6">
        <v>0</v>
      </c>
      <c r="U190" s="6">
        <v>0</v>
      </c>
      <c r="V190" s="6">
        <v>0</v>
      </c>
      <c r="W190" s="6">
        <v>0</v>
      </c>
      <c r="X190" s="6" t="s">
        <v>169</v>
      </c>
      <c r="Z190" s="6" t="s">
        <v>170</v>
      </c>
      <c r="AA190" s="6" t="s">
        <v>171</v>
      </c>
      <c r="AB190" s="6">
        <v>0</v>
      </c>
      <c r="AC190" s="6" t="str">
        <f>""</f>
        <v/>
      </c>
      <c r="AS190" s="6">
        <v>0</v>
      </c>
      <c r="AT190" s="6">
        <v>0</v>
      </c>
    </row>
    <row r="191" spans="2:46">
      <c r="B191" s="6" t="s">
        <v>498</v>
      </c>
      <c r="D191" s="6" t="s">
        <v>499</v>
      </c>
      <c r="F191" s="6" t="s">
        <v>1017</v>
      </c>
      <c r="G191" s="6" t="str">
        <f>"OL17SPBL01GWFH"</f>
        <v>OL17SPBL01GWFH</v>
      </c>
      <c r="H191" s="6" t="s">
        <v>1018</v>
      </c>
      <c r="I191" s="6" t="s">
        <v>1015</v>
      </c>
      <c r="J191" s="6" t="str">
        <f>"PLEATS CUFFS PIPING LINE BLOUSE"</f>
        <v>PLEATS CUFFS PIPING LINE BLOUSE</v>
      </c>
      <c r="K191" s="6">
        <v>0</v>
      </c>
      <c r="L191" s="6">
        <v>0</v>
      </c>
      <c r="M191" s="6">
        <v>0</v>
      </c>
      <c r="N191" s="6" t="str">
        <f>""</f>
        <v/>
      </c>
      <c r="O191" s="6">
        <v>33538</v>
      </c>
      <c r="P191" s="6" t="s">
        <v>1018</v>
      </c>
      <c r="R191" s="6" t="s">
        <v>992</v>
      </c>
      <c r="S191" s="6" t="s">
        <v>1019</v>
      </c>
      <c r="T191" s="6">
        <v>0</v>
      </c>
      <c r="U191" s="6">
        <v>0</v>
      </c>
      <c r="V191" s="6">
        <v>0</v>
      </c>
      <c r="W191" s="6">
        <v>0</v>
      </c>
      <c r="X191" s="6" t="s">
        <v>169</v>
      </c>
      <c r="Z191" s="6" t="s">
        <v>170</v>
      </c>
      <c r="AA191" s="6" t="s">
        <v>171</v>
      </c>
      <c r="AB191" s="6">
        <v>0</v>
      </c>
      <c r="AC191" s="6" t="str">
        <f>""</f>
        <v/>
      </c>
      <c r="AS191" s="6">
        <v>0</v>
      </c>
      <c r="AT191" s="6">
        <v>0</v>
      </c>
    </row>
    <row r="192" spans="2:46">
      <c r="B192" s="6" t="s">
        <v>498</v>
      </c>
      <c r="D192" s="6" t="s">
        <v>499</v>
      </c>
      <c r="F192" s="6" t="s">
        <v>1020</v>
      </c>
      <c r="G192" s="6" t="str">
        <f>"OL17SPSK01MUMH"</f>
        <v>OL17SPSK01MUMH</v>
      </c>
      <c r="H192" s="6" t="s">
        <v>1021</v>
      </c>
      <c r="I192" s="6" t="s">
        <v>1022</v>
      </c>
      <c r="J192" s="6" t="str">
        <f>"CHECK TWO BUTTON MINI SKIRT"</f>
        <v>CHECK TWO BUTTON MINI SKIRT</v>
      </c>
      <c r="K192" s="6">
        <v>0</v>
      </c>
      <c r="L192" s="6">
        <v>0</v>
      </c>
      <c r="M192" s="6">
        <v>0</v>
      </c>
      <c r="N192" s="6" t="str">
        <f>""</f>
        <v/>
      </c>
      <c r="O192" s="6">
        <v>33536</v>
      </c>
      <c r="P192" s="6" t="s">
        <v>1021</v>
      </c>
      <c r="R192" s="6" t="s">
        <v>1023</v>
      </c>
      <c r="S192" s="6" t="s">
        <v>1024</v>
      </c>
      <c r="T192" s="6">
        <v>0</v>
      </c>
      <c r="U192" s="6">
        <v>0</v>
      </c>
      <c r="V192" s="6">
        <v>0</v>
      </c>
      <c r="W192" s="6">
        <v>0</v>
      </c>
      <c r="X192" s="6" t="s">
        <v>169</v>
      </c>
      <c r="Z192" s="6" t="s">
        <v>170</v>
      </c>
      <c r="AA192" s="6" t="s">
        <v>171</v>
      </c>
      <c r="AB192" s="6">
        <v>0</v>
      </c>
      <c r="AC192" s="6" t="str">
        <f>""</f>
        <v/>
      </c>
      <c r="AS192" s="6">
        <v>0</v>
      </c>
      <c r="AT192" s="6">
        <v>0</v>
      </c>
    </row>
    <row r="193" spans="2:46">
      <c r="B193" s="6" t="s">
        <v>498</v>
      </c>
      <c r="D193" s="6" t="s">
        <v>499</v>
      </c>
      <c r="F193" s="6" t="s">
        <v>1025</v>
      </c>
      <c r="G193" s="6" t="str">
        <f>"OL17SPSK01MUSH"</f>
        <v>OL17SPSK01MUSH</v>
      </c>
      <c r="H193" s="6" t="s">
        <v>1026</v>
      </c>
      <c r="I193" s="6" t="s">
        <v>1022</v>
      </c>
      <c r="J193" s="6" t="str">
        <f>"CHECK TWO BUTTON MINI SKIRT"</f>
        <v>CHECK TWO BUTTON MINI SKIRT</v>
      </c>
      <c r="K193" s="6">
        <v>0</v>
      </c>
      <c r="L193" s="6">
        <v>0</v>
      </c>
      <c r="M193" s="6">
        <v>0</v>
      </c>
      <c r="N193" s="6" t="str">
        <f>""</f>
        <v/>
      </c>
      <c r="O193" s="6">
        <v>33535</v>
      </c>
      <c r="P193" s="6" t="s">
        <v>1026</v>
      </c>
      <c r="R193" s="6" t="s">
        <v>1027</v>
      </c>
      <c r="S193" s="6" t="s">
        <v>1028</v>
      </c>
      <c r="T193" s="6">
        <v>0</v>
      </c>
      <c r="U193" s="6">
        <v>0</v>
      </c>
      <c r="V193" s="6">
        <v>0</v>
      </c>
      <c r="W193" s="6">
        <v>0</v>
      </c>
      <c r="X193" s="6" t="s">
        <v>169</v>
      </c>
      <c r="Z193" s="6" t="s">
        <v>170</v>
      </c>
      <c r="AA193" s="6" t="s">
        <v>171</v>
      </c>
      <c r="AB193" s="6">
        <v>0</v>
      </c>
      <c r="AC193" s="6" t="str">
        <f>""</f>
        <v/>
      </c>
      <c r="AS193" s="6">
        <v>0</v>
      </c>
      <c r="AT193" s="6">
        <v>0</v>
      </c>
    </row>
    <row r="194" spans="2:46">
      <c r="B194" s="6" t="s">
        <v>498</v>
      </c>
      <c r="D194" s="6" t="s">
        <v>499</v>
      </c>
      <c r="F194" s="6" t="s">
        <v>1029</v>
      </c>
      <c r="G194" s="6" t="str">
        <f>"OL17SPJK02MUFH"</f>
        <v>OL17SPJK02MUFH</v>
      </c>
      <c r="H194" s="6" t="s">
        <v>1030</v>
      </c>
      <c r="I194" s="6" t="s">
        <v>1031</v>
      </c>
      <c r="J194" s="6" t="str">
        <f>"POINT CUFFS CHECK SHORT JACKET"</f>
        <v>POINT CUFFS CHECK SHORT JACKET</v>
      </c>
      <c r="K194" s="6">
        <v>0</v>
      </c>
      <c r="L194" s="6">
        <v>0</v>
      </c>
      <c r="M194" s="6">
        <v>0</v>
      </c>
      <c r="N194" s="6" t="str">
        <f>""</f>
        <v/>
      </c>
      <c r="O194" s="6">
        <v>33533</v>
      </c>
      <c r="P194" s="6" t="s">
        <v>1030</v>
      </c>
      <c r="R194" s="6" t="s">
        <v>518</v>
      </c>
      <c r="S194" s="6" t="s">
        <v>1032</v>
      </c>
      <c r="T194" s="6">
        <v>0</v>
      </c>
      <c r="U194" s="6">
        <v>0</v>
      </c>
      <c r="V194" s="6">
        <v>0</v>
      </c>
      <c r="W194" s="6">
        <v>0</v>
      </c>
      <c r="X194" s="6" t="s">
        <v>169</v>
      </c>
      <c r="Z194" s="6" t="s">
        <v>170</v>
      </c>
      <c r="AA194" s="6" t="s">
        <v>171</v>
      </c>
      <c r="AB194" s="6">
        <v>0</v>
      </c>
      <c r="AC194" s="6" t="str">
        <f>""</f>
        <v/>
      </c>
      <c r="AS194" s="6">
        <v>0</v>
      </c>
      <c r="AT194" s="6">
        <v>0</v>
      </c>
    </row>
    <row r="195" spans="2:46">
      <c r="B195" s="6" t="s">
        <v>498</v>
      </c>
      <c r="D195" s="6" t="s">
        <v>499</v>
      </c>
      <c r="F195" s="6" t="s">
        <v>1033</v>
      </c>
      <c r="G195" s="6" t="str">
        <f>"OL17SPPT01BLMH"</f>
        <v>OL17SPPT01BLMH</v>
      </c>
      <c r="H195" s="6" t="s">
        <v>1034</v>
      </c>
      <c r="I195" s="6" t="s">
        <v>1035</v>
      </c>
      <c r="J195" s="6" t="str">
        <f>"CHECK TWO TUCK SHORT"</f>
        <v>CHECK TWO TUCK SHORT</v>
      </c>
      <c r="K195" s="6">
        <v>0</v>
      </c>
      <c r="L195" s="6">
        <v>0</v>
      </c>
      <c r="M195" s="6">
        <v>0</v>
      </c>
      <c r="N195" s="6" t="str">
        <f>""</f>
        <v/>
      </c>
      <c r="O195" s="6">
        <v>33531</v>
      </c>
      <c r="P195" s="6" t="s">
        <v>1034</v>
      </c>
      <c r="R195" s="6" t="s">
        <v>1036</v>
      </c>
      <c r="S195" s="6" t="s">
        <v>1037</v>
      </c>
      <c r="T195" s="6">
        <v>0</v>
      </c>
      <c r="U195" s="6">
        <v>0</v>
      </c>
      <c r="V195" s="6">
        <v>0</v>
      </c>
      <c r="W195" s="6">
        <v>0</v>
      </c>
      <c r="X195" s="6" t="s">
        <v>169</v>
      </c>
      <c r="Z195" s="6" t="s">
        <v>170</v>
      </c>
      <c r="AA195" s="6" t="s">
        <v>171</v>
      </c>
      <c r="AB195" s="6">
        <v>0</v>
      </c>
      <c r="AC195" s="6" t="str">
        <f>""</f>
        <v/>
      </c>
      <c r="AS195" s="6">
        <v>0</v>
      </c>
      <c r="AT195" s="6">
        <v>0</v>
      </c>
    </row>
    <row r="196" spans="2:46">
      <c r="B196" s="6" t="s">
        <v>498</v>
      </c>
      <c r="D196" s="6" t="s">
        <v>499</v>
      </c>
      <c r="F196" s="6" t="s">
        <v>1038</v>
      </c>
      <c r="G196" s="6" t="str">
        <f>"OL17SPPT01BLSH"</f>
        <v>OL17SPPT01BLSH</v>
      </c>
      <c r="H196" s="6" t="s">
        <v>1039</v>
      </c>
      <c r="I196" s="6" t="s">
        <v>1035</v>
      </c>
      <c r="J196" s="6" t="str">
        <f>"CHECK TWO TUCK SHORT"</f>
        <v>CHECK TWO TUCK SHORT</v>
      </c>
      <c r="K196" s="6">
        <v>0</v>
      </c>
      <c r="L196" s="6">
        <v>0</v>
      </c>
      <c r="M196" s="6">
        <v>0</v>
      </c>
      <c r="N196" s="6" t="str">
        <f>""</f>
        <v/>
      </c>
      <c r="O196" s="6">
        <v>33530</v>
      </c>
      <c r="P196" s="6" t="s">
        <v>1039</v>
      </c>
      <c r="R196" s="6" t="s">
        <v>1040</v>
      </c>
      <c r="S196" s="6" t="s">
        <v>1041</v>
      </c>
      <c r="T196" s="6">
        <v>0</v>
      </c>
      <c r="U196" s="6">
        <v>0</v>
      </c>
      <c r="V196" s="6">
        <v>0</v>
      </c>
      <c r="W196" s="6">
        <v>0</v>
      </c>
      <c r="X196" s="6" t="s">
        <v>169</v>
      </c>
      <c r="Z196" s="6" t="s">
        <v>170</v>
      </c>
      <c r="AA196" s="6" t="s">
        <v>171</v>
      </c>
      <c r="AB196" s="6">
        <v>0</v>
      </c>
      <c r="AC196" s="6" t="str">
        <f>""</f>
        <v/>
      </c>
      <c r="AS196" s="6">
        <v>0</v>
      </c>
      <c r="AT196" s="6">
        <v>0</v>
      </c>
    </row>
    <row r="197" spans="2:46">
      <c r="B197" s="6" t="s">
        <v>498</v>
      </c>
      <c r="D197" s="6" t="s">
        <v>499</v>
      </c>
      <c r="F197" s="6" t="s">
        <v>1042</v>
      </c>
      <c r="G197" s="6" t="str">
        <f>"OL17SPJK01BLFH"</f>
        <v>OL17SPJK01BLFH</v>
      </c>
      <c r="H197" s="6" t="s">
        <v>1043</v>
      </c>
      <c r="I197" s="6" t="s">
        <v>1044</v>
      </c>
      <c r="J197" s="6" t="str">
        <f>"POINT TAPE CHECK SUIT JACKET"</f>
        <v>POINT TAPE CHECK SUIT JACKET</v>
      </c>
      <c r="K197" s="6">
        <v>0</v>
      </c>
      <c r="L197" s="6">
        <v>0</v>
      </c>
      <c r="M197" s="6">
        <v>0</v>
      </c>
      <c r="N197" s="6" t="str">
        <f>""</f>
        <v/>
      </c>
      <c r="O197" s="6">
        <v>33528</v>
      </c>
      <c r="P197" s="6" t="s">
        <v>1043</v>
      </c>
      <c r="R197" s="6" t="s">
        <v>963</v>
      </c>
      <c r="S197" s="6" t="s">
        <v>1045</v>
      </c>
      <c r="T197" s="6">
        <v>0</v>
      </c>
      <c r="U197" s="6">
        <v>0</v>
      </c>
      <c r="V197" s="6">
        <v>0</v>
      </c>
      <c r="W197" s="6">
        <v>0</v>
      </c>
      <c r="X197" s="6" t="s">
        <v>169</v>
      </c>
      <c r="Z197" s="6" t="s">
        <v>170</v>
      </c>
      <c r="AA197" s="6" t="s">
        <v>171</v>
      </c>
      <c r="AB197" s="6">
        <v>0</v>
      </c>
      <c r="AC197" s="6" t="str">
        <f>""</f>
        <v/>
      </c>
      <c r="AS197" s="6">
        <v>0</v>
      </c>
      <c r="AT197" s="6">
        <v>0</v>
      </c>
    </row>
    <row r="198" spans="2:46">
      <c r="B198" s="6" t="s">
        <v>498</v>
      </c>
      <c r="D198" s="6" t="s">
        <v>499</v>
      </c>
      <c r="F198" s="6" t="s">
        <v>1046</v>
      </c>
      <c r="G198" s="6" t="str">
        <f>"OL16WTAC01GNFS"</f>
        <v>OL16WTAC01GNFS</v>
      </c>
      <c r="H198" s="6" t="s">
        <v>1047</v>
      </c>
      <c r="I198" s="6" t="s">
        <v>1047</v>
      </c>
      <c r="J198" s="6" t="str">
        <f>"OL16WTAC01GNFS"</f>
        <v>OL16WTAC01GNFS</v>
      </c>
      <c r="K198" s="6">
        <v>0</v>
      </c>
      <c r="L198" s="6">
        <v>0</v>
      </c>
      <c r="M198" s="6">
        <v>0</v>
      </c>
      <c r="N198" s="6" t="str">
        <f>""</f>
        <v/>
      </c>
      <c r="O198" s="6">
        <v>33526</v>
      </c>
      <c r="P198" s="6" t="s">
        <v>1047</v>
      </c>
      <c r="R198" s="6" t="s">
        <v>797</v>
      </c>
      <c r="S198" s="6" t="s">
        <v>1048</v>
      </c>
      <c r="T198" s="6">
        <v>0</v>
      </c>
      <c r="U198" s="6">
        <v>0</v>
      </c>
      <c r="V198" s="6">
        <v>0</v>
      </c>
      <c r="W198" s="6">
        <v>0</v>
      </c>
      <c r="X198" s="6" t="s">
        <v>169</v>
      </c>
      <c r="Z198" s="6" t="s">
        <v>170</v>
      </c>
      <c r="AA198" s="6" t="s">
        <v>171</v>
      </c>
      <c r="AB198" s="6">
        <v>0</v>
      </c>
      <c r="AC198" s="6" t="str">
        <f>""</f>
        <v/>
      </c>
      <c r="AS198" s="6">
        <v>0</v>
      </c>
      <c r="AT198" s="6">
        <v>0</v>
      </c>
    </row>
    <row r="199" spans="2:46">
      <c r="B199" s="6" t="s">
        <v>498</v>
      </c>
      <c r="D199" s="6" t="s">
        <v>499</v>
      </c>
      <c r="F199" s="6" t="s">
        <v>1049</v>
      </c>
      <c r="G199" s="6" t="str">
        <f>"OL16WTAC01NYFS"</f>
        <v>OL16WTAC01NYFS</v>
      </c>
      <c r="H199" s="6" t="s">
        <v>1050</v>
      </c>
      <c r="I199" s="6" t="s">
        <v>1050</v>
      </c>
      <c r="J199" s="6" t="str">
        <f>"OL16WTAC01NYFS"</f>
        <v>OL16WTAC01NYFS</v>
      </c>
      <c r="K199" s="6">
        <v>0</v>
      </c>
      <c r="L199" s="6">
        <v>0</v>
      </c>
      <c r="M199" s="6">
        <v>0</v>
      </c>
      <c r="N199" s="6" t="str">
        <f>""</f>
        <v/>
      </c>
      <c r="O199" s="6">
        <v>33524</v>
      </c>
      <c r="P199" s="6" t="s">
        <v>1050</v>
      </c>
      <c r="R199" s="6" t="s">
        <v>797</v>
      </c>
      <c r="S199" s="6" t="s">
        <v>1051</v>
      </c>
      <c r="T199" s="6">
        <v>0</v>
      </c>
      <c r="U199" s="6">
        <v>0</v>
      </c>
      <c r="V199" s="6">
        <v>0</v>
      </c>
      <c r="W199" s="6">
        <v>0</v>
      </c>
      <c r="X199" s="6" t="s">
        <v>169</v>
      </c>
      <c r="Z199" s="6" t="s">
        <v>170</v>
      </c>
      <c r="AA199" s="6" t="s">
        <v>171</v>
      </c>
      <c r="AB199" s="6">
        <v>0</v>
      </c>
      <c r="AC199" s="6" t="str">
        <f>""</f>
        <v/>
      </c>
      <c r="AS199" s="6">
        <v>0</v>
      </c>
      <c r="AT199" s="6">
        <v>0</v>
      </c>
    </row>
    <row r="200" spans="2:46">
      <c r="B200" s="6" t="s">
        <v>498</v>
      </c>
      <c r="D200" s="6" t="s">
        <v>499</v>
      </c>
      <c r="F200" s="6" t="s">
        <v>1052</v>
      </c>
      <c r="G200" s="6" t="str">
        <f>"OL16WTOT01DGFH"</f>
        <v>OL16WTOT01DGFH</v>
      </c>
      <c r="H200" s="6" t="s">
        <v>1053</v>
      </c>
      <c r="I200" s="6" t="s">
        <v>1054</v>
      </c>
      <c r="J200" s="6" t="str">
        <f>"POINT POPPY BELT WOOL COAT"</f>
        <v>POINT POPPY BELT WOOL COAT</v>
      </c>
      <c r="K200" s="6">
        <v>0</v>
      </c>
      <c r="L200" s="6">
        <v>0</v>
      </c>
      <c r="M200" s="6">
        <v>0</v>
      </c>
      <c r="N200" s="6" t="str">
        <f>""</f>
        <v/>
      </c>
      <c r="O200" s="6">
        <v>33522</v>
      </c>
      <c r="P200" s="6" t="s">
        <v>1053</v>
      </c>
      <c r="R200" s="6" t="s">
        <v>1055</v>
      </c>
      <c r="S200" s="6" t="s">
        <v>1056</v>
      </c>
      <c r="T200" s="6">
        <v>0</v>
      </c>
      <c r="U200" s="6">
        <v>0</v>
      </c>
      <c r="V200" s="6">
        <v>0</v>
      </c>
      <c r="W200" s="6">
        <v>0</v>
      </c>
      <c r="X200" s="6" t="s">
        <v>169</v>
      </c>
      <c r="Z200" s="6" t="s">
        <v>170</v>
      </c>
      <c r="AA200" s="6" t="s">
        <v>171</v>
      </c>
      <c r="AB200" s="6">
        <v>0</v>
      </c>
      <c r="AC200" s="6" t="str">
        <f>""</f>
        <v/>
      </c>
      <c r="AS200" s="6">
        <v>0</v>
      </c>
      <c r="AT200" s="6">
        <v>0</v>
      </c>
    </row>
    <row r="201" spans="2:46">
      <c r="B201" s="6" t="s">
        <v>498</v>
      </c>
      <c r="D201" s="6" t="s">
        <v>499</v>
      </c>
      <c r="F201" s="6" t="s">
        <v>1057</v>
      </c>
      <c r="G201" s="6" t="str">
        <f>"OL16WTOT01OBFH"</f>
        <v>OL16WTOT01OBFH</v>
      </c>
      <c r="H201" s="6" t="s">
        <v>1058</v>
      </c>
      <c r="I201" s="6" t="s">
        <v>1054</v>
      </c>
      <c r="J201" s="6" t="str">
        <f>"POINT POPPY BELT WOOL COAT"</f>
        <v>POINT POPPY BELT WOOL COAT</v>
      </c>
      <c r="K201" s="6">
        <v>0</v>
      </c>
      <c r="L201" s="6">
        <v>0</v>
      </c>
      <c r="M201" s="6">
        <v>0</v>
      </c>
      <c r="N201" s="6" t="str">
        <f>""</f>
        <v/>
      </c>
      <c r="O201" s="6">
        <v>33521</v>
      </c>
      <c r="P201" s="6" t="s">
        <v>1058</v>
      </c>
      <c r="R201" s="6" t="s">
        <v>1059</v>
      </c>
      <c r="S201" s="6" t="s">
        <v>1060</v>
      </c>
      <c r="T201" s="6">
        <v>0</v>
      </c>
      <c r="U201" s="6">
        <v>0</v>
      </c>
      <c r="V201" s="6">
        <v>0</v>
      </c>
      <c r="W201" s="6">
        <v>0</v>
      </c>
      <c r="X201" s="6" t="s">
        <v>169</v>
      </c>
      <c r="Z201" s="6" t="s">
        <v>170</v>
      </c>
      <c r="AA201" s="6" t="s">
        <v>171</v>
      </c>
      <c r="AB201" s="6">
        <v>0</v>
      </c>
      <c r="AC201" s="6" t="str">
        <f>""</f>
        <v/>
      </c>
      <c r="AS201" s="6">
        <v>0</v>
      </c>
      <c r="AT201" s="6">
        <v>0</v>
      </c>
    </row>
    <row r="202" spans="2:46">
      <c r="B202" s="6" t="s">
        <v>498</v>
      </c>
      <c r="D202" s="6" t="s">
        <v>499</v>
      </c>
      <c r="F202" s="6" t="s">
        <v>1061</v>
      </c>
      <c r="G202" s="6" t="str">
        <f>"OL16WTOT01BKFH"</f>
        <v>OL16WTOT01BKFH</v>
      </c>
      <c r="H202" s="6" t="s">
        <v>1062</v>
      </c>
      <c r="I202" s="6" t="s">
        <v>1054</v>
      </c>
      <c r="J202" s="6" t="str">
        <f>"POINT POPPY BELT WOOL COAT"</f>
        <v>POINT POPPY BELT WOOL COAT</v>
      </c>
      <c r="K202" s="6">
        <v>0</v>
      </c>
      <c r="L202" s="6">
        <v>0</v>
      </c>
      <c r="M202" s="6">
        <v>0</v>
      </c>
      <c r="N202" s="6" t="str">
        <f>""</f>
        <v/>
      </c>
      <c r="O202" s="6">
        <v>33520</v>
      </c>
      <c r="P202" s="6" t="s">
        <v>1062</v>
      </c>
      <c r="R202" s="6" t="s">
        <v>581</v>
      </c>
      <c r="S202" s="6" t="s">
        <v>1063</v>
      </c>
      <c r="T202" s="6">
        <v>0</v>
      </c>
      <c r="U202" s="6">
        <v>0</v>
      </c>
      <c r="V202" s="6">
        <v>0</v>
      </c>
      <c r="W202" s="6">
        <v>0</v>
      </c>
      <c r="X202" s="6" t="s">
        <v>169</v>
      </c>
      <c r="Z202" s="6" t="s">
        <v>170</v>
      </c>
      <c r="AA202" s="6" t="s">
        <v>171</v>
      </c>
      <c r="AB202" s="6">
        <v>0</v>
      </c>
      <c r="AC202" s="6" t="str">
        <f>""</f>
        <v/>
      </c>
      <c r="AS202" s="6">
        <v>0</v>
      </c>
      <c r="AT202" s="6">
        <v>0</v>
      </c>
    </row>
    <row r="203" spans="2:46">
      <c r="B203" s="6" t="s">
        <v>498</v>
      </c>
      <c r="D203" s="6" t="s">
        <v>499</v>
      </c>
      <c r="F203" s="6" t="s">
        <v>1064</v>
      </c>
      <c r="G203" s="6" t="str">
        <f>"OL16WTPT01BKMH"</f>
        <v>OL16WTPT01BKMH</v>
      </c>
      <c r="H203" s="6" t="s">
        <v>1065</v>
      </c>
      <c r="I203" s="6" t="s">
        <v>1066</v>
      </c>
      <c r="J203" s="6" t="str">
        <f>"SLIM BOOTS CUT BLACK DENIM"</f>
        <v>SLIM BOOTS CUT BLACK DENIM</v>
      </c>
      <c r="K203" s="6">
        <v>0</v>
      </c>
      <c r="L203" s="6">
        <v>0</v>
      </c>
      <c r="M203" s="6">
        <v>0</v>
      </c>
      <c r="N203" s="6" t="str">
        <f>""</f>
        <v/>
      </c>
      <c r="O203" s="6">
        <v>33518</v>
      </c>
      <c r="P203" s="6" t="s">
        <v>1065</v>
      </c>
      <c r="R203" s="6" t="s">
        <v>1067</v>
      </c>
      <c r="S203" s="6" t="s">
        <v>1068</v>
      </c>
      <c r="T203" s="6">
        <v>0</v>
      </c>
      <c r="U203" s="6">
        <v>0</v>
      </c>
      <c r="V203" s="6">
        <v>0</v>
      </c>
      <c r="W203" s="6">
        <v>0</v>
      </c>
      <c r="X203" s="6" t="s">
        <v>169</v>
      </c>
      <c r="Z203" s="6" t="s">
        <v>170</v>
      </c>
      <c r="AA203" s="6" t="s">
        <v>171</v>
      </c>
      <c r="AB203" s="6">
        <v>0</v>
      </c>
      <c r="AC203" s="6" t="str">
        <f>""</f>
        <v/>
      </c>
      <c r="AS203" s="6">
        <v>0</v>
      </c>
      <c r="AT203" s="6">
        <v>0</v>
      </c>
    </row>
    <row r="204" spans="2:46">
      <c r="B204" s="6" t="s">
        <v>498</v>
      </c>
      <c r="D204" s="6" t="s">
        <v>499</v>
      </c>
      <c r="F204" s="6" t="s">
        <v>1069</v>
      </c>
      <c r="G204" s="6" t="str">
        <f>"OL16WTPT01BKSH"</f>
        <v>OL16WTPT01BKSH</v>
      </c>
      <c r="H204" s="6" t="s">
        <v>1070</v>
      </c>
      <c r="I204" s="6" t="s">
        <v>1066</v>
      </c>
      <c r="J204" s="6" t="str">
        <f>"SLIM BOOTS CUT BLACK DENIM"</f>
        <v>SLIM BOOTS CUT BLACK DENIM</v>
      </c>
      <c r="K204" s="6">
        <v>0</v>
      </c>
      <c r="L204" s="6">
        <v>0</v>
      </c>
      <c r="M204" s="6">
        <v>0</v>
      </c>
      <c r="N204" s="6" t="str">
        <f>""</f>
        <v/>
      </c>
      <c r="O204" s="6">
        <v>33517</v>
      </c>
      <c r="P204" s="6" t="s">
        <v>1070</v>
      </c>
      <c r="R204" s="6" t="s">
        <v>1071</v>
      </c>
      <c r="S204" s="6" t="s">
        <v>1072</v>
      </c>
      <c r="T204" s="6">
        <v>0</v>
      </c>
      <c r="U204" s="6">
        <v>0</v>
      </c>
      <c r="V204" s="6">
        <v>0</v>
      </c>
      <c r="W204" s="6">
        <v>0</v>
      </c>
      <c r="X204" s="6" t="s">
        <v>169</v>
      </c>
      <c r="Z204" s="6" t="s">
        <v>170</v>
      </c>
      <c r="AA204" s="6" t="s">
        <v>171</v>
      </c>
      <c r="AB204" s="6">
        <v>0</v>
      </c>
      <c r="AC204" s="6" t="str">
        <f>""</f>
        <v/>
      </c>
      <c r="AS204" s="6">
        <v>0</v>
      </c>
      <c r="AT204" s="6">
        <v>0</v>
      </c>
    </row>
    <row r="205" spans="2:46">
      <c r="B205" s="6" t="s">
        <v>498</v>
      </c>
      <c r="D205" s="6" t="s">
        <v>499</v>
      </c>
      <c r="F205" s="6" t="s">
        <v>1073</v>
      </c>
      <c r="G205" s="6" t="str">
        <f>"OL16WTSK01DGMH"</f>
        <v>OL16WTSK01DGMH</v>
      </c>
      <c r="H205" s="6" t="s">
        <v>1074</v>
      </c>
      <c r="I205" s="6" t="s">
        <v>1075</v>
      </c>
      <c r="J205" s="6" t="str">
        <f>"WOOL TWEED H LINE SLIT SKIRT"</f>
        <v>WOOL TWEED H LINE SLIT SKIRT</v>
      </c>
      <c r="K205" s="6">
        <v>0</v>
      </c>
      <c r="L205" s="6">
        <v>0</v>
      </c>
      <c r="M205" s="6">
        <v>0</v>
      </c>
      <c r="N205" s="6" t="str">
        <f>""</f>
        <v/>
      </c>
      <c r="O205" s="6">
        <v>33515</v>
      </c>
      <c r="P205" s="6" t="s">
        <v>1074</v>
      </c>
      <c r="R205" s="6" t="s">
        <v>1076</v>
      </c>
      <c r="S205" s="6" t="s">
        <v>1077</v>
      </c>
      <c r="T205" s="6">
        <v>0</v>
      </c>
      <c r="U205" s="6">
        <v>0</v>
      </c>
      <c r="V205" s="6">
        <v>0</v>
      </c>
      <c r="W205" s="6">
        <v>0</v>
      </c>
      <c r="X205" s="6" t="s">
        <v>169</v>
      </c>
      <c r="Z205" s="6" t="s">
        <v>170</v>
      </c>
      <c r="AA205" s="6" t="s">
        <v>171</v>
      </c>
      <c r="AB205" s="6">
        <v>0</v>
      </c>
      <c r="AC205" s="6" t="str">
        <f>""</f>
        <v/>
      </c>
      <c r="AS205" s="6">
        <v>0</v>
      </c>
      <c r="AT205" s="6">
        <v>0</v>
      </c>
    </row>
    <row r="206" spans="2:46">
      <c r="B206" s="6" t="s">
        <v>498</v>
      </c>
      <c r="D206" s="6" t="s">
        <v>499</v>
      </c>
      <c r="F206" s="6" t="s">
        <v>1078</v>
      </c>
      <c r="G206" s="6" t="str">
        <f>"OL16WTSK01DGSH"</f>
        <v>OL16WTSK01DGSH</v>
      </c>
      <c r="H206" s="6" t="s">
        <v>1079</v>
      </c>
      <c r="I206" s="6" t="s">
        <v>1075</v>
      </c>
      <c r="J206" s="6" t="str">
        <f>"WOOL TWEED H LINE SLIT SKIRT"</f>
        <v>WOOL TWEED H LINE SLIT SKIRT</v>
      </c>
      <c r="K206" s="6">
        <v>0</v>
      </c>
      <c r="L206" s="6">
        <v>0</v>
      </c>
      <c r="M206" s="6">
        <v>0</v>
      </c>
      <c r="N206" s="6" t="str">
        <f>""</f>
        <v/>
      </c>
      <c r="O206" s="6">
        <v>33514</v>
      </c>
      <c r="P206" s="6" t="s">
        <v>1079</v>
      </c>
      <c r="R206" s="6" t="s">
        <v>1080</v>
      </c>
      <c r="S206" s="6" t="s">
        <v>1081</v>
      </c>
      <c r="T206" s="6">
        <v>0</v>
      </c>
      <c r="U206" s="6">
        <v>0</v>
      </c>
      <c r="V206" s="6">
        <v>0</v>
      </c>
      <c r="W206" s="6">
        <v>0</v>
      </c>
      <c r="X206" s="6" t="s">
        <v>169</v>
      </c>
      <c r="Z206" s="6" t="s">
        <v>170</v>
      </c>
      <c r="AA206" s="6" t="s">
        <v>171</v>
      </c>
      <c r="AB206" s="6">
        <v>0</v>
      </c>
      <c r="AC206" s="6" t="str">
        <f>""</f>
        <v/>
      </c>
      <c r="AS206" s="6">
        <v>0</v>
      </c>
      <c r="AT206" s="6">
        <v>0</v>
      </c>
    </row>
    <row r="207" spans="2:46">
      <c r="B207" s="6" t="s">
        <v>498</v>
      </c>
      <c r="D207" s="6" t="s">
        <v>499</v>
      </c>
      <c r="F207" s="6" t="s">
        <v>1082</v>
      </c>
      <c r="G207" s="6" t="str">
        <f>"OL16WTSK02NYFR"</f>
        <v>OL16WTSK02NYFR</v>
      </c>
      <c r="H207" s="6" t="s">
        <v>1083</v>
      </c>
      <c r="I207" s="6" t="s">
        <v>1084</v>
      </c>
      <c r="J207" s="6" t="str">
        <f>"HERRINGBONE VELVET LONG SKIRT"</f>
        <v>HERRINGBONE VELVET LONG SKIRT</v>
      </c>
      <c r="K207" s="6">
        <v>0</v>
      </c>
      <c r="L207" s="6">
        <v>0</v>
      </c>
      <c r="M207" s="6">
        <v>0</v>
      </c>
      <c r="N207" s="6" t="str">
        <f>""</f>
        <v/>
      </c>
      <c r="O207" s="6">
        <v>33512</v>
      </c>
      <c r="P207" s="6" t="s">
        <v>1083</v>
      </c>
      <c r="R207" s="6" t="s">
        <v>546</v>
      </c>
      <c r="S207" s="6" t="s">
        <v>1085</v>
      </c>
      <c r="T207" s="6">
        <v>0</v>
      </c>
      <c r="U207" s="6">
        <v>0</v>
      </c>
      <c r="V207" s="6">
        <v>0</v>
      </c>
      <c r="W207" s="6">
        <v>0</v>
      </c>
      <c r="X207" s="6" t="s">
        <v>169</v>
      </c>
      <c r="Z207" s="6" t="s">
        <v>170</v>
      </c>
      <c r="AA207" s="6" t="s">
        <v>171</v>
      </c>
      <c r="AB207" s="6">
        <v>0</v>
      </c>
      <c r="AC207" s="6" t="str">
        <f>""</f>
        <v/>
      </c>
      <c r="AS207" s="6">
        <v>0</v>
      </c>
      <c r="AT207" s="6">
        <v>0</v>
      </c>
    </row>
    <row r="208" spans="2:46">
      <c r="B208" s="6" t="s">
        <v>498</v>
      </c>
      <c r="D208" s="6" t="s">
        <v>499</v>
      </c>
      <c r="F208" s="6" t="s">
        <v>1086</v>
      </c>
      <c r="G208" s="6" t="str">
        <f>"OL16WTSK02DGFR"</f>
        <v>OL16WTSK02DGFR</v>
      </c>
      <c r="H208" s="6" t="s">
        <v>1087</v>
      </c>
      <c r="I208" s="6" t="s">
        <v>1084</v>
      </c>
      <c r="J208" s="6" t="str">
        <f>"HERRINGBONE VELVET LONG SKIRT"</f>
        <v>HERRINGBONE VELVET LONG SKIRT</v>
      </c>
      <c r="K208" s="6">
        <v>0</v>
      </c>
      <c r="L208" s="6">
        <v>0</v>
      </c>
      <c r="M208" s="6">
        <v>0</v>
      </c>
      <c r="N208" s="6" t="str">
        <f>""</f>
        <v/>
      </c>
      <c r="O208" s="6">
        <v>33511</v>
      </c>
      <c r="P208" s="6" t="s">
        <v>1087</v>
      </c>
      <c r="R208" s="6" t="s">
        <v>1055</v>
      </c>
      <c r="S208" s="6" t="s">
        <v>1088</v>
      </c>
      <c r="T208" s="6">
        <v>0</v>
      </c>
      <c r="U208" s="6">
        <v>0</v>
      </c>
      <c r="V208" s="6">
        <v>0</v>
      </c>
      <c r="W208" s="6">
        <v>0</v>
      </c>
      <c r="X208" s="6" t="s">
        <v>169</v>
      </c>
      <c r="Z208" s="6" t="s">
        <v>170</v>
      </c>
      <c r="AA208" s="6" t="s">
        <v>171</v>
      </c>
      <c r="AB208" s="6">
        <v>0</v>
      </c>
      <c r="AC208" s="6" t="str">
        <f>""</f>
        <v/>
      </c>
      <c r="AS208" s="6">
        <v>0</v>
      </c>
      <c r="AT208" s="6">
        <v>0</v>
      </c>
    </row>
    <row r="209" spans="2:46">
      <c r="B209" s="6" t="s">
        <v>498</v>
      </c>
      <c r="D209" s="6" t="s">
        <v>499</v>
      </c>
      <c r="F209" s="6" t="s">
        <v>1089</v>
      </c>
      <c r="G209" s="6" t="str">
        <f>"OL16WTSK02BKFR"</f>
        <v>OL16WTSK02BKFR</v>
      </c>
      <c r="H209" s="6" t="s">
        <v>1090</v>
      </c>
      <c r="I209" s="6" t="s">
        <v>1084</v>
      </c>
      <c r="J209" s="6" t="str">
        <f>"HERRINGBONE VELVET LONG SKIRT"</f>
        <v>HERRINGBONE VELVET LONG SKIRT</v>
      </c>
      <c r="K209" s="6">
        <v>0</v>
      </c>
      <c r="L209" s="6">
        <v>0</v>
      </c>
      <c r="M209" s="6">
        <v>0</v>
      </c>
      <c r="N209" s="6" t="str">
        <f>""</f>
        <v/>
      </c>
      <c r="O209" s="6">
        <v>33510</v>
      </c>
      <c r="P209" s="6" t="s">
        <v>1090</v>
      </c>
      <c r="R209" s="6" t="s">
        <v>581</v>
      </c>
      <c r="S209" s="6" t="s">
        <v>1091</v>
      </c>
      <c r="T209" s="6">
        <v>0</v>
      </c>
      <c r="U209" s="6">
        <v>0</v>
      </c>
      <c r="V209" s="6">
        <v>0</v>
      </c>
      <c r="W209" s="6">
        <v>0</v>
      </c>
      <c r="X209" s="6" t="s">
        <v>169</v>
      </c>
      <c r="Z209" s="6" t="s">
        <v>170</v>
      </c>
      <c r="AA209" s="6" t="s">
        <v>171</v>
      </c>
      <c r="AB209" s="6">
        <v>0</v>
      </c>
      <c r="AC209" s="6" t="str">
        <f>""</f>
        <v/>
      </c>
      <c r="AS209" s="6">
        <v>0</v>
      </c>
      <c r="AT209" s="6">
        <v>0</v>
      </c>
    </row>
    <row r="210" spans="2:46">
      <c r="B210" s="6" t="s">
        <v>498</v>
      </c>
      <c r="D210" s="6" t="s">
        <v>499</v>
      </c>
      <c r="F210" s="6" t="s">
        <v>1092</v>
      </c>
      <c r="G210" s="6" t="str">
        <f>"OL16WTBL02NYFH"</f>
        <v>OL16WTBL02NYFH</v>
      </c>
      <c r="H210" s="6" t="s">
        <v>1093</v>
      </c>
      <c r="I210" s="6" t="s">
        <v>1094</v>
      </c>
      <c r="J210" s="6" t="str">
        <f>"TWIST VELVET PUFF SLEEVE BLOUSE"</f>
        <v>TWIST VELVET PUFF SLEEVE BLOUSE</v>
      </c>
      <c r="K210" s="6">
        <v>0</v>
      </c>
      <c r="L210" s="6">
        <v>0</v>
      </c>
      <c r="M210" s="6">
        <v>0</v>
      </c>
      <c r="N210" s="6" t="str">
        <f>""</f>
        <v/>
      </c>
      <c r="O210" s="6">
        <v>33508</v>
      </c>
      <c r="P210" s="6" t="s">
        <v>1093</v>
      </c>
      <c r="R210" s="6" t="s">
        <v>546</v>
      </c>
      <c r="S210" s="6" t="s">
        <v>1095</v>
      </c>
      <c r="T210" s="6">
        <v>0</v>
      </c>
      <c r="U210" s="6">
        <v>0</v>
      </c>
      <c r="V210" s="6">
        <v>0</v>
      </c>
      <c r="W210" s="6">
        <v>0</v>
      </c>
      <c r="X210" s="6" t="s">
        <v>169</v>
      </c>
      <c r="Z210" s="6" t="s">
        <v>170</v>
      </c>
      <c r="AA210" s="6" t="s">
        <v>171</v>
      </c>
      <c r="AB210" s="6">
        <v>0</v>
      </c>
      <c r="AC210" s="6" t="str">
        <f>""</f>
        <v/>
      </c>
      <c r="AS210" s="6">
        <v>0</v>
      </c>
      <c r="AT210" s="6">
        <v>0</v>
      </c>
    </row>
    <row r="211" spans="2:46">
      <c r="B211" s="6" t="s">
        <v>498</v>
      </c>
      <c r="D211" s="6" t="s">
        <v>499</v>
      </c>
      <c r="F211" s="6" t="s">
        <v>1096</v>
      </c>
      <c r="G211" s="6" t="str">
        <f>"OL16WTBL02IPFH"</f>
        <v>OL16WTBL02IPFH</v>
      </c>
      <c r="H211" s="6" t="s">
        <v>1097</v>
      </c>
      <c r="I211" s="6" t="s">
        <v>1094</v>
      </c>
      <c r="J211" s="6" t="str">
        <f>"TWIST VELVET PUFF SLEEVE BLOUSE"</f>
        <v>TWIST VELVET PUFF SLEEVE BLOUSE</v>
      </c>
      <c r="K211" s="6">
        <v>0</v>
      </c>
      <c r="L211" s="6">
        <v>0</v>
      </c>
      <c r="M211" s="6">
        <v>0</v>
      </c>
      <c r="N211" s="6" t="str">
        <f>""</f>
        <v/>
      </c>
      <c r="O211" s="6">
        <v>33507</v>
      </c>
      <c r="P211" s="6" t="s">
        <v>1097</v>
      </c>
      <c r="R211" s="6" t="s">
        <v>1098</v>
      </c>
      <c r="S211" s="6" t="s">
        <v>1099</v>
      </c>
      <c r="T211" s="6">
        <v>0</v>
      </c>
      <c r="U211" s="6">
        <v>0</v>
      </c>
      <c r="V211" s="6">
        <v>0</v>
      </c>
      <c r="W211" s="6">
        <v>0</v>
      </c>
      <c r="X211" s="6" t="s">
        <v>169</v>
      </c>
      <c r="Z211" s="6" t="s">
        <v>170</v>
      </c>
      <c r="AA211" s="6" t="s">
        <v>171</v>
      </c>
      <c r="AB211" s="6">
        <v>0</v>
      </c>
      <c r="AC211" s="6" t="str">
        <f>""</f>
        <v/>
      </c>
      <c r="AS211" s="6">
        <v>0</v>
      </c>
      <c r="AT211" s="6">
        <v>0</v>
      </c>
    </row>
    <row r="212" spans="2:46">
      <c r="B212" s="6" t="s">
        <v>498</v>
      </c>
      <c r="D212" s="6" t="s">
        <v>499</v>
      </c>
      <c r="F212" s="6" t="s">
        <v>1100</v>
      </c>
      <c r="G212" s="6" t="str">
        <f>"OL16WTBL01NYFH"</f>
        <v>OL16WTBL01NYFH</v>
      </c>
      <c r="H212" s="6" t="s">
        <v>1101</v>
      </c>
      <c r="I212" s="6" t="s">
        <v>1102</v>
      </c>
      <c r="J212" s="6" t="str">
        <f>"POPPY PATTERN PEPLUM BLOUSE"</f>
        <v>POPPY PATTERN PEPLUM BLOUSE</v>
      </c>
      <c r="K212" s="6">
        <v>0</v>
      </c>
      <c r="L212" s="6">
        <v>0</v>
      </c>
      <c r="M212" s="6">
        <v>0</v>
      </c>
      <c r="N212" s="6" t="str">
        <f>""</f>
        <v/>
      </c>
      <c r="O212" s="6">
        <v>33505</v>
      </c>
      <c r="P212" s="6" t="s">
        <v>1101</v>
      </c>
      <c r="R212" s="6" t="s">
        <v>546</v>
      </c>
      <c r="S212" s="6" t="s">
        <v>1103</v>
      </c>
      <c r="T212" s="6">
        <v>0</v>
      </c>
      <c r="U212" s="6">
        <v>0</v>
      </c>
      <c r="V212" s="6">
        <v>0</v>
      </c>
      <c r="W212" s="6">
        <v>0</v>
      </c>
      <c r="X212" s="6" t="s">
        <v>169</v>
      </c>
      <c r="Z212" s="6" t="s">
        <v>170</v>
      </c>
      <c r="AA212" s="6" t="s">
        <v>171</v>
      </c>
      <c r="AB212" s="6">
        <v>0</v>
      </c>
      <c r="AC212" s="6" t="str">
        <f>""</f>
        <v/>
      </c>
      <c r="AS212" s="6">
        <v>0</v>
      </c>
      <c r="AT212" s="6">
        <v>0</v>
      </c>
    </row>
    <row r="213" spans="2:46">
      <c r="B213" s="6" t="s">
        <v>498</v>
      </c>
      <c r="D213" s="6" t="s">
        <v>499</v>
      </c>
      <c r="F213" s="6" t="s">
        <v>1104</v>
      </c>
      <c r="G213" s="6" t="str">
        <f>"OL16WTBL01DGFH"</f>
        <v>OL16WTBL01DGFH</v>
      </c>
      <c r="H213" s="6" t="s">
        <v>1105</v>
      </c>
      <c r="I213" s="6" t="s">
        <v>1102</v>
      </c>
      <c r="J213" s="6" t="str">
        <f>"POPPY PATTERN PEPLUM BLOUSE"</f>
        <v>POPPY PATTERN PEPLUM BLOUSE</v>
      </c>
      <c r="K213" s="6">
        <v>0</v>
      </c>
      <c r="L213" s="6">
        <v>0</v>
      </c>
      <c r="M213" s="6">
        <v>0</v>
      </c>
      <c r="N213" s="6" t="str">
        <f>""</f>
        <v/>
      </c>
      <c r="O213" s="6">
        <v>33504</v>
      </c>
      <c r="P213" s="6" t="s">
        <v>1105</v>
      </c>
      <c r="R213" s="6" t="s">
        <v>1055</v>
      </c>
      <c r="S213" s="6" t="s">
        <v>1106</v>
      </c>
      <c r="T213" s="6">
        <v>0</v>
      </c>
      <c r="U213" s="6">
        <v>0</v>
      </c>
      <c r="V213" s="6">
        <v>0</v>
      </c>
      <c r="W213" s="6">
        <v>0</v>
      </c>
      <c r="X213" s="6" t="s">
        <v>169</v>
      </c>
      <c r="Z213" s="6" t="s">
        <v>170</v>
      </c>
      <c r="AA213" s="6" t="s">
        <v>171</v>
      </c>
      <c r="AB213" s="6">
        <v>0</v>
      </c>
      <c r="AC213" s="6" t="str">
        <f>""</f>
        <v/>
      </c>
      <c r="AS213" s="6">
        <v>0</v>
      </c>
      <c r="AT213" s="6">
        <v>0</v>
      </c>
    </row>
    <row r="214" spans="2:46">
      <c r="B214" s="6" t="s">
        <v>498</v>
      </c>
      <c r="D214" s="6" t="s">
        <v>499</v>
      </c>
      <c r="F214" s="6" t="s">
        <v>1107</v>
      </c>
      <c r="G214" s="6" t="str">
        <f>"OL16WTOP01BDFH"</f>
        <v>OL16WTOP01BDFH</v>
      </c>
      <c r="H214" s="6" t="s">
        <v>1108</v>
      </c>
      <c r="I214" s="6" t="s">
        <v>1109</v>
      </c>
      <c r="J214" s="6" t="str">
        <f>"WOOL TWEED MINI DRESS"</f>
        <v>WOOL TWEED MINI DRESS</v>
      </c>
      <c r="K214" s="6">
        <v>0</v>
      </c>
      <c r="L214" s="6">
        <v>0</v>
      </c>
      <c r="M214" s="6">
        <v>0</v>
      </c>
      <c r="N214" s="6" t="str">
        <f>""</f>
        <v/>
      </c>
      <c r="O214" s="6">
        <v>33502</v>
      </c>
      <c r="P214" s="6" t="s">
        <v>1108</v>
      </c>
      <c r="R214" s="6" t="s">
        <v>1110</v>
      </c>
      <c r="S214" s="6" t="s">
        <v>1111</v>
      </c>
      <c r="T214" s="6">
        <v>0</v>
      </c>
      <c r="U214" s="6">
        <v>0</v>
      </c>
      <c r="V214" s="6">
        <v>0</v>
      </c>
      <c r="W214" s="6">
        <v>0</v>
      </c>
      <c r="X214" s="6" t="s">
        <v>169</v>
      </c>
      <c r="Z214" s="6" t="s">
        <v>170</v>
      </c>
      <c r="AA214" s="6" t="s">
        <v>171</v>
      </c>
      <c r="AB214" s="6">
        <v>0</v>
      </c>
      <c r="AC214" s="6" t="str">
        <f>""</f>
        <v/>
      </c>
      <c r="AS214" s="6">
        <v>0</v>
      </c>
      <c r="AT214" s="6">
        <v>0</v>
      </c>
    </row>
    <row r="215" spans="2:46">
      <c r="B215" s="6" t="s">
        <v>498</v>
      </c>
      <c r="D215" s="6" t="s">
        <v>499</v>
      </c>
      <c r="F215" s="6" t="s">
        <v>1112</v>
      </c>
      <c r="G215" s="6" t="str">
        <f>"OL16WTOP01GMFH"</f>
        <v>OL16WTOP01GMFH</v>
      </c>
      <c r="H215" s="6" t="s">
        <v>1113</v>
      </c>
      <c r="I215" s="6" t="s">
        <v>1109</v>
      </c>
      <c r="J215" s="6" t="str">
        <f>"WOOL TWEED MINI DRESS"</f>
        <v>WOOL TWEED MINI DRESS</v>
      </c>
      <c r="K215" s="6">
        <v>0</v>
      </c>
      <c r="L215" s="6">
        <v>0</v>
      </c>
      <c r="M215" s="6">
        <v>0</v>
      </c>
      <c r="N215" s="6" t="str">
        <f>""</f>
        <v/>
      </c>
      <c r="O215" s="6">
        <v>33501</v>
      </c>
      <c r="P215" s="6" t="s">
        <v>1113</v>
      </c>
      <c r="R215" s="6" t="s">
        <v>1114</v>
      </c>
      <c r="S215" s="6" t="s">
        <v>1115</v>
      </c>
      <c r="T215" s="6">
        <v>0</v>
      </c>
      <c r="U215" s="6">
        <v>0</v>
      </c>
      <c r="V215" s="6">
        <v>0</v>
      </c>
      <c r="W215" s="6">
        <v>0</v>
      </c>
      <c r="X215" s="6" t="s">
        <v>169</v>
      </c>
      <c r="Z215" s="6" t="s">
        <v>170</v>
      </c>
      <c r="AA215" s="6" t="s">
        <v>171</v>
      </c>
      <c r="AB215" s="6">
        <v>0</v>
      </c>
      <c r="AC215" s="6" t="str">
        <f>""</f>
        <v/>
      </c>
      <c r="AS215" s="6">
        <v>0</v>
      </c>
      <c r="AT215" s="6">
        <v>0</v>
      </c>
    </row>
    <row r="216" spans="2:46">
      <c r="B216" s="6" t="s">
        <v>498</v>
      </c>
      <c r="D216" s="6" t="s">
        <v>499</v>
      </c>
      <c r="F216" s="6" t="s">
        <v>1116</v>
      </c>
      <c r="G216" s="6" t="str">
        <f>"OL16WTOP02NYFH"</f>
        <v>OL16WTOP02NYFH</v>
      </c>
      <c r="H216" s="6" t="s">
        <v>1117</v>
      </c>
      <c r="I216" s="6" t="s">
        <v>1118</v>
      </c>
      <c r="J216" s="6" t="str">
        <f>"POPPY PATTERN MAXI DRESS"</f>
        <v>POPPY PATTERN MAXI DRESS</v>
      </c>
      <c r="K216" s="6">
        <v>0</v>
      </c>
      <c r="L216" s="6">
        <v>0</v>
      </c>
      <c r="M216" s="6">
        <v>0</v>
      </c>
      <c r="N216" s="6" t="str">
        <f>""</f>
        <v/>
      </c>
      <c r="O216" s="6">
        <v>33499</v>
      </c>
      <c r="P216" s="6" t="s">
        <v>1117</v>
      </c>
      <c r="R216" s="6" t="s">
        <v>546</v>
      </c>
      <c r="S216" s="6" t="s">
        <v>1119</v>
      </c>
      <c r="T216" s="6">
        <v>0</v>
      </c>
      <c r="U216" s="6">
        <v>0</v>
      </c>
      <c r="V216" s="6">
        <v>0</v>
      </c>
      <c r="W216" s="6">
        <v>0</v>
      </c>
      <c r="X216" s="6" t="s">
        <v>169</v>
      </c>
      <c r="Z216" s="6" t="s">
        <v>170</v>
      </c>
      <c r="AA216" s="6" t="s">
        <v>171</v>
      </c>
      <c r="AB216" s="6">
        <v>0</v>
      </c>
      <c r="AC216" s="6" t="str">
        <f>""</f>
        <v/>
      </c>
      <c r="AS216" s="6">
        <v>0</v>
      </c>
      <c r="AT216" s="6">
        <v>0</v>
      </c>
    </row>
    <row r="217" spans="2:46">
      <c r="B217" s="6" t="s">
        <v>498</v>
      </c>
      <c r="D217" s="6" t="s">
        <v>499</v>
      </c>
      <c r="F217" s="6" t="s">
        <v>1120</v>
      </c>
      <c r="G217" s="6" t="str">
        <f>"OL16WTOP02DGFH"</f>
        <v>OL16WTOP02DGFH</v>
      </c>
      <c r="H217" s="6" t="s">
        <v>1121</v>
      </c>
      <c r="I217" s="6" t="s">
        <v>1118</v>
      </c>
      <c r="J217" s="6" t="str">
        <f>"POPPY PATTERN MAXI DRESS"</f>
        <v>POPPY PATTERN MAXI DRESS</v>
      </c>
      <c r="K217" s="6">
        <v>0</v>
      </c>
      <c r="L217" s="6">
        <v>0</v>
      </c>
      <c r="M217" s="6">
        <v>0</v>
      </c>
      <c r="N217" s="6" t="str">
        <f>""</f>
        <v/>
      </c>
      <c r="O217" s="6">
        <v>33498</v>
      </c>
      <c r="P217" s="6" t="s">
        <v>1121</v>
      </c>
      <c r="R217" s="6" t="s">
        <v>1055</v>
      </c>
      <c r="S217" s="6" t="s">
        <v>1122</v>
      </c>
      <c r="T217" s="6">
        <v>0</v>
      </c>
      <c r="U217" s="6">
        <v>0</v>
      </c>
      <c r="V217" s="6">
        <v>0</v>
      </c>
      <c r="W217" s="6">
        <v>0</v>
      </c>
      <c r="X217" s="6" t="s">
        <v>169</v>
      </c>
      <c r="Z217" s="6" t="s">
        <v>170</v>
      </c>
      <c r="AA217" s="6" t="s">
        <v>171</v>
      </c>
      <c r="AB217" s="6">
        <v>0</v>
      </c>
      <c r="AC217" s="6" t="str">
        <f>""</f>
        <v/>
      </c>
      <c r="AS217" s="6">
        <v>0</v>
      </c>
      <c r="AT217" s="6">
        <v>0</v>
      </c>
    </row>
    <row r="218" spans="2:46">
      <c r="B218" s="6" t="s">
        <v>498</v>
      </c>
      <c r="D218" s="6" t="s">
        <v>499</v>
      </c>
      <c r="F218" s="6" t="s">
        <v>1123</v>
      </c>
      <c r="G218" s="6" t="str">
        <f>"OL16WTKN01IPFK"</f>
        <v>OL16WTKN01IPFK</v>
      </c>
      <c r="H218" s="6" t="s">
        <v>1124</v>
      </c>
      <c r="I218" s="6" t="s">
        <v>1125</v>
      </c>
      <c r="J218" s="6" t="str">
        <f>"BACK POINT POPPY ANGORA KNIT"</f>
        <v>BACK POINT POPPY ANGORA KNIT</v>
      </c>
      <c r="K218" s="6">
        <v>0</v>
      </c>
      <c r="L218" s="6">
        <v>0</v>
      </c>
      <c r="M218" s="6">
        <v>0</v>
      </c>
      <c r="N218" s="6" t="str">
        <f>""</f>
        <v/>
      </c>
      <c r="O218" s="6">
        <v>33496</v>
      </c>
      <c r="P218" s="6" t="s">
        <v>1124</v>
      </c>
      <c r="R218" s="6" t="s">
        <v>1098</v>
      </c>
      <c r="S218" s="6" t="s">
        <v>1126</v>
      </c>
      <c r="T218" s="6">
        <v>0</v>
      </c>
      <c r="U218" s="6">
        <v>0</v>
      </c>
      <c r="V218" s="6">
        <v>0</v>
      </c>
      <c r="W218" s="6">
        <v>0</v>
      </c>
      <c r="X218" s="6" t="s">
        <v>169</v>
      </c>
      <c r="Z218" s="6" t="s">
        <v>170</v>
      </c>
      <c r="AA218" s="6" t="s">
        <v>171</v>
      </c>
      <c r="AB218" s="6">
        <v>0</v>
      </c>
      <c r="AC218" s="6" t="str">
        <f>""</f>
        <v/>
      </c>
      <c r="AS218" s="6">
        <v>0</v>
      </c>
      <c r="AT218" s="6">
        <v>0</v>
      </c>
    </row>
    <row r="219" spans="2:46">
      <c r="B219" s="6" t="s">
        <v>498</v>
      </c>
      <c r="D219" s="6" t="s">
        <v>499</v>
      </c>
      <c r="F219" s="6" t="s">
        <v>1127</v>
      </c>
      <c r="G219" s="6" t="str">
        <f>"OL16WTKN01DGFK"</f>
        <v>OL16WTKN01DGFK</v>
      </c>
      <c r="H219" s="6" t="s">
        <v>1128</v>
      </c>
      <c r="I219" s="6" t="s">
        <v>1125</v>
      </c>
      <c r="J219" s="6" t="str">
        <f>"BACK POINT POPPY ANGORA KNIT"</f>
        <v>BACK POINT POPPY ANGORA KNIT</v>
      </c>
      <c r="K219" s="6">
        <v>0</v>
      </c>
      <c r="L219" s="6">
        <v>0</v>
      </c>
      <c r="M219" s="6">
        <v>0</v>
      </c>
      <c r="N219" s="6" t="str">
        <f>""</f>
        <v/>
      </c>
      <c r="O219" s="6">
        <v>33495</v>
      </c>
      <c r="P219" s="6" t="s">
        <v>1128</v>
      </c>
      <c r="R219" s="6" t="s">
        <v>1055</v>
      </c>
      <c r="S219" s="6" t="s">
        <v>1129</v>
      </c>
      <c r="T219" s="6">
        <v>0</v>
      </c>
      <c r="U219" s="6">
        <v>0</v>
      </c>
      <c r="V219" s="6">
        <v>0</v>
      </c>
      <c r="W219" s="6">
        <v>0</v>
      </c>
      <c r="X219" s="6" t="s">
        <v>169</v>
      </c>
      <c r="Z219" s="6" t="s">
        <v>170</v>
      </c>
      <c r="AA219" s="6" t="s">
        <v>171</v>
      </c>
      <c r="AB219" s="6">
        <v>0</v>
      </c>
      <c r="AC219" s="6" t="str">
        <f>""</f>
        <v/>
      </c>
      <c r="AS219" s="6">
        <v>0</v>
      </c>
      <c r="AT219" s="6">
        <v>0</v>
      </c>
    </row>
    <row r="220" spans="2:46">
      <c r="B220" s="6" t="s">
        <v>498</v>
      </c>
      <c r="D220" s="6" t="s">
        <v>499</v>
      </c>
      <c r="F220" s="6" t="s">
        <v>1130</v>
      </c>
      <c r="G220" s="6" t="str">
        <f>"OL16WTBL02SBFK"</f>
        <v>OL16WTBL02SBFK</v>
      </c>
      <c r="H220" s="6" t="s">
        <v>1131</v>
      </c>
      <c r="I220" s="6" t="s">
        <v>1132</v>
      </c>
      <c r="J220" s="6" t="str">
        <f>"POPPY POINT ANGORA LONG SLEEVE KNIT"</f>
        <v>POPPY POINT ANGORA LONG SLEEVE KNIT</v>
      </c>
      <c r="K220" s="6">
        <v>0</v>
      </c>
      <c r="L220" s="6">
        <v>0</v>
      </c>
      <c r="M220" s="6">
        <v>0</v>
      </c>
      <c r="N220" s="6" t="str">
        <f>""</f>
        <v/>
      </c>
      <c r="O220" s="6">
        <v>33493</v>
      </c>
      <c r="P220" s="6" t="s">
        <v>1131</v>
      </c>
      <c r="R220" s="6" t="s">
        <v>523</v>
      </c>
      <c r="S220" s="6" t="s">
        <v>1133</v>
      </c>
      <c r="T220" s="6">
        <v>0</v>
      </c>
      <c r="U220" s="6">
        <v>0</v>
      </c>
      <c r="V220" s="6">
        <v>0</v>
      </c>
      <c r="W220" s="6">
        <v>0</v>
      </c>
      <c r="X220" s="6" t="s">
        <v>169</v>
      </c>
      <c r="Z220" s="6" t="s">
        <v>170</v>
      </c>
      <c r="AA220" s="6" t="s">
        <v>171</v>
      </c>
      <c r="AB220" s="6">
        <v>0</v>
      </c>
      <c r="AC220" s="6" t="str">
        <f>""</f>
        <v/>
      </c>
      <c r="AS220" s="6">
        <v>0</v>
      </c>
      <c r="AT220" s="6">
        <v>0</v>
      </c>
    </row>
    <row r="221" spans="2:46">
      <c r="B221" s="6" t="s">
        <v>498</v>
      </c>
      <c r="D221" s="6" t="s">
        <v>499</v>
      </c>
      <c r="F221" s="6" t="s">
        <v>1134</v>
      </c>
      <c r="G221" s="6" t="str">
        <f>"OL16WTBL02GMFK"</f>
        <v>OL16WTBL02GMFK</v>
      </c>
      <c r="H221" s="6" t="s">
        <v>1135</v>
      </c>
      <c r="I221" s="6" t="s">
        <v>1132</v>
      </c>
      <c r="J221" s="6" t="str">
        <f>"POPPY POINT ANGORA LONG SLEEVE KNIT"</f>
        <v>POPPY POINT ANGORA LONG SLEEVE KNIT</v>
      </c>
      <c r="K221" s="6">
        <v>0</v>
      </c>
      <c r="L221" s="6">
        <v>0</v>
      </c>
      <c r="M221" s="6">
        <v>0</v>
      </c>
      <c r="N221" s="6" t="str">
        <f>""</f>
        <v/>
      </c>
      <c r="O221" s="6">
        <v>33492</v>
      </c>
      <c r="P221" s="6" t="s">
        <v>1135</v>
      </c>
      <c r="R221" s="6" t="s">
        <v>1136</v>
      </c>
      <c r="S221" s="6" t="s">
        <v>1137</v>
      </c>
      <c r="T221" s="6">
        <v>0</v>
      </c>
      <c r="U221" s="6">
        <v>0</v>
      </c>
      <c r="V221" s="6">
        <v>0</v>
      </c>
      <c r="W221" s="6">
        <v>0</v>
      </c>
      <c r="X221" s="6" t="s">
        <v>169</v>
      </c>
      <c r="Z221" s="6" t="s">
        <v>170</v>
      </c>
      <c r="AA221" s="6" t="s">
        <v>171</v>
      </c>
      <c r="AB221" s="6">
        <v>0</v>
      </c>
      <c r="AC221" s="6" t="str">
        <f>""</f>
        <v/>
      </c>
      <c r="AS221" s="6">
        <v>0</v>
      </c>
      <c r="AT221" s="6">
        <v>0</v>
      </c>
    </row>
    <row r="222" spans="2:46">
      <c r="B222" s="6" t="s">
        <v>498</v>
      </c>
      <c r="D222" s="6" t="s">
        <v>499</v>
      </c>
      <c r="F222" s="6" t="s">
        <v>1138</v>
      </c>
      <c r="G222" s="6" t="str">
        <f>"OL16WTKN03KKFK"</f>
        <v>OL16WTKN03KKFK</v>
      </c>
      <c r="H222" s="6" t="s">
        <v>1139</v>
      </c>
      <c r="I222" s="6" t="s">
        <v>1140</v>
      </c>
      <c r="J222" s="6" t="str">
        <f>"WOOL ANGORA LONG KNIT"</f>
        <v>WOOL ANGORA LONG KNIT</v>
      </c>
      <c r="K222" s="6">
        <v>0</v>
      </c>
      <c r="L222" s="6">
        <v>0</v>
      </c>
      <c r="M222" s="6">
        <v>0</v>
      </c>
      <c r="N222" s="6" t="str">
        <f>""</f>
        <v/>
      </c>
      <c r="O222" s="6">
        <v>33490</v>
      </c>
      <c r="P222" s="6" t="s">
        <v>1139</v>
      </c>
      <c r="R222" s="6" t="s">
        <v>1141</v>
      </c>
      <c r="S222" s="6" t="s">
        <v>1142</v>
      </c>
      <c r="T222" s="6">
        <v>0</v>
      </c>
      <c r="U222" s="6">
        <v>0</v>
      </c>
      <c r="V222" s="6">
        <v>0</v>
      </c>
      <c r="W222" s="6">
        <v>0</v>
      </c>
      <c r="X222" s="6" t="s">
        <v>169</v>
      </c>
      <c r="Z222" s="6" t="s">
        <v>170</v>
      </c>
      <c r="AA222" s="6" t="s">
        <v>171</v>
      </c>
      <c r="AB222" s="6">
        <v>0</v>
      </c>
      <c r="AC222" s="6" t="str">
        <f>""</f>
        <v/>
      </c>
      <c r="AS222" s="6">
        <v>0</v>
      </c>
      <c r="AT222" s="6">
        <v>0</v>
      </c>
    </row>
    <row r="223" spans="2:46">
      <c r="B223" s="6" t="s">
        <v>498</v>
      </c>
      <c r="D223" s="6" t="s">
        <v>499</v>
      </c>
      <c r="F223" s="6" t="s">
        <v>1143</v>
      </c>
      <c r="G223" s="6" t="str">
        <f>"OL16FLAC01SLFH"</f>
        <v>OL16FLAC01SLFH</v>
      </c>
      <c r="H223" s="6" t="s">
        <v>1144</v>
      </c>
      <c r="I223" s="6" t="s">
        <v>1144</v>
      </c>
      <c r="J223" s="6" t="str">
        <f>"OL16FLAC01SLFH"</f>
        <v>OL16FLAC01SLFH</v>
      </c>
      <c r="K223" s="6">
        <v>0</v>
      </c>
      <c r="L223" s="6">
        <v>0</v>
      </c>
      <c r="M223" s="6">
        <v>0</v>
      </c>
      <c r="N223" s="6" t="str">
        <f>""</f>
        <v/>
      </c>
      <c r="O223" s="6">
        <v>33488</v>
      </c>
      <c r="P223" s="6" t="s">
        <v>1144</v>
      </c>
      <c r="R223" s="6" t="s">
        <v>797</v>
      </c>
      <c r="S223" s="6" t="s">
        <v>1145</v>
      </c>
      <c r="T223" s="6">
        <v>0</v>
      </c>
      <c r="U223" s="6">
        <v>0</v>
      </c>
      <c r="V223" s="6">
        <v>0</v>
      </c>
      <c r="W223" s="6">
        <v>0</v>
      </c>
      <c r="X223" s="6" t="s">
        <v>169</v>
      </c>
      <c r="Z223" s="6" t="s">
        <v>170</v>
      </c>
      <c r="AA223" s="6" t="s">
        <v>171</v>
      </c>
      <c r="AB223" s="6">
        <v>0</v>
      </c>
      <c r="AC223" s="6" t="str">
        <f>""</f>
        <v/>
      </c>
      <c r="AS223" s="6">
        <v>0</v>
      </c>
      <c r="AT223" s="6">
        <v>0</v>
      </c>
    </row>
    <row r="224" spans="2:46">
      <c r="B224" s="6" t="s">
        <v>498</v>
      </c>
      <c r="D224" s="6" t="s">
        <v>499</v>
      </c>
      <c r="F224" s="6" t="s">
        <v>1146</v>
      </c>
      <c r="G224" s="6" t="str">
        <f>"OL16FLOT02NYFH"</f>
        <v>OL16FLOT02NYFH</v>
      </c>
      <c r="H224" s="6" t="s">
        <v>1147</v>
      </c>
      <c r="I224" s="6" t="s">
        <v>1148</v>
      </c>
      <c r="J224" s="6" t="str">
        <f>"SILVER LETTERING SINGLE JACKET"</f>
        <v>SILVER LETTERING SINGLE JACKET</v>
      </c>
      <c r="K224" s="6">
        <v>0</v>
      </c>
      <c r="L224" s="6">
        <v>0</v>
      </c>
      <c r="M224" s="6">
        <v>0</v>
      </c>
      <c r="N224" s="6" t="str">
        <f>""</f>
        <v/>
      </c>
      <c r="O224" s="6">
        <v>33486</v>
      </c>
      <c r="P224" s="6" t="s">
        <v>1147</v>
      </c>
      <c r="R224" s="6" t="s">
        <v>546</v>
      </c>
      <c r="S224" s="6" t="s">
        <v>1149</v>
      </c>
      <c r="T224" s="6">
        <v>0</v>
      </c>
      <c r="U224" s="6">
        <v>0</v>
      </c>
      <c r="V224" s="6">
        <v>0</v>
      </c>
      <c r="W224" s="6">
        <v>0</v>
      </c>
      <c r="X224" s="6" t="s">
        <v>169</v>
      </c>
      <c r="Z224" s="6" t="s">
        <v>170</v>
      </c>
      <c r="AA224" s="6" t="s">
        <v>171</v>
      </c>
      <c r="AB224" s="6">
        <v>0</v>
      </c>
      <c r="AC224" s="6" t="str">
        <f>""</f>
        <v/>
      </c>
      <c r="AS224" s="6">
        <v>0</v>
      </c>
      <c r="AT224" s="6">
        <v>0</v>
      </c>
    </row>
    <row r="225" spans="2:46">
      <c r="B225" s="6" t="s">
        <v>498</v>
      </c>
      <c r="D225" s="6" t="s">
        <v>499</v>
      </c>
      <c r="F225" s="6" t="s">
        <v>1150</v>
      </c>
      <c r="G225" s="6" t="str">
        <f>"OL16FLPT02BLMH"</f>
        <v>OL16FLPT02BLMH</v>
      </c>
      <c r="H225" s="6" t="s">
        <v>1151</v>
      </c>
      <c r="I225" s="6" t="s">
        <v>1152</v>
      </c>
      <c r="J225" s="6" t="str">
        <f>"UNBALANCE HAM-LINE DENIM PANTS"</f>
        <v>UNBALANCE HAM-LINE DENIM PANTS</v>
      </c>
      <c r="K225" s="6">
        <v>0</v>
      </c>
      <c r="L225" s="6">
        <v>0</v>
      </c>
      <c r="M225" s="6">
        <v>0</v>
      </c>
      <c r="N225" s="6" t="str">
        <f>""</f>
        <v/>
      </c>
      <c r="O225" s="6">
        <v>33484</v>
      </c>
      <c r="P225" s="6" t="s">
        <v>1151</v>
      </c>
      <c r="R225" s="6" t="s">
        <v>1036</v>
      </c>
      <c r="S225" s="6" t="s">
        <v>1153</v>
      </c>
      <c r="T225" s="6">
        <v>0</v>
      </c>
      <c r="U225" s="6">
        <v>0</v>
      </c>
      <c r="V225" s="6">
        <v>0</v>
      </c>
      <c r="W225" s="6">
        <v>0</v>
      </c>
      <c r="X225" s="6" t="s">
        <v>169</v>
      </c>
      <c r="Z225" s="6" t="s">
        <v>170</v>
      </c>
      <c r="AA225" s="6" t="s">
        <v>171</v>
      </c>
      <c r="AB225" s="6">
        <v>0</v>
      </c>
      <c r="AC225" s="6" t="str">
        <f>""</f>
        <v/>
      </c>
      <c r="AS225" s="6">
        <v>0</v>
      </c>
      <c r="AT225" s="6">
        <v>0</v>
      </c>
    </row>
    <row r="226" spans="2:46">
      <c r="B226" s="6" t="s">
        <v>498</v>
      </c>
      <c r="D226" s="6" t="s">
        <v>499</v>
      </c>
      <c r="F226" s="6" t="s">
        <v>1154</v>
      </c>
      <c r="G226" s="6" t="str">
        <f>"OL16FLPT02BLSH"</f>
        <v>OL16FLPT02BLSH</v>
      </c>
      <c r="H226" s="6" t="s">
        <v>1155</v>
      </c>
      <c r="I226" s="6" t="s">
        <v>1152</v>
      </c>
      <c r="J226" s="6" t="str">
        <f>"UNBALANCE HAM-LINE DENIM PANTS"</f>
        <v>UNBALANCE HAM-LINE DENIM PANTS</v>
      </c>
      <c r="K226" s="6">
        <v>0</v>
      </c>
      <c r="L226" s="6">
        <v>0</v>
      </c>
      <c r="M226" s="6">
        <v>0</v>
      </c>
      <c r="N226" s="6" t="str">
        <f>""</f>
        <v/>
      </c>
      <c r="O226" s="6">
        <v>33483</v>
      </c>
      <c r="P226" s="6" t="s">
        <v>1155</v>
      </c>
      <c r="R226" s="6" t="s">
        <v>1040</v>
      </c>
      <c r="S226" s="6" t="s">
        <v>1156</v>
      </c>
      <c r="T226" s="6">
        <v>0</v>
      </c>
      <c r="U226" s="6">
        <v>0</v>
      </c>
      <c r="V226" s="6">
        <v>0</v>
      </c>
      <c r="W226" s="6">
        <v>0</v>
      </c>
      <c r="X226" s="6" t="s">
        <v>169</v>
      </c>
      <c r="Z226" s="6" t="s">
        <v>170</v>
      </c>
      <c r="AA226" s="6" t="s">
        <v>171</v>
      </c>
      <c r="AB226" s="6">
        <v>0</v>
      </c>
      <c r="AC226" s="6" t="str">
        <f>""</f>
        <v/>
      </c>
      <c r="AS226" s="6">
        <v>0</v>
      </c>
      <c r="AT226" s="6">
        <v>0</v>
      </c>
    </row>
    <row r="227" spans="2:46">
      <c r="B227" s="6" t="s">
        <v>498</v>
      </c>
      <c r="D227" s="6" t="s">
        <v>499</v>
      </c>
      <c r="F227" s="6" t="s">
        <v>1157</v>
      </c>
      <c r="G227" s="6" t="str">
        <f>"OL16FLPT01BKMH"</f>
        <v>OL16FLPT01BKMH</v>
      </c>
      <c r="H227" s="6" t="s">
        <v>1158</v>
      </c>
      <c r="I227" s="6" t="s">
        <v>1159</v>
      </c>
      <c r="J227" s="6" t="str">
        <f>"UNBALANCE HAM-LINE SLACKS"</f>
        <v>UNBALANCE HAM-LINE SLACKS</v>
      </c>
      <c r="K227" s="6">
        <v>0</v>
      </c>
      <c r="L227" s="6">
        <v>0</v>
      </c>
      <c r="M227" s="6">
        <v>0</v>
      </c>
      <c r="N227" s="6" t="str">
        <f>""</f>
        <v/>
      </c>
      <c r="O227" s="6">
        <v>33481</v>
      </c>
      <c r="P227" s="6" t="s">
        <v>1158</v>
      </c>
      <c r="R227" s="6" t="s">
        <v>1160</v>
      </c>
      <c r="S227" s="6" t="s">
        <v>1161</v>
      </c>
      <c r="T227" s="6">
        <v>0</v>
      </c>
      <c r="U227" s="6">
        <v>0</v>
      </c>
      <c r="V227" s="6">
        <v>0</v>
      </c>
      <c r="W227" s="6">
        <v>0</v>
      </c>
      <c r="X227" s="6" t="s">
        <v>169</v>
      </c>
      <c r="Z227" s="6" t="s">
        <v>170</v>
      </c>
      <c r="AA227" s="6" t="s">
        <v>171</v>
      </c>
      <c r="AB227" s="6">
        <v>0</v>
      </c>
      <c r="AC227" s="6" t="str">
        <f>""</f>
        <v/>
      </c>
      <c r="AS227" s="6">
        <v>0</v>
      </c>
      <c r="AT227" s="6">
        <v>0</v>
      </c>
    </row>
    <row r="228" spans="2:46">
      <c r="B228" s="6" t="s">
        <v>498</v>
      </c>
      <c r="D228" s="6" t="s">
        <v>499</v>
      </c>
      <c r="F228" s="6" t="s">
        <v>1162</v>
      </c>
      <c r="G228" s="6" t="str">
        <f>"OL16FLPT01BKSH"</f>
        <v>OL16FLPT01BKSH</v>
      </c>
      <c r="H228" s="6" t="s">
        <v>1163</v>
      </c>
      <c r="I228" s="6" t="s">
        <v>1159</v>
      </c>
      <c r="J228" s="6" t="str">
        <f>"UNBALANCE HAM-LINE SLACKS"</f>
        <v>UNBALANCE HAM-LINE SLACKS</v>
      </c>
      <c r="K228" s="6">
        <v>0</v>
      </c>
      <c r="L228" s="6">
        <v>0</v>
      </c>
      <c r="M228" s="6">
        <v>0</v>
      </c>
      <c r="N228" s="6" t="str">
        <f>""</f>
        <v/>
      </c>
      <c r="O228" s="6">
        <v>33480</v>
      </c>
      <c r="P228" s="6" t="s">
        <v>1163</v>
      </c>
      <c r="R228" s="6" t="s">
        <v>1164</v>
      </c>
      <c r="S228" s="6" t="s">
        <v>1165</v>
      </c>
      <c r="T228" s="6">
        <v>0</v>
      </c>
      <c r="U228" s="6">
        <v>0</v>
      </c>
      <c r="V228" s="6">
        <v>0</v>
      </c>
      <c r="W228" s="6">
        <v>0</v>
      </c>
      <c r="X228" s="6" t="s">
        <v>169</v>
      </c>
      <c r="Z228" s="6" t="s">
        <v>170</v>
      </c>
      <c r="AA228" s="6" t="s">
        <v>171</v>
      </c>
      <c r="AB228" s="6">
        <v>0</v>
      </c>
      <c r="AC228" s="6" t="str">
        <f>""</f>
        <v/>
      </c>
      <c r="AS228" s="6">
        <v>0</v>
      </c>
      <c r="AT228" s="6">
        <v>0</v>
      </c>
    </row>
    <row r="229" spans="2:46">
      <c r="B229" s="6" t="s">
        <v>498</v>
      </c>
      <c r="D229" s="6" t="s">
        <v>499</v>
      </c>
      <c r="F229" s="6" t="s">
        <v>1166</v>
      </c>
      <c r="G229" s="6" t="str">
        <f>"OL16FLSK02NYMH"</f>
        <v>OL16FLSK02NYMH</v>
      </c>
      <c r="H229" s="6" t="s">
        <v>1167</v>
      </c>
      <c r="I229" s="6" t="s">
        <v>1168</v>
      </c>
      <c r="J229" s="6" t="str">
        <f>"PIN STRIPE MERMAID SKIRT"</f>
        <v>PIN STRIPE MERMAID SKIRT</v>
      </c>
      <c r="K229" s="6">
        <v>0</v>
      </c>
      <c r="L229" s="6">
        <v>0</v>
      </c>
      <c r="M229" s="6">
        <v>0</v>
      </c>
      <c r="N229" s="6" t="str">
        <f>""</f>
        <v/>
      </c>
      <c r="O229" s="6">
        <v>33478</v>
      </c>
      <c r="P229" s="6" t="s">
        <v>1167</v>
      </c>
      <c r="R229" s="6" t="s">
        <v>1169</v>
      </c>
      <c r="S229" s="6" t="s">
        <v>1170</v>
      </c>
      <c r="T229" s="6">
        <v>0</v>
      </c>
      <c r="U229" s="6">
        <v>0</v>
      </c>
      <c r="V229" s="6">
        <v>0</v>
      </c>
      <c r="W229" s="6">
        <v>0</v>
      </c>
      <c r="X229" s="6" t="s">
        <v>169</v>
      </c>
      <c r="Z229" s="6" t="s">
        <v>170</v>
      </c>
      <c r="AA229" s="6" t="s">
        <v>171</v>
      </c>
      <c r="AB229" s="6">
        <v>0</v>
      </c>
      <c r="AC229" s="6" t="str">
        <f>""</f>
        <v/>
      </c>
      <c r="AS229" s="6">
        <v>0</v>
      </c>
      <c r="AT229" s="6">
        <v>0</v>
      </c>
    </row>
    <row r="230" spans="2:46">
      <c r="B230" s="6" t="s">
        <v>498</v>
      </c>
      <c r="D230" s="6" t="s">
        <v>499</v>
      </c>
      <c r="F230" s="6" t="s">
        <v>1171</v>
      </c>
      <c r="G230" s="6" t="str">
        <f>"OL16FLSK02NYSH"</f>
        <v>OL16FLSK02NYSH</v>
      </c>
      <c r="H230" s="6" t="s">
        <v>1172</v>
      </c>
      <c r="I230" s="6" t="s">
        <v>1168</v>
      </c>
      <c r="J230" s="6" t="str">
        <f>"PIN STRIPE MERMAID SKIRT"</f>
        <v>PIN STRIPE MERMAID SKIRT</v>
      </c>
      <c r="K230" s="6">
        <v>0</v>
      </c>
      <c r="L230" s="6">
        <v>0</v>
      </c>
      <c r="M230" s="6">
        <v>0</v>
      </c>
      <c r="N230" s="6" t="str">
        <f>""</f>
        <v/>
      </c>
      <c r="O230" s="6">
        <v>33477</v>
      </c>
      <c r="P230" s="6" t="s">
        <v>1172</v>
      </c>
      <c r="R230" s="6" t="s">
        <v>1173</v>
      </c>
      <c r="S230" s="6" t="s">
        <v>1174</v>
      </c>
      <c r="T230" s="6">
        <v>0</v>
      </c>
      <c r="U230" s="6">
        <v>0</v>
      </c>
      <c r="V230" s="6">
        <v>0</v>
      </c>
      <c r="W230" s="6">
        <v>0</v>
      </c>
      <c r="X230" s="6" t="s">
        <v>169</v>
      </c>
      <c r="Z230" s="6" t="s">
        <v>170</v>
      </c>
      <c r="AA230" s="6" t="s">
        <v>171</v>
      </c>
      <c r="AB230" s="6">
        <v>0</v>
      </c>
      <c r="AC230" s="6" t="str">
        <f>""</f>
        <v/>
      </c>
      <c r="AS230" s="6">
        <v>0</v>
      </c>
      <c r="AT230" s="6">
        <v>0</v>
      </c>
    </row>
    <row r="231" spans="2:46">
      <c r="B231" s="6" t="s">
        <v>498</v>
      </c>
      <c r="D231" s="6" t="s">
        <v>499</v>
      </c>
      <c r="F231" s="6" t="s">
        <v>1175</v>
      </c>
      <c r="G231" s="6" t="str">
        <f>"OL16FLSK01BGMH"</f>
        <v>OL16FLSK01BGMH</v>
      </c>
      <c r="H231" s="6" t="s">
        <v>1176</v>
      </c>
      <c r="I231" s="6" t="s">
        <v>1177</v>
      </c>
      <c r="J231" s="6" t="str">
        <f>"FLOWER LACE MERMAID  SKIRT"</f>
        <v>FLOWER LACE MERMAID  SKIRT</v>
      </c>
      <c r="K231" s="6">
        <v>0</v>
      </c>
      <c r="L231" s="6">
        <v>0</v>
      </c>
      <c r="M231" s="6">
        <v>0</v>
      </c>
      <c r="N231" s="6" t="str">
        <f>""</f>
        <v/>
      </c>
      <c r="O231" s="6">
        <v>33475</v>
      </c>
      <c r="P231" s="6" t="s">
        <v>1176</v>
      </c>
      <c r="R231" s="6" t="s">
        <v>1178</v>
      </c>
      <c r="S231" s="6" t="s">
        <v>1179</v>
      </c>
      <c r="T231" s="6">
        <v>0</v>
      </c>
      <c r="U231" s="6">
        <v>0</v>
      </c>
      <c r="V231" s="6">
        <v>0</v>
      </c>
      <c r="W231" s="6">
        <v>0</v>
      </c>
      <c r="X231" s="6" t="s">
        <v>169</v>
      </c>
      <c r="Z231" s="6" t="s">
        <v>170</v>
      </c>
      <c r="AA231" s="6" t="s">
        <v>171</v>
      </c>
      <c r="AB231" s="6">
        <v>0</v>
      </c>
      <c r="AC231" s="6" t="str">
        <f>""</f>
        <v/>
      </c>
      <c r="AS231" s="6">
        <v>0</v>
      </c>
      <c r="AT231" s="6">
        <v>0</v>
      </c>
    </row>
    <row r="232" spans="2:46">
      <c r="B232" s="6" t="s">
        <v>498</v>
      </c>
      <c r="D232" s="6" t="s">
        <v>499</v>
      </c>
      <c r="F232" s="6" t="s">
        <v>1180</v>
      </c>
      <c r="G232" s="6" t="str">
        <f>"OL16FLSK01BGSH"</f>
        <v>OL16FLSK01BGSH</v>
      </c>
      <c r="H232" s="6" t="s">
        <v>1181</v>
      </c>
      <c r="I232" s="6" t="s">
        <v>1177</v>
      </c>
      <c r="J232" s="6" t="str">
        <f>"FLOWER LACE MERMAID  SKIRT"</f>
        <v>FLOWER LACE MERMAID  SKIRT</v>
      </c>
      <c r="K232" s="6">
        <v>0</v>
      </c>
      <c r="L232" s="6">
        <v>0</v>
      </c>
      <c r="M232" s="6">
        <v>0</v>
      </c>
      <c r="N232" s="6" t="str">
        <f>""</f>
        <v/>
      </c>
      <c r="O232" s="6">
        <v>33474</v>
      </c>
      <c r="P232" s="6" t="s">
        <v>1181</v>
      </c>
      <c r="R232" s="6" t="s">
        <v>1182</v>
      </c>
      <c r="S232" s="6" t="s">
        <v>1183</v>
      </c>
      <c r="T232" s="6">
        <v>0</v>
      </c>
      <c r="U232" s="6">
        <v>0</v>
      </c>
      <c r="V232" s="6">
        <v>0</v>
      </c>
      <c r="W232" s="6">
        <v>0</v>
      </c>
      <c r="X232" s="6" t="s">
        <v>169</v>
      </c>
      <c r="Z232" s="6" t="s">
        <v>170</v>
      </c>
      <c r="AA232" s="6" t="s">
        <v>171</v>
      </c>
      <c r="AB232" s="6">
        <v>0</v>
      </c>
      <c r="AC232" s="6" t="str">
        <f>""</f>
        <v/>
      </c>
      <c r="AS232" s="6">
        <v>0</v>
      </c>
      <c r="AT232" s="6">
        <v>0</v>
      </c>
    </row>
    <row r="233" spans="2:46">
      <c r="B233" s="6" t="s">
        <v>498</v>
      </c>
      <c r="D233" s="6" t="s">
        <v>499</v>
      </c>
      <c r="F233" s="6" t="s">
        <v>1184</v>
      </c>
      <c r="G233" s="6" t="str">
        <f>"OL16FLOT03PKFH"</f>
        <v>OL16FLOT03PKFH</v>
      </c>
      <c r="H233" s="6" t="s">
        <v>1185</v>
      </c>
      <c r="I233" s="6" t="s">
        <v>1186</v>
      </c>
      <c r="J233" s="6" t="str">
        <f>"FLOWER CUFFS DOUBLE TRENCH COAT"</f>
        <v>FLOWER CUFFS DOUBLE TRENCH COAT</v>
      </c>
      <c r="K233" s="6">
        <v>0</v>
      </c>
      <c r="L233" s="6">
        <v>0</v>
      </c>
      <c r="M233" s="6">
        <v>0</v>
      </c>
      <c r="N233" s="6" t="str">
        <f>""</f>
        <v/>
      </c>
      <c r="O233" s="6">
        <v>33472</v>
      </c>
      <c r="P233" s="6" t="s">
        <v>1185</v>
      </c>
      <c r="R233" s="6" t="s">
        <v>1098</v>
      </c>
      <c r="S233" s="6" t="s">
        <v>1187</v>
      </c>
      <c r="T233" s="6">
        <v>0</v>
      </c>
      <c r="U233" s="6">
        <v>0</v>
      </c>
      <c r="V233" s="6">
        <v>0</v>
      </c>
      <c r="W233" s="6">
        <v>0</v>
      </c>
      <c r="X233" s="6" t="s">
        <v>169</v>
      </c>
      <c r="Z233" s="6" t="s">
        <v>170</v>
      </c>
      <c r="AA233" s="6" t="s">
        <v>171</v>
      </c>
      <c r="AB233" s="6">
        <v>0</v>
      </c>
      <c r="AC233" s="6" t="str">
        <f>""</f>
        <v/>
      </c>
      <c r="AS233" s="6">
        <v>0</v>
      </c>
      <c r="AT233" s="6">
        <v>0</v>
      </c>
    </row>
    <row r="234" spans="2:46">
      <c r="B234" s="6" t="s">
        <v>498</v>
      </c>
      <c r="D234" s="6" t="s">
        <v>499</v>
      </c>
      <c r="F234" s="6" t="s">
        <v>1188</v>
      </c>
      <c r="G234" s="6" t="str">
        <f>"OL16FLOT01BKFH"</f>
        <v>OL16FLOT01BKFH</v>
      </c>
      <c r="H234" s="6" t="s">
        <v>1189</v>
      </c>
      <c r="I234" s="6" t="s">
        <v>1190</v>
      </c>
      <c r="J234" s="6" t="str">
        <f>"GOLD LETTERING SINGLE JACKET"</f>
        <v>GOLD LETTERING SINGLE JACKET</v>
      </c>
      <c r="K234" s="6">
        <v>0</v>
      </c>
      <c r="L234" s="6">
        <v>0</v>
      </c>
      <c r="M234" s="6">
        <v>0</v>
      </c>
      <c r="N234" s="6" t="str">
        <f>""</f>
        <v/>
      </c>
      <c r="O234" s="6">
        <v>33470</v>
      </c>
      <c r="P234" s="6" t="s">
        <v>1189</v>
      </c>
      <c r="R234" s="6" t="s">
        <v>581</v>
      </c>
      <c r="S234" s="6" t="s">
        <v>1191</v>
      </c>
      <c r="T234" s="6">
        <v>0</v>
      </c>
      <c r="U234" s="6">
        <v>0</v>
      </c>
      <c r="V234" s="6">
        <v>0</v>
      </c>
      <c r="W234" s="6">
        <v>0</v>
      </c>
      <c r="X234" s="6" t="s">
        <v>169</v>
      </c>
      <c r="Z234" s="6" t="s">
        <v>170</v>
      </c>
      <c r="AA234" s="6" t="s">
        <v>171</v>
      </c>
      <c r="AB234" s="6">
        <v>0</v>
      </c>
      <c r="AC234" s="6" t="str">
        <f>""</f>
        <v/>
      </c>
      <c r="AS234" s="6">
        <v>0</v>
      </c>
      <c r="AT234" s="6">
        <v>0</v>
      </c>
    </row>
    <row r="235" spans="2:46">
      <c r="B235" s="6" t="s">
        <v>498</v>
      </c>
      <c r="D235" s="6" t="s">
        <v>499</v>
      </c>
      <c r="F235" s="6" t="s">
        <v>1192</v>
      </c>
      <c r="G235" s="6" t="str">
        <f>"OL16FLOP02BKFH"</f>
        <v>OL16FLOP02BKFH</v>
      </c>
      <c r="H235" s="6" t="s">
        <v>1193</v>
      </c>
      <c r="I235" s="6" t="s">
        <v>1194</v>
      </c>
      <c r="J235" s="6" t="str">
        <f>"ALL PLEATS LACE DRESS"</f>
        <v>ALL PLEATS LACE DRESS</v>
      </c>
      <c r="K235" s="6">
        <v>0</v>
      </c>
      <c r="L235" s="6">
        <v>0</v>
      </c>
      <c r="M235" s="6">
        <v>0</v>
      </c>
      <c r="N235" s="6" t="str">
        <f>""</f>
        <v/>
      </c>
      <c r="O235" s="6">
        <v>33468</v>
      </c>
      <c r="P235" s="6" t="s">
        <v>1193</v>
      </c>
      <c r="R235" s="6" t="s">
        <v>581</v>
      </c>
      <c r="S235" s="6" t="s">
        <v>1195</v>
      </c>
      <c r="T235" s="6">
        <v>0</v>
      </c>
      <c r="U235" s="6">
        <v>0</v>
      </c>
      <c r="V235" s="6">
        <v>0</v>
      </c>
      <c r="W235" s="6">
        <v>0</v>
      </c>
      <c r="X235" s="6" t="s">
        <v>169</v>
      </c>
      <c r="Z235" s="6" t="s">
        <v>170</v>
      </c>
      <c r="AA235" s="6" t="s">
        <v>171</v>
      </c>
      <c r="AB235" s="6">
        <v>0</v>
      </c>
      <c r="AC235" s="6" t="str">
        <f>""</f>
        <v/>
      </c>
      <c r="AS235" s="6">
        <v>0</v>
      </c>
      <c r="AT235" s="6">
        <v>0</v>
      </c>
    </row>
    <row r="236" spans="2:46">
      <c r="B236" s="6" t="s">
        <v>498</v>
      </c>
      <c r="D236" s="6" t="s">
        <v>499</v>
      </c>
      <c r="F236" s="6" t="s">
        <v>1196</v>
      </c>
      <c r="G236" s="6" t="str">
        <f>"OL16FLOP01PKFH"</f>
        <v>OL16FLOP01PKFH</v>
      </c>
      <c r="H236" s="6" t="s">
        <v>1197</v>
      </c>
      <c r="I236" s="6" t="s">
        <v>1198</v>
      </c>
      <c r="J236" s="6" t="str">
        <f>"POINT LACE MAXI DRESS"</f>
        <v>POINT LACE MAXI DRESS</v>
      </c>
      <c r="K236" s="6">
        <v>0</v>
      </c>
      <c r="L236" s="6">
        <v>0</v>
      </c>
      <c r="M236" s="6">
        <v>0</v>
      </c>
      <c r="N236" s="6" t="str">
        <f>""</f>
        <v/>
      </c>
      <c r="O236" s="6">
        <v>33466</v>
      </c>
      <c r="P236" s="6" t="s">
        <v>1197</v>
      </c>
      <c r="R236" s="6" t="s">
        <v>1098</v>
      </c>
      <c r="S236" s="6" t="s">
        <v>1199</v>
      </c>
      <c r="T236" s="6">
        <v>0</v>
      </c>
      <c r="U236" s="6">
        <v>0</v>
      </c>
      <c r="V236" s="6">
        <v>0</v>
      </c>
      <c r="W236" s="6">
        <v>0</v>
      </c>
      <c r="X236" s="6" t="s">
        <v>169</v>
      </c>
      <c r="Z236" s="6" t="s">
        <v>170</v>
      </c>
      <c r="AA236" s="6" t="s">
        <v>171</v>
      </c>
      <c r="AB236" s="6">
        <v>0</v>
      </c>
      <c r="AC236" s="6" t="str">
        <f>""</f>
        <v/>
      </c>
      <c r="AS236" s="6">
        <v>0</v>
      </c>
      <c r="AT236" s="6">
        <v>0</v>
      </c>
    </row>
    <row r="237" spans="2:46">
      <c r="B237" s="6" t="s">
        <v>498</v>
      </c>
      <c r="D237" s="6" t="s">
        <v>499</v>
      </c>
      <c r="F237" s="6" t="s">
        <v>1200</v>
      </c>
      <c r="G237" s="6" t="str">
        <f>"OL16FLKN03OBFH"</f>
        <v>OL16FLKN03OBFH</v>
      </c>
      <c r="H237" s="6" t="s">
        <v>1201</v>
      </c>
      <c r="I237" s="6" t="s">
        <v>1202</v>
      </c>
      <c r="J237" s="6" t="str">
        <f>"MERMAID MAXI KNIT SKIRT"</f>
        <v>MERMAID MAXI KNIT SKIRT</v>
      </c>
      <c r="K237" s="6">
        <v>0</v>
      </c>
      <c r="L237" s="6">
        <v>0</v>
      </c>
      <c r="M237" s="6">
        <v>0</v>
      </c>
      <c r="N237" s="6" t="str">
        <f>""</f>
        <v/>
      </c>
      <c r="O237" s="6">
        <v>33464</v>
      </c>
      <c r="P237" s="6" t="s">
        <v>1201</v>
      </c>
      <c r="R237" s="6" t="s">
        <v>1059</v>
      </c>
      <c r="S237" s="6" t="s">
        <v>1203</v>
      </c>
      <c r="T237" s="6">
        <v>0</v>
      </c>
      <c r="U237" s="6">
        <v>0</v>
      </c>
      <c r="V237" s="6">
        <v>0</v>
      </c>
      <c r="W237" s="6">
        <v>0</v>
      </c>
      <c r="X237" s="6" t="s">
        <v>169</v>
      </c>
      <c r="Z237" s="6" t="s">
        <v>170</v>
      </c>
      <c r="AA237" s="6" t="s">
        <v>171</v>
      </c>
      <c r="AB237" s="6">
        <v>0</v>
      </c>
      <c r="AC237" s="6" t="str">
        <f>""</f>
        <v/>
      </c>
      <c r="AS237" s="6">
        <v>0</v>
      </c>
      <c r="AT237" s="6">
        <v>0</v>
      </c>
    </row>
    <row r="238" spans="2:46">
      <c r="B238" s="6" t="s">
        <v>498</v>
      </c>
      <c r="D238" s="6" t="s">
        <v>499</v>
      </c>
      <c r="F238" s="6" t="s">
        <v>1204</v>
      </c>
      <c r="G238" s="6" t="str">
        <f>"OL16FLKN02OBFH"</f>
        <v>OL16FLKN02OBFH</v>
      </c>
      <c r="H238" s="6" t="s">
        <v>1205</v>
      </c>
      <c r="I238" s="6" t="s">
        <v>1206</v>
      </c>
      <c r="J238" s="6" t="str">
        <f>"POINT NECKLINE PULLOVER KNIT"</f>
        <v>POINT NECKLINE PULLOVER KNIT</v>
      </c>
      <c r="K238" s="6">
        <v>0</v>
      </c>
      <c r="L238" s="6">
        <v>0</v>
      </c>
      <c r="M238" s="6">
        <v>0</v>
      </c>
      <c r="N238" s="6" t="str">
        <f>""</f>
        <v/>
      </c>
      <c r="O238" s="6">
        <v>33462</v>
      </c>
      <c r="P238" s="6" t="s">
        <v>1205</v>
      </c>
      <c r="R238" s="6" t="s">
        <v>1059</v>
      </c>
      <c r="S238" s="6" t="s">
        <v>1207</v>
      </c>
      <c r="T238" s="6">
        <v>0</v>
      </c>
      <c r="U238" s="6">
        <v>0</v>
      </c>
      <c r="V238" s="6">
        <v>0</v>
      </c>
      <c r="W238" s="6">
        <v>0</v>
      </c>
      <c r="X238" s="6" t="s">
        <v>169</v>
      </c>
      <c r="Z238" s="6" t="s">
        <v>170</v>
      </c>
      <c r="AA238" s="6" t="s">
        <v>171</v>
      </c>
      <c r="AB238" s="6">
        <v>0</v>
      </c>
      <c r="AC238" s="6" t="str">
        <f>""</f>
        <v/>
      </c>
      <c r="AS238" s="6">
        <v>0</v>
      </c>
      <c r="AT238" s="6">
        <v>0</v>
      </c>
    </row>
    <row r="239" spans="2:46">
      <c r="B239" s="6" t="s">
        <v>498</v>
      </c>
      <c r="D239" s="6" t="s">
        <v>499</v>
      </c>
      <c r="F239" s="6" t="s">
        <v>1208</v>
      </c>
      <c r="G239" s="6" t="str">
        <f>"OL16FLKN01OBFH"</f>
        <v>OL16FLKN01OBFH</v>
      </c>
      <c r="H239" s="6" t="s">
        <v>1209</v>
      </c>
      <c r="I239" s="6" t="s">
        <v>1210</v>
      </c>
      <c r="J239" s="6" t="str">
        <f>"COLOR POINT LINE RAGLAN SLEEVES KNIT"</f>
        <v>COLOR POINT LINE RAGLAN SLEEVES KNIT</v>
      </c>
      <c r="K239" s="6">
        <v>0</v>
      </c>
      <c r="L239" s="6">
        <v>0</v>
      </c>
      <c r="M239" s="6">
        <v>0</v>
      </c>
      <c r="N239" s="6" t="str">
        <f>""</f>
        <v/>
      </c>
      <c r="O239" s="6">
        <v>33460</v>
      </c>
      <c r="P239" s="6" t="s">
        <v>1209</v>
      </c>
      <c r="R239" s="6" t="s">
        <v>1059</v>
      </c>
      <c r="S239" s="6" t="s">
        <v>1211</v>
      </c>
      <c r="T239" s="6">
        <v>0</v>
      </c>
      <c r="U239" s="6">
        <v>0</v>
      </c>
      <c r="V239" s="6">
        <v>0</v>
      </c>
      <c r="W239" s="6">
        <v>0</v>
      </c>
      <c r="X239" s="6" t="s">
        <v>169</v>
      </c>
      <c r="Z239" s="6" t="s">
        <v>170</v>
      </c>
      <c r="AA239" s="6" t="s">
        <v>171</v>
      </c>
      <c r="AB239" s="6">
        <v>0</v>
      </c>
      <c r="AC239" s="6" t="str">
        <f>""</f>
        <v/>
      </c>
      <c r="AS239" s="6">
        <v>0</v>
      </c>
      <c r="AT239" s="6">
        <v>0</v>
      </c>
    </row>
    <row r="240" spans="2:46">
      <c r="B240" s="6" t="s">
        <v>498</v>
      </c>
      <c r="D240" s="6" t="s">
        <v>499</v>
      </c>
      <c r="F240" s="6" t="s">
        <v>1212</v>
      </c>
      <c r="G240" s="6" t="str">
        <f>"OL16FLKN01SBFH"</f>
        <v>OL16FLKN01SBFH</v>
      </c>
      <c r="H240" s="6" t="s">
        <v>1213</v>
      </c>
      <c r="I240" s="6" t="s">
        <v>1210</v>
      </c>
      <c r="J240" s="6" t="str">
        <f>"COLOR POINT LINE RAGLAN SLEEVES KNIT"</f>
        <v>COLOR POINT LINE RAGLAN SLEEVES KNIT</v>
      </c>
      <c r="K240" s="6">
        <v>0</v>
      </c>
      <c r="L240" s="6">
        <v>0</v>
      </c>
      <c r="M240" s="6">
        <v>0</v>
      </c>
      <c r="N240" s="6" t="str">
        <f>""</f>
        <v/>
      </c>
      <c r="O240" s="6">
        <v>33459</v>
      </c>
      <c r="P240" s="6" t="s">
        <v>1213</v>
      </c>
      <c r="R240" s="6" t="s">
        <v>523</v>
      </c>
      <c r="S240" s="6" t="s">
        <v>1214</v>
      </c>
      <c r="T240" s="6">
        <v>0</v>
      </c>
      <c r="U240" s="6">
        <v>0</v>
      </c>
      <c r="V240" s="6">
        <v>0</v>
      </c>
      <c r="W240" s="6">
        <v>0</v>
      </c>
      <c r="X240" s="6" t="s">
        <v>169</v>
      </c>
      <c r="Z240" s="6" t="s">
        <v>170</v>
      </c>
      <c r="AA240" s="6" t="s">
        <v>171</v>
      </c>
      <c r="AB240" s="6">
        <v>0</v>
      </c>
      <c r="AC240" s="6" t="str">
        <f>""</f>
        <v/>
      </c>
      <c r="AS240" s="6">
        <v>0</v>
      </c>
      <c r="AT240" s="6">
        <v>0</v>
      </c>
    </row>
    <row r="241" spans="2:46">
      <c r="B241" s="6" t="s">
        <v>498</v>
      </c>
      <c r="D241" s="6" t="s">
        <v>499</v>
      </c>
      <c r="F241" s="6" t="s">
        <v>1215</v>
      </c>
      <c r="G241" s="6" t="str">
        <f>"OL16FLBL02BGFH"</f>
        <v>OL16FLBL02BGFH</v>
      </c>
      <c r="H241" s="6" t="s">
        <v>1216</v>
      </c>
      <c r="I241" s="6" t="s">
        <v>1217</v>
      </c>
      <c r="J241" s="6" t="str">
        <f>"PIPING LINE BLOUSE"</f>
        <v>PIPING LINE BLOUSE</v>
      </c>
      <c r="K241" s="6">
        <v>0</v>
      </c>
      <c r="L241" s="6">
        <v>0</v>
      </c>
      <c r="M241" s="6">
        <v>0</v>
      </c>
      <c r="N241" s="6" t="str">
        <f>""</f>
        <v/>
      </c>
      <c r="O241" s="6">
        <v>33457</v>
      </c>
      <c r="P241" s="6" t="s">
        <v>1216</v>
      </c>
      <c r="R241" s="6" t="s">
        <v>1218</v>
      </c>
      <c r="S241" s="6" t="s">
        <v>1219</v>
      </c>
      <c r="T241" s="6">
        <v>0</v>
      </c>
      <c r="U241" s="6">
        <v>0</v>
      </c>
      <c r="V241" s="6">
        <v>0</v>
      </c>
      <c r="W241" s="6">
        <v>0</v>
      </c>
      <c r="X241" s="6" t="s">
        <v>169</v>
      </c>
      <c r="Z241" s="6" t="s">
        <v>170</v>
      </c>
      <c r="AA241" s="6" t="s">
        <v>171</v>
      </c>
      <c r="AB241" s="6">
        <v>0</v>
      </c>
      <c r="AC241" s="6" t="str">
        <f>""</f>
        <v/>
      </c>
      <c r="AS241" s="6">
        <v>0</v>
      </c>
      <c r="AT241" s="6">
        <v>0</v>
      </c>
    </row>
    <row r="242" spans="2:46">
      <c r="B242" s="6" t="s">
        <v>498</v>
      </c>
      <c r="D242" s="6" t="s">
        <v>499</v>
      </c>
      <c r="F242" s="6" t="s">
        <v>1220</v>
      </c>
      <c r="G242" s="6" t="str">
        <f>"OL16FLBL02PKFH"</f>
        <v>OL16FLBL02PKFH</v>
      </c>
      <c r="H242" s="6" t="s">
        <v>1221</v>
      </c>
      <c r="I242" s="6" t="s">
        <v>1217</v>
      </c>
      <c r="J242" s="6" t="str">
        <f>"PIPING LINE BLOUSE"</f>
        <v>PIPING LINE BLOUSE</v>
      </c>
      <c r="K242" s="6">
        <v>0</v>
      </c>
      <c r="L242" s="6">
        <v>0</v>
      </c>
      <c r="M242" s="6">
        <v>0</v>
      </c>
      <c r="N242" s="6" t="str">
        <f>""</f>
        <v/>
      </c>
      <c r="O242" s="6">
        <v>33456</v>
      </c>
      <c r="P242" s="6" t="s">
        <v>1221</v>
      </c>
      <c r="R242" s="6" t="s">
        <v>508</v>
      </c>
      <c r="S242" s="6" t="s">
        <v>1222</v>
      </c>
      <c r="T242" s="6">
        <v>0</v>
      </c>
      <c r="U242" s="6">
        <v>0</v>
      </c>
      <c r="V242" s="6">
        <v>0</v>
      </c>
      <c r="W242" s="6">
        <v>0</v>
      </c>
      <c r="X242" s="6" t="s">
        <v>169</v>
      </c>
      <c r="Z242" s="6" t="s">
        <v>170</v>
      </c>
      <c r="AA242" s="6" t="s">
        <v>171</v>
      </c>
      <c r="AB242" s="6">
        <v>0</v>
      </c>
      <c r="AC242" s="6" t="str">
        <f>""</f>
        <v/>
      </c>
      <c r="AS242" s="6">
        <v>0</v>
      </c>
      <c r="AT242" s="6">
        <v>0</v>
      </c>
    </row>
    <row r="243" spans="2:46">
      <c r="B243" s="6" t="s">
        <v>498</v>
      </c>
      <c r="D243" s="6" t="s">
        <v>499</v>
      </c>
      <c r="F243" s="6" t="s">
        <v>1223</v>
      </c>
      <c r="G243" s="6" t="str">
        <f>"OL16FLBL01NYFH"</f>
        <v>OL16FLBL01NYFH</v>
      </c>
      <c r="H243" s="6" t="s">
        <v>1224</v>
      </c>
      <c r="I243" s="6" t="s">
        <v>1225</v>
      </c>
      <c r="J243" s="6" t="str">
        <f>"BACK POINT FLOWER BLOUSE"</f>
        <v>BACK POINT FLOWER BLOUSE</v>
      </c>
      <c r="K243" s="6">
        <v>0</v>
      </c>
      <c r="L243" s="6">
        <v>0</v>
      </c>
      <c r="M243" s="6">
        <v>0</v>
      </c>
      <c r="N243" s="6" t="str">
        <f>""</f>
        <v/>
      </c>
      <c r="O243" s="6">
        <v>33454</v>
      </c>
      <c r="P243" s="6" t="s">
        <v>1224</v>
      </c>
      <c r="R243" s="6" t="s">
        <v>546</v>
      </c>
      <c r="S243" s="6" t="s">
        <v>1226</v>
      </c>
      <c r="T243" s="6">
        <v>0</v>
      </c>
      <c r="U243" s="6">
        <v>0</v>
      </c>
      <c r="V243" s="6">
        <v>0</v>
      </c>
      <c r="W243" s="6">
        <v>0</v>
      </c>
      <c r="X243" s="6" t="s">
        <v>169</v>
      </c>
      <c r="Z243" s="6" t="s">
        <v>170</v>
      </c>
      <c r="AA243" s="6" t="s">
        <v>171</v>
      </c>
      <c r="AB243" s="6">
        <v>0</v>
      </c>
      <c r="AC243" s="6" t="str">
        <f>""</f>
        <v/>
      </c>
      <c r="AS243" s="6">
        <v>0</v>
      </c>
      <c r="AT243" s="6">
        <v>0</v>
      </c>
    </row>
    <row r="244" spans="2:46">
      <c r="B244" s="6" t="s">
        <v>498</v>
      </c>
      <c r="D244" s="6" t="s">
        <v>499</v>
      </c>
      <c r="F244" s="6" t="s">
        <v>1227</v>
      </c>
      <c r="G244" s="6" t="str">
        <f>"OL16FLBL01PKFH"</f>
        <v>OL16FLBL01PKFH</v>
      </c>
      <c r="H244" s="6" t="s">
        <v>1228</v>
      </c>
      <c r="I244" s="6" t="s">
        <v>1225</v>
      </c>
      <c r="J244" s="6" t="str">
        <f>"BACK POINT FLOWER BLOUSE"</f>
        <v>BACK POINT FLOWER BLOUSE</v>
      </c>
      <c r="K244" s="6">
        <v>0</v>
      </c>
      <c r="L244" s="6">
        <v>0</v>
      </c>
      <c r="M244" s="6">
        <v>0</v>
      </c>
      <c r="N244" s="6" t="str">
        <f>""</f>
        <v/>
      </c>
      <c r="O244" s="6">
        <v>33453</v>
      </c>
      <c r="P244" s="6" t="s">
        <v>1228</v>
      </c>
      <c r="R244" s="6" t="s">
        <v>528</v>
      </c>
      <c r="S244" s="6" t="s">
        <v>1229</v>
      </c>
      <c r="T244" s="6">
        <v>0</v>
      </c>
      <c r="U244" s="6">
        <v>0</v>
      </c>
      <c r="V244" s="6">
        <v>0</v>
      </c>
      <c r="W244" s="6">
        <v>0</v>
      </c>
      <c r="X244" s="6" t="s">
        <v>169</v>
      </c>
      <c r="Z244" s="6" t="s">
        <v>170</v>
      </c>
      <c r="AA244" s="6" t="s">
        <v>171</v>
      </c>
      <c r="AB244" s="6">
        <v>0</v>
      </c>
      <c r="AC244" s="6" t="str">
        <f>""</f>
        <v/>
      </c>
      <c r="AS244" s="6">
        <v>0</v>
      </c>
      <c r="AT244" s="6">
        <v>0</v>
      </c>
    </row>
    <row r="245" spans="2:46">
      <c r="B245" s="6" t="s">
        <v>498</v>
      </c>
      <c r="D245" s="6" t="s">
        <v>499</v>
      </c>
      <c r="F245" s="6" t="s">
        <v>1230</v>
      </c>
      <c r="G245" s="6" t="str">
        <f>"OL16SPSK01NYSH"</f>
        <v>OL16SPSK01NYSH</v>
      </c>
      <c r="H245" s="6" t="s">
        <v>1231</v>
      </c>
      <c r="I245" s="6" t="s">
        <v>1231</v>
      </c>
      <c r="J245" s="6" t="str">
        <f>"OL16SPSK01NYSH"</f>
        <v>OL16SPSK01NYSH</v>
      </c>
      <c r="K245" s="6">
        <v>0</v>
      </c>
      <c r="L245" s="6">
        <v>0</v>
      </c>
      <c r="M245" s="6">
        <v>0</v>
      </c>
      <c r="N245" s="6" t="str">
        <f>""</f>
        <v/>
      </c>
      <c r="O245" s="6">
        <v>33450</v>
      </c>
      <c r="P245" s="6" t="s">
        <v>1232</v>
      </c>
      <c r="R245" s="6" t="s">
        <v>862</v>
      </c>
      <c r="S245" s="6" t="s">
        <v>1233</v>
      </c>
      <c r="T245" s="6">
        <v>0</v>
      </c>
      <c r="U245" s="6">
        <v>0</v>
      </c>
      <c r="V245" s="6">
        <v>0</v>
      </c>
      <c r="W245" s="6">
        <v>0</v>
      </c>
      <c r="X245" s="6" t="s">
        <v>169</v>
      </c>
      <c r="Z245" s="6" t="s">
        <v>170</v>
      </c>
      <c r="AA245" s="6" t="s">
        <v>171</v>
      </c>
      <c r="AB245" s="6">
        <v>0</v>
      </c>
      <c r="AC245" s="6" t="str">
        <f>""</f>
        <v/>
      </c>
      <c r="AS245" s="6">
        <v>0</v>
      </c>
      <c r="AT245" s="6">
        <v>0</v>
      </c>
    </row>
    <row r="246" spans="2:46">
      <c r="B246" s="6" t="s">
        <v>498</v>
      </c>
      <c r="D246" s="6" t="s">
        <v>499</v>
      </c>
      <c r="F246" s="6" t="s">
        <v>1234</v>
      </c>
      <c r="G246" s="6" t="str">
        <f>"OLX1STOP02NYFH"</f>
        <v>OLX1STOP02NYFH</v>
      </c>
      <c r="H246" s="6" t="s">
        <v>1235</v>
      </c>
      <c r="I246" s="6" t="s">
        <v>1236</v>
      </c>
      <c r="J246" s="6" t="str">
        <f>"ALL PLEATS OFF SHOULDER DRESS_NAVY"</f>
        <v>ALL PLEATS OFF SHOULDER DRESS_NAVY</v>
      </c>
      <c r="K246" s="6">
        <v>0</v>
      </c>
      <c r="L246" s="6">
        <v>0</v>
      </c>
      <c r="M246" s="6">
        <v>0</v>
      </c>
      <c r="N246" s="6" t="str">
        <f>""</f>
        <v/>
      </c>
      <c r="O246" s="6">
        <v>33448</v>
      </c>
      <c r="P246" s="6" t="s">
        <v>1237</v>
      </c>
      <c r="R246" s="6" t="s">
        <v>1238</v>
      </c>
      <c r="S246" s="6" t="s">
        <v>1239</v>
      </c>
      <c r="T246" s="6">
        <v>0</v>
      </c>
      <c r="U246" s="6">
        <v>0</v>
      </c>
      <c r="V246" s="6">
        <v>0</v>
      </c>
      <c r="W246" s="6">
        <v>0</v>
      </c>
      <c r="X246" s="6" t="s">
        <v>169</v>
      </c>
      <c r="Z246" s="6" t="s">
        <v>170</v>
      </c>
      <c r="AA246" s="6" t="s">
        <v>171</v>
      </c>
      <c r="AB246" s="6">
        <v>0</v>
      </c>
      <c r="AC246" s="6" t="str">
        <f>""</f>
        <v/>
      </c>
      <c r="AS246" s="6">
        <v>0</v>
      </c>
      <c r="AT246" s="6">
        <v>0</v>
      </c>
    </row>
    <row r="247" spans="2:46">
      <c r="B247" s="6" t="s">
        <v>498</v>
      </c>
      <c r="D247" s="6" t="s">
        <v>499</v>
      </c>
      <c r="F247" s="6" t="s">
        <v>1240</v>
      </c>
      <c r="G247" s="6" t="str">
        <f>"OLX1STOP02MSFH"</f>
        <v>OLX1STOP02MSFH</v>
      </c>
      <c r="H247" s="6" t="s">
        <v>1241</v>
      </c>
      <c r="I247" s="6" t="s">
        <v>1242</v>
      </c>
      <c r="J247" s="6" t="str">
        <f>"ALL PLEATS OFF SHOULDER DRESS_MUSTARD"</f>
        <v>ALL PLEATS OFF SHOULDER DRESS_MUSTARD</v>
      </c>
      <c r="K247" s="6">
        <v>0</v>
      </c>
      <c r="L247" s="6">
        <v>0</v>
      </c>
      <c r="M247" s="6">
        <v>0</v>
      </c>
      <c r="N247" s="6" t="str">
        <f>""</f>
        <v/>
      </c>
      <c r="O247" s="6">
        <v>33446</v>
      </c>
      <c r="P247" s="6" t="s">
        <v>1243</v>
      </c>
      <c r="R247" s="6" t="s">
        <v>1244</v>
      </c>
      <c r="S247" s="6" t="s">
        <v>1245</v>
      </c>
      <c r="T247" s="6">
        <v>0</v>
      </c>
      <c r="U247" s="6">
        <v>0</v>
      </c>
      <c r="V247" s="6">
        <v>0</v>
      </c>
      <c r="W247" s="6">
        <v>0</v>
      </c>
      <c r="X247" s="6" t="s">
        <v>169</v>
      </c>
      <c r="Z247" s="6" t="s">
        <v>170</v>
      </c>
      <c r="AA247" s="6" t="s">
        <v>171</v>
      </c>
      <c r="AB247" s="6">
        <v>0</v>
      </c>
      <c r="AC247" s="6" t="str">
        <f>""</f>
        <v/>
      </c>
      <c r="AS247" s="6">
        <v>0</v>
      </c>
      <c r="AT247" s="6">
        <v>0</v>
      </c>
    </row>
    <row r="248" spans="2:46">
      <c r="B248" s="6" t="s">
        <v>498</v>
      </c>
      <c r="D248" s="6" t="s">
        <v>499</v>
      </c>
      <c r="F248" s="6" t="s">
        <v>1246</v>
      </c>
      <c r="G248" s="6" t="str">
        <f>"OLX1STBL02NYFH"</f>
        <v>OLX1STBL02NYFH</v>
      </c>
      <c r="H248" s="6" t="s">
        <v>1247</v>
      </c>
      <c r="I248" s="6" t="s">
        <v>1248</v>
      </c>
      <c r="J248" s="6" t="str">
        <f>"CHIFFON PLEATS OFF SHOULDER TOP_NAVY"</f>
        <v>CHIFFON PLEATS OFF SHOULDER TOP_NAVY</v>
      </c>
      <c r="K248" s="6">
        <v>0</v>
      </c>
      <c r="L248" s="6">
        <v>0</v>
      </c>
      <c r="M248" s="6">
        <v>0</v>
      </c>
      <c r="N248" s="6" t="str">
        <f>""</f>
        <v/>
      </c>
      <c r="O248" s="6">
        <v>33444</v>
      </c>
      <c r="P248" s="6" t="s">
        <v>1249</v>
      </c>
      <c r="R248" s="6" t="s">
        <v>1238</v>
      </c>
      <c r="S248" s="6" t="s">
        <v>1250</v>
      </c>
      <c r="T248" s="6">
        <v>0</v>
      </c>
      <c r="U248" s="6">
        <v>0</v>
      </c>
      <c r="V248" s="6">
        <v>0</v>
      </c>
      <c r="W248" s="6">
        <v>0</v>
      </c>
      <c r="X248" s="6" t="s">
        <v>169</v>
      </c>
      <c r="Z248" s="6" t="s">
        <v>170</v>
      </c>
      <c r="AA248" s="6" t="s">
        <v>171</v>
      </c>
      <c r="AB248" s="6">
        <v>0</v>
      </c>
      <c r="AC248" s="6" t="str">
        <f>""</f>
        <v/>
      </c>
      <c r="AS248" s="6">
        <v>0</v>
      </c>
      <c r="AT248" s="6">
        <v>0</v>
      </c>
    </row>
    <row r="249" spans="2:46">
      <c r="B249" s="6" t="s">
        <v>498</v>
      </c>
      <c r="D249" s="6" t="s">
        <v>499</v>
      </c>
      <c r="F249" s="6" t="s">
        <v>1251</v>
      </c>
      <c r="G249" s="6" t="str">
        <f>"OLX1STBL02WHFH"</f>
        <v>OLX1STBL02WHFH</v>
      </c>
      <c r="H249" s="6" t="s">
        <v>1252</v>
      </c>
      <c r="I249" s="6" t="s">
        <v>1253</v>
      </c>
      <c r="J249" s="6" t="str">
        <f>"CHIFFON PLEATS OFF SHOULDER TOP_WHITE"</f>
        <v>CHIFFON PLEATS OFF SHOULDER TOP_WHITE</v>
      </c>
      <c r="K249" s="6">
        <v>0</v>
      </c>
      <c r="L249" s="6">
        <v>0</v>
      </c>
      <c r="M249" s="6">
        <v>0</v>
      </c>
      <c r="N249" s="6" t="str">
        <f>""</f>
        <v/>
      </c>
      <c r="O249" s="6">
        <v>33442</v>
      </c>
      <c r="P249" s="6" t="s">
        <v>1254</v>
      </c>
      <c r="R249" s="6" t="s">
        <v>1255</v>
      </c>
      <c r="S249" s="6" t="s">
        <v>1256</v>
      </c>
      <c r="T249" s="6">
        <v>0</v>
      </c>
      <c r="U249" s="6">
        <v>0</v>
      </c>
      <c r="V249" s="6">
        <v>0</v>
      </c>
      <c r="W249" s="6">
        <v>0</v>
      </c>
      <c r="X249" s="6" t="s">
        <v>169</v>
      </c>
      <c r="Z249" s="6" t="s">
        <v>170</v>
      </c>
      <c r="AA249" s="6" t="s">
        <v>171</v>
      </c>
      <c r="AB249" s="6">
        <v>0</v>
      </c>
      <c r="AC249" s="6" t="str">
        <f>""</f>
        <v/>
      </c>
      <c r="AS249" s="6">
        <v>0</v>
      </c>
      <c r="AT249" s="6">
        <v>0</v>
      </c>
    </row>
    <row r="250" spans="2:46">
      <c r="B250" s="6" t="s">
        <v>498</v>
      </c>
      <c r="D250" s="6" t="s">
        <v>499</v>
      </c>
      <c r="F250" s="6" t="s">
        <v>1257</v>
      </c>
      <c r="G250" s="6" t="str">
        <f>"OLX1STOP01WHFH"</f>
        <v>OLX1STOP01WHFH</v>
      </c>
      <c r="H250" s="6" t="s">
        <v>1258</v>
      </c>
      <c r="I250" s="6" t="s">
        <v>1259</v>
      </c>
      <c r="J250" s="6" t="str">
        <f>"SEMI OFF SHOULDER LONG BLOUSE_WHITE PIN STRIPE"</f>
        <v>SEMI OFF SHOULDER LONG BLOUSE_WHITE PIN STRIPE</v>
      </c>
      <c r="K250" s="6">
        <v>0</v>
      </c>
      <c r="L250" s="6">
        <v>0</v>
      </c>
      <c r="M250" s="6">
        <v>0</v>
      </c>
      <c r="N250" s="6" t="str">
        <f>""</f>
        <v/>
      </c>
      <c r="O250" s="6">
        <v>33440</v>
      </c>
      <c r="P250" s="6" t="s">
        <v>1260</v>
      </c>
      <c r="R250" s="6" t="s">
        <v>1261</v>
      </c>
      <c r="S250" s="6" t="s">
        <v>1262</v>
      </c>
      <c r="T250" s="6">
        <v>0</v>
      </c>
      <c r="U250" s="6">
        <v>0</v>
      </c>
      <c r="V250" s="6">
        <v>0</v>
      </c>
      <c r="W250" s="6">
        <v>0</v>
      </c>
      <c r="X250" s="6" t="s">
        <v>169</v>
      </c>
      <c r="Z250" s="6" t="s">
        <v>170</v>
      </c>
      <c r="AA250" s="6" t="s">
        <v>171</v>
      </c>
      <c r="AB250" s="6">
        <v>0</v>
      </c>
      <c r="AC250" s="6" t="str">
        <f>""</f>
        <v/>
      </c>
      <c r="AS250" s="6">
        <v>0</v>
      </c>
      <c r="AT250" s="6">
        <v>0</v>
      </c>
    </row>
    <row r="251" spans="2:46">
      <c r="B251" s="6" t="s">
        <v>498</v>
      </c>
      <c r="D251" s="6" t="s">
        <v>499</v>
      </c>
      <c r="F251" s="6" t="s">
        <v>1263</v>
      </c>
      <c r="G251" s="6" t="str">
        <f>"OLX1STBL01NYFH"</f>
        <v>OLX1STBL01NYFH</v>
      </c>
      <c r="H251" s="6" t="s">
        <v>1264</v>
      </c>
      <c r="I251" s="6" t="s">
        <v>1265</v>
      </c>
      <c r="J251" s="6" t="str">
        <f>"SEMI OFF SHOULDER COTTON BLOUSE_NAVY"</f>
        <v>SEMI OFF SHOULDER COTTON BLOUSE_NAVY</v>
      </c>
      <c r="K251" s="6">
        <v>0</v>
      </c>
      <c r="L251" s="6">
        <v>0</v>
      </c>
      <c r="M251" s="6">
        <v>0</v>
      </c>
      <c r="N251" s="6" t="str">
        <f>""</f>
        <v/>
      </c>
      <c r="O251" s="6">
        <v>33438</v>
      </c>
      <c r="P251" s="6" t="s">
        <v>1266</v>
      </c>
      <c r="R251" s="6" t="s">
        <v>1238</v>
      </c>
      <c r="S251" s="6" t="s">
        <v>1267</v>
      </c>
      <c r="T251" s="6">
        <v>0</v>
      </c>
      <c r="U251" s="6">
        <v>0</v>
      </c>
      <c r="V251" s="6">
        <v>0</v>
      </c>
      <c r="W251" s="6">
        <v>0</v>
      </c>
      <c r="X251" s="6" t="s">
        <v>169</v>
      </c>
      <c r="Z251" s="6" t="s">
        <v>170</v>
      </c>
      <c r="AA251" s="6" t="s">
        <v>171</v>
      </c>
      <c r="AB251" s="6">
        <v>0</v>
      </c>
      <c r="AC251" s="6" t="str">
        <f>""</f>
        <v/>
      </c>
      <c r="AS251" s="6">
        <v>0</v>
      </c>
      <c r="AT251" s="6">
        <v>0</v>
      </c>
    </row>
    <row r="252" spans="2:46">
      <c r="B252" s="6" t="s">
        <v>498</v>
      </c>
      <c r="D252" s="6" t="s">
        <v>499</v>
      </c>
      <c r="F252" s="6" t="s">
        <v>1268</v>
      </c>
      <c r="G252" s="6" t="str">
        <f>"OLX1STBL01WHFH"</f>
        <v>OLX1STBL01WHFH</v>
      </c>
      <c r="H252" s="6" t="s">
        <v>1269</v>
      </c>
      <c r="I252" s="6" t="s">
        <v>1270</v>
      </c>
      <c r="J252" s="6" t="str">
        <f>"SEMI OFF SHOULDER COTTON BLOUSE_WHITE"</f>
        <v>SEMI OFF SHOULDER COTTON BLOUSE_WHITE</v>
      </c>
      <c r="K252" s="6">
        <v>0</v>
      </c>
      <c r="L252" s="6">
        <v>0</v>
      </c>
      <c r="M252" s="6">
        <v>0</v>
      </c>
      <c r="N252" s="6" t="str">
        <f>""</f>
        <v/>
      </c>
      <c r="O252" s="6">
        <v>33436</v>
      </c>
      <c r="P252" s="6" t="s">
        <v>1271</v>
      </c>
      <c r="R252" s="6" t="s">
        <v>1255</v>
      </c>
      <c r="S252" s="6" t="s">
        <v>1272</v>
      </c>
      <c r="T252" s="6">
        <v>0</v>
      </c>
      <c r="U252" s="6">
        <v>0</v>
      </c>
      <c r="V252" s="6">
        <v>0</v>
      </c>
      <c r="W252" s="6">
        <v>0</v>
      </c>
      <c r="X252" s="6" t="s">
        <v>169</v>
      </c>
      <c r="Z252" s="6" t="s">
        <v>170</v>
      </c>
      <c r="AA252" s="6" t="s">
        <v>171</v>
      </c>
      <c r="AB252" s="6">
        <v>0</v>
      </c>
      <c r="AC252" s="6" t="str">
        <f>""</f>
        <v/>
      </c>
      <c r="AS252" s="6">
        <v>0</v>
      </c>
      <c r="AT252" s="6">
        <v>0</v>
      </c>
    </row>
    <row r="253" spans="2:46">
      <c r="B253" s="6" t="s">
        <v>498</v>
      </c>
      <c r="D253" s="6" t="s">
        <v>499</v>
      </c>
      <c r="F253" s="6" t="s">
        <v>1273</v>
      </c>
      <c r="G253" s="6" t="str">
        <f>"OL16SMPT01NYMH"</f>
        <v>OL16SMPT01NYMH</v>
      </c>
      <c r="H253" s="6" t="s">
        <v>1274</v>
      </c>
      <c r="I253" s="6" t="s">
        <v>1275</v>
      </c>
      <c r="J253" s="6" t="str">
        <f>"SIDE PLEATS SHORT"</f>
        <v>SIDE PLEATS SHORT</v>
      </c>
      <c r="K253" s="6">
        <v>0</v>
      </c>
      <c r="L253" s="6">
        <v>0</v>
      </c>
      <c r="M253" s="6">
        <v>0</v>
      </c>
      <c r="N253" s="6" t="str">
        <f>""</f>
        <v/>
      </c>
      <c r="O253" s="6">
        <v>33434</v>
      </c>
      <c r="P253" s="6" t="s">
        <v>1276</v>
      </c>
      <c r="R253" s="6" t="s">
        <v>858</v>
      </c>
      <c r="S253" s="6" t="s">
        <v>1277</v>
      </c>
      <c r="T253" s="6">
        <v>0</v>
      </c>
      <c r="U253" s="6">
        <v>0</v>
      </c>
      <c r="V253" s="6">
        <v>0</v>
      </c>
      <c r="W253" s="6">
        <v>0</v>
      </c>
      <c r="X253" s="6" t="s">
        <v>169</v>
      </c>
      <c r="Z253" s="6" t="s">
        <v>170</v>
      </c>
      <c r="AA253" s="6" t="s">
        <v>171</v>
      </c>
      <c r="AB253" s="6">
        <v>0</v>
      </c>
      <c r="AC253" s="6" t="str">
        <f>""</f>
        <v/>
      </c>
      <c r="AS253" s="6">
        <v>0</v>
      </c>
      <c r="AT253" s="6">
        <v>0</v>
      </c>
    </row>
    <row r="254" spans="2:46">
      <c r="B254" s="6" t="s">
        <v>498</v>
      </c>
      <c r="D254" s="6" t="s">
        <v>499</v>
      </c>
      <c r="F254" s="6" t="s">
        <v>1278</v>
      </c>
      <c r="G254" s="6" t="str">
        <f>"OL16SMPT01NYSH"</f>
        <v>OL16SMPT01NYSH</v>
      </c>
      <c r="H254" s="6" t="s">
        <v>1279</v>
      </c>
      <c r="I254" s="6" t="s">
        <v>1275</v>
      </c>
      <c r="J254" s="6" t="str">
        <f>"SIDE PLEATS SHORT"</f>
        <v>SIDE PLEATS SHORT</v>
      </c>
      <c r="K254" s="6">
        <v>0</v>
      </c>
      <c r="L254" s="6">
        <v>0</v>
      </c>
      <c r="M254" s="6">
        <v>0</v>
      </c>
      <c r="N254" s="6" t="str">
        <f>""</f>
        <v/>
      </c>
      <c r="O254" s="6">
        <v>33433</v>
      </c>
      <c r="P254" s="6" t="s">
        <v>1280</v>
      </c>
      <c r="R254" s="6" t="s">
        <v>862</v>
      </c>
      <c r="S254" s="6" t="s">
        <v>1281</v>
      </c>
      <c r="T254" s="6">
        <v>0</v>
      </c>
      <c r="U254" s="6">
        <v>0</v>
      </c>
      <c r="V254" s="6">
        <v>0</v>
      </c>
      <c r="W254" s="6">
        <v>0</v>
      </c>
      <c r="X254" s="6" t="s">
        <v>169</v>
      </c>
      <c r="Z254" s="6" t="s">
        <v>170</v>
      </c>
      <c r="AA254" s="6" t="s">
        <v>171</v>
      </c>
      <c r="AB254" s="6">
        <v>0</v>
      </c>
      <c r="AC254" s="6" t="str">
        <f>""</f>
        <v/>
      </c>
      <c r="AS254" s="6">
        <v>0</v>
      </c>
      <c r="AT254" s="6">
        <v>0</v>
      </c>
    </row>
    <row r="255" spans="2:46">
      <c r="B255" s="6" t="s">
        <v>498</v>
      </c>
      <c r="D255" s="6" t="s">
        <v>499</v>
      </c>
      <c r="F255" s="6" t="s">
        <v>1282</v>
      </c>
      <c r="G255" s="6" t="str">
        <f>"OL16SMPT01WHMH"</f>
        <v>OL16SMPT01WHMH</v>
      </c>
      <c r="H255" s="6" t="s">
        <v>1283</v>
      </c>
      <c r="I255" s="6" t="s">
        <v>1275</v>
      </c>
      <c r="J255" s="6" t="str">
        <f>"SIDE PLEATS SHORT"</f>
        <v>SIDE PLEATS SHORT</v>
      </c>
      <c r="K255" s="6">
        <v>0</v>
      </c>
      <c r="L255" s="6">
        <v>0</v>
      </c>
      <c r="M255" s="6">
        <v>0</v>
      </c>
      <c r="N255" s="6" t="str">
        <f>""</f>
        <v/>
      </c>
      <c r="O255" s="6">
        <v>33432</v>
      </c>
      <c r="P255" s="6" t="s">
        <v>1284</v>
      </c>
      <c r="R255" s="6" t="s">
        <v>849</v>
      </c>
      <c r="S255" s="6" t="s">
        <v>1285</v>
      </c>
      <c r="T255" s="6">
        <v>0</v>
      </c>
      <c r="U255" s="6">
        <v>0</v>
      </c>
      <c r="V255" s="6">
        <v>0</v>
      </c>
      <c r="W255" s="6">
        <v>0</v>
      </c>
      <c r="X255" s="6" t="s">
        <v>169</v>
      </c>
      <c r="Z255" s="6" t="s">
        <v>170</v>
      </c>
      <c r="AA255" s="6" t="s">
        <v>171</v>
      </c>
      <c r="AB255" s="6">
        <v>0</v>
      </c>
      <c r="AC255" s="6" t="str">
        <f>""</f>
        <v/>
      </c>
      <c r="AS255" s="6">
        <v>0</v>
      </c>
      <c r="AT255" s="6">
        <v>0</v>
      </c>
    </row>
    <row r="256" spans="2:46">
      <c r="B256" s="6" t="s">
        <v>498</v>
      </c>
      <c r="D256" s="6" t="s">
        <v>499</v>
      </c>
      <c r="F256" s="6" t="s">
        <v>1286</v>
      </c>
      <c r="G256" s="6" t="str">
        <f>"OL16SMPT01WHSH"</f>
        <v>OL16SMPT01WHSH</v>
      </c>
      <c r="H256" s="6" t="s">
        <v>1287</v>
      </c>
      <c r="I256" s="6" t="s">
        <v>1275</v>
      </c>
      <c r="J256" s="6" t="str">
        <f>"SIDE PLEATS SHORT"</f>
        <v>SIDE PLEATS SHORT</v>
      </c>
      <c r="K256" s="6">
        <v>0</v>
      </c>
      <c r="L256" s="6">
        <v>0</v>
      </c>
      <c r="M256" s="6">
        <v>0</v>
      </c>
      <c r="N256" s="6" t="str">
        <f>""</f>
        <v/>
      </c>
      <c r="O256" s="6">
        <v>33431</v>
      </c>
      <c r="P256" s="6" t="s">
        <v>1288</v>
      </c>
      <c r="R256" s="6" t="s">
        <v>853</v>
      </c>
      <c r="S256" s="6" t="s">
        <v>1289</v>
      </c>
      <c r="T256" s="6">
        <v>0</v>
      </c>
      <c r="U256" s="6">
        <v>0</v>
      </c>
      <c r="V256" s="6">
        <v>0</v>
      </c>
      <c r="W256" s="6">
        <v>0</v>
      </c>
      <c r="X256" s="6" t="s">
        <v>169</v>
      </c>
      <c r="Z256" s="6" t="s">
        <v>170</v>
      </c>
      <c r="AA256" s="6" t="s">
        <v>171</v>
      </c>
      <c r="AB256" s="6">
        <v>0</v>
      </c>
      <c r="AC256" s="6" t="str">
        <f>""</f>
        <v/>
      </c>
      <c r="AS256" s="6">
        <v>0</v>
      </c>
      <c r="AT256" s="6">
        <v>0</v>
      </c>
    </row>
    <row r="257" spans="2:46">
      <c r="B257" s="6" t="s">
        <v>498</v>
      </c>
      <c r="D257" s="6" t="s">
        <v>499</v>
      </c>
      <c r="F257" s="6" t="s">
        <v>1290</v>
      </c>
      <c r="G257" s="6" t="str">
        <f>"OL16SMTP02WHFH"</f>
        <v>OL16SMTP02WHFH</v>
      </c>
      <c r="H257" s="6" t="s">
        <v>1291</v>
      </c>
      <c r="I257" s="6" t="s">
        <v>1292</v>
      </c>
      <c r="J257" s="6" t="str">
        <f>"SHINING SPANGLE TOP"</f>
        <v>SHINING SPANGLE TOP</v>
      </c>
      <c r="K257" s="6">
        <v>0</v>
      </c>
      <c r="L257" s="6">
        <v>0</v>
      </c>
      <c r="M257" s="6">
        <v>0</v>
      </c>
      <c r="N257" s="6" t="str">
        <f>""</f>
        <v/>
      </c>
      <c r="O257" s="6">
        <v>33429</v>
      </c>
      <c r="P257" s="6" t="s">
        <v>1293</v>
      </c>
      <c r="R257" s="6" t="s">
        <v>1255</v>
      </c>
      <c r="S257" s="6" t="s">
        <v>1294</v>
      </c>
      <c r="T257" s="6">
        <v>0</v>
      </c>
      <c r="U257" s="6">
        <v>0</v>
      </c>
      <c r="V257" s="6">
        <v>0</v>
      </c>
      <c r="W257" s="6">
        <v>0</v>
      </c>
      <c r="X257" s="6" t="s">
        <v>169</v>
      </c>
      <c r="Z257" s="6" t="s">
        <v>170</v>
      </c>
      <c r="AA257" s="6" t="s">
        <v>171</v>
      </c>
      <c r="AB257" s="6">
        <v>0</v>
      </c>
      <c r="AC257" s="6" t="str">
        <f>""</f>
        <v/>
      </c>
      <c r="AS257" s="6">
        <v>0</v>
      </c>
      <c r="AT257" s="6">
        <v>0</v>
      </c>
    </row>
    <row r="258" spans="2:46">
      <c r="B258" s="6" t="s">
        <v>498</v>
      </c>
      <c r="D258" s="6" t="s">
        <v>499</v>
      </c>
      <c r="F258" s="6" t="s">
        <v>1295</v>
      </c>
      <c r="G258" s="6" t="str">
        <f>"OL16SMOP02BGFH"</f>
        <v>OL16SMOP02BGFH</v>
      </c>
      <c r="H258" s="6" t="s">
        <v>1296</v>
      </c>
      <c r="I258" s="6" t="s">
        <v>1297</v>
      </c>
      <c r="J258" s="6" t="str">
        <f>"POINT SLEEVES LONG BLOUSE DRESS"</f>
        <v>POINT SLEEVES LONG BLOUSE DRESS</v>
      </c>
      <c r="K258" s="6">
        <v>0</v>
      </c>
      <c r="L258" s="6">
        <v>0</v>
      </c>
      <c r="M258" s="6">
        <v>0</v>
      </c>
      <c r="N258" s="6" t="str">
        <f>""</f>
        <v/>
      </c>
      <c r="O258" s="6">
        <v>33451</v>
      </c>
      <c r="P258" s="6" t="s">
        <v>1298</v>
      </c>
      <c r="R258" s="6" t="s">
        <v>1218</v>
      </c>
      <c r="S258" s="6" t="s">
        <v>1299</v>
      </c>
      <c r="T258" s="6">
        <v>0</v>
      </c>
      <c r="U258" s="6">
        <v>0</v>
      </c>
      <c r="V258" s="6">
        <v>0</v>
      </c>
      <c r="W258" s="6">
        <v>0</v>
      </c>
      <c r="X258" s="6" t="s">
        <v>169</v>
      </c>
      <c r="Z258" s="6" t="s">
        <v>170</v>
      </c>
      <c r="AA258" s="6" t="s">
        <v>171</v>
      </c>
      <c r="AB258" s="6">
        <v>0</v>
      </c>
      <c r="AC258" s="6" t="str">
        <f>""</f>
        <v/>
      </c>
      <c r="AS258" s="6">
        <v>0</v>
      </c>
      <c r="AT258" s="6">
        <v>0</v>
      </c>
    </row>
    <row r="259" spans="2:46">
      <c r="B259" s="6" t="s">
        <v>498</v>
      </c>
      <c r="D259" s="6" t="s">
        <v>499</v>
      </c>
      <c r="F259" s="6" t="s">
        <v>1300</v>
      </c>
      <c r="G259" s="6" t="str">
        <f>"OL16SMOP02SBFH"</f>
        <v>OL16SMOP02SBFH</v>
      </c>
      <c r="H259" s="6" t="s">
        <v>1301</v>
      </c>
      <c r="I259" s="6" t="s">
        <v>1297</v>
      </c>
      <c r="J259" s="6" t="str">
        <f>"POINT SLEEVES LONG BLOUSE DRESS"</f>
        <v>POINT SLEEVES LONG BLOUSE DRESS</v>
      </c>
      <c r="K259" s="6">
        <v>0</v>
      </c>
      <c r="L259" s="6">
        <v>0</v>
      </c>
      <c r="M259" s="6">
        <v>0</v>
      </c>
      <c r="N259" s="6" t="str">
        <f>""</f>
        <v/>
      </c>
      <c r="O259" s="6">
        <v>33427</v>
      </c>
      <c r="P259" s="6" t="s">
        <v>1302</v>
      </c>
      <c r="R259" s="6" t="s">
        <v>1303</v>
      </c>
      <c r="S259" s="6" t="s">
        <v>1304</v>
      </c>
      <c r="T259" s="6">
        <v>0</v>
      </c>
      <c r="U259" s="6">
        <v>0</v>
      </c>
      <c r="V259" s="6">
        <v>0</v>
      </c>
      <c r="W259" s="6">
        <v>0</v>
      </c>
      <c r="X259" s="6" t="s">
        <v>169</v>
      </c>
      <c r="Z259" s="6" t="s">
        <v>170</v>
      </c>
      <c r="AA259" s="6" t="s">
        <v>171</v>
      </c>
      <c r="AB259" s="6">
        <v>0</v>
      </c>
      <c r="AC259" s="6" t="str">
        <f>""</f>
        <v/>
      </c>
      <c r="AS259" s="6">
        <v>0</v>
      </c>
      <c r="AT259" s="6">
        <v>0</v>
      </c>
    </row>
    <row r="260" spans="2:46">
      <c r="B260" s="6" t="s">
        <v>498</v>
      </c>
      <c r="D260" s="6" t="s">
        <v>499</v>
      </c>
      <c r="F260" s="6" t="s">
        <v>1305</v>
      </c>
      <c r="G260" s="6" t="str">
        <f>"OL16SMBL03MSFH"</f>
        <v>OL16SMBL03MSFH</v>
      </c>
      <c r="H260" s="6" t="s">
        <v>1306</v>
      </c>
      <c r="I260" s="6" t="s">
        <v>1307</v>
      </c>
      <c r="J260" s="6" t="str">
        <f>"PLEATS SLEEVES OFF SHOULDER BLOUSE"</f>
        <v>PLEATS SLEEVES OFF SHOULDER BLOUSE</v>
      </c>
      <c r="K260" s="6">
        <v>0</v>
      </c>
      <c r="L260" s="6">
        <v>0</v>
      </c>
      <c r="M260" s="6">
        <v>0</v>
      </c>
      <c r="N260" s="6" t="str">
        <f>""</f>
        <v/>
      </c>
      <c r="O260" s="6">
        <v>33425</v>
      </c>
      <c r="P260" s="6" t="s">
        <v>1308</v>
      </c>
      <c r="R260" s="6" t="s">
        <v>1244</v>
      </c>
      <c r="S260" s="6" t="s">
        <v>1309</v>
      </c>
      <c r="T260" s="6">
        <v>0</v>
      </c>
      <c r="U260" s="6">
        <v>0</v>
      </c>
      <c r="V260" s="6">
        <v>0</v>
      </c>
      <c r="W260" s="6">
        <v>0</v>
      </c>
      <c r="X260" s="6" t="s">
        <v>169</v>
      </c>
      <c r="Z260" s="6" t="s">
        <v>170</v>
      </c>
      <c r="AA260" s="6" t="s">
        <v>171</v>
      </c>
      <c r="AB260" s="6">
        <v>0</v>
      </c>
      <c r="AC260" s="6" t="str">
        <f>""</f>
        <v/>
      </c>
      <c r="AS260" s="6">
        <v>0</v>
      </c>
      <c r="AT260" s="6">
        <v>0</v>
      </c>
    </row>
    <row r="261" spans="2:46">
      <c r="B261" s="6" t="s">
        <v>498</v>
      </c>
      <c r="D261" s="6" t="s">
        <v>499</v>
      </c>
      <c r="F261" s="6" t="s">
        <v>1310</v>
      </c>
      <c r="G261" s="6" t="str">
        <f>"OL16SMBL03SBFH"</f>
        <v>OL16SMBL03SBFH</v>
      </c>
      <c r="H261" s="6" t="s">
        <v>1311</v>
      </c>
      <c r="I261" s="6" t="s">
        <v>1307</v>
      </c>
      <c r="J261" s="6" t="str">
        <f>"PLEATS SLEEVES OFF SHOULDER BLOUSE"</f>
        <v>PLEATS SLEEVES OFF SHOULDER BLOUSE</v>
      </c>
      <c r="K261" s="6">
        <v>0</v>
      </c>
      <c r="L261" s="6">
        <v>0</v>
      </c>
      <c r="M261" s="6">
        <v>0</v>
      </c>
      <c r="N261" s="6" t="str">
        <f>""</f>
        <v/>
      </c>
      <c r="O261" s="6">
        <v>33424</v>
      </c>
      <c r="P261" s="6" t="s">
        <v>1312</v>
      </c>
      <c r="R261" s="6" t="s">
        <v>1303</v>
      </c>
      <c r="S261" s="6" t="s">
        <v>1313</v>
      </c>
      <c r="T261" s="6">
        <v>0</v>
      </c>
      <c r="U261" s="6">
        <v>0</v>
      </c>
      <c r="V261" s="6">
        <v>0</v>
      </c>
      <c r="W261" s="6">
        <v>0</v>
      </c>
      <c r="X261" s="6" t="s">
        <v>169</v>
      </c>
      <c r="Z261" s="6" t="s">
        <v>170</v>
      </c>
      <c r="AA261" s="6" t="s">
        <v>171</v>
      </c>
      <c r="AB261" s="6">
        <v>0</v>
      </c>
      <c r="AC261" s="6" t="str">
        <f>""</f>
        <v/>
      </c>
      <c r="AS261" s="6">
        <v>0</v>
      </c>
      <c r="AT261" s="6">
        <v>0</v>
      </c>
    </row>
    <row r="262" spans="2:46">
      <c r="B262" s="6" t="s">
        <v>498</v>
      </c>
      <c r="D262" s="6" t="s">
        <v>499</v>
      </c>
      <c r="F262" s="6" t="s">
        <v>1314</v>
      </c>
      <c r="G262" s="6" t="str">
        <f>"OL16SMOP01SBFH"</f>
        <v>OL16SMOP01SBFH</v>
      </c>
      <c r="H262" s="6" t="s">
        <v>1315</v>
      </c>
      <c r="I262" s="6" t="s">
        <v>1316</v>
      </c>
      <c r="J262" s="6" t="str">
        <f>"PLEATS COLOR POINT SLIP DRESS"</f>
        <v>PLEATS COLOR POINT SLIP DRESS</v>
      </c>
      <c r="K262" s="6">
        <v>0</v>
      </c>
      <c r="L262" s="6">
        <v>0</v>
      </c>
      <c r="M262" s="6">
        <v>0</v>
      </c>
      <c r="N262" s="6" t="str">
        <f>""</f>
        <v/>
      </c>
      <c r="O262" s="6">
        <v>33422</v>
      </c>
      <c r="P262" s="6" t="s">
        <v>1317</v>
      </c>
      <c r="R262" s="6" t="s">
        <v>1303</v>
      </c>
      <c r="S262" s="6" t="s">
        <v>1318</v>
      </c>
      <c r="T262" s="6">
        <v>0</v>
      </c>
      <c r="U262" s="6">
        <v>0</v>
      </c>
      <c r="V262" s="6">
        <v>0</v>
      </c>
      <c r="W262" s="6">
        <v>0</v>
      </c>
      <c r="X262" s="6" t="s">
        <v>169</v>
      </c>
      <c r="Z262" s="6" t="s">
        <v>170</v>
      </c>
      <c r="AA262" s="6" t="s">
        <v>171</v>
      </c>
      <c r="AB262" s="6">
        <v>0</v>
      </c>
      <c r="AC262" s="6" t="str">
        <f>""</f>
        <v/>
      </c>
      <c r="AS262" s="6">
        <v>0</v>
      </c>
      <c r="AT262" s="6">
        <v>0</v>
      </c>
    </row>
    <row r="263" spans="2:46">
      <c r="B263" s="6" t="s">
        <v>498</v>
      </c>
      <c r="D263" s="6" t="s">
        <v>499</v>
      </c>
      <c r="F263" s="6" t="s">
        <v>1319</v>
      </c>
      <c r="G263" s="6" t="str">
        <f>"OL16SMOP01PKFH"</f>
        <v>OL16SMOP01PKFH</v>
      </c>
      <c r="H263" s="6" t="s">
        <v>1320</v>
      </c>
      <c r="I263" s="6" t="s">
        <v>1316</v>
      </c>
      <c r="J263" s="6" t="str">
        <f>"PLEATS COLOR POINT SLIP DRESS"</f>
        <v>PLEATS COLOR POINT SLIP DRESS</v>
      </c>
      <c r="K263" s="6">
        <v>0</v>
      </c>
      <c r="L263" s="6">
        <v>0</v>
      </c>
      <c r="M263" s="6">
        <v>0</v>
      </c>
      <c r="N263" s="6" t="str">
        <f>""</f>
        <v/>
      </c>
      <c r="O263" s="6">
        <v>33421</v>
      </c>
      <c r="P263" s="6" t="s">
        <v>1321</v>
      </c>
      <c r="R263" s="6" t="s">
        <v>1322</v>
      </c>
      <c r="S263" s="6" t="s">
        <v>1323</v>
      </c>
      <c r="T263" s="6">
        <v>0</v>
      </c>
      <c r="U263" s="6">
        <v>0</v>
      </c>
      <c r="V263" s="6">
        <v>0</v>
      </c>
      <c r="W263" s="6">
        <v>0</v>
      </c>
      <c r="X263" s="6" t="s">
        <v>169</v>
      </c>
      <c r="Z263" s="6" t="s">
        <v>170</v>
      </c>
      <c r="AA263" s="6" t="s">
        <v>171</v>
      </c>
      <c r="AB263" s="6">
        <v>0</v>
      </c>
      <c r="AC263" s="6" t="str">
        <f>""</f>
        <v/>
      </c>
      <c r="AS263" s="6">
        <v>0</v>
      </c>
      <c r="AT263" s="6">
        <v>0</v>
      </c>
    </row>
    <row r="264" spans="2:46">
      <c r="B264" s="6" t="s">
        <v>498</v>
      </c>
      <c r="D264" s="6" t="s">
        <v>499</v>
      </c>
      <c r="F264" s="6" t="s">
        <v>1324</v>
      </c>
      <c r="G264" s="6" t="str">
        <f>"OL16SMBL02PKFH"</f>
        <v>OL16SMBL02PKFH</v>
      </c>
      <c r="H264" s="6" t="s">
        <v>1325</v>
      </c>
      <c r="I264" s="6" t="s">
        <v>1326</v>
      </c>
      <c r="J264" s="6" t="str">
        <f>"ORGANZA SEE-THROUGH BLOUSE"</f>
        <v>ORGANZA SEE-THROUGH BLOUSE</v>
      </c>
      <c r="K264" s="6">
        <v>0</v>
      </c>
      <c r="L264" s="6">
        <v>0</v>
      </c>
      <c r="M264" s="6">
        <v>0</v>
      </c>
      <c r="N264" s="6" t="str">
        <f>""</f>
        <v/>
      </c>
      <c r="O264" s="6">
        <v>33419</v>
      </c>
      <c r="P264" s="6" t="s">
        <v>1327</v>
      </c>
      <c r="R264" s="6" t="s">
        <v>1328</v>
      </c>
      <c r="S264" s="6" t="s">
        <v>1329</v>
      </c>
      <c r="T264" s="6">
        <v>0</v>
      </c>
      <c r="U264" s="6">
        <v>0</v>
      </c>
      <c r="V264" s="6">
        <v>0</v>
      </c>
      <c r="W264" s="6">
        <v>0</v>
      </c>
      <c r="X264" s="6" t="s">
        <v>169</v>
      </c>
      <c r="Z264" s="6" t="s">
        <v>170</v>
      </c>
      <c r="AA264" s="6" t="s">
        <v>171</v>
      </c>
      <c r="AB264" s="6">
        <v>0</v>
      </c>
      <c r="AC264" s="6" t="str">
        <f>""</f>
        <v/>
      </c>
      <c r="AS264" s="6">
        <v>0</v>
      </c>
      <c r="AT264" s="6">
        <v>0</v>
      </c>
    </row>
    <row r="265" spans="2:46">
      <c r="B265" s="6" t="s">
        <v>498</v>
      </c>
      <c r="D265" s="6" t="s">
        <v>499</v>
      </c>
      <c r="F265" s="6" t="s">
        <v>1330</v>
      </c>
      <c r="G265" s="6" t="str">
        <f>"OL16SMSK01WHMH"</f>
        <v>OL16SMSK01WHMH</v>
      </c>
      <c r="H265" s="6" t="s">
        <v>1331</v>
      </c>
      <c r="I265" s="6" t="s">
        <v>1332</v>
      </c>
      <c r="J265" s="6" t="str">
        <f>"SHINING SEE-THROUGH SPANGLE SKIRT"</f>
        <v>SHINING SEE-THROUGH SPANGLE SKIRT</v>
      </c>
      <c r="K265" s="6">
        <v>0</v>
      </c>
      <c r="L265" s="6">
        <v>0</v>
      </c>
      <c r="M265" s="6">
        <v>0</v>
      </c>
      <c r="N265" s="6" t="str">
        <f>""</f>
        <v/>
      </c>
      <c r="O265" s="6">
        <v>33417</v>
      </c>
      <c r="P265" s="6" t="s">
        <v>1333</v>
      </c>
      <c r="R265" s="6" t="s">
        <v>849</v>
      </c>
      <c r="S265" s="6" t="s">
        <v>1334</v>
      </c>
      <c r="T265" s="6">
        <v>0</v>
      </c>
      <c r="U265" s="6">
        <v>0</v>
      </c>
      <c r="V265" s="6">
        <v>0</v>
      </c>
      <c r="W265" s="6">
        <v>0</v>
      </c>
      <c r="X265" s="6" t="s">
        <v>169</v>
      </c>
      <c r="Z265" s="6" t="s">
        <v>170</v>
      </c>
      <c r="AA265" s="6" t="s">
        <v>171</v>
      </c>
      <c r="AB265" s="6">
        <v>0</v>
      </c>
      <c r="AC265" s="6" t="str">
        <f>""</f>
        <v/>
      </c>
      <c r="AS265" s="6">
        <v>0</v>
      </c>
      <c r="AT265" s="6">
        <v>0</v>
      </c>
    </row>
    <row r="266" spans="2:46">
      <c r="B266" s="6" t="s">
        <v>498</v>
      </c>
      <c r="D266" s="6" t="s">
        <v>499</v>
      </c>
      <c r="F266" s="6" t="s">
        <v>1335</v>
      </c>
      <c r="G266" s="6" t="str">
        <f>"OL16SMSK01WHSH"</f>
        <v>OL16SMSK01WHSH</v>
      </c>
      <c r="H266" s="6" t="s">
        <v>1336</v>
      </c>
      <c r="I266" s="6" t="s">
        <v>1332</v>
      </c>
      <c r="J266" s="6" t="str">
        <f>"SHINING SEE-THROUGH SPANGLE SKIRT"</f>
        <v>SHINING SEE-THROUGH SPANGLE SKIRT</v>
      </c>
      <c r="K266" s="6">
        <v>0</v>
      </c>
      <c r="L266" s="6">
        <v>0</v>
      </c>
      <c r="M266" s="6">
        <v>0</v>
      </c>
      <c r="N266" s="6" t="str">
        <f>""</f>
        <v/>
      </c>
      <c r="O266" s="6">
        <v>33416</v>
      </c>
      <c r="P266" s="6" t="s">
        <v>1337</v>
      </c>
      <c r="R266" s="6" t="s">
        <v>853</v>
      </c>
      <c r="S266" s="6" t="s">
        <v>1338</v>
      </c>
      <c r="T266" s="6">
        <v>0</v>
      </c>
      <c r="U266" s="6">
        <v>0</v>
      </c>
      <c r="V266" s="6">
        <v>0</v>
      </c>
      <c r="W266" s="6">
        <v>0</v>
      </c>
      <c r="X266" s="6" t="s">
        <v>169</v>
      </c>
      <c r="Z266" s="6" t="s">
        <v>170</v>
      </c>
      <c r="AA266" s="6" t="s">
        <v>171</v>
      </c>
      <c r="AB266" s="6">
        <v>0</v>
      </c>
      <c r="AC266" s="6" t="str">
        <f>""</f>
        <v/>
      </c>
      <c r="AS266" s="6">
        <v>0</v>
      </c>
      <c r="AT266" s="6">
        <v>0</v>
      </c>
    </row>
    <row r="267" spans="2:46">
      <c r="B267" s="6" t="s">
        <v>498</v>
      </c>
      <c r="D267" s="6" t="s">
        <v>499</v>
      </c>
      <c r="F267" s="6" t="s">
        <v>1339</v>
      </c>
      <c r="G267" s="6" t="str">
        <f>"OL16SMBL01BGFH"</f>
        <v>OL16SMBL01BGFH</v>
      </c>
      <c r="H267" s="6" t="s">
        <v>1340</v>
      </c>
      <c r="I267" s="6" t="s">
        <v>1341</v>
      </c>
      <c r="J267" s="6" t="str">
        <f>"PLEATS SLEEVES OPENING BLOUSE"</f>
        <v>PLEATS SLEEVES OPENING BLOUSE</v>
      </c>
      <c r="K267" s="6">
        <v>0</v>
      </c>
      <c r="L267" s="6">
        <v>0</v>
      </c>
      <c r="M267" s="6">
        <v>0</v>
      </c>
      <c r="N267" s="6" t="str">
        <f>""</f>
        <v/>
      </c>
      <c r="O267" s="6">
        <v>33413</v>
      </c>
      <c r="P267" s="6" t="s">
        <v>1342</v>
      </c>
      <c r="R267" s="6" t="s">
        <v>1343</v>
      </c>
      <c r="S267" s="6" t="s">
        <v>1344</v>
      </c>
      <c r="T267" s="6">
        <v>0</v>
      </c>
      <c r="U267" s="6">
        <v>0</v>
      </c>
      <c r="V267" s="6">
        <v>0</v>
      </c>
      <c r="W267" s="6">
        <v>0</v>
      </c>
      <c r="X267" s="6" t="s">
        <v>169</v>
      </c>
      <c r="Z267" s="6" t="s">
        <v>170</v>
      </c>
      <c r="AA267" s="6" t="s">
        <v>171</v>
      </c>
      <c r="AB267" s="6">
        <v>0</v>
      </c>
      <c r="AC267" s="6" t="str">
        <f>""</f>
        <v/>
      </c>
      <c r="AS267" s="6">
        <v>0</v>
      </c>
      <c r="AT267" s="6">
        <v>0</v>
      </c>
    </row>
    <row r="268" spans="2:46">
      <c r="B268" s="6" t="s">
        <v>498</v>
      </c>
      <c r="D268" s="6" t="s">
        <v>499</v>
      </c>
      <c r="F268" s="6" t="s">
        <v>1345</v>
      </c>
      <c r="G268" s="6" t="str">
        <f>"OL16SMBL01PKFH"</f>
        <v>OL16SMBL01PKFH</v>
      </c>
      <c r="H268" s="6" t="s">
        <v>1346</v>
      </c>
      <c r="I268" s="6" t="s">
        <v>1341</v>
      </c>
      <c r="J268" s="6" t="str">
        <f>"PLEATS SLEEVES OPENING BLOUSE"</f>
        <v>PLEATS SLEEVES OPENING BLOUSE</v>
      </c>
      <c r="K268" s="6">
        <v>0</v>
      </c>
      <c r="L268" s="6">
        <v>0</v>
      </c>
      <c r="M268" s="6">
        <v>0</v>
      </c>
      <c r="N268" s="6" t="str">
        <f>""</f>
        <v/>
      </c>
      <c r="O268" s="6">
        <v>33412</v>
      </c>
      <c r="P268" s="6" t="s">
        <v>1347</v>
      </c>
      <c r="R268" s="6" t="s">
        <v>1322</v>
      </c>
      <c r="S268" s="6" t="s">
        <v>1348</v>
      </c>
      <c r="T268" s="6">
        <v>0</v>
      </c>
      <c r="U268" s="6">
        <v>0</v>
      </c>
      <c r="V268" s="6">
        <v>0</v>
      </c>
      <c r="W268" s="6">
        <v>0</v>
      </c>
      <c r="X268" s="6" t="s">
        <v>169</v>
      </c>
      <c r="Z268" s="6" t="s">
        <v>170</v>
      </c>
      <c r="AA268" s="6" t="s">
        <v>171</v>
      </c>
      <c r="AB268" s="6">
        <v>0</v>
      </c>
      <c r="AC268" s="6" t="str">
        <f>""</f>
        <v/>
      </c>
      <c r="AS268" s="6">
        <v>0</v>
      </c>
      <c r="AT268" s="6">
        <v>0</v>
      </c>
    </row>
    <row r="269" spans="2:46">
      <c r="B269" s="6" t="s">
        <v>498</v>
      </c>
      <c r="D269" s="6" t="s">
        <v>499</v>
      </c>
      <c r="F269" s="6" t="s">
        <v>1349</v>
      </c>
      <c r="G269" s="6" t="str">
        <f>"OL16SMBL01WHFH"</f>
        <v>OL16SMBL01WHFH</v>
      </c>
      <c r="H269" s="6" t="s">
        <v>1350</v>
      </c>
      <c r="I269" s="6" t="s">
        <v>1341</v>
      </c>
      <c r="J269" s="6" t="str">
        <f>"PLEATS SLEEVES OPENING BLOUSE"</f>
        <v>PLEATS SLEEVES OPENING BLOUSE</v>
      </c>
      <c r="K269" s="6">
        <v>0</v>
      </c>
      <c r="L269" s="6">
        <v>0</v>
      </c>
      <c r="M269" s="6">
        <v>0</v>
      </c>
      <c r="N269" s="6" t="str">
        <f>""</f>
        <v/>
      </c>
      <c r="O269" s="6">
        <v>33411</v>
      </c>
      <c r="P269" s="6" t="s">
        <v>1351</v>
      </c>
      <c r="R269" s="6" t="s">
        <v>1255</v>
      </c>
      <c r="S269" s="6" t="s">
        <v>1352</v>
      </c>
      <c r="T269" s="6">
        <v>0</v>
      </c>
      <c r="U269" s="6">
        <v>0</v>
      </c>
      <c r="V269" s="6">
        <v>0</v>
      </c>
      <c r="W269" s="6">
        <v>0</v>
      </c>
      <c r="X269" s="6" t="s">
        <v>169</v>
      </c>
      <c r="Z269" s="6" t="s">
        <v>170</v>
      </c>
      <c r="AA269" s="6" t="s">
        <v>171</v>
      </c>
      <c r="AB269" s="6">
        <v>0</v>
      </c>
      <c r="AC269" s="6" t="str">
        <f>""</f>
        <v/>
      </c>
      <c r="AS269" s="6">
        <v>0</v>
      </c>
      <c r="AT269" s="6">
        <v>0</v>
      </c>
    </row>
    <row r="270" spans="2:46">
      <c r="B270" s="6" t="s">
        <v>498</v>
      </c>
      <c r="D270" s="6" t="s">
        <v>499</v>
      </c>
      <c r="F270" s="6" t="s">
        <v>1353</v>
      </c>
      <c r="G270" s="6" t="str">
        <f>"OL16SMTP03NYFH"</f>
        <v>OL16SMTP03NYFH</v>
      </c>
      <c r="H270" s="6" t="s">
        <v>1354</v>
      </c>
      <c r="I270" s="6" t="s">
        <v>1355</v>
      </c>
      <c r="J270" s="6" t="str">
        <f>"BACK PLEATS SLEEVES OPENING TOP"</f>
        <v>BACK PLEATS SLEEVES OPENING TOP</v>
      </c>
      <c r="K270" s="6">
        <v>0</v>
      </c>
      <c r="L270" s="6">
        <v>0</v>
      </c>
      <c r="M270" s="6">
        <v>0</v>
      </c>
      <c r="N270" s="6" t="str">
        <f>""</f>
        <v/>
      </c>
      <c r="O270" s="6">
        <v>33409</v>
      </c>
      <c r="P270" s="6" t="s">
        <v>1356</v>
      </c>
      <c r="R270" s="6" t="s">
        <v>1357</v>
      </c>
      <c r="S270" s="6" t="s">
        <v>1358</v>
      </c>
      <c r="T270" s="6">
        <v>0</v>
      </c>
      <c r="U270" s="6">
        <v>0</v>
      </c>
      <c r="V270" s="6">
        <v>0</v>
      </c>
      <c r="W270" s="6">
        <v>0</v>
      </c>
      <c r="X270" s="6" t="s">
        <v>169</v>
      </c>
      <c r="Z270" s="6" t="s">
        <v>170</v>
      </c>
      <c r="AA270" s="6" t="s">
        <v>171</v>
      </c>
      <c r="AB270" s="6">
        <v>0</v>
      </c>
      <c r="AC270" s="6" t="str">
        <f>""</f>
        <v/>
      </c>
      <c r="AS270" s="6">
        <v>0</v>
      </c>
      <c r="AT270" s="6">
        <v>0</v>
      </c>
    </row>
    <row r="271" spans="2:46">
      <c r="B271" s="6" t="s">
        <v>498</v>
      </c>
      <c r="D271" s="6" t="s">
        <v>499</v>
      </c>
      <c r="F271" s="6" t="s">
        <v>1359</v>
      </c>
      <c r="G271" s="6" t="str">
        <f>"OL16SMTP03WHFH"</f>
        <v>OL16SMTP03WHFH</v>
      </c>
      <c r="H271" s="6" t="s">
        <v>1360</v>
      </c>
      <c r="I271" s="6" t="s">
        <v>1355</v>
      </c>
      <c r="J271" s="6" t="str">
        <f>"BACK PLEATS SLEEVES OPENING TOP"</f>
        <v>BACK PLEATS SLEEVES OPENING TOP</v>
      </c>
      <c r="K271" s="6">
        <v>0</v>
      </c>
      <c r="L271" s="6">
        <v>0</v>
      </c>
      <c r="M271" s="6">
        <v>0</v>
      </c>
      <c r="N271" s="6" t="str">
        <f>""</f>
        <v/>
      </c>
      <c r="O271" s="6">
        <v>33408</v>
      </c>
      <c r="P271" s="6" t="s">
        <v>1361</v>
      </c>
      <c r="R271" s="6" t="s">
        <v>1362</v>
      </c>
      <c r="S271" s="6" t="s">
        <v>1363</v>
      </c>
      <c r="T271" s="6">
        <v>0</v>
      </c>
      <c r="U271" s="6">
        <v>0</v>
      </c>
      <c r="V271" s="6">
        <v>0</v>
      </c>
      <c r="W271" s="6">
        <v>0</v>
      </c>
      <c r="X271" s="6" t="s">
        <v>169</v>
      </c>
      <c r="Z271" s="6" t="s">
        <v>170</v>
      </c>
      <c r="AA271" s="6" t="s">
        <v>171</v>
      </c>
      <c r="AB271" s="6">
        <v>0</v>
      </c>
      <c r="AC271" s="6" t="str">
        <f>""</f>
        <v/>
      </c>
      <c r="AS271" s="6">
        <v>0</v>
      </c>
      <c r="AT271" s="6">
        <v>0</v>
      </c>
    </row>
    <row r="272" spans="2:46">
      <c r="B272" s="6" t="s">
        <v>498</v>
      </c>
      <c r="D272" s="6" t="s">
        <v>499</v>
      </c>
      <c r="F272" s="6" t="s">
        <v>1364</v>
      </c>
      <c r="G272" s="6" t="str">
        <f>"OL16SMTP01LBFR"</f>
        <v>OL16SMTP01LBFR</v>
      </c>
      <c r="H272" s="6" t="s">
        <v>1365</v>
      </c>
      <c r="I272" s="6" t="s">
        <v>1366</v>
      </c>
      <c r="J272" s="6" t="str">
        <f>"OHL_16SUM_TOP_01"</f>
        <v>OHL_16SUM_TOP_01</v>
      </c>
      <c r="K272" s="6">
        <v>0</v>
      </c>
      <c r="L272" s="6">
        <v>0</v>
      </c>
      <c r="M272" s="6">
        <v>0</v>
      </c>
      <c r="N272" s="6" t="str">
        <f>""</f>
        <v/>
      </c>
      <c r="O272" s="6">
        <v>33406</v>
      </c>
      <c r="P272" s="6" t="s">
        <v>1366</v>
      </c>
      <c r="R272" s="6" t="s">
        <v>1367</v>
      </c>
      <c r="S272" s="6" t="s">
        <v>1368</v>
      </c>
      <c r="T272" s="6">
        <v>0</v>
      </c>
      <c r="U272" s="6">
        <v>0</v>
      </c>
      <c r="V272" s="6">
        <v>0</v>
      </c>
      <c r="W272" s="6">
        <v>0</v>
      </c>
      <c r="X272" s="6" t="s">
        <v>169</v>
      </c>
      <c r="Z272" s="6" t="s">
        <v>170</v>
      </c>
      <c r="AA272" s="6" t="s">
        <v>171</v>
      </c>
      <c r="AB272" s="6">
        <v>0</v>
      </c>
      <c r="AC272" s="6" t="str">
        <f>""</f>
        <v/>
      </c>
      <c r="AS272" s="6">
        <v>0</v>
      </c>
      <c r="AT272" s="6">
        <v>0</v>
      </c>
    </row>
    <row r="273" spans="2:46">
      <c r="B273" s="6" t="s">
        <v>498</v>
      </c>
      <c r="D273" s="6" t="s">
        <v>499</v>
      </c>
      <c r="F273" s="6" t="s">
        <v>1369</v>
      </c>
      <c r="G273" s="6" t="str">
        <f>"OL16SMPT02LBMR"</f>
        <v>OL16SMPT02LBMR</v>
      </c>
      <c r="H273" s="6" t="s">
        <v>1370</v>
      </c>
      <c r="I273" s="6" t="s">
        <v>1371</v>
      </c>
      <c r="J273" s="6" t="str">
        <f>"OHL_16SUM_PT_02"</f>
        <v>OHL_16SUM_PT_02</v>
      </c>
      <c r="K273" s="6">
        <v>0</v>
      </c>
      <c r="L273" s="6">
        <v>0</v>
      </c>
      <c r="M273" s="6">
        <v>0</v>
      </c>
      <c r="N273" s="6" t="str">
        <f>""</f>
        <v/>
      </c>
      <c r="O273" s="6">
        <v>33404</v>
      </c>
      <c r="P273" s="6" t="s">
        <v>1372</v>
      </c>
      <c r="R273" s="6" t="s">
        <v>1373</v>
      </c>
      <c r="S273" s="6" t="s">
        <v>1374</v>
      </c>
      <c r="T273" s="6">
        <v>0</v>
      </c>
      <c r="U273" s="6">
        <v>0</v>
      </c>
      <c r="V273" s="6">
        <v>0</v>
      </c>
      <c r="W273" s="6">
        <v>0</v>
      </c>
      <c r="X273" s="6" t="s">
        <v>169</v>
      </c>
      <c r="Z273" s="6" t="s">
        <v>170</v>
      </c>
      <c r="AA273" s="6" t="s">
        <v>171</v>
      </c>
      <c r="AB273" s="6">
        <v>0</v>
      </c>
      <c r="AC273" s="6" t="str">
        <f>""</f>
        <v/>
      </c>
      <c r="AS273" s="6">
        <v>0</v>
      </c>
      <c r="AT273" s="6">
        <v>0</v>
      </c>
    </row>
    <row r="274" spans="2:46">
      <c r="B274" s="6" t="s">
        <v>498</v>
      </c>
      <c r="D274" s="6" t="s">
        <v>499</v>
      </c>
      <c r="F274" s="6" t="s">
        <v>1375</v>
      </c>
      <c r="G274" s="6" t="str">
        <f>"OL16SMPT02LBSR"</f>
        <v>OL16SMPT02LBSR</v>
      </c>
      <c r="H274" s="6" t="s">
        <v>1376</v>
      </c>
      <c r="I274" s="6" t="s">
        <v>1371</v>
      </c>
      <c r="J274" s="6" t="str">
        <f>"OHL_16SUM_PT_02"</f>
        <v>OHL_16SUM_PT_02</v>
      </c>
      <c r="K274" s="6">
        <v>0</v>
      </c>
      <c r="L274" s="6">
        <v>0</v>
      </c>
      <c r="M274" s="6">
        <v>0</v>
      </c>
      <c r="N274" s="6" t="str">
        <f>""</f>
        <v/>
      </c>
      <c r="O274" s="6">
        <v>33403</v>
      </c>
      <c r="P274" s="6" t="s">
        <v>1377</v>
      </c>
      <c r="R274" s="6" t="s">
        <v>1378</v>
      </c>
      <c r="S274" s="6" t="s">
        <v>1379</v>
      </c>
      <c r="T274" s="6">
        <v>0</v>
      </c>
      <c r="U274" s="6">
        <v>0</v>
      </c>
      <c r="V274" s="6">
        <v>0</v>
      </c>
      <c r="W274" s="6">
        <v>0</v>
      </c>
      <c r="X274" s="6" t="s">
        <v>169</v>
      </c>
      <c r="Z274" s="6" t="s">
        <v>170</v>
      </c>
      <c r="AA274" s="6" t="s">
        <v>171</v>
      </c>
      <c r="AB274" s="6">
        <v>0</v>
      </c>
      <c r="AC274" s="6" t="str">
        <f>""</f>
        <v/>
      </c>
      <c r="AS274" s="6">
        <v>0</v>
      </c>
      <c r="AT274" s="6">
        <v>0</v>
      </c>
    </row>
    <row r="275" spans="2:46">
      <c r="B275" s="6" t="s">
        <v>498</v>
      </c>
      <c r="D275" s="6" t="s">
        <v>499</v>
      </c>
      <c r="F275" s="6" t="s">
        <v>1380</v>
      </c>
      <c r="G275" s="6" t="str">
        <f>"OL16SMOP03BGFH"</f>
        <v>OL16SMOP03BGFH</v>
      </c>
      <c r="H275" s="6" t="s">
        <v>1381</v>
      </c>
      <c r="I275" s="6" t="s">
        <v>1382</v>
      </c>
      <c r="J275" s="6" t="str">
        <f>"POINT LACE PLEATS DRESS"</f>
        <v>POINT LACE PLEATS DRESS</v>
      </c>
      <c r="K275" s="6">
        <v>0</v>
      </c>
      <c r="L275" s="6">
        <v>0</v>
      </c>
      <c r="M275" s="6">
        <v>0</v>
      </c>
      <c r="N275" s="6" t="str">
        <f>""</f>
        <v/>
      </c>
      <c r="O275" s="6">
        <v>33414</v>
      </c>
      <c r="P275" s="6" t="s">
        <v>1383</v>
      </c>
      <c r="R275" s="6" t="s">
        <v>1343</v>
      </c>
      <c r="S275" s="6" t="s">
        <v>1384</v>
      </c>
      <c r="T275" s="6">
        <v>0</v>
      </c>
      <c r="U275" s="6">
        <v>0</v>
      </c>
      <c r="V275" s="6">
        <v>0</v>
      </c>
      <c r="W275" s="6">
        <v>0</v>
      </c>
      <c r="X275" s="6" t="s">
        <v>169</v>
      </c>
      <c r="Z275" s="6" t="s">
        <v>170</v>
      </c>
      <c r="AA275" s="6" t="s">
        <v>171</v>
      </c>
      <c r="AB275" s="6">
        <v>0</v>
      </c>
      <c r="AC275" s="6" t="str">
        <f>""</f>
        <v/>
      </c>
      <c r="AS275" s="6">
        <v>0</v>
      </c>
      <c r="AT275" s="6">
        <v>0</v>
      </c>
    </row>
    <row r="276" spans="2:46">
      <c r="B276" s="6" t="s">
        <v>498</v>
      </c>
      <c r="D276" s="6" t="s">
        <v>499</v>
      </c>
      <c r="F276" s="6" t="s">
        <v>1385</v>
      </c>
      <c r="G276" s="6" t="str">
        <f>"OL16SPOP01MSFH"</f>
        <v>OL16SPOP01MSFH</v>
      </c>
      <c r="H276" s="6" t="s">
        <v>1386</v>
      </c>
      <c r="I276" s="6" t="s">
        <v>1382</v>
      </c>
      <c r="J276" s="6" t="str">
        <f>"POINT LACE PLEATS DRESS"</f>
        <v>POINT LACE PLEATS DRESS</v>
      </c>
      <c r="K276" s="6">
        <v>0</v>
      </c>
      <c r="L276" s="6">
        <v>0</v>
      </c>
      <c r="M276" s="6">
        <v>0</v>
      </c>
      <c r="N276" s="6" t="str">
        <f>""</f>
        <v/>
      </c>
      <c r="O276" s="6">
        <v>33401</v>
      </c>
      <c r="P276" s="6" t="s">
        <v>1387</v>
      </c>
      <c r="R276" s="6" t="s">
        <v>1388</v>
      </c>
      <c r="S276" s="6" t="s">
        <v>1389</v>
      </c>
      <c r="T276" s="6">
        <v>0</v>
      </c>
      <c r="U276" s="6">
        <v>0</v>
      </c>
      <c r="V276" s="6">
        <v>0</v>
      </c>
      <c r="W276" s="6">
        <v>0</v>
      </c>
      <c r="X276" s="6" t="s">
        <v>169</v>
      </c>
      <c r="Z276" s="6" t="s">
        <v>170</v>
      </c>
      <c r="AA276" s="6" t="s">
        <v>171</v>
      </c>
      <c r="AB276" s="6">
        <v>0</v>
      </c>
      <c r="AC276" s="6" t="str">
        <f>""</f>
        <v/>
      </c>
      <c r="AS276" s="6">
        <v>0</v>
      </c>
      <c r="AT276" s="6">
        <v>0</v>
      </c>
    </row>
    <row r="277" spans="2:46">
      <c r="B277" s="6" t="s">
        <v>498</v>
      </c>
      <c r="D277" s="6" t="s">
        <v>499</v>
      </c>
      <c r="F277" s="6" t="s">
        <v>1390</v>
      </c>
      <c r="G277" s="6" t="str">
        <f>"OL16SPPT02BLMR"</f>
        <v>OL16SPPT02BLMR</v>
      </c>
      <c r="H277" s="6" t="s">
        <v>1391</v>
      </c>
      <c r="I277" s="6" t="s">
        <v>1392</v>
      </c>
      <c r="J277" s="6" t="str">
        <f>"DENIM BOOTCUT PANTS"</f>
        <v>DENIM BOOTCUT PANTS</v>
      </c>
      <c r="K277" s="6">
        <v>0</v>
      </c>
      <c r="L277" s="6">
        <v>0</v>
      </c>
      <c r="M277" s="6">
        <v>0</v>
      </c>
      <c r="N277" s="6" t="str">
        <f>""</f>
        <v/>
      </c>
      <c r="O277" s="6">
        <v>33399</v>
      </c>
      <c r="P277" s="6" t="s">
        <v>1393</v>
      </c>
      <c r="R277" s="6" t="s">
        <v>1394</v>
      </c>
      <c r="S277" s="6" t="s">
        <v>1395</v>
      </c>
      <c r="T277" s="6">
        <v>0</v>
      </c>
      <c r="U277" s="6">
        <v>0</v>
      </c>
      <c r="V277" s="6">
        <v>0</v>
      </c>
      <c r="W277" s="6">
        <v>0</v>
      </c>
      <c r="X277" s="6" t="s">
        <v>169</v>
      </c>
      <c r="Z277" s="6" t="s">
        <v>170</v>
      </c>
      <c r="AA277" s="6" t="s">
        <v>171</v>
      </c>
      <c r="AB277" s="6">
        <v>0</v>
      </c>
      <c r="AC277" s="6" t="str">
        <f>""</f>
        <v/>
      </c>
      <c r="AS277" s="6">
        <v>0</v>
      </c>
      <c r="AT277" s="6">
        <v>0</v>
      </c>
    </row>
    <row r="278" spans="2:46">
      <c r="B278" s="6" t="s">
        <v>498</v>
      </c>
      <c r="D278" s="6" t="s">
        <v>499</v>
      </c>
      <c r="F278" s="6" t="s">
        <v>1396</v>
      </c>
      <c r="G278" s="6" t="str">
        <f>"OL16SPPT02BLSR"</f>
        <v>OL16SPPT02BLSR</v>
      </c>
      <c r="H278" s="6" t="s">
        <v>1397</v>
      </c>
      <c r="I278" s="6" t="s">
        <v>1392</v>
      </c>
      <c r="J278" s="6" t="str">
        <f>"DENIM BOOTCUT PANTS"</f>
        <v>DENIM BOOTCUT PANTS</v>
      </c>
      <c r="K278" s="6">
        <v>0</v>
      </c>
      <c r="L278" s="6">
        <v>0</v>
      </c>
      <c r="M278" s="6">
        <v>0</v>
      </c>
      <c r="N278" s="6" t="str">
        <f>""</f>
        <v/>
      </c>
      <c r="O278" s="6">
        <v>33398</v>
      </c>
      <c r="P278" s="6" t="s">
        <v>1398</v>
      </c>
      <c r="R278" s="6" t="s">
        <v>1399</v>
      </c>
      <c r="S278" s="6" t="s">
        <v>1400</v>
      </c>
      <c r="T278" s="6">
        <v>0</v>
      </c>
      <c r="U278" s="6">
        <v>0</v>
      </c>
      <c r="V278" s="6">
        <v>0</v>
      </c>
      <c r="W278" s="6">
        <v>0</v>
      </c>
      <c r="X278" s="6" t="s">
        <v>169</v>
      </c>
      <c r="Z278" s="6" t="s">
        <v>170</v>
      </c>
      <c r="AA278" s="6" t="s">
        <v>171</v>
      </c>
      <c r="AB278" s="6">
        <v>0</v>
      </c>
      <c r="AC278" s="6" t="str">
        <f>""</f>
        <v/>
      </c>
      <c r="AS278" s="6">
        <v>0</v>
      </c>
      <c r="AT278" s="6">
        <v>0</v>
      </c>
    </row>
    <row r="279" spans="2:46">
      <c r="B279" s="6" t="s">
        <v>498</v>
      </c>
      <c r="D279" s="6" t="s">
        <v>499</v>
      </c>
      <c r="F279" s="6" t="s">
        <v>1401</v>
      </c>
      <c r="G279" s="6" t="str">
        <f>"OL16SPSK03IVMH"</f>
        <v>OL16SPSK03IVMH</v>
      </c>
      <c r="H279" s="6" t="s">
        <v>1402</v>
      </c>
      <c r="I279" s="6" t="s">
        <v>1403</v>
      </c>
      <c r="J279" s="6" t="str">
        <f>"POINT TAPE MERMAID SKIRT"</f>
        <v>POINT TAPE MERMAID SKIRT</v>
      </c>
      <c r="K279" s="6">
        <v>0</v>
      </c>
      <c r="L279" s="6">
        <v>0</v>
      </c>
      <c r="M279" s="6">
        <v>0</v>
      </c>
      <c r="N279" s="6" t="str">
        <f>""</f>
        <v/>
      </c>
      <c r="O279" s="6">
        <v>33396</v>
      </c>
      <c r="P279" s="6" t="s">
        <v>1404</v>
      </c>
      <c r="R279" s="6" t="s">
        <v>1405</v>
      </c>
      <c r="S279" s="6" t="s">
        <v>1406</v>
      </c>
      <c r="T279" s="6">
        <v>0</v>
      </c>
      <c r="U279" s="6">
        <v>0</v>
      </c>
      <c r="V279" s="6">
        <v>0</v>
      </c>
      <c r="W279" s="6">
        <v>0</v>
      </c>
      <c r="X279" s="6" t="s">
        <v>169</v>
      </c>
      <c r="Z279" s="6" t="s">
        <v>170</v>
      </c>
      <c r="AA279" s="6" t="s">
        <v>171</v>
      </c>
      <c r="AB279" s="6">
        <v>0</v>
      </c>
      <c r="AC279" s="6" t="str">
        <f>""</f>
        <v/>
      </c>
      <c r="AS279" s="6">
        <v>0</v>
      </c>
      <c r="AT279" s="6">
        <v>0</v>
      </c>
    </row>
    <row r="280" spans="2:46">
      <c r="B280" s="6" t="s">
        <v>498</v>
      </c>
      <c r="D280" s="6" t="s">
        <v>499</v>
      </c>
      <c r="F280" s="6" t="s">
        <v>1407</v>
      </c>
      <c r="G280" s="6" t="str">
        <f>"OL16SPSK03IVSH"</f>
        <v>OL16SPSK03IVSH</v>
      </c>
      <c r="H280" s="6" t="s">
        <v>1408</v>
      </c>
      <c r="I280" s="6" t="s">
        <v>1403</v>
      </c>
      <c r="J280" s="6" t="str">
        <f>"POINT TAPE MERMAID SKIRT"</f>
        <v>POINT TAPE MERMAID SKIRT</v>
      </c>
      <c r="K280" s="6">
        <v>0</v>
      </c>
      <c r="L280" s="6">
        <v>0</v>
      </c>
      <c r="M280" s="6">
        <v>0</v>
      </c>
      <c r="N280" s="6" t="str">
        <f>""</f>
        <v/>
      </c>
      <c r="O280" s="6">
        <v>33395</v>
      </c>
      <c r="P280" s="6" t="s">
        <v>1409</v>
      </c>
      <c r="R280" s="6" t="s">
        <v>1410</v>
      </c>
      <c r="S280" s="6" t="s">
        <v>1411</v>
      </c>
      <c r="T280" s="6">
        <v>0</v>
      </c>
      <c r="U280" s="6">
        <v>0</v>
      </c>
      <c r="V280" s="6">
        <v>0</v>
      </c>
      <c r="W280" s="6">
        <v>0</v>
      </c>
      <c r="X280" s="6" t="s">
        <v>169</v>
      </c>
      <c r="Z280" s="6" t="s">
        <v>170</v>
      </c>
      <c r="AA280" s="6" t="s">
        <v>171</v>
      </c>
      <c r="AB280" s="6">
        <v>0</v>
      </c>
      <c r="AC280" s="6" t="str">
        <f>""</f>
        <v/>
      </c>
      <c r="AS280" s="6">
        <v>0</v>
      </c>
      <c r="AT280" s="6">
        <v>0</v>
      </c>
    </row>
    <row r="281" spans="2:46">
      <c r="B281" s="6" t="s">
        <v>498</v>
      </c>
      <c r="D281" s="6" t="s">
        <v>499</v>
      </c>
      <c r="F281" s="6" t="s">
        <v>1412</v>
      </c>
      <c r="G281" s="6" t="str">
        <f>"OL16SPSK02SBMH"</f>
        <v>OL16SPSK02SBMH</v>
      </c>
      <c r="H281" s="6" t="s">
        <v>1413</v>
      </c>
      <c r="I281" s="6" t="s">
        <v>1403</v>
      </c>
      <c r="J281" s="6" t="str">
        <f>"POINT TAPE MERMAID SKIRT"</f>
        <v>POINT TAPE MERMAID SKIRT</v>
      </c>
      <c r="K281" s="6">
        <v>0</v>
      </c>
      <c r="L281" s="6">
        <v>0</v>
      </c>
      <c r="M281" s="6">
        <v>0</v>
      </c>
      <c r="N281" s="6" t="str">
        <f>""</f>
        <v/>
      </c>
      <c r="O281" s="6">
        <v>33394</v>
      </c>
      <c r="P281" s="6" t="s">
        <v>1414</v>
      </c>
      <c r="R281" s="6" t="s">
        <v>1415</v>
      </c>
      <c r="S281" s="6" t="s">
        <v>1416</v>
      </c>
      <c r="T281" s="6">
        <v>0</v>
      </c>
      <c r="U281" s="6">
        <v>0</v>
      </c>
      <c r="V281" s="6">
        <v>0</v>
      </c>
      <c r="W281" s="6">
        <v>0</v>
      </c>
      <c r="X281" s="6" t="s">
        <v>169</v>
      </c>
      <c r="Z281" s="6" t="s">
        <v>170</v>
      </c>
      <c r="AA281" s="6" t="s">
        <v>171</v>
      </c>
      <c r="AB281" s="6">
        <v>0</v>
      </c>
      <c r="AC281" s="6" t="str">
        <f>""</f>
        <v/>
      </c>
      <c r="AS281" s="6">
        <v>0</v>
      </c>
      <c r="AT281" s="6">
        <v>0</v>
      </c>
    </row>
    <row r="282" spans="2:46">
      <c r="B282" s="6" t="s">
        <v>498</v>
      </c>
      <c r="D282" s="6" t="s">
        <v>499</v>
      </c>
      <c r="F282" s="6" t="s">
        <v>1417</v>
      </c>
      <c r="G282" s="6" t="str">
        <f>"OL16SPSK01NYMH"</f>
        <v>OL16SPSK01NYMH</v>
      </c>
      <c r="H282" s="6" t="s">
        <v>1418</v>
      </c>
      <c r="I282" s="6" t="s">
        <v>1419</v>
      </c>
      <c r="J282" s="6" t="str">
        <f>"POINT STRIPES LACE SKIRT"</f>
        <v>POINT STRIPES LACE SKIRT</v>
      </c>
      <c r="K282" s="6">
        <v>0</v>
      </c>
      <c r="L282" s="6">
        <v>0</v>
      </c>
      <c r="M282" s="6">
        <v>0</v>
      </c>
      <c r="N282" s="6" t="str">
        <f>""</f>
        <v/>
      </c>
      <c r="O282" s="6">
        <v>33392</v>
      </c>
      <c r="P282" s="6" t="s">
        <v>1420</v>
      </c>
      <c r="R282" s="6" t="s">
        <v>1421</v>
      </c>
      <c r="S282" s="6" t="s">
        <v>1422</v>
      </c>
      <c r="T282" s="6">
        <v>0</v>
      </c>
      <c r="U282" s="6">
        <v>0</v>
      </c>
      <c r="V282" s="6">
        <v>0</v>
      </c>
      <c r="W282" s="6">
        <v>0</v>
      </c>
      <c r="X282" s="6" t="s">
        <v>169</v>
      </c>
      <c r="Z282" s="6" t="s">
        <v>170</v>
      </c>
      <c r="AA282" s="6" t="s">
        <v>171</v>
      </c>
      <c r="AB282" s="6">
        <v>0</v>
      </c>
      <c r="AC282" s="6" t="str">
        <f>""</f>
        <v/>
      </c>
      <c r="AS282" s="6">
        <v>0</v>
      </c>
      <c r="AT282" s="6">
        <v>0</v>
      </c>
    </row>
    <row r="283" spans="2:46">
      <c r="B283" s="6" t="s">
        <v>498</v>
      </c>
      <c r="D283" s="6" t="s">
        <v>499</v>
      </c>
      <c r="F283" s="6" t="s">
        <v>1423</v>
      </c>
      <c r="G283" s="6" t="str">
        <f>"OL16SPKN02BKFK"</f>
        <v>OL16SPKN02BKFK</v>
      </c>
      <c r="H283" s="6" t="s">
        <v>1424</v>
      </c>
      <c r="I283" s="6" t="s">
        <v>1425</v>
      </c>
      <c r="J283" s="6" t="str">
        <f>"POINT STRIPE KNIT"</f>
        <v>POINT STRIPE KNIT</v>
      </c>
      <c r="K283" s="6">
        <v>0</v>
      </c>
      <c r="L283" s="6">
        <v>0</v>
      </c>
      <c r="M283" s="6">
        <v>0</v>
      </c>
      <c r="N283" s="6" t="str">
        <f>""</f>
        <v/>
      </c>
      <c r="O283" s="6">
        <v>33390</v>
      </c>
      <c r="P283" s="6" t="s">
        <v>1426</v>
      </c>
      <c r="R283" s="6" t="s">
        <v>1427</v>
      </c>
      <c r="S283" s="6" t="s">
        <v>1428</v>
      </c>
      <c r="T283" s="6">
        <v>0</v>
      </c>
      <c r="U283" s="6">
        <v>0</v>
      </c>
      <c r="V283" s="6">
        <v>0</v>
      </c>
      <c r="W283" s="6">
        <v>0</v>
      </c>
      <c r="X283" s="6" t="s">
        <v>169</v>
      </c>
      <c r="Z283" s="6" t="s">
        <v>170</v>
      </c>
      <c r="AA283" s="6" t="s">
        <v>171</v>
      </c>
      <c r="AB283" s="6">
        <v>0</v>
      </c>
      <c r="AC283" s="6" t="str">
        <f>""</f>
        <v/>
      </c>
      <c r="AS283" s="6">
        <v>0</v>
      </c>
      <c r="AT283" s="6">
        <v>0</v>
      </c>
    </row>
    <row r="284" spans="2:46">
      <c r="B284" s="6" t="s">
        <v>498</v>
      </c>
      <c r="D284" s="6" t="s">
        <v>499</v>
      </c>
      <c r="F284" s="6" t="s">
        <v>1429</v>
      </c>
      <c r="G284" s="6" t="str">
        <f>"OL16SPKN01WHFK"</f>
        <v>OL16SPKN01WHFK</v>
      </c>
      <c r="H284" s="6" t="s">
        <v>1430</v>
      </c>
      <c r="I284" s="6" t="s">
        <v>1425</v>
      </c>
      <c r="J284" s="6" t="str">
        <f>"POINT STRIPE KNIT"</f>
        <v>POINT STRIPE KNIT</v>
      </c>
      <c r="K284" s="6">
        <v>0</v>
      </c>
      <c r="L284" s="6">
        <v>0</v>
      </c>
      <c r="M284" s="6">
        <v>0</v>
      </c>
      <c r="N284" s="6" t="str">
        <f>""</f>
        <v/>
      </c>
      <c r="O284" s="6">
        <v>33389</v>
      </c>
      <c r="P284" s="6" t="s">
        <v>1431</v>
      </c>
      <c r="R284" s="6" t="s">
        <v>1432</v>
      </c>
      <c r="S284" s="6" t="s">
        <v>1433</v>
      </c>
      <c r="T284" s="6">
        <v>0</v>
      </c>
      <c r="U284" s="6">
        <v>0</v>
      </c>
      <c r="V284" s="6">
        <v>0</v>
      </c>
      <c r="W284" s="6">
        <v>0</v>
      </c>
      <c r="X284" s="6" t="s">
        <v>169</v>
      </c>
      <c r="Z284" s="6" t="s">
        <v>170</v>
      </c>
      <c r="AA284" s="6" t="s">
        <v>171</v>
      </c>
      <c r="AB284" s="6">
        <v>0</v>
      </c>
      <c r="AC284" s="6" t="str">
        <f>""</f>
        <v/>
      </c>
      <c r="AS284" s="6">
        <v>0</v>
      </c>
      <c r="AT284" s="6">
        <v>0</v>
      </c>
    </row>
    <row r="285" spans="2:46">
      <c r="B285" s="6" t="s">
        <v>498</v>
      </c>
      <c r="D285" s="6" t="s">
        <v>499</v>
      </c>
      <c r="F285" s="6" t="s">
        <v>1434</v>
      </c>
      <c r="G285" s="6" t="str">
        <f>"OL16SPBL03MSFH"</f>
        <v>OL16SPBL03MSFH</v>
      </c>
      <c r="H285" s="6" t="s">
        <v>1435</v>
      </c>
      <c r="I285" s="6" t="s">
        <v>1436</v>
      </c>
      <c r="J285" s="6" t="str">
        <f>"POINT SLEEVE BLOUSE"</f>
        <v>POINT SLEEVE BLOUSE</v>
      </c>
      <c r="K285" s="6">
        <v>0</v>
      </c>
      <c r="L285" s="6">
        <v>0</v>
      </c>
      <c r="M285" s="6">
        <v>0</v>
      </c>
      <c r="N285" s="6" t="str">
        <f>""</f>
        <v/>
      </c>
      <c r="O285" s="6">
        <v>33387</v>
      </c>
      <c r="P285" s="6" t="s">
        <v>1437</v>
      </c>
      <c r="R285" s="6" t="s">
        <v>1388</v>
      </c>
      <c r="S285" s="6" t="s">
        <v>1438</v>
      </c>
      <c r="T285" s="6">
        <v>0</v>
      </c>
      <c r="U285" s="6">
        <v>0</v>
      </c>
      <c r="V285" s="6">
        <v>0</v>
      </c>
      <c r="W285" s="6">
        <v>0</v>
      </c>
      <c r="X285" s="6" t="s">
        <v>169</v>
      </c>
      <c r="Z285" s="6" t="s">
        <v>170</v>
      </c>
      <c r="AA285" s="6" t="s">
        <v>171</v>
      </c>
      <c r="AB285" s="6">
        <v>0</v>
      </c>
      <c r="AC285" s="6" t="str">
        <f>""</f>
        <v/>
      </c>
      <c r="AS285" s="6">
        <v>0</v>
      </c>
      <c r="AT285" s="6">
        <v>0</v>
      </c>
    </row>
    <row r="286" spans="2:46">
      <c r="B286" s="6" t="s">
        <v>498</v>
      </c>
      <c r="D286" s="6" t="s">
        <v>499</v>
      </c>
      <c r="F286" s="6" t="s">
        <v>1439</v>
      </c>
      <c r="G286" s="6" t="str">
        <f>"OL16SPBL02PKFH"</f>
        <v>OL16SPBL02PKFH</v>
      </c>
      <c r="H286" s="6" t="s">
        <v>1440</v>
      </c>
      <c r="I286" s="6" t="s">
        <v>1436</v>
      </c>
      <c r="J286" s="6" t="str">
        <f>"POINT SLEEVE BLOUSE"</f>
        <v>POINT SLEEVE BLOUSE</v>
      </c>
      <c r="K286" s="6">
        <v>0</v>
      </c>
      <c r="L286" s="6">
        <v>0</v>
      </c>
      <c r="M286" s="6">
        <v>0</v>
      </c>
      <c r="N286" s="6" t="str">
        <f>""</f>
        <v/>
      </c>
      <c r="O286" s="6">
        <v>33386</v>
      </c>
      <c r="P286" s="6" t="s">
        <v>1441</v>
      </c>
      <c r="R286" s="6" t="s">
        <v>1442</v>
      </c>
      <c r="S286" s="6" t="s">
        <v>1443</v>
      </c>
      <c r="T286" s="6">
        <v>0</v>
      </c>
      <c r="U286" s="6">
        <v>0</v>
      </c>
      <c r="V286" s="6">
        <v>0</v>
      </c>
      <c r="W286" s="6">
        <v>0</v>
      </c>
      <c r="X286" s="6" t="s">
        <v>169</v>
      </c>
      <c r="Z286" s="6" t="s">
        <v>170</v>
      </c>
      <c r="AA286" s="6" t="s">
        <v>171</v>
      </c>
      <c r="AB286" s="6">
        <v>0</v>
      </c>
      <c r="AC286" s="6" t="str">
        <f>""</f>
        <v/>
      </c>
      <c r="AS286" s="6">
        <v>0</v>
      </c>
      <c r="AT286" s="6">
        <v>0</v>
      </c>
    </row>
    <row r="287" spans="2:46">
      <c r="B287" s="6" t="s">
        <v>498</v>
      </c>
      <c r="D287" s="6" t="s">
        <v>499</v>
      </c>
      <c r="F287" s="6" t="s">
        <v>1444</v>
      </c>
      <c r="G287" s="6" t="str">
        <f>"OL16SPBL01SBFH"</f>
        <v>OL16SPBL01SBFH</v>
      </c>
      <c r="H287" s="6" t="s">
        <v>1445</v>
      </c>
      <c r="I287" s="6" t="s">
        <v>1436</v>
      </c>
      <c r="J287" s="6" t="str">
        <f>"POINT SLEEVE BLOUSE"</f>
        <v>POINT SLEEVE BLOUSE</v>
      </c>
      <c r="K287" s="6">
        <v>0</v>
      </c>
      <c r="L287" s="6">
        <v>0</v>
      </c>
      <c r="M287" s="6">
        <v>0</v>
      </c>
      <c r="N287" s="6" t="str">
        <f>""</f>
        <v/>
      </c>
      <c r="O287" s="6">
        <v>33385</v>
      </c>
      <c r="P287" s="6" t="s">
        <v>1446</v>
      </c>
      <c r="R287" s="6" t="s">
        <v>1447</v>
      </c>
      <c r="S287" s="6" t="s">
        <v>1448</v>
      </c>
      <c r="T287" s="6">
        <v>0</v>
      </c>
      <c r="U287" s="6">
        <v>0</v>
      </c>
      <c r="V287" s="6">
        <v>0</v>
      </c>
      <c r="W287" s="6">
        <v>0</v>
      </c>
      <c r="X287" s="6" t="s">
        <v>169</v>
      </c>
      <c r="Z287" s="6" t="s">
        <v>170</v>
      </c>
      <c r="AA287" s="6" t="s">
        <v>171</v>
      </c>
      <c r="AB287" s="6">
        <v>0</v>
      </c>
      <c r="AC287" s="6" t="str">
        <f>""</f>
        <v/>
      </c>
      <c r="AS287" s="6">
        <v>0</v>
      </c>
      <c r="AT287" s="6">
        <v>0</v>
      </c>
    </row>
    <row r="288" spans="2:46">
      <c r="B288" s="6" t="s">
        <v>498</v>
      </c>
      <c r="D288" s="6" t="s">
        <v>499</v>
      </c>
      <c r="F288" s="6" t="s">
        <v>1449</v>
      </c>
      <c r="G288" s="6" t="str">
        <f>"OL16SPTP01GDFR"</f>
        <v>OL16SPTP01GDFR</v>
      </c>
      <c r="H288" s="6" t="s">
        <v>1450</v>
      </c>
      <c r="I288" s="6" t="s">
        <v>1451</v>
      </c>
      <c r="J288" s="6" t="str">
        <f>"GLITTER PEPLUM BUSTIER"</f>
        <v>GLITTER PEPLUM BUSTIER</v>
      </c>
      <c r="K288" s="6">
        <v>0</v>
      </c>
      <c r="L288" s="6">
        <v>0</v>
      </c>
      <c r="M288" s="6">
        <v>0</v>
      </c>
      <c r="N288" s="6" t="str">
        <f>""</f>
        <v/>
      </c>
      <c r="O288" s="6">
        <v>33383</v>
      </c>
      <c r="P288" s="6" t="s">
        <v>1452</v>
      </c>
      <c r="R288" s="6" t="s">
        <v>1453</v>
      </c>
      <c r="S288" s="6" t="s">
        <v>1454</v>
      </c>
      <c r="T288" s="6">
        <v>0</v>
      </c>
      <c r="U288" s="6">
        <v>0</v>
      </c>
      <c r="V288" s="6">
        <v>0</v>
      </c>
      <c r="W288" s="6">
        <v>0</v>
      </c>
      <c r="X288" s="6" t="s">
        <v>169</v>
      </c>
      <c r="Z288" s="6" t="s">
        <v>170</v>
      </c>
      <c r="AA288" s="6" t="s">
        <v>171</v>
      </c>
      <c r="AB288" s="6">
        <v>0</v>
      </c>
      <c r="AC288" s="6" t="str">
        <f>""</f>
        <v/>
      </c>
      <c r="AS288" s="6">
        <v>0</v>
      </c>
      <c r="AT288" s="6">
        <v>0</v>
      </c>
    </row>
    <row r="289" spans="2:46">
      <c r="B289" s="6" t="s">
        <v>498</v>
      </c>
      <c r="D289" s="6" t="s">
        <v>499</v>
      </c>
      <c r="F289" s="6" t="s">
        <v>1455</v>
      </c>
      <c r="G289" s="6" t="str">
        <f>"OL16SPJK02MSFH"</f>
        <v>OL16SPJK02MSFH</v>
      </c>
      <c r="H289" s="6" t="s">
        <v>1456</v>
      </c>
      <c r="I289" s="6" t="s">
        <v>1457</v>
      </c>
      <c r="J289" s="6" t="str">
        <f>"FLOWER CUFFS SHORT JACKET"</f>
        <v>FLOWER CUFFS SHORT JACKET</v>
      </c>
      <c r="K289" s="6">
        <v>0</v>
      </c>
      <c r="L289" s="6">
        <v>0</v>
      </c>
      <c r="M289" s="6">
        <v>0</v>
      </c>
      <c r="N289" s="6" t="str">
        <f>""</f>
        <v/>
      </c>
      <c r="O289" s="6">
        <v>33381</v>
      </c>
      <c r="P289" s="6" t="s">
        <v>1458</v>
      </c>
      <c r="R289" s="6" t="s">
        <v>1388</v>
      </c>
      <c r="S289" s="6" t="s">
        <v>1459</v>
      </c>
      <c r="T289" s="6">
        <v>0</v>
      </c>
      <c r="U289" s="6">
        <v>0</v>
      </c>
      <c r="V289" s="6">
        <v>0</v>
      </c>
      <c r="W289" s="6">
        <v>0</v>
      </c>
      <c r="X289" s="6" t="s">
        <v>169</v>
      </c>
      <c r="Z289" s="6" t="s">
        <v>170</v>
      </c>
      <c r="AA289" s="6" t="s">
        <v>171</v>
      </c>
      <c r="AB289" s="6">
        <v>0</v>
      </c>
      <c r="AC289" s="6" t="str">
        <f>""</f>
        <v/>
      </c>
      <c r="AS289" s="6">
        <v>0</v>
      </c>
      <c r="AT289" s="6">
        <v>0</v>
      </c>
    </row>
    <row r="290" spans="2:46">
      <c r="B290" s="6" t="s">
        <v>498</v>
      </c>
      <c r="D290" s="6" t="s">
        <v>499</v>
      </c>
      <c r="F290" s="6" t="s">
        <v>1460</v>
      </c>
      <c r="G290" s="6" t="str">
        <f>"OL16SPPT01NYMH"</f>
        <v>OL16SPPT01NYMH</v>
      </c>
      <c r="H290" s="6" t="s">
        <v>1461</v>
      </c>
      <c r="I290" s="6" t="s">
        <v>1462</v>
      </c>
      <c r="J290" s="6" t="str">
        <f>"CHECK SUIT SIDE PLEATS SHORTS"</f>
        <v>CHECK SUIT SIDE PLEATS SHORTS</v>
      </c>
      <c r="K290" s="6">
        <v>0</v>
      </c>
      <c r="L290" s="6">
        <v>0</v>
      </c>
      <c r="M290" s="6">
        <v>0</v>
      </c>
      <c r="N290" s="6" t="str">
        <f>""</f>
        <v/>
      </c>
      <c r="O290" s="6">
        <v>33379</v>
      </c>
      <c r="P290" s="6" t="s">
        <v>1463</v>
      </c>
      <c r="R290" s="6" t="s">
        <v>1421</v>
      </c>
      <c r="S290" s="6" t="s">
        <v>1464</v>
      </c>
      <c r="T290" s="6">
        <v>0</v>
      </c>
      <c r="U290" s="6">
        <v>0</v>
      </c>
      <c r="V290" s="6">
        <v>0</v>
      </c>
      <c r="W290" s="6">
        <v>0</v>
      </c>
      <c r="X290" s="6" t="s">
        <v>169</v>
      </c>
      <c r="Z290" s="6" t="s">
        <v>170</v>
      </c>
      <c r="AA290" s="6" t="s">
        <v>171</v>
      </c>
      <c r="AB290" s="6">
        <v>0</v>
      </c>
      <c r="AC290" s="6" t="str">
        <f>""</f>
        <v/>
      </c>
      <c r="AS290" s="6">
        <v>0</v>
      </c>
      <c r="AT290" s="6">
        <v>0</v>
      </c>
    </row>
    <row r="291" spans="2:46">
      <c r="B291" s="6" t="s">
        <v>111</v>
      </c>
      <c r="D291" s="6" t="s">
        <v>1465</v>
      </c>
      <c r="F291" s="6" t="s">
        <v>1466</v>
      </c>
      <c r="G291" s="6" t="str">
        <f>"3176212108301208"</f>
        <v>3176212108301208</v>
      </c>
      <c r="I291" s="6" t="s">
        <v>1467</v>
      </c>
      <c r="J291" s="6" t="str">
        <f>"RTR CHECK RIBBON"</f>
        <v>RTR CHECK RIBBON</v>
      </c>
      <c r="K291" s="6">
        <v>0</v>
      </c>
      <c r="L291" s="6">
        <v>0</v>
      </c>
      <c r="M291" s="6">
        <v>0</v>
      </c>
      <c r="N291" s="6" t="str">
        <f>"미입력"</f>
        <v>미입력</v>
      </c>
      <c r="O291" s="6">
        <v>33376</v>
      </c>
      <c r="P291" s="6" t="s">
        <v>1468</v>
      </c>
      <c r="R291" s="6" t="s">
        <v>1469</v>
      </c>
      <c r="S291" s="6" t="s">
        <v>1470</v>
      </c>
      <c r="T291" s="6">
        <v>0</v>
      </c>
      <c r="U291" s="6">
        <v>0</v>
      </c>
      <c r="V291" s="6">
        <v>0</v>
      </c>
      <c r="W291" s="6">
        <v>0</v>
      </c>
      <c r="X291" s="6" t="s">
        <v>169</v>
      </c>
      <c r="Z291" s="6" t="s">
        <v>170</v>
      </c>
      <c r="AA291" s="6" t="s">
        <v>171</v>
      </c>
      <c r="AB291" s="6">
        <v>0</v>
      </c>
      <c r="AC291" s="6" t="str">
        <f>"KEY-015"</f>
        <v>KEY-015</v>
      </c>
      <c r="AP291" s="6" t="s">
        <v>1471</v>
      </c>
      <c r="AQ291" s="6" t="str">
        <f>""</f>
        <v/>
      </c>
      <c r="AR291" s="6" t="s">
        <v>1472</v>
      </c>
      <c r="AS291" s="6">
        <v>0</v>
      </c>
      <c r="AT291" s="6">
        <v>0</v>
      </c>
    </row>
    <row r="292" spans="2:46">
      <c r="B292" s="6" t="s">
        <v>110</v>
      </c>
      <c r="D292" s="6" t="s">
        <v>1473</v>
      </c>
      <c r="F292" s="6" t="s">
        <v>1474</v>
      </c>
      <c r="G292" s="6" t="str">
        <f>"JGUSAE1225A214GD"</f>
        <v>JGUSAE1225A214GD</v>
      </c>
      <c r="I292" s="6" t="s">
        <v>80</v>
      </c>
      <c r="J292" s="6" t="str">
        <f>"JG-USAE1225A214GD"</f>
        <v>JG-USAE1225A214GD</v>
      </c>
      <c r="K292" s="6">
        <v>0</v>
      </c>
      <c r="L292" s="6">
        <v>0</v>
      </c>
      <c r="M292" s="6">
        <v>0</v>
      </c>
      <c r="N292" s="6" t="str">
        <f>"미입력"</f>
        <v>미입력</v>
      </c>
      <c r="O292" s="6">
        <v>33374</v>
      </c>
      <c r="P292" s="6" t="s">
        <v>80</v>
      </c>
      <c r="R292" s="6" t="s">
        <v>1475</v>
      </c>
      <c r="S292" s="6" t="s">
        <v>1476</v>
      </c>
      <c r="T292" s="6">
        <v>0</v>
      </c>
      <c r="U292" s="6">
        <v>0</v>
      </c>
      <c r="V292" s="6">
        <v>0</v>
      </c>
      <c r="W292" s="6">
        <v>0</v>
      </c>
      <c r="X292" s="6" t="s">
        <v>169</v>
      </c>
      <c r="Z292" s="6" t="s">
        <v>170</v>
      </c>
      <c r="AA292" s="6" t="s">
        <v>171</v>
      </c>
      <c r="AB292" s="6">
        <v>0</v>
      </c>
      <c r="AC292" s="6" t="str">
        <f>"KEY-002"</f>
        <v>KEY-002</v>
      </c>
      <c r="AP292" s="6" t="s">
        <v>1471</v>
      </c>
      <c r="AQ292" s="6" t="str">
        <f>"KEY-018"</f>
        <v>KEY-018</v>
      </c>
      <c r="AR292" s="6" t="s">
        <v>1477</v>
      </c>
      <c r="AS292" s="6">
        <v>0</v>
      </c>
      <c r="AT292" s="6">
        <v>0</v>
      </c>
    </row>
    <row r="293" spans="2:46">
      <c r="B293" s="6" t="s">
        <v>1478</v>
      </c>
      <c r="D293" s="6" t="s">
        <v>1479</v>
      </c>
      <c r="F293" s="6" t="s">
        <v>1480</v>
      </c>
      <c r="G293" s="6" t="str">
        <f>"A0001"</f>
        <v>A0001</v>
      </c>
      <c r="I293" s="6" t="s">
        <v>1481</v>
      </c>
      <c r="J293" s="6" t="str">
        <f>"A0001"</f>
        <v>A0001</v>
      </c>
      <c r="K293" s="6">
        <v>0</v>
      </c>
      <c r="L293" s="6">
        <v>0</v>
      </c>
      <c r="M293" s="6">
        <v>0</v>
      </c>
      <c r="N293" s="6" t="str">
        <f>""</f>
        <v/>
      </c>
      <c r="O293" s="6">
        <v>33371</v>
      </c>
      <c r="P293" s="6" t="s">
        <v>1481</v>
      </c>
      <c r="R293" s="6" t="s">
        <v>1482</v>
      </c>
      <c r="S293" s="6" t="s">
        <v>1483</v>
      </c>
      <c r="T293" s="6">
        <v>997</v>
      </c>
      <c r="U293" s="6">
        <v>0</v>
      </c>
      <c r="V293" s="6">
        <v>0</v>
      </c>
      <c r="W293" s="6">
        <v>0</v>
      </c>
      <c r="X293" s="6" t="s">
        <v>169</v>
      </c>
      <c r="Z293" s="6" t="s">
        <v>170</v>
      </c>
      <c r="AA293" s="6" t="s">
        <v>171</v>
      </c>
      <c r="AB293" s="6">
        <v>0</v>
      </c>
      <c r="AC293" s="6" t="str">
        <f>""</f>
        <v/>
      </c>
      <c r="AP293" s="6" t="s">
        <v>1471</v>
      </c>
      <c r="AS293" s="6">
        <v>0</v>
      </c>
      <c r="AT293" s="6">
        <v>997</v>
      </c>
    </row>
    <row r="294" spans="2:46">
      <c r="B294" s="6" t="s">
        <v>1484</v>
      </c>
      <c r="D294" s="6" t="s">
        <v>1485</v>
      </c>
      <c r="F294" s="6" t="s">
        <v>1486</v>
      </c>
      <c r="G294" s="6" t="str">
        <f>"EEOG1DPR03W0B3M"</f>
        <v>EEOG1DPR03W0B3M</v>
      </c>
      <c r="I294" s="6" t="s">
        <v>1487</v>
      </c>
      <c r="J294" s="6" t="str">
        <f>"FOREVERYOUNG DESTROY DENIM PANTS"</f>
        <v>FOREVERYOUNG DESTROY DENIM PANTS</v>
      </c>
      <c r="K294" s="6">
        <v>0</v>
      </c>
      <c r="L294" s="6">
        <v>0</v>
      </c>
      <c r="M294" s="6">
        <v>0</v>
      </c>
      <c r="N294" s="6" t="str">
        <f t="shared" ref="N294:N311" si="0">"미입력"</f>
        <v>미입력</v>
      </c>
      <c r="O294" s="6">
        <v>33370</v>
      </c>
      <c r="P294" s="6" t="s">
        <v>1488</v>
      </c>
      <c r="R294" s="6" t="s">
        <v>1489</v>
      </c>
      <c r="S294" s="6" t="s">
        <v>1490</v>
      </c>
      <c r="T294" s="6">
        <v>0</v>
      </c>
      <c r="U294" s="6">
        <v>0</v>
      </c>
      <c r="V294" s="6">
        <v>0</v>
      </c>
      <c r="W294" s="6">
        <v>0</v>
      </c>
      <c r="X294" s="6" t="s">
        <v>169</v>
      </c>
      <c r="Z294" s="6" t="s">
        <v>170</v>
      </c>
      <c r="AA294" s="6" t="s">
        <v>171</v>
      </c>
      <c r="AB294" s="6">
        <v>0</v>
      </c>
      <c r="AC294" s="6" t="str">
        <f>"KEY-026"</f>
        <v>KEY-026</v>
      </c>
      <c r="AP294" s="6" t="s">
        <v>1471</v>
      </c>
      <c r="AQ294" s="6" t="str">
        <f>""</f>
        <v/>
      </c>
      <c r="AR294" s="6" t="s">
        <v>1472</v>
      </c>
      <c r="AS294" s="6">
        <v>0</v>
      </c>
      <c r="AT294" s="6">
        <v>0</v>
      </c>
    </row>
    <row r="295" spans="2:46">
      <c r="B295" s="6" t="s">
        <v>1484</v>
      </c>
      <c r="D295" s="6" t="s">
        <v>1485</v>
      </c>
      <c r="F295" s="6" t="s">
        <v>1491</v>
      </c>
      <c r="G295" s="6" t="str">
        <f>"EEOG1DPR03W0B3S"</f>
        <v>EEOG1DPR03W0B3S</v>
      </c>
      <c r="I295" s="6" t="s">
        <v>1487</v>
      </c>
      <c r="J295" s="6" t="str">
        <f>"FOREVERYOUNG DESTROY DENIM PANTS"</f>
        <v>FOREVERYOUNG DESTROY DENIM PANTS</v>
      </c>
      <c r="K295" s="6">
        <v>0</v>
      </c>
      <c r="L295" s="6">
        <v>0</v>
      </c>
      <c r="M295" s="6">
        <v>0</v>
      </c>
      <c r="N295" s="6" t="str">
        <f t="shared" si="0"/>
        <v>미입력</v>
      </c>
      <c r="O295" s="6">
        <v>33369</v>
      </c>
      <c r="P295" s="6" t="s">
        <v>1492</v>
      </c>
      <c r="R295" s="6" t="s">
        <v>1493</v>
      </c>
      <c r="S295" s="6" t="s">
        <v>1494</v>
      </c>
      <c r="T295" s="6">
        <v>0</v>
      </c>
      <c r="U295" s="6">
        <v>0</v>
      </c>
      <c r="V295" s="6">
        <v>0</v>
      </c>
      <c r="W295" s="6">
        <v>0</v>
      </c>
      <c r="X295" s="6" t="s">
        <v>169</v>
      </c>
      <c r="Z295" s="6" t="s">
        <v>170</v>
      </c>
      <c r="AA295" s="6" t="s">
        <v>171</v>
      </c>
      <c r="AB295" s="6">
        <v>0</v>
      </c>
      <c r="AC295" s="6" t="str">
        <f>""</f>
        <v/>
      </c>
      <c r="AP295" s="6" t="s">
        <v>1471</v>
      </c>
      <c r="AS295" s="6">
        <v>0</v>
      </c>
      <c r="AT295" s="6">
        <v>0</v>
      </c>
    </row>
    <row r="296" spans="2:46">
      <c r="B296" s="6" t="s">
        <v>111</v>
      </c>
      <c r="D296" s="6" t="s">
        <v>1495</v>
      </c>
      <c r="F296" s="6" t="s">
        <v>1496</v>
      </c>
      <c r="G296" s="6" t="str">
        <f>"S72OPS05PK"</f>
        <v>S72OPS05PK</v>
      </c>
      <c r="I296" s="6" t="s">
        <v>1497</v>
      </c>
      <c r="J296" s="6" t="str">
        <f>"3N OFF OPS"</f>
        <v>3N OFF OPS</v>
      </c>
      <c r="K296" s="6">
        <v>0</v>
      </c>
      <c r="L296" s="6">
        <v>0</v>
      </c>
      <c r="M296" s="6">
        <v>0</v>
      </c>
      <c r="N296" s="6" t="str">
        <f t="shared" si="0"/>
        <v>미입력</v>
      </c>
      <c r="O296" s="6">
        <v>33363</v>
      </c>
      <c r="P296" s="6" t="s">
        <v>1498</v>
      </c>
      <c r="R296" s="6" t="s">
        <v>1469</v>
      </c>
      <c r="S296" s="6" t="s">
        <v>1499</v>
      </c>
      <c r="T296" s="6">
        <v>0</v>
      </c>
      <c r="U296" s="6">
        <v>0</v>
      </c>
      <c r="V296" s="6">
        <v>0</v>
      </c>
      <c r="W296" s="6">
        <v>0</v>
      </c>
      <c r="X296" s="6" t="s">
        <v>169</v>
      </c>
      <c r="Z296" s="6" t="s">
        <v>170</v>
      </c>
      <c r="AA296" s="6" t="s">
        <v>171</v>
      </c>
      <c r="AB296" s="6">
        <v>0</v>
      </c>
      <c r="AC296" s="6" t="str">
        <f>""</f>
        <v/>
      </c>
      <c r="AP296" s="6" t="s">
        <v>1471</v>
      </c>
      <c r="AS296" s="6">
        <v>0</v>
      </c>
      <c r="AT296" s="6">
        <v>0</v>
      </c>
    </row>
    <row r="297" spans="2:46">
      <c r="B297" s="6" t="s">
        <v>111</v>
      </c>
      <c r="D297" s="6" t="s">
        <v>1495</v>
      </c>
      <c r="F297" s="6" t="s">
        <v>1500</v>
      </c>
      <c r="G297" s="6" t="str">
        <f>"S72OPS05NV"</f>
        <v>S72OPS05NV</v>
      </c>
      <c r="I297" s="6" t="s">
        <v>1497</v>
      </c>
      <c r="J297" s="6" t="str">
        <f>"3N OFF OPS"</f>
        <v>3N OFF OPS</v>
      </c>
      <c r="K297" s="6">
        <v>0</v>
      </c>
      <c r="L297" s="6">
        <v>0</v>
      </c>
      <c r="M297" s="6">
        <v>0</v>
      </c>
      <c r="N297" s="6" t="str">
        <f t="shared" si="0"/>
        <v>미입력</v>
      </c>
      <c r="O297" s="6">
        <v>33362</v>
      </c>
      <c r="P297" s="6" t="s">
        <v>1501</v>
      </c>
      <c r="R297" s="6" t="s">
        <v>1502</v>
      </c>
      <c r="S297" s="6" t="s">
        <v>1503</v>
      </c>
      <c r="T297" s="6">
        <v>0</v>
      </c>
      <c r="U297" s="6">
        <v>0</v>
      </c>
      <c r="V297" s="6">
        <v>0</v>
      </c>
      <c r="W297" s="6">
        <v>0</v>
      </c>
      <c r="X297" s="6" t="s">
        <v>169</v>
      </c>
      <c r="Z297" s="6" t="s">
        <v>170</v>
      </c>
      <c r="AA297" s="6" t="s">
        <v>171</v>
      </c>
      <c r="AB297" s="6">
        <v>0</v>
      </c>
      <c r="AC297" s="6" t="str">
        <f>"KEY-025"</f>
        <v>KEY-025</v>
      </c>
      <c r="AP297" s="6" t="s">
        <v>1471</v>
      </c>
      <c r="AQ297" s="6" t="str">
        <f>""</f>
        <v/>
      </c>
      <c r="AR297" s="6" t="s">
        <v>1472</v>
      </c>
      <c r="AS297" s="6">
        <v>0</v>
      </c>
      <c r="AT297" s="6">
        <v>0</v>
      </c>
    </row>
    <row r="298" spans="2:46">
      <c r="B298" s="6" t="s">
        <v>110</v>
      </c>
      <c r="D298" s="6" t="s">
        <v>1504</v>
      </c>
      <c r="F298" s="6" t="s">
        <v>1505</v>
      </c>
      <c r="G298" s="6" t="str">
        <f>"JGUSAE1227A143RD"</f>
        <v>JGUSAE1227A143RD</v>
      </c>
      <c r="I298" s="6" t="s">
        <v>1506</v>
      </c>
      <c r="J298" s="6" t="str">
        <f>"JG-USAE1227A143RD"</f>
        <v>JG-USAE1227A143RD</v>
      </c>
      <c r="K298" s="6">
        <v>0</v>
      </c>
      <c r="L298" s="6">
        <v>0</v>
      </c>
      <c r="M298" s="6">
        <v>0</v>
      </c>
      <c r="N298" s="6" t="str">
        <f t="shared" si="0"/>
        <v>미입력</v>
      </c>
      <c r="O298" s="6">
        <v>33356</v>
      </c>
      <c r="P298" s="6" t="s">
        <v>1506</v>
      </c>
      <c r="R298" s="6" t="s">
        <v>1507</v>
      </c>
      <c r="S298" s="6" t="s">
        <v>1508</v>
      </c>
      <c r="T298" s="6">
        <v>0</v>
      </c>
      <c r="U298" s="6">
        <v>0</v>
      </c>
      <c r="V298" s="6">
        <v>0</v>
      </c>
      <c r="W298" s="6">
        <v>0</v>
      </c>
      <c r="X298" s="6" t="s">
        <v>169</v>
      </c>
      <c r="Z298" s="6" t="s">
        <v>170</v>
      </c>
      <c r="AA298" s="6" t="s">
        <v>171</v>
      </c>
      <c r="AB298" s="6">
        <v>0</v>
      </c>
      <c r="AC298" s="6" t="str">
        <f>"KEY-002"</f>
        <v>KEY-002</v>
      </c>
      <c r="AP298" s="6" t="s">
        <v>1471</v>
      </c>
      <c r="AQ298" s="6" t="str">
        <f>""</f>
        <v/>
      </c>
      <c r="AR298" s="6" t="s">
        <v>1477</v>
      </c>
      <c r="AS298" s="6">
        <v>0</v>
      </c>
      <c r="AT298" s="6">
        <v>0</v>
      </c>
    </row>
    <row r="299" spans="2:46">
      <c r="B299" s="6" t="s">
        <v>110</v>
      </c>
      <c r="D299" s="6" t="s">
        <v>1504</v>
      </c>
      <c r="F299" s="6" t="s">
        <v>1509</v>
      </c>
      <c r="G299" s="6" t="str">
        <f>"JGUSAE1235A124BK"</f>
        <v>JGUSAE1235A124BK</v>
      </c>
      <c r="I299" s="6" t="s">
        <v>1510</v>
      </c>
      <c r="J299" s="6" t="str">
        <f>"JG-USAE1235A124BK"</f>
        <v>JG-USAE1235A124BK</v>
      </c>
      <c r="K299" s="6">
        <v>0</v>
      </c>
      <c r="L299" s="6">
        <v>0</v>
      </c>
      <c r="M299" s="6">
        <v>0</v>
      </c>
      <c r="N299" s="6" t="str">
        <f t="shared" si="0"/>
        <v>미입력</v>
      </c>
      <c r="O299" s="6">
        <v>33354</v>
      </c>
      <c r="P299" s="6" t="s">
        <v>1510</v>
      </c>
      <c r="R299" s="6" t="s">
        <v>1511</v>
      </c>
      <c r="S299" s="6" t="s">
        <v>1512</v>
      </c>
      <c r="T299" s="6">
        <v>0</v>
      </c>
      <c r="U299" s="6">
        <v>0</v>
      </c>
      <c r="V299" s="6">
        <v>0</v>
      </c>
      <c r="W299" s="6">
        <v>0</v>
      </c>
      <c r="X299" s="6" t="s">
        <v>169</v>
      </c>
      <c r="Z299" s="6" t="s">
        <v>170</v>
      </c>
      <c r="AA299" s="6" t="s">
        <v>171</v>
      </c>
      <c r="AB299" s="6">
        <v>0</v>
      </c>
      <c r="AC299" s="6" t="str">
        <f>"KEY-002"</f>
        <v>KEY-002</v>
      </c>
      <c r="AP299" s="6" t="s">
        <v>1471</v>
      </c>
      <c r="AQ299" s="6" t="str">
        <f>""</f>
        <v/>
      </c>
      <c r="AR299" s="6" t="s">
        <v>1477</v>
      </c>
      <c r="AS299" s="6">
        <v>0</v>
      </c>
      <c r="AT299" s="6">
        <v>0</v>
      </c>
    </row>
    <row r="300" spans="2:46">
      <c r="B300" s="6" t="s">
        <v>110</v>
      </c>
      <c r="D300" s="6" t="s">
        <v>1504</v>
      </c>
      <c r="F300" s="6" t="s">
        <v>1513</v>
      </c>
      <c r="G300" s="6" t="str">
        <f>"JGUSAE1232A194BK"</f>
        <v>JGUSAE1232A194BK</v>
      </c>
      <c r="I300" s="6" t="s">
        <v>61</v>
      </c>
      <c r="J300" s="6" t="str">
        <f>"JG-USAE1232A194BK"</f>
        <v>JG-USAE1232A194BK</v>
      </c>
      <c r="K300" s="6">
        <v>0</v>
      </c>
      <c r="L300" s="6">
        <v>0</v>
      </c>
      <c r="M300" s="6">
        <v>0</v>
      </c>
      <c r="N300" s="6" t="str">
        <f t="shared" si="0"/>
        <v>미입력</v>
      </c>
      <c r="O300" s="6">
        <v>33352</v>
      </c>
      <c r="P300" s="6" t="s">
        <v>61</v>
      </c>
      <c r="R300" s="6" t="s">
        <v>1511</v>
      </c>
      <c r="S300" s="6" t="s">
        <v>1514</v>
      </c>
      <c r="T300" s="6">
        <v>0</v>
      </c>
      <c r="U300" s="6">
        <v>0</v>
      </c>
      <c r="V300" s="6">
        <v>0</v>
      </c>
      <c r="W300" s="6">
        <v>0</v>
      </c>
      <c r="X300" s="6" t="s">
        <v>169</v>
      </c>
      <c r="Z300" s="6" t="s">
        <v>170</v>
      </c>
      <c r="AA300" s="6" t="s">
        <v>171</v>
      </c>
      <c r="AB300" s="6">
        <v>0</v>
      </c>
      <c r="AC300" s="6" t="str">
        <f>"KEY-002"</f>
        <v>KEY-002</v>
      </c>
      <c r="AP300" s="6" t="s">
        <v>1471</v>
      </c>
      <c r="AQ300" s="6" t="str">
        <f>""</f>
        <v/>
      </c>
      <c r="AR300" s="6" t="s">
        <v>1477</v>
      </c>
      <c r="AS300" s="6">
        <v>0</v>
      </c>
      <c r="AT300" s="6">
        <v>0</v>
      </c>
    </row>
    <row r="301" spans="2:46">
      <c r="B301" s="6" t="s">
        <v>110</v>
      </c>
      <c r="D301" s="6" t="s">
        <v>1515</v>
      </c>
      <c r="F301" s="6" t="s">
        <v>1516</v>
      </c>
      <c r="G301" s="6" t="str">
        <f>"JGUSAE1227A187BL"</f>
        <v>JGUSAE1227A187BL</v>
      </c>
      <c r="I301" s="6" t="s">
        <v>60</v>
      </c>
      <c r="J301" s="6" t="str">
        <f>"JG-USAE1227A187BL"</f>
        <v>JG-USAE1227A187BL</v>
      </c>
      <c r="K301" s="6">
        <v>0</v>
      </c>
      <c r="L301" s="6">
        <v>0</v>
      </c>
      <c r="M301" s="6">
        <v>0</v>
      </c>
      <c r="N301" s="6" t="str">
        <f t="shared" si="0"/>
        <v>미입력</v>
      </c>
      <c r="O301" s="6">
        <v>33350</v>
      </c>
      <c r="P301" s="6" t="s">
        <v>60</v>
      </c>
      <c r="R301" s="6" t="s">
        <v>1517</v>
      </c>
      <c r="S301" s="6" t="s">
        <v>1518</v>
      </c>
      <c r="T301" s="6">
        <v>0</v>
      </c>
      <c r="U301" s="6">
        <v>0</v>
      </c>
      <c r="V301" s="6">
        <v>0</v>
      </c>
      <c r="W301" s="6">
        <v>0</v>
      </c>
      <c r="X301" s="6" t="s">
        <v>169</v>
      </c>
      <c r="Z301" s="6" t="s">
        <v>170</v>
      </c>
      <c r="AA301" s="6" t="s">
        <v>171</v>
      </c>
      <c r="AB301" s="6">
        <v>0</v>
      </c>
      <c r="AC301" s="6" t="str">
        <f>"KEY-002"</f>
        <v>KEY-002</v>
      </c>
      <c r="AP301" s="6" t="s">
        <v>1471</v>
      </c>
      <c r="AQ301" s="6" t="str">
        <f>""</f>
        <v/>
      </c>
      <c r="AR301" s="6" t="s">
        <v>1477</v>
      </c>
      <c r="AS301" s="6">
        <v>0</v>
      </c>
      <c r="AT301" s="6">
        <v>0</v>
      </c>
    </row>
    <row r="302" spans="2:46">
      <c r="B302" s="6" t="s">
        <v>110</v>
      </c>
      <c r="D302" s="6" t="s">
        <v>1515</v>
      </c>
      <c r="F302" s="6" t="s">
        <v>1519</v>
      </c>
      <c r="G302" s="6" t="str">
        <f>"JGUSAE1227A212GD"</f>
        <v>JGUSAE1227A212GD</v>
      </c>
      <c r="I302" s="6" t="s">
        <v>57</v>
      </c>
      <c r="J302" s="6" t="str">
        <f>"JG-USAE1227A212GD"</f>
        <v>JG-USAE1227A212GD</v>
      </c>
      <c r="K302" s="6">
        <v>0</v>
      </c>
      <c r="L302" s="6">
        <v>0</v>
      </c>
      <c r="M302" s="6">
        <v>0</v>
      </c>
      <c r="N302" s="6" t="str">
        <f t="shared" si="0"/>
        <v>미입력</v>
      </c>
      <c r="O302" s="6">
        <v>33348</v>
      </c>
      <c r="P302" s="6" t="s">
        <v>57</v>
      </c>
      <c r="R302" s="6" t="s">
        <v>1475</v>
      </c>
      <c r="S302" s="6" t="s">
        <v>1520</v>
      </c>
      <c r="T302" s="6">
        <v>0</v>
      </c>
      <c r="U302" s="6">
        <v>0</v>
      </c>
      <c r="V302" s="6">
        <v>0</v>
      </c>
      <c r="W302" s="6">
        <v>0</v>
      </c>
      <c r="X302" s="6" t="s">
        <v>169</v>
      </c>
      <c r="Z302" s="6" t="s">
        <v>170</v>
      </c>
      <c r="AA302" s="6" t="s">
        <v>171</v>
      </c>
      <c r="AB302" s="6">
        <v>0</v>
      </c>
      <c r="AC302" s="6" t="str">
        <f>"KEY-002"</f>
        <v>KEY-002</v>
      </c>
      <c r="AP302" s="6" t="s">
        <v>1471</v>
      </c>
      <c r="AQ302" s="6" t="str">
        <f>""</f>
        <v/>
      </c>
      <c r="AR302" s="6" t="s">
        <v>1477</v>
      </c>
      <c r="AS302" s="6">
        <v>0</v>
      </c>
      <c r="AT302" s="6">
        <v>0</v>
      </c>
    </row>
    <row r="303" spans="2:46">
      <c r="B303" s="6" t="s">
        <v>108</v>
      </c>
      <c r="D303" s="6" t="s">
        <v>1521</v>
      </c>
      <c r="F303" s="6" t="s">
        <v>1522</v>
      </c>
      <c r="G303" s="6" t="str">
        <f>"A17S2TBU144BLXL"</f>
        <v>A17S2TBU144BLXL</v>
      </c>
      <c r="I303" s="6" t="s">
        <v>1523</v>
      </c>
      <c r="J303" s="6" t="str">
        <f>"UNISEX ALIVE STRIPE T-SHIRT atb144u(Blue)"</f>
        <v>UNISEX ALIVE STRIPE T-SHIRT atb144u(Blue)</v>
      </c>
      <c r="K303" s="6">
        <v>0</v>
      </c>
      <c r="L303" s="6">
        <v>0</v>
      </c>
      <c r="M303" s="6">
        <v>0</v>
      </c>
      <c r="N303" s="6" t="str">
        <f t="shared" si="0"/>
        <v>미입력</v>
      </c>
      <c r="O303" s="6">
        <v>33346</v>
      </c>
      <c r="P303" s="6" t="s">
        <v>1524</v>
      </c>
      <c r="R303" s="6" t="s">
        <v>1525</v>
      </c>
      <c r="S303" s="6" t="s">
        <v>1526</v>
      </c>
      <c r="T303" s="6">
        <v>0</v>
      </c>
      <c r="U303" s="6">
        <v>0</v>
      </c>
      <c r="V303" s="6">
        <v>0</v>
      </c>
      <c r="W303" s="6">
        <v>0</v>
      </c>
      <c r="X303" s="6" t="s">
        <v>169</v>
      </c>
      <c r="Z303" s="6" t="s">
        <v>170</v>
      </c>
      <c r="AA303" s="6" t="s">
        <v>171</v>
      </c>
      <c r="AB303" s="6">
        <v>0</v>
      </c>
      <c r="AC303" s="6" t="str">
        <f>""</f>
        <v/>
      </c>
      <c r="AP303" s="6" t="s">
        <v>1471</v>
      </c>
      <c r="AS303" s="6">
        <v>0</v>
      </c>
      <c r="AT303" s="6">
        <v>0</v>
      </c>
    </row>
    <row r="304" spans="2:46">
      <c r="B304" s="6" t="s">
        <v>108</v>
      </c>
      <c r="D304" s="6" t="s">
        <v>1521</v>
      </c>
      <c r="F304" s="6" t="s">
        <v>1527</v>
      </c>
      <c r="G304" s="6" t="str">
        <f>"A17S2TBU144BLL"</f>
        <v>A17S2TBU144BLL</v>
      </c>
      <c r="I304" s="6" t="s">
        <v>1523</v>
      </c>
      <c r="J304" s="6" t="str">
        <f>"UNISEX ALIVE STRIPE T-SHIRT atb144u(Blue)"</f>
        <v>UNISEX ALIVE STRIPE T-SHIRT atb144u(Blue)</v>
      </c>
      <c r="K304" s="6">
        <v>0</v>
      </c>
      <c r="L304" s="6">
        <v>0</v>
      </c>
      <c r="M304" s="6">
        <v>0</v>
      </c>
      <c r="N304" s="6" t="str">
        <f t="shared" si="0"/>
        <v>미입력</v>
      </c>
      <c r="O304" s="6">
        <v>33345</v>
      </c>
      <c r="P304" s="6" t="s">
        <v>1528</v>
      </c>
      <c r="R304" s="6" t="s">
        <v>1529</v>
      </c>
      <c r="S304" s="6" t="s">
        <v>1530</v>
      </c>
      <c r="T304" s="6">
        <v>0</v>
      </c>
      <c r="U304" s="6">
        <v>0</v>
      </c>
      <c r="V304" s="6">
        <v>0</v>
      </c>
      <c r="W304" s="6">
        <v>0</v>
      </c>
      <c r="X304" s="6" t="s">
        <v>169</v>
      </c>
      <c r="Z304" s="6" t="s">
        <v>170</v>
      </c>
      <c r="AA304" s="6" t="s">
        <v>171</v>
      </c>
      <c r="AB304" s="6">
        <v>0</v>
      </c>
      <c r="AC304" s="6" t="str">
        <f>""</f>
        <v/>
      </c>
      <c r="AP304" s="6" t="s">
        <v>1471</v>
      </c>
      <c r="AS304" s="6">
        <v>0</v>
      </c>
      <c r="AT304" s="6">
        <v>0</v>
      </c>
    </row>
    <row r="305" spans="2:46">
      <c r="B305" s="6" t="s">
        <v>108</v>
      </c>
      <c r="D305" s="6" t="s">
        <v>1521</v>
      </c>
      <c r="F305" s="6" t="s">
        <v>1531</v>
      </c>
      <c r="G305" s="6" t="str">
        <f>"A17S2TBU144BLM"</f>
        <v>A17S2TBU144BLM</v>
      </c>
      <c r="I305" s="6" t="s">
        <v>1523</v>
      </c>
      <c r="J305" s="6" t="str">
        <f>"UNISEX ALIVE STRIPE T-SHIRT atb144u(Blue)"</f>
        <v>UNISEX ALIVE STRIPE T-SHIRT atb144u(Blue)</v>
      </c>
      <c r="K305" s="6">
        <v>0</v>
      </c>
      <c r="L305" s="6">
        <v>0</v>
      </c>
      <c r="M305" s="6">
        <v>0</v>
      </c>
      <c r="N305" s="6" t="str">
        <f t="shared" si="0"/>
        <v>미입력</v>
      </c>
      <c r="O305" s="6">
        <v>33344</v>
      </c>
      <c r="P305" s="6" t="s">
        <v>1532</v>
      </c>
      <c r="R305" s="6" t="s">
        <v>1533</v>
      </c>
      <c r="S305" s="6" t="s">
        <v>1534</v>
      </c>
      <c r="T305" s="6">
        <v>0</v>
      </c>
      <c r="U305" s="6">
        <v>0</v>
      </c>
      <c r="V305" s="6">
        <v>0</v>
      </c>
      <c r="W305" s="6">
        <v>0</v>
      </c>
      <c r="X305" s="6" t="s">
        <v>169</v>
      </c>
      <c r="Z305" s="6" t="s">
        <v>170</v>
      </c>
      <c r="AA305" s="6" t="s">
        <v>171</v>
      </c>
      <c r="AB305" s="6">
        <v>0</v>
      </c>
      <c r="AC305" s="6" t="str">
        <f>""</f>
        <v/>
      </c>
      <c r="AP305" s="6" t="s">
        <v>1471</v>
      </c>
      <c r="AS305" s="6">
        <v>0</v>
      </c>
      <c r="AT305" s="6">
        <v>0</v>
      </c>
    </row>
    <row r="306" spans="2:46">
      <c r="B306" s="6" t="s">
        <v>108</v>
      </c>
      <c r="D306" s="6" t="s">
        <v>1521</v>
      </c>
      <c r="F306" s="6" t="s">
        <v>1535</v>
      </c>
      <c r="G306" s="6" t="str">
        <f>"A17S2TBU144BLS"</f>
        <v>A17S2TBU144BLS</v>
      </c>
      <c r="I306" s="6" t="s">
        <v>1523</v>
      </c>
      <c r="J306" s="6" t="str">
        <f>"UNISEX ALIVE STRIPE T-SHIRT atb144u(Blue)"</f>
        <v>UNISEX ALIVE STRIPE T-SHIRT atb144u(Blue)</v>
      </c>
      <c r="K306" s="6">
        <v>0</v>
      </c>
      <c r="L306" s="6">
        <v>0</v>
      </c>
      <c r="M306" s="6">
        <v>0</v>
      </c>
      <c r="N306" s="6" t="str">
        <f t="shared" si="0"/>
        <v>미입력</v>
      </c>
      <c r="O306" s="6">
        <v>33343</v>
      </c>
      <c r="P306" s="6" t="s">
        <v>1536</v>
      </c>
      <c r="R306" s="6" t="s">
        <v>1537</v>
      </c>
      <c r="S306" s="6" t="s">
        <v>1538</v>
      </c>
      <c r="T306" s="6">
        <v>0</v>
      </c>
      <c r="U306" s="6">
        <v>0</v>
      </c>
      <c r="V306" s="6">
        <v>0</v>
      </c>
      <c r="W306" s="6">
        <v>0</v>
      </c>
      <c r="X306" s="6" t="s">
        <v>169</v>
      </c>
      <c r="Z306" s="6" t="s">
        <v>170</v>
      </c>
      <c r="AA306" s="6" t="s">
        <v>171</v>
      </c>
      <c r="AB306" s="6">
        <v>0</v>
      </c>
      <c r="AC306" s="6" t="str">
        <f>""</f>
        <v/>
      </c>
      <c r="AP306" s="6" t="s">
        <v>1471</v>
      </c>
      <c r="AS306" s="6">
        <v>0</v>
      </c>
      <c r="AT306" s="6">
        <v>0</v>
      </c>
    </row>
    <row r="307" spans="2:46">
      <c r="B307" s="6" t="s">
        <v>108</v>
      </c>
      <c r="D307" s="6" t="s">
        <v>1521</v>
      </c>
      <c r="F307" s="6" t="s">
        <v>1539</v>
      </c>
      <c r="G307" s="6" t="str">
        <f>"A17S2TBU144BLXS"</f>
        <v>A17S2TBU144BLXS</v>
      </c>
      <c r="I307" s="6" t="s">
        <v>1523</v>
      </c>
      <c r="J307" s="6" t="str">
        <f>"UNISEX ALIVE STRIPE T-SHIRT atb144u(Blue)"</f>
        <v>UNISEX ALIVE STRIPE T-SHIRT atb144u(Blue)</v>
      </c>
      <c r="K307" s="6">
        <v>0</v>
      </c>
      <c r="L307" s="6">
        <v>0</v>
      </c>
      <c r="M307" s="6">
        <v>0</v>
      </c>
      <c r="N307" s="6" t="str">
        <f t="shared" si="0"/>
        <v>미입력</v>
      </c>
      <c r="O307" s="6">
        <v>33342</v>
      </c>
      <c r="P307" s="6" t="s">
        <v>1540</v>
      </c>
      <c r="R307" s="6" t="s">
        <v>1541</v>
      </c>
      <c r="S307" s="6" t="s">
        <v>1542</v>
      </c>
      <c r="T307" s="6">
        <v>0</v>
      </c>
      <c r="U307" s="6">
        <v>0</v>
      </c>
      <c r="V307" s="6">
        <v>0</v>
      </c>
      <c r="W307" s="6">
        <v>0</v>
      </c>
      <c r="X307" s="6" t="s">
        <v>169</v>
      </c>
      <c r="Z307" s="6" t="s">
        <v>170</v>
      </c>
      <c r="AA307" s="6" t="s">
        <v>171</v>
      </c>
      <c r="AB307" s="6">
        <v>0</v>
      </c>
      <c r="AC307" s="6" t="str">
        <f>""</f>
        <v/>
      </c>
      <c r="AP307" s="6" t="s">
        <v>1471</v>
      </c>
      <c r="AS307" s="6">
        <v>0</v>
      </c>
      <c r="AT307" s="6">
        <v>0</v>
      </c>
    </row>
    <row r="308" spans="2:46">
      <c r="B308" s="6" t="s">
        <v>108</v>
      </c>
      <c r="D308" s="6" t="s">
        <v>1543</v>
      </c>
      <c r="F308" s="6" t="s">
        <v>1544</v>
      </c>
      <c r="G308" s="6" t="str">
        <f>"A17S2TBU144BKL"</f>
        <v>A17S2TBU144BKL</v>
      </c>
      <c r="I308" s="6" t="s">
        <v>1545</v>
      </c>
      <c r="J308" s="6" t="str">
        <f>"UNISEX ALIVE STRIPE T-SHIRT atb144u(Black)"</f>
        <v>UNISEX ALIVE STRIPE T-SHIRT atb144u(Black)</v>
      </c>
      <c r="K308" s="6">
        <v>0</v>
      </c>
      <c r="L308" s="6">
        <v>0</v>
      </c>
      <c r="M308" s="6">
        <v>0</v>
      </c>
      <c r="N308" s="6" t="str">
        <f t="shared" si="0"/>
        <v>미입력</v>
      </c>
      <c r="O308" s="6">
        <v>33340</v>
      </c>
      <c r="P308" s="6" t="s">
        <v>1546</v>
      </c>
      <c r="R308" s="6" t="s">
        <v>1547</v>
      </c>
      <c r="S308" s="6" t="s">
        <v>1548</v>
      </c>
      <c r="T308" s="6">
        <v>0</v>
      </c>
      <c r="U308" s="6">
        <v>0</v>
      </c>
      <c r="V308" s="6">
        <v>0</v>
      </c>
      <c r="W308" s="6">
        <v>0</v>
      </c>
      <c r="X308" s="6" t="s">
        <v>169</v>
      </c>
      <c r="Z308" s="6" t="s">
        <v>170</v>
      </c>
      <c r="AA308" s="6" t="s">
        <v>171</v>
      </c>
      <c r="AB308" s="6">
        <v>0</v>
      </c>
      <c r="AC308" s="6" t="str">
        <f>""</f>
        <v/>
      </c>
      <c r="AP308" s="6" t="s">
        <v>1471</v>
      </c>
      <c r="AS308" s="6">
        <v>0</v>
      </c>
      <c r="AT308" s="6">
        <v>0</v>
      </c>
    </row>
    <row r="309" spans="2:46">
      <c r="B309" s="6" t="s">
        <v>108</v>
      </c>
      <c r="D309" s="6" t="s">
        <v>1543</v>
      </c>
      <c r="F309" s="6" t="s">
        <v>1549</v>
      </c>
      <c r="G309" s="6" t="str">
        <f>"A17S2TBU144BKM"</f>
        <v>A17S2TBU144BKM</v>
      </c>
      <c r="I309" s="6" t="s">
        <v>1545</v>
      </c>
      <c r="J309" s="6" t="str">
        <f>"UNISEX ALIVE STRIPE T-SHIRT atb144u(Black)"</f>
        <v>UNISEX ALIVE STRIPE T-SHIRT atb144u(Black)</v>
      </c>
      <c r="K309" s="6">
        <v>0</v>
      </c>
      <c r="L309" s="6">
        <v>0</v>
      </c>
      <c r="M309" s="6">
        <v>0</v>
      </c>
      <c r="N309" s="6" t="str">
        <f t="shared" si="0"/>
        <v>미입력</v>
      </c>
      <c r="O309" s="6">
        <v>33339</v>
      </c>
      <c r="P309" s="6" t="s">
        <v>1550</v>
      </c>
      <c r="R309" s="6" t="s">
        <v>1551</v>
      </c>
      <c r="S309" s="6" t="s">
        <v>1552</v>
      </c>
      <c r="T309" s="6">
        <v>0</v>
      </c>
      <c r="U309" s="6">
        <v>0</v>
      </c>
      <c r="V309" s="6">
        <v>0</v>
      </c>
      <c r="W309" s="6">
        <v>0</v>
      </c>
      <c r="X309" s="6" t="s">
        <v>169</v>
      </c>
      <c r="Z309" s="6" t="s">
        <v>170</v>
      </c>
      <c r="AA309" s="6" t="s">
        <v>171</v>
      </c>
      <c r="AB309" s="6">
        <v>0</v>
      </c>
      <c r="AC309" s="6" t="str">
        <f>""</f>
        <v/>
      </c>
      <c r="AP309" s="6" t="s">
        <v>1471</v>
      </c>
      <c r="AS309" s="6">
        <v>0</v>
      </c>
      <c r="AT309" s="6">
        <v>0</v>
      </c>
    </row>
    <row r="310" spans="2:46">
      <c r="B310" s="6" t="s">
        <v>108</v>
      </c>
      <c r="D310" s="6" t="s">
        <v>1543</v>
      </c>
      <c r="F310" s="6" t="s">
        <v>1553</v>
      </c>
      <c r="G310" s="6" t="str">
        <f>"A17S2TBU144BKS"</f>
        <v>A17S2TBU144BKS</v>
      </c>
      <c r="I310" s="6" t="s">
        <v>1545</v>
      </c>
      <c r="J310" s="6" t="str">
        <f>"UNISEX ALIVE STRIPE T-SHIRT atb144u(Black)"</f>
        <v>UNISEX ALIVE STRIPE T-SHIRT atb144u(Black)</v>
      </c>
      <c r="K310" s="6">
        <v>0</v>
      </c>
      <c r="L310" s="6">
        <v>0</v>
      </c>
      <c r="M310" s="6">
        <v>0</v>
      </c>
      <c r="N310" s="6" t="str">
        <f t="shared" si="0"/>
        <v>미입력</v>
      </c>
      <c r="O310" s="6">
        <v>33338</v>
      </c>
      <c r="P310" s="6" t="s">
        <v>1554</v>
      </c>
      <c r="R310" s="6" t="s">
        <v>1555</v>
      </c>
      <c r="S310" s="6" t="s">
        <v>1556</v>
      </c>
      <c r="T310" s="6">
        <v>0</v>
      </c>
      <c r="U310" s="6">
        <v>0</v>
      </c>
      <c r="V310" s="6">
        <v>0</v>
      </c>
      <c r="W310" s="6">
        <v>0</v>
      </c>
      <c r="X310" s="6" t="s">
        <v>169</v>
      </c>
      <c r="Z310" s="6" t="s">
        <v>170</v>
      </c>
      <c r="AA310" s="6" t="s">
        <v>171</v>
      </c>
      <c r="AB310" s="6">
        <v>0</v>
      </c>
      <c r="AC310" s="6" t="str">
        <f>""</f>
        <v/>
      </c>
      <c r="AP310" s="6" t="s">
        <v>1471</v>
      </c>
      <c r="AS310" s="6">
        <v>0</v>
      </c>
      <c r="AT310" s="6">
        <v>0</v>
      </c>
    </row>
    <row r="311" spans="2:46">
      <c r="B311" s="6" t="s">
        <v>108</v>
      </c>
      <c r="D311" s="6" t="s">
        <v>1543</v>
      </c>
      <c r="F311" s="6" t="s">
        <v>1557</v>
      </c>
      <c r="G311" s="6" t="str">
        <f>"A17S2TBU144BKXS"</f>
        <v>A17S2TBU144BKXS</v>
      </c>
      <c r="I311" s="6" t="s">
        <v>1545</v>
      </c>
      <c r="J311" s="6" t="str">
        <f>"UNISEX ALIVE STRIPE T-SHIRT atb144u(Black)"</f>
        <v>UNISEX ALIVE STRIPE T-SHIRT atb144u(Black)</v>
      </c>
      <c r="K311" s="6">
        <v>0</v>
      </c>
      <c r="L311" s="6">
        <v>0</v>
      </c>
      <c r="M311" s="6">
        <v>0</v>
      </c>
      <c r="N311" s="6" t="str">
        <f t="shared" si="0"/>
        <v>미입력</v>
      </c>
      <c r="O311" s="6">
        <v>33337</v>
      </c>
      <c r="P311" s="6" t="s">
        <v>1558</v>
      </c>
      <c r="R311" s="6" t="s">
        <v>1559</v>
      </c>
      <c r="S311" s="6" t="s">
        <v>1560</v>
      </c>
      <c r="T311" s="6">
        <v>0</v>
      </c>
      <c r="U311" s="6">
        <v>0</v>
      </c>
      <c r="V311" s="6">
        <v>0</v>
      </c>
      <c r="W311" s="6">
        <v>0</v>
      </c>
      <c r="X311" s="6" t="s">
        <v>169</v>
      </c>
      <c r="Z311" s="6" t="s">
        <v>170</v>
      </c>
      <c r="AA311" s="6" t="s">
        <v>171</v>
      </c>
      <c r="AB311" s="6">
        <v>0</v>
      </c>
      <c r="AC311" s="6" t="str">
        <f>""</f>
        <v/>
      </c>
      <c r="AP311" s="6" t="s">
        <v>1471</v>
      </c>
      <c r="AS311" s="6">
        <v>0</v>
      </c>
      <c r="AT311" s="6">
        <v>0</v>
      </c>
    </row>
    <row r="312" spans="2:46">
      <c r="B312" s="6" t="s">
        <v>116</v>
      </c>
      <c r="D312" s="6" t="s">
        <v>1561</v>
      </c>
      <c r="F312" s="6" t="s">
        <v>1562</v>
      </c>
      <c r="G312" s="6" t="str">
        <f>"Z175TS301M19F"</f>
        <v>Z175TS301M19F</v>
      </c>
      <c r="I312" s="6" t="s">
        <v>1563</v>
      </c>
      <c r="J312" s="6" t="str">
        <f>"Buddy Bear Hoody"</f>
        <v>Buddy Bear Hoody</v>
      </c>
      <c r="K312" s="6">
        <v>0</v>
      </c>
      <c r="L312" s="6">
        <v>0</v>
      </c>
      <c r="M312" s="6">
        <v>0</v>
      </c>
      <c r="N312" s="6" t="str">
        <f>""</f>
        <v/>
      </c>
      <c r="O312" s="6">
        <v>33332</v>
      </c>
      <c r="P312" s="6" t="s">
        <v>1564</v>
      </c>
      <c r="R312" s="6" t="s">
        <v>1565</v>
      </c>
      <c r="S312" s="6" t="s">
        <v>1566</v>
      </c>
      <c r="T312" s="6">
        <v>1</v>
      </c>
      <c r="U312" s="6">
        <v>0</v>
      </c>
      <c r="V312" s="6">
        <v>0</v>
      </c>
      <c r="W312" s="6">
        <v>0</v>
      </c>
      <c r="X312" s="6" t="s">
        <v>169</v>
      </c>
      <c r="Z312" s="6" t="s">
        <v>170</v>
      </c>
      <c r="AA312" s="6" t="s">
        <v>171</v>
      </c>
      <c r="AB312" s="6">
        <v>0</v>
      </c>
      <c r="AC312" s="6" t="str">
        <f>"KEY-018"</f>
        <v>KEY-018</v>
      </c>
      <c r="AQ312" s="6" t="str">
        <f>""</f>
        <v/>
      </c>
      <c r="AR312" s="6" t="s">
        <v>1567</v>
      </c>
      <c r="AS312" s="6">
        <v>0</v>
      </c>
      <c r="AT312" s="6">
        <v>1</v>
      </c>
    </row>
    <row r="313" spans="2:46">
      <c r="B313" s="6" t="s">
        <v>116</v>
      </c>
      <c r="D313" s="6" t="s">
        <v>1561</v>
      </c>
      <c r="F313" s="6" t="s">
        <v>1568</v>
      </c>
      <c r="G313" s="6" t="str">
        <f>"Z175TS300M19F"</f>
        <v>Z175TS300M19F</v>
      </c>
      <c r="I313" s="6" t="s">
        <v>1569</v>
      </c>
      <c r="J313" s="6" t="str">
        <f>"Neukolln Hoody"</f>
        <v>Neukolln Hoody</v>
      </c>
      <c r="K313" s="6">
        <v>0</v>
      </c>
      <c r="L313" s="6">
        <v>0</v>
      </c>
      <c r="M313" s="6">
        <v>0</v>
      </c>
      <c r="N313" s="6" t="str">
        <f>""</f>
        <v/>
      </c>
      <c r="O313" s="6">
        <v>33330</v>
      </c>
      <c r="P313" s="6" t="s">
        <v>1570</v>
      </c>
      <c r="R313" s="6" t="s">
        <v>1565</v>
      </c>
      <c r="S313" s="6" t="s">
        <v>1571</v>
      </c>
      <c r="T313" s="6">
        <v>1</v>
      </c>
      <c r="U313" s="6">
        <v>0</v>
      </c>
      <c r="V313" s="6">
        <v>0</v>
      </c>
      <c r="W313" s="6">
        <v>0</v>
      </c>
      <c r="X313" s="6" t="s">
        <v>169</v>
      </c>
      <c r="Z313" s="6" t="s">
        <v>170</v>
      </c>
      <c r="AA313" s="6" t="s">
        <v>171</v>
      </c>
      <c r="AB313" s="6">
        <v>0</v>
      </c>
      <c r="AC313" s="6" t="str">
        <f>"KEY-018"</f>
        <v>KEY-018</v>
      </c>
      <c r="AQ313" s="6" t="str">
        <f>""</f>
        <v/>
      </c>
      <c r="AR313" s="6" t="s">
        <v>1567</v>
      </c>
      <c r="AS313" s="6">
        <v>0</v>
      </c>
      <c r="AT313" s="6">
        <v>1</v>
      </c>
    </row>
    <row r="314" spans="2:46">
      <c r="B314" s="6" t="s">
        <v>116</v>
      </c>
      <c r="D314" s="6" t="s">
        <v>1561</v>
      </c>
      <c r="F314" s="6" t="s">
        <v>1572</v>
      </c>
      <c r="G314" s="6" t="str">
        <f>"Z175TS200M19F"</f>
        <v>Z175TS200M19F</v>
      </c>
      <c r="I314" s="6" t="s">
        <v>1573</v>
      </c>
      <c r="J314" s="6" t="str">
        <f>"Check Point Charlie Sweat Shirts"</f>
        <v>Check Point Charlie Sweat Shirts</v>
      </c>
      <c r="K314" s="6">
        <v>0</v>
      </c>
      <c r="L314" s="6">
        <v>0</v>
      </c>
      <c r="M314" s="6">
        <v>0</v>
      </c>
      <c r="N314" s="6" t="str">
        <f>""</f>
        <v/>
      </c>
      <c r="O314" s="6">
        <v>33328</v>
      </c>
      <c r="P314" s="6" t="s">
        <v>1574</v>
      </c>
      <c r="R314" s="6" t="s">
        <v>1565</v>
      </c>
      <c r="S314" s="6" t="s">
        <v>1575</v>
      </c>
      <c r="T314" s="6">
        <v>1</v>
      </c>
      <c r="U314" s="6">
        <v>0</v>
      </c>
      <c r="V314" s="6">
        <v>0</v>
      </c>
      <c r="W314" s="6">
        <v>0</v>
      </c>
      <c r="X314" s="6" t="s">
        <v>169</v>
      </c>
      <c r="Z314" s="6" t="s">
        <v>170</v>
      </c>
      <c r="AA314" s="6" t="s">
        <v>171</v>
      </c>
      <c r="AB314" s="6">
        <v>0</v>
      </c>
      <c r="AC314" s="6" t="str">
        <f>"KEY-018"</f>
        <v>KEY-018</v>
      </c>
      <c r="AQ314" s="6" t="str">
        <f>""</f>
        <v/>
      </c>
      <c r="AR314" s="6" t="s">
        <v>1567</v>
      </c>
      <c r="AS314" s="6">
        <v>0</v>
      </c>
      <c r="AT314" s="6">
        <v>1</v>
      </c>
    </row>
    <row r="315" spans="2:46">
      <c r="B315" s="6" t="s">
        <v>116</v>
      </c>
      <c r="D315" s="6" t="s">
        <v>1561</v>
      </c>
      <c r="F315" s="6" t="s">
        <v>1576</v>
      </c>
      <c r="G315" s="6" t="str">
        <f>"Z175TS011M25MBXL"</f>
        <v>Z175TS011M25MBXL</v>
      </c>
      <c r="H315" s="6" t="s">
        <v>1577</v>
      </c>
      <c r="I315" s="6" t="s">
        <v>1578</v>
      </c>
      <c r="J315" s="6" t="str">
        <f>"BERLIN ITALIC TEE MARINE   BLUE"</f>
        <v>BERLIN ITALIC TEE MARINE   BLUE</v>
      </c>
      <c r="K315" s="6">
        <v>0</v>
      </c>
      <c r="L315" s="6">
        <v>0</v>
      </c>
      <c r="M315" s="6">
        <v>0</v>
      </c>
      <c r="N315" s="6" t="str">
        <f>""</f>
        <v/>
      </c>
      <c r="O315" s="6">
        <v>33326</v>
      </c>
      <c r="P315" s="6" t="s">
        <v>1577</v>
      </c>
      <c r="R315" s="6" t="s">
        <v>1579</v>
      </c>
      <c r="S315" s="6" t="s">
        <v>1580</v>
      </c>
      <c r="T315" s="6">
        <v>0</v>
      </c>
      <c r="U315" s="6">
        <v>0</v>
      </c>
      <c r="V315" s="6">
        <v>0</v>
      </c>
      <c r="W315" s="6">
        <v>0</v>
      </c>
      <c r="X315" s="6" t="s">
        <v>169</v>
      </c>
      <c r="Z315" s="6" t="s">
        <v>170</v>
      </c>
      <c r="AA315" s="6" t="s">
        <v>171</v>
      </c>
      <c r="AB315" s="6">
        <v>0</v>
      </c>
      <c r="AC315" s="6" t="str">
        <f>""</f>
        <v/>
      </c>
      <c r="AS315" s="6">
        <v>0</v>
      </c>
      <c r="AT315" s="6">
        <v>0</v>
      </c>
    </row>
    <row r="316" spans="2:46">
      <c r="B316" s="6" t="s">
        <v>116</v>
      </c>
      <c r="D316" s="6" t="s">
        <v>1561</v>
      </c>
      <c r="F316" s="6" t="s">
        <v>1581</v>
      </c>
      <c r="G316" s="6" t="str">
        <f>"Z165AP500M19F"</f>
        <v>Z165AP500M19F</v>
      </c>
      <c r="I316" s="6" t="s">
        <v>1582</v>
      </c>
      <c r="J316" s="6" t="str">
        <f>"Z165AP500M19F"</f>
        <v>Z165AP500M19F</v>
      </c>
      <c r="K316" s="6">
        <v>0</v>
      </c>
      <c r="L316" s="6">
        <v>0</v>
      </c>
      <c r="M316" s="6">
        <v>0</v>
      </c>
      <c r="N316" s="6" t="str">
        <f>""</f>
        <v/>
      </c>
      <c r="O316" s="6">
        <v>33324</v>
      </c>
      <c r="P316" s="6" t="s">
        <v>1582</v>
      </c>
      <c r="R316" s="6" t="s">
        <v>1565</v>
      </c>
      <c r="S316" s="6" t="s">
        <v>1583</v>
      </c>
      <c r="T316" s="6">
        <v>1</v>
      </c>
      <c r="U316" s="6">
        <v>0</v>
      </c>
      <c r="V316" s="6">
        <v>0</v>
      </c>
      <c r="W316" s="6">
        <v>0</v>
      </c>
      <c r="X316" s="6" t="s">
        <v>169</v>
      </c>
      <c r="Z316" s="6" t="s">
        <v>170</v>
      </c>
      <c r="AA316" s="6" t="s">
        <v>171</v>
      </c>
      <c r="AB316" s="6">
        <v>0</v>
      </c>
      <c r="AC316" s="6" t="str">
        <f>"KEY-009"</f>
        <v>KEY-009</v>
      </c>
      <c r="AQ316" s="6" t="str">
        <f>""</f>
        <v/>
      </c>
      <c r="AR316" s="6" t="s">
        <v>1584</v>
      </c>
      <c r="AS316" s="6">
        <v>0</v>
      </c>
      <c r="AT316" s="6">
        <v>1</v>
      </c>
    </row>
    <row r="317" spans="2:46">
      <c r="B317" s="6" t="s">
        <v>116</v>
      </c>
      <c r="D317" s="6" t="s">
        <v>1561</v>
      </c>
      <c r="F317" s="6" t="s">
        <v>1585</v>
      </c>
      <c r="G317" s="6" t="str">
        <f>"Z165AP521M33F"</f>
        <v>Z165AP521M33F</v>
      </c>
      <c r="H317" s="6" t="s">
        <v>1586</v>
      </c>
      <c r="I317" s="6" t="s">
        <v>1586</v>
      </c>
      <c r="J317" s="6" t="str">
        <f>"Z165AP521M33F"</f>
        <v>Z165AP521M33F</v>
      </c>
      <c r="K317" s="6">
        <v>0</v>
      </c>
      <c r="L317" s="6">
        <v>0</v>
      </c>
      <c r="M317" s="6">
        <v>0</v>
      </c>
      <c r="N317" s="6" t="str">
        <f>""</f>
        <v/>
      </c>
      <c r="O317" s="6">
        <v>33322</v>
      </c>
      <c r="P317" s="6" t="s">
        <v>1586</v>
      </c>
      <c r="R317" s="6" t="s">
        <v>1587</v>
      </c>
      <c r="S317" s="6" t="s">
        <v>1588</v>
      </c>
      <c r="T317" s="6">
        <v>0</v>
      </c>
      <c r="U317" s="6">
        <v>0</v>
      </c>
      <c r="V317" s="6">
        <v>0</v>
      </c>
      <c r="W317" s="6">
        <v>0</v>
      </c>
      <c r="X317" s="6" t="s">
        <v>169</v>
      </c>
      <c r="Z317" s="6" t="s">
        <v>170</v>
      </c>
      <c r="AA317" s="6" t="s">
        <v>171</v>
      </c>
      <c r="AB317" s="6">
        <v>0</v>
      </c>
      <c r="AC317" s="6" t="str">
        <f>""</f>
        <v/>
      </c>
      <c r="AS317" s="6">
        <v>0</v>
      </c>
      <c r="AT317" s="6">
        <v>0</v>
      </c>
    </row>
    <row r="318" spans="2:46">
      <c r="B318" s="6" t="s">
        <v>116</v>
      </c>
      <c r="D318" s="6" t="s">
        <v>1561</v>
      </c>
      <c r="F318" s="6" t="s">
        <v>1589</v>
      </c>
      <c r="G318" s="6" t="str">
        <f>"Z165AP525M00F"</f>
        <v>Z165AP525M00F</v>
      </c>
      <c r="H318" s="6" t="s">
        <v>1590</v>
      </c>
      <c r="I318" s="6" t="s">
        <v>1590</v>
      </c>
      <c r="J318" s="6" t="str">
        <f>"Z165AP525M00F"</f>
        <v>Z165AP525M00F</v>
      </c>
      <c r="K318" s="6">
        <v>0</v>
      </c>
      <c r="L318" s="6">
        <v>0</v>
      </c>
      <c r="M318" s="6">
        <v>0</v>
      </c>
      <c r="N318" s="6" t="str">
        <f>""</f>
        <v/>
      </c>
      <c r="O318" s="6">
        <v>33320</v>
      </c>
      <c r="P318" s="6" t="s">
        <v>1590</v>
      </c>
      <c r="R318" s="6" t="s">
        <v>1591</v>
      </c>
      <c r="S318" s="6" t="s">
        <v>1592</v>
      </c>
      <c r="T318" s="6">
        <v>0</v>
      </c>
      <c r="U318" s="6">
        <v>0</v>
      </c>
      <c r="V318" s="6">
        <v>0</v>
      </c>
      <c r="W318" s="6">
        <v>0</v>
      </c>
      <c r="X318" s="6" t="s">
        <v>169</v>
      </c>
      <c r="Z318" s="6" t="s">
        <v>170</v>
      </c>
      <c r="AA318" s="6" t="s">
        <v>171</v>
      </c>
      <c r="AB318" s="6">
        <v>0</v>
      </c>
      <c r="AC318" s="6" t="str">
        <f>""</f>
        <v/>
      </c>
      <c r="AS318" s="6">
        <v>0</v>
      </c>
      <c r="AT318" s="6">
        <v>0</v>
      </c>
    </row>
    <row r="319" spans="2:46">
      <c r="B319" s="6" t="s">
        <v>116</v>
      </c>
      <c r="D319" s="6" t="s">
        <v>1561</v>
      </c>
      <c r="F319" s="6" t="s">
        <v>1593</v>
      </c>
      <c r="G319" s="6" t="str">
        <f>"Z165AP704M90F"</f>
        <v>Z165AP704M90F</v>
      </c>
      <c r="H319" s="6" t="s">
        <v>1594</v>
      </c>
      <c r="I319" s="6" t="s">
        <v>1594</v>
      </c>
      <c r="J319" s="6" t="str">
        <f>"Z165AP704M90F"</f>
        <v>Z165AP704M90F</v>
      </c>
      <c r="K319" s="6">
        <v>0</v>
      </c>
      <c r="L319" s="6">
        <v>0</v>
      </c>
      <c r="M319" s="6">
        <v>0</v>
      </c>
      <c r="N319" s="6" t="str">
        <f>""</f>
        <v/>
      </c>
      <c r="O319" s="6">
        <v>33318</v>
      </c>
      <c r="P319" s="6" t="s">
        <v>1594</v>
      </c>
      <c r="R319" s="6" t="s">
        <v>1595</v>
      </c>
      <c r="S319" s="6" t="s">
        <v>1596</v>
      </c>
      <c r="T319" s="6">
        <v>0</v>
      </c>
      <c r="U319" s="6">
        <v>0</v>
      </c>
      <c r="V319" s="6">
        <v>0</v>
      </c>
      <c r="W319" s="6">
        <v>0</v>
      </c>
      <c r="X319" s="6" t="s">
        <v>169</v>
      </c>
      <c r="Z319" s="6" t="s">
        <v>170</v>
      </c>
      <c r="AA319" s="6" t="s">
        <v>171</v>
      </c>
      <c r="AB319" s="6">
        <v>0</v>
      </c>
      <c r="AC319" s="6" t="str">
        <f>""</f>
        <v/>
      </c>
      <c r="AS319" s="6">
        <v>0</v>
      </c>
      <c r="AT319" s="6">
        <v>0</v>
      </c>
    </row>
    <row r="320" spans="2:46">
      <c r="B320" s="6" t="s">
        <v>116</v>
      </c>
      <c r="D320" s="6" t="s">
        <v>1561</v>
      </c>
      <c r="F320" s="6" t="s">
        <v>1597</v>
      </c>
      <c r="G320" s="6" t="str">
        <f>"Z165AP501M36F"</f>
        <v>Z165AP501M36F</v>
      </c>
      <c r="H320" s="6" t="s">
        <v>1598</v>
      </c>
      <c r="I320" s="6" t="s">
        <v>1598</v>
      </c>
      <c r="J320" s="6" t="str">
        <f>"Z165AP501M36F"</f>
        <v>Z165AP501M36F</v>
      </c>
      <c r="K320" s="6">
        <v>0</v>
      </c>
      <c r="L320" s="6">
        <v>0</v>
      </c>
      <c r="M320" s="6">
        <v>0</v>
      </c>
      <c r="N320" s="6" t="str">
        <f>""</f>
        <v/>
      </c>
      <c r="O320" s="6">
        <v>33316</v>
      </c>
      <c r="P320" s="6" t="s">
        <v>1598</v>
      </c>
      <c r="R320" s="6" t="s">
        <v>1599</v>
      </c>
      <c r="S320" s="6" t="s">
        <v>1600</v>
      </c>
      <c r="T320" s="6">
        <v>0</v>
      </c>
      <c r="U320" s="6">
        <v>0</v>
      </c>
      <c r="V320" s="6">
        <v>0</v>
      </c>
      <c r="W320" s="6">
        <v>0</v>
      </c>
      <c r="X320" s="6" t="s">
        <v>169</v>
      </c>
      <c r="Z320" s="6" t="s">
        <v>170</v>
      </c>
      <c r="AA320" s="6" t="s">
        <v>171</v>
      </c>
      <c r="AB320" s="6">
        <v>0</v>
      </c>
      <c r="AC320" s="6" t="str">
        <f>""</f>
        <v/>
      </c>
      <c r="AS320" s="6">
        <v>0</v>
      </c>
      <c r="AT320" s="6">
        <v>3</v>
      </c>
    </row>
    <row r="321" spans="2:46">
      <c r="B321" s="6" t="s">
        <v>116</v>
      </c>
      <c r="D321" s="6" t="s">
        <v>1561</v>
      </c>
      <c r="F321" s="6" t="s">
        <v>1601</v>
      </c>
      <c r="G321" s="6" t="str">
        <f>"Z175AP508M21F"</f>
        <v>Z175AP508M21F</v>
      </c>
      <c r="I321" s="6" t="s">
        <v>1602</v>
      </c>
      <c r="J321" s="6" t="str">
        <f>"Z175AP508M21F"</f>
        <v>Z175AP508M21F</v>
      </c>
      <c r="K321" s="6">
        <v>0</v>
      </c>
      <c r="L321" s="6">
        <v>0</v>
      </c>
      <c r="M321" s="6">
        <v>0</v>
      </c>
      <c r="N321" s="6" t="str">
        <f>""</f>
        <v/>
      </c>
      <c r="O321" s="6">
        <v>33314</v>
      </c>
      <c r="P321" s="6" t="s">
        <v>1602</v>
      </c>
      <c r="R321" s="6" t="s">
        <v>1603</v>
      </c>
      <c r="S321" s="6" t="s">
        <v>1604</v>
      </c>
      <c r="T321" s="6">
        <v>3</v>
      </c>
      <c r="U321" s="6">
        <v>0</v>
      </c>
      <c r="V321" s="6">
        <v>0</v>
      </c>
      <c r="W321" s="6">
        <v>0</v>
      </c>
      <c r="X321" s="6" t="s">
        <v>169</v>
      </c>
      <c r="Z321" s="6" t="s">
        <v>170</v>
      </c>
      <c r="AA321" s="6" t="s">
        <v>171</v>
      </c>
      <c r="AB321" s="6">
        <v>0</v>
      </c>
      <c r="AC321" s="6" t="str">
        <f>"KEY-057"</f>
        <v>KEY-057</v>
      </c>
      <c r="AQ321" s="6" t="str">
        <f>""</f>
        <v/>
      </c>
      <c r="AR321" s="6" t="s">
        <v>1567</v>
      </c>
      <c r="AS321" s="6">
        <v>0</v>
      </c>
      <c r="AT321" s="6">
        <v>3</v>
      </c>
    </row>
    <row r="322" spans="2:46">
      <c r="B322" s="6" t="s">
        <v>116</v>
      </c>
      <c r="D322" s="6" t="s">
        <v>1561</v>
      </c>
      <c r="F322" s="6" t="s">
        <v>1605</v>
      </c>
      <c r="G322" s="6" t="str">
        <f>"Z175AP507M46F"</f>
        <v>Z175AP507M46F</v>
      </c>
      <c r="I322" s="6" t="s">
        <v>1606</v>
      </c>
      <c r="J322" s="6" t="str">
        <f>"Z175AP507M46F"</f>
        <v>Z175AP507M46F</v>
      </c>
      <c r="K322" s="6">
        <v>0</v>
      </c>
      <c r="L322" s="6">
        <v>0</v>
      </c>
      <c r="M322" s="6">
        <v>0</v>
      </c>
      <c r="N322" s="6" t="str">
        <f>""</f>
        <v/>
      </c>
      <c r="O322" s="6">
        <v>33312</v>
      </c>
      <c r="P322" s="6" t="s">
        <v>1606</v>
      </c>
      <c r="R322" s="6" t="s">
        <v>1607</v>
      </c>
      <c r="S322" s="6" t="s">
        <v>1608</v>
      </c>
      <c r="T322" s="6">
        <v>1</v>
      </c>
      <c r="U322" s="6">
        <v>0</v>
      </c>
      <c r="V322" s="6">
        <v>0</v>
      </c>
      <c r="W322" s="6">
        <v>0</v>
      </c>
      <c r="X322" s="6" t="s">
        <v>169</v>
      </c>
      <c r="Z322" s="6" t="s">
        <v>170</v>
      </c>
      <c r="AA322" s="6" t="s">
        <v>171</v>
      </c>
      <c r="AB322" s="6">
        <v>0</v>
      </c>
      <c r="AC322" s="6" t="str">
        <f>"KEY-068"</f>
        <v>KEY-068</v>
      </c>
      <c r="AQ322" s="6" t="str">
        <f>""</f>
        <v/>
      </c>
      <c r="AR322" s="6" t="s">
        <v>1567</v>
      </c>
      <c r="AS322" s="6">
        <v>0</v>
      </c>
      <c r="AT322" s="6">
        <v>1</v>
      </c>
    </row>
    <row r="323" spans="2:46">
      <c r="B323" s="6" t="s">
        <v>116</v>
      </c>
      <c r="D323" s="6" t="s">
        <v>1561</v>
      </c>
      <c r="F323" s="6" t="s">
        <v>1609</v>
      </c>
      <c r="G323" s="6" t="str">
        <f>"Z175AP506M33F"</f>
        <v>Z175AP506M33F</v>
      </c>
      <c r="I323" s="6" t="s">
        <v>1610</v>
      </c>
      <c r="J323" s="6" t="str">
        <f>"Z175AP506M33F"</f>
        <v>Z175AP506M33F</v>
      </c>
      <c r="K323" s="6">
        <v>0</v>
      </c>
      <c r="L323" s="6">
        <v>0</v>
      </c>
      <c r="M323" s="6">
        <v>0</v>
      </c>
      <c r="N323" s="6" t="str">
        <f>""</f>
        <v/>
      </c>
      <c r="O323" s="6">
        <v>33310</v>
      </c>
      <c r="P323" s="6" t="s">
        <v>1610</v>
      </c>
      <c r="R323" s="6" t="s">
        <v>1611</v>
      </c>
      <c r="S323" s="6" t="s">
        <v>1612</v>
      </c>
      <c r="T323" s="6">
        <v>4</v>
      </c>
      <c r="U323" s="6">
        <v>0</v>
      </c>
      <c r="V323" s="6">
        <v>0</v>
      </c>
      <c r="W323" s="6">
        <v>0</v>
      </c>
      <c r="X323" s="6" t="s">
        <v>169</v>
      </c>
      <c r="Z323" s="6" t="s">
        <v>170</v>
      </c>
      <c r="AA323" s="6" t="s">
        <v>171</v>
      </c>
      <c r="AB323" s="6">
        <v>0</v>
      </c>
      <c r="AC323" s="6" t="str">
        <f>"KEY-037"</f>
        <v>KEY-037</v>
      </c>
      <c r="AQ323" s="6" t="str">
        <f>""</f>
        <v/>
      </c>
      <c r="AR323" s="6" t="s">
        <v>1567</v>
      </c>
      <c r="AS323" s="6">
        <v>0</v>
      </c>
      <c r="AT323" s="6">
        <v>4</v>
      </c>
    </row>
    <row r="324" spans="2:46">
      <c r="B324" s="6" t="s">
        <v>116</v>
      </c>
      <c r="D324" s="6" t="s">
        <v>1561</v>
      </c>
      <c r="F324" s="6" t="s">
        <v>1613</v>
      </c>
      <c r="G324" s="6" t="str">
        <f>"Z175AP505M08F"</f>
        <v>Z175AP505M08F</v>
      </c>
      <c r="H324" s="6" t="s">
        <v>1614</v>
      </c>
      <c r="I324" s="6" t="s">
        <v>1614</v>
      </c>
      <c r="J324" s="6" t="str">
        <f>"Z175AP505M08F"</f>
        <v>Z175AP505M08F</v>
      </c>
      <c r="K324" s="6">
        <v>0</v>
      </c>
      <c r="L324" s="6">
        <v>0</v>
      </c>
      <c r="M324" s="6">
        <v>0</v>
      </c>
      <c r="N324" s="6" t="str">
        <f>""</f>
        <v/>
      </c>
      <c r="O324" s="6">
        <v>33308</v>
      </c>
      <c r="P324" s="6" t="s">
        <v>1614</v>
      </c>
      <c r="R324" s="6" t="s">
        <v>1615</v>
      </c>
      <c r="S324" s="6" t="s">
        <v>1616</v>
      </c>
      <c r="T324" s="6">
        <v>0</v>
      </c>
      <c r="U324" s="6">
        <v>0</v>
      </c>
      <c r="V324" s="6">
        <v>0</v>
      </c>
      <c r="W324" s="6">
        <v>0</v>
      </c>
      <c r="X324" s="6" t="s">
        <v>169</v>
      </c>
      <c r="Z324" s="6" t="s">
        <v>170</v>
      </c>
      <c r="AA324" s="6" t="s">
        <v>171</v>
      </c>
      <c r="AB324" s="6">
        <v>0</v>
      </c>
      <c r="AC324" s="6" t="str">
        <f>""</f>
        <v/>
      </c>
      <c r="AS324" s="6">
        <v>0</v>
      </c>
      <c r="AT324" s="6">
        <v>0</v>
      </c>
    </row>
    <row r="325" spans="2:46">
      <c r="B325" s="6" t="s">
        <v>116</v>
      </c>
      <c r="D325" s="6" t="s">
        <v>1561</v>
      </c>
      <c r="F325" s="6" t="s">
        <v>1617</v>
      </c>
      <c r="G325" s="6" t="str">
        <f>"Z175AP503M31F"</f>
        <v>Z175AP503M31F</v>
      </c>
      <c r="H325" s="6" t="s">
        <v>1618</v>
      </c>
      <c r="I325" s="6" t="s">
        <v>1618</v>
      </c>
      <c r="J325" s="6" t="str">
        <f>"Z175AP503M31F"</f>
        <v>Z175AP503M31F</v>
      </c>
      <c r="K325" s="6">
        <v>0</v>
      </c>
      <c r="L325" s="6">
        <v>0</v>
      </c>
      <c r="M325" s="6">
        <v>0</v>
      </c>
      <c r="N325" s="6" t="str">
        <f>""</f>
        <v/>
      </c>
      <c r="O325" s="6">
        <v>33306</v>
      </c>
      <c r="P325" s="6" t="s">
        <v>1618</v>
      </c>
      <c r="R325" s="6" t="s">
        <v>1619</v>
      </c>
      <c r="S325" s="6" t="s">
        <v>1620</v>
      </c>
      <c r="T325" s="6">
        <v>0</v>
      </c>
      <c r="U325" s="6">
        <v>0</v>
      </c>
      <c r="V325" s="6">
        <v>0</v>
      </c>
      <c r="W325" s="6">
        <v>0</v>
      </c>
      <c r="X325" s="6" t="s">
        <v>169</v>
      </c>
      <c r="Z325" s="6" t="s">
        <v>170</v>
      </c>
      <c r="AA325" s="6" t="s">
        <v>171</v>
      </c>
      <c r="AB325" s="6">
        <v>0</v>
      </c>
      <c r="AC325" s="6" t="str">
        <f>""</f>
        <v/>
      </c>
      <c r="AS325" s="6">
        <v>0</v>
      </c>
      <c r="AT325" s="6">
        <v>0</v>
      </c>
    </row>
    <row r="326" spans="2:46">
      <c r="B326" s="6" t="s">
        <v>116</v>
      </c>
      <c r="D326" s="6" t="s">
        <v>1561</v>
      </c>
      <c r="F326" s="6" t="s">
        <v>1621</v>
      </c>
      <c r="G326" s="6" t="str">
        <f>"Z175AP502M51F"</f>
        <v>Z175AP502M51F</v>
      </c>
      <c r="H326" s="6" t="s">
        <v>1622</v>
      </c>
      <c r="I326" s="6" t="s">
        <v>1622</v>
      </c>
      <c r="J326" s="6" t="str">
        <f>"Z175AP502M51F"</f>
        <v>Z175AP502M51F</v>
      </c>
      <c r="K326" s="6">
        <v>0</v>
      </c>
      <c r="L326" s="6">
        <v>0</v>
      </c>
      <c r="M326" s="6">
        <v>0</v>
      </c>
      <c r="N326" s="6" t="str">
        <f>""</f>
        <v/>
      </c>
      <c r="O326" s="6">
        <v>33304</v>
      </c>
      <c r="P326" s="6" t="s">
        <v>1622</v>
      </c>
      <c r="R326" s="6" t="s">
        <v>1623</v>
      </c>
      <c r="S326" s="6" t="s">
        <v>1624</v>
      </c>
      <c r="T326" s="6">
        <v>0</v>
      </c>
      <c r="U326" s="6">
        <v>0</v>
      </c>
      <c r="V326" s="6">
        <v>0</v>
      </c>
      <c r="W326" s="6">
        <v>0</v>
      </c>
      <c r="X326" s="6" t="s">
        <v>169</v>
      </c>
      <c r="Z326" s="6" t="s">
        <v>170</v>
      </c>
      <c r="AA326" s="6" t="s">
        <v>171</v>
      </c>
      <c r="AB326" s="6">
        <v>0</v>
      </c>
      <c r="AC326" s="6" t="str">
        <f>""</f>
        <v/>
      </c>
      <c r="AS326" s="6">
        <v>0</v>
      </c>
      <c r="AT326" s="6">
        <v>0</v>
      </c>
    </row>
    <row r="327" spans="2:46">
      <c r="B327" s="6" t="s">
        <v>116</v>
      </c>
      <c r="D327" s="6" t="s">
        <v>1561</v>
      </c>
      <c r="F327" s="6" t="s">
        <v>1625</v>
      </c>
      <c r="G327" s="6" t="str">
        <f>"Z175AP501M36F"</f>
        <v>Z175AP501M36F</v>
      </c>
      <c r="H327" s="6" t="s">
        <v>1626</v>
      </c>
      <c r="I327" s="6" t="s">
        <v>1626</v>
      </c>
      <c r="J327" s="6" t="str">
        <f>"Z175AP501M36F"</f>
        <v>Z175AP501M36F</v>
      </c>
      <c r="K327" s="6">
        <v>0</v>
      </c>
      <c r="L327" s="6">
        <v>0</v>
      </c>
      <c r="M327" s="6">
        <v>0</v>
      </c>
      <c r="N327" s="6" t="str">
        <f>""</f>
        <v/>
      </c>
      <c r="O327" s="6">
        <v>33302</v>
      </c>
      <c r="P327" s="6" t="s">
        <v>1626</v>
      </c>
      <c r="R327" s="6" t="s">
        <v>1599</v>
      </c>
      <c r="S327" s="6" t="s">
        <v>1627</v>
      </c>
      <c r="T327" s="6">
        <v>0</v>
      </c>
      <c r="U327" s="6">
        <v>0</v>
      </c>
      <c r="V327" s="6">
        <v>0</v>
      </c>
      <c r="W327" s="6">
        <v>0</v>
      </c>
      <c r="X327" s="6" t="s">
        <v>169</v>
      </c>
      <c r="Z327" s="6" t="s">
        <v>170</v>
      </c>
      <c r="AA327" s="6" t="s">
        <v>171</v>
      </c>
      <c r="AB327" s="6">
        <v>0</v>
      </c>
      <c r="AC327" s="6" t="str">
        <f>""</f>
        <v/>
      </c>
      <c r="AS327" s="6">
        <v>0</v>
      </c>
      <c r="AT327" s="6">
        <v>0</v>
      </c>
    </row>
    <row r="328" spans="2:46">
      <c r="B328" s="6" t="s">
        <v>116</v>
      </c>
      <c r="D328" s="6" t="s">
        <v>1561</v>
      </c>
      <c r="F328" s="6" t="s">
        <v>1628</v>
      </c>
      <c r="G328" s="6" t="str">
        <f>"Z175AP500M06F"</f>
        <v>Z175AP500M06F</v>
      </c>
      <c r="H328" s="6" t="s">
        <v>1629</v>
      </c>
      <c r="I328" s="6" t="s">
        <v>1629</v>
      </c>
      <c r="J328" s="6" t="str">
        <f>"Z175AP500M06F"</f>
        <v>Z175AP500M06F</v>
      </c>
      <c r="K328" s="6">
        <v>0</v>
      </c>
      <c r="L328" s="6">
        <v>0</v>
      </c>
      <c r="M328" s="6">
        <v>0</v>
      </c>
      <c r="N328" s="6" t="str">
        <f>""</f>
        <v/>
      </c>
      <c r="O328" s="6">
        <v>33300</v>
      </c>
      <c r="P328" s="6" t="s">
        <v>1629</v>
      </c>
      <c r="R328" s="6" t="s">
        <v>1630</v>
      </c>
      <c r="S328" s="6" t="s">
        <v>1631</v>
      </c>
      <c r="T328" s="6">
        <v>0</v>
      </c>
      <c r="U328" s="6">
        <v>0</v>
      </c>
      <c r="V328" s="6">
        <v>0</v>
      </c>
      <c r="W328" s="6">
        <v>0</v>
      </c>
      <c r="X328" s="6" t="s">
        <v>169</v>
      </c>
      <c r="Z328" s="6" t="s">
        <v>170</v>
      </c>
      <c r="AA328" s="6" t="s">
        <v>171</v>
      </c>
      <c r="AB328" s="6">
        <v>0</v>
      </c>
      <c r="AC328" s="6" t="str">
        <f>""</f>
        <v/>
      </c>
      <c r="AS328" s="6">
        <v>0</v>
      </c>
      <c r="AT328" s="6">
        <v>0</v>
      </c>
    </row>
    <row r="329" spans="2:46">
      <c r="B329" s="6" t="s">
        <v>116</v>
      </c>
      <c r="D329" s="6" t="s">
        <v>1561</v>
      </c>
      <c r="F329" s="6" t="s">
        <v>1632</v>
      </c>
      <c r="G329" s="6" t="str">
        <f>"Z165AP711M59F"</f>
        <v>Z165AP711M59F</v>
      </c>
      <c r="I329" s="6" t="s">
        <v>1633</v>
      </c>
      <c r="J329" s="6" t="str">
        <f>"Z165AP711M59F"</f>
        <v>Z165AP711M59F</v>
      </c>
      <c r="K329" s="6">
        <v>0</v>
      </c>
      <c r="L329" s="6">
        <v>0</v>
      </c>
      <c r="M329" s="6">
        <v>0</v>
      </c>
      <c r="N329" s="6" t="str">
        <f>""</f>
        <v/>
      </c>
      <c r="O329" s="6">
        <v>33298</v>
      </c>
      <c r="P329" s="6" t="s">
        <v>1633</v>
      </c>
      <c r="R329" s="6" t="s">
        <v>1634</v>
      </c>
      <c r="S329" s="6" t="s">
        <v>1635</v>
      </c>
      <c r="T329" s="6">
        <v>1</v>
      </c>
      <c r="U329" s="6">
        <v>0</v>
      </c>
      <c r="V329" s="6">
        <v>0</v>
      </c>
      <c r="W329" s="6">
        <v>0</v>
      </c>
      <c r="X329" s="6" t="s">
        <v>169</v>
      </c>
      <c r="Z329" s="6" t="s">
        <v>170</v>
      </c>
      <c r="AA329" s="6" t="s">
        <v>171</v>
      </c>
      <c r="AB329" s="6">
        <v>0</v>
      </c>
      <c r="AC329" s="6" t="str">
        <f>"KEY-067"</f>
        <v>KEY-067</v>
      </c>
      <c r="AQ329" s="6" t="str">
        <f>""</f>
        <v/>
      </c>
      <c r="AR329" s="6" t="s">
        <v>1567</v>
      </c>
      <c r="AS329" s="6">
        <v>0</v>
      </c>
      <c r="AT329" s="6">
        <v>1</v>
      </c>
    </row>
    <row r="330" spans="2:46">
      <c r="B330" s="6" t="s">
        <v>116</v>
      </c>
      <c r="D330" s="6" t="s">
        <v>1561</v>
      </c>
      <c r="F330" s="6" t="s">
        <v>1636</v>
      </c>
      <c r="G330" s="6" t="str">
        <f>"Z165AP710M14F"</f>
        <v>Z165AP710M14F</v>
      </c>
      <c r="H330" s="6" t="s">
        <v>1637</v>
      </c>
      <c r="I330" s="6" t="s">
        <v>1637</v>
      </c>
      <c r="J330" s="6" t="str">
        <f>"Z165AP710M14F"</f>
        <v>Z165AP710M14F</v>
      </c>
      <c r="K330" s="6">
        <v>0</v>
      </c>
      <c r="L330" s="6">
        <v>0</v>
      </c>
      <c r="M330" s="6">
        <v>0</v>
      </c>
      <c r="N330" s="6" t="str">
        <f>""</f>
        <v/>
      </c>
      <c r="O330" s="6">
        <v>33296</v>
      </c>
      <c r="P330" s="6" t="s">
        <v>1637</v>
      </c>
      <c r="R330" s="6" t="s">
        <v>1638</v>
      </c>
      <c r="S330" s="6" t="s">
        <v>1639</v>
      </c>
      <c r="T330" s="6">
        <v>0</v>
      </c>
      <c r="U330" s="6">
        <v>0</v>
      </c>
      <c r="V330" s="6">
        <v>0</v>
      </c>
      <c r="W330" s="6">
        <v>0</v>
      </c>
      <c r="X330" s="6" t="s">
        <v>169</v>
      </c>
      <c r="Z330" s="6" t="s">
        <v>170</v>
      </c>
      <c r="AA330" s="6" t="s">
        <v>171</v>
      </c>
      <c r="AB330" s="6">
        <v>0</v>
      </c>
      <c r="AC330" s="6" t="str">
        <f>""</f>
        <v/>
      </c>
      <c r="AS330" s="6">
        <v>0</v>
      </c>
      <c r="AT330" s="6">
        <v>0</v>
      </c>
    </row>
    <row r="331" spans="2:46">
      <c r="B331" s="6" t="s">
        <v>116</v>
      </c>
      <c r="D331" s="6" t="s">
        <v>1561</v>
      </c>
      <c r="F331" s="6" t="s">
        <v>1640</v>
      </c>
      <c r="G331" s="6" t="str">
        <f>"Z165AP709M19F"</f>
        <v>Z165AP709M19F</v>
      </c>
      <c r="H331" s="6" t="s">
        <v>1641</v>
      </c>
      <c r="I331" s="6" t="s">
        <v>1641</v>
      </c>
      <c r="J331" s="6" t="str">
        <f>"Z165AP709M19F"</f>
        <v>Z165AP709M19F</v>
      </c>
      <c r="K331" s="6">
        <v>0</v>
      </c>
      <c r="L331" s="6">
        <v>0</v>
      </c>
      <c r="M331" s="6">
        <v>0</v>
      </c>
      <c r="N331" s="6" t="str">
        <f>""</f>
        <v/>
      </c>
      <c r="O331" s="6">
        <v>33294</v>
      </c>
      <c r="P331" s="6" t="s">
        <v>1641</v>
      </c>
      <c r="R331" s="6" t="s">
        <v>1565</v>
      </c>
      <c r="S331" s="6" t="s">
        <v>1642</v>
      </c>
      <c r="T331" s="6">
        <v>0</v>
      </c>
      <c r="U331" s="6">
        <v>0</v>
      </c>
      <c r="V331" s="6">
        <v>0</v>
      </c>
      <c r="W331" s="6">
        <v>0</v>
      </c>
      <c r="X331" s="6" t="s">
        <v>169</v>
      </c>
      <c r="Z331" s="6" t="s">
        <v>170</v>
      </c>
      <c r="AA331" s="6" t="s">
        <v>171</v>
      </c>
      <c r="AB331" s="6">
        <v>0</v>
      </c>
      <c r="AC331" s="6" t="str">
        <f>""</f>
        <v/>
      </c>
      <c r="AS331" s="6">
        <v>0</v>
      </c>
      <c r="AT331" s="6">
        <v>0</v>
      </c>
    </row>
    <row r="332" spans="2:46">
      <c r="B332" s="6" t="s">
        <v>116</v>
      </c>
      <c r="D332" s="6" t="s">
        <v>1561</v>
      </c>
      <c r="F332" s="6" t="s">
        <v>1643</v>
      </c>
      <c r="G332" s="6" t="str">
        <f>"Z165AP713M10F"</f>
        <v>Z165AP713M10F</v>
      </c>
      <c r="H332" s="6" t="s">
        <v>1644</v>
      </c>
      <c r="I332" s="6" t="s">
        <v>1644</v>
      </c>
      <c r="J332" s="6" t="str">
        <f>"Z165AP713M10F"</f>
        <v>Z165AP713M10F</v>
      </c>
      <c r="K332" s="6">
        <v>0</v>
      </c>
      <c r="L332" s="6">
        <v>0</v>
      </c>
      <c r="M332" s="6">
        <v>0</v>
      </c>
      <c r="N332" s="6" t="str">
        <f>""</f>
        <v/>
      </c>
      <c r="O332" s="6">
        <v>33292</v>
      </c>
      <c r="P332" s="6" t="s">
        <v>1644</v>
      </c>
      <c r="R332" s="6" t="s">
        <v>1645</v>
      </c>
      <c r="S332" s="6" t="s">
        <v>1646</v>
      </c>
      <c r="T332" s="6">
        <v>0</v>
      </c>
      <c r="U332" s="6">
        <v>0</v>
      </c>
      <c r="V332" s="6">
        <v>0</v>
      </c>
      <c r="W332" s="6">
        <v>0</v>
      </c>
      <c r="X332" s="6" t="s">
        <v>169</v>
      </c>
      <c r="Z332" s="6" t="s">
        <v>170</v>
      </c>
      <c r="AA332" s="6" t="s">
        <v>171</v>
      </c>
      <c r="AB332" s="6">
        <v>0</v>
      </c>
      <c r="AC332" s="6" t="str">
        <f>""</f>
        <v/>
      </c>
      <c r="AS332" s="6">
        <v>0</v>
      </c>
      <c r="AT332" s="6">
        <v>0</v>
      </c>
    </row>
    <row r="333" spans="2:46">
      <c r="B333" s="6" t="s">
        <v>116</v>
      </c>
      <c r="D333" s="6" t="s">
        <v>1561</v>
      </c>
      <c r="F333" s="6" t="s">
        <v>1647</v>
      </c>
      <c r="G333" s="6" t="str">
        <f>"Z165AP712M19F"</f>
        <v>Z165AP712M19F</v>
      </c>
      <c r="H333" s="6" t="s">
        <v>1648</v>
      </c>
      <c r="I333" s="6" t="s">
        <v>1648</v>
      </c>
      <c r="J333" s="6" t="str">
        <f>"Z165AP712M19F"</f>
        <v>Z165AP712M19F</v>
      </c>
      <c r="K333" s="6">
        <v>0</v>
      </c>
      <c r="L333" s="6">
        <v>0</v>
      </c>
      <c r="M333" s="6">
        <v>0</v>
      </c>
      <c r="N333" s="6" t="str">
        <f>""</f>
        <v/>
      </c>
      <c r="O333" s="6">
        <v>33290</v>
      </c>
      <c r="P333" s="6" t="s">
        <v>1648</v>
      </c>
      <c r="R333" s="6" t="s">
        <v>1565</v>
      </c>
      <c r="S333" s="6" t="s">
        <v>1649</v>
      </c>
      <c r="T333" s="6">
        <v>0</v>
      </c>
      <c r="U333" s="6">
        <v>0</v>
      </c>
      <c r="V333" s="6">
        <v>0</v>
      </c>
      <c r="W333" s="6">
        <v>0</v>
      </c>
      <c r="X333" s="6" t="s">
        <v>169</v>
      </c>
      <c r="Z333" s="6" t="s">
        <v>170</v>
      </c>
      <c r="AA333" s="6" t="s">
        <v>171</v>
      </c>
      <c r="AB333" s="6">
        <v>0</v>
      </c>
      <c r="AC333" s="6" t="str">
        <f>""</f>
        <v/>
      </c>
      <c r="AS333" s="6">
        <v>0</v>
      </c>
      <c r="AT333" s="6">
        <v>0</v>
      </c>
    </row>
    <row r="334" spans="2:46">
      <c r="B334" s="6" t="s">
        <v>116</v>
      </c>
      <c r="D334" s="6" t="s">
        <v>1561</v>
      </c>
      <c r="F334" s="6" t="s">
        <v>1650</v>
      </c>
      <c r="G334" s="6" t="str">
        <f>"Z165AP708M09F"</f>
        <v>Z165AP708M09F</v>
      </c>
      <c r="I334" s="6" t="s">
        <v>1651</v>
      </c>
      <c r="J334" s="6" t="str">
        <f>"Z165AP708M09F"</f>
        <v>Z165AP708M09F</v>
      </c>
      <c r="K334" s="6">
        <v>0</v>
      </c>
      <c r="L334" s="6">
        <v>0</v>
      </c>
      <c r="M334" s="6">
        <v>0</v>
      </c>
      <c r="N334" s="6" t="str">
        <f>""</f>
        <v/>
      </c>
      <c r="O334" s="6">
        <v>33288</v>
      </c>
      <c r="P334" s="6" t="s">
        <v>1651</v>
      </c>
      <c r="R334" s="6" t="s">
        <v>1652</v>
      </c>
      <c r="S334" s="6" t="s">
        <v>1653</v>
      </c>
      <c r="T334" s="6">
        <v>1</v>
      </c>
      <c r="U334" s="6">
        <v>0</v>
      </c>
      <c r="V334" s="6">
        <v>0</v>
      </c>
      <c r="W334" s="6">
        <v>0</v>
      </c>
      <c r="X334" s="6" t="s">
        <v>169</v>
      </c>
      <c r="Z334" s="6" t="s">
        <v>170</v>
      </c>
      <c r="AA334" s="6" t="s">
        <v>171</v>
      </c>
      <c r="AB334" s="6">
        <v>0</v>
      </c>
      <c r="AC334" s="6" t="str">
        <f>"KEY-067"</f>
        <v>KEY-067</v>
      </c>
      <c r="AQ334" s="6" t="str">
        <f>""</f>
        <v/>
      </c>
      <c r="AR334" s="6" t="s">
        <v>1567</v>
      </c>
      <c r="AS334" s="6">
        <v>0</v>
      </c>
      <c r="AT334" s="6">
        <v>1</v>
      </c>
    </row>
    <row r="335" spans="2:46">
      <c r="B335" s="6" t="s">
        <v>116</v>
      </c>
      <c r="D335" s="6" t="s">
        <v>1561</v>
      </c>
      <c r="F335" s="6" t="s">
        <v>1654</v>
      </c>
      <c r="G335" s="6" t="str">
        <f>"Z165AP707M09F"</f>
        <v>Z165AP707M09F</v>
      </c>
      <c r="H335" s="6" t="s">
        <v>1655</v>
      </c>
      <c r="I335" s="6" t="s">
        <v>1655</v>
      </c>
      <c r="J335" s="6" t="str">
        <f>"Z165AP707M09F"</f>
        <v>Z165AP707M09F</v>
      </c>
      <c r="K335" s="6">
        <v>0</v>
      </c>
      <c r="L335" s="6">
        <v>0</v>
      </c>
      <c r="M335" s="6">
        <v>0</v>
      </c>
      <c r="N335" s="6" t="str">
        <f>""</f>
        <v/>
      </c>
      <c r="O335" s="6">
        <v>33286</v>
      </c>
      <c r="P335" s="6" t="s">
        <v>1655</v>
      </c>
      <c r="R335" s="6" t="s">
        <v>1656</v>
      </c>
      <c r="S335" s="6" t="s">
        <v>1657</v>
      </c>
      <c r="T335" s="6">
        <v>0</v>
      </c>
      <c r="U335" s="6">
        <v>0</v>
      </c>
      <c r="V335" s="6">
        <v>0</v>
      </c>
      <c r="W335" s="6">
        <v>0</v>
      </c>
      <c r="X335" s="6" t="s">
        <v>169</v>
      </c>
      <c r="Z335" s="6" t="s">
        <v>170</v>
      </c>
      <c r="AA335" s="6" t="s">
        <v>171</v>
      </c>
      <c r="AB335" s="6">
        <v>0</v>
      </c>
      <c r="AC335" s="6" t="str">
        <f>""</f>
        <v/>
      </c>
      <c r="AS335" s="6">
        <v>0</v>
      </c>
      <c r="AT335" s="6">
        <v>0</v>
      </c>
    </row>
    <row r="336" spans="2:46">
      <c r="B336" s="6" t="s">
        <v>116</v>
      </c>
      <c r="D336" s="6" t="s">
        <v>1561</v>
      </c>
      <c r="F336" s="6" t="s">
        <v>1658</v>
      </c>
      <c r="G336" s="6" t="str">
        <f>"Z165AP715M15F"</f>
        <v>Z165AP715M15F</v>
      </c>
      <c r="H336" s="6" t="s">
        <v>1659</v>
      </c>
      <c r="I336" s="6" t="s">
        <v>1659</v>
      </c>
      <c r="J336" s="6" t="str">
        <f>"Z165AP715M15F"</f>
        <v>Z165AP715M15F</v>
      </c>
      <c r="K336" s="6">
        <v>0</v>
      </c>
      <c r="L336" s="6">
        <v>0</v>
      </c>
      <c r="M336" s="6">
        <v>0</v>
      </c>
      <c r="N336" s="6" t="str">
        <f>""</f>
        <v/>
      </c>
      <c r="O336" s="6">
        <v>33284</v>
      </c>
      <c r="P336" s="6" t="s">
        <v>1659</v>
      </c>
      <c r="R336" s="6" t="s">
        <v>1660</v>
      </c>
      <c r="S336" s="6" t="s">
        <v>1661</v>
      </c>
      <c r="T336" s="6">
        <v>0</v>
      </c>
      <c r="U336" s="6">
        <v>0</v>
      </c>
      <c r="V336" s="6">
        <v>0</v>
      </c>
      <c r="W336" s="6">
        <v>0</v>
      </c>
      <c r="X336" s="6" t="s">
        <v>169</v>
      </c>
      <c r="Z336" s="6" t="s">
        <v>170</v>
      </c>
      <c r="AA336" s="6" t="s">
        <v>171</v>
      </c>
      <c r="AB336" s="6">
        <v>0</v>
      </c>
      <c r="AC336" s="6" t="str">
        <f>""</f>
        <v/>
      </c>
      <c r="AS336" s="6">
        <v>0</v>
      </c>
      <c r="AT336" s="6">
        <v>0</v>
      </c>
    </row>
    <row r="337" spans="2:46">
      <c r="B337" s="6" t="s">
        <v>116</v>
      </c>
      <c r="D337" s="6" t="s">
        <v>1561</v>
      </c>
      <c r="F337" s="6" t="s">
        <v>1662</v>
      </c>
      <c r="G337" s="6" t="str">
        <f>"Z165AP714M08F"</f>
        <v>Z165AP714M08F</v>
      </c>
      <c r="I337" s="6" t="s">
        <v>1663</v>
      </c>
      <c r="J337" s="6" t="str">
        <f>"Z165AP714M08F"</f>
        <v>Z165AP714M08F</v>
      </c>
      <c r="K337" s="6">
        <v>0</v>
      </c>
      <c r="L337" s="6">
        <v>0</v>
      </c>
      <c r="M337" s="6">
        <v>0</v>
      </c>
      <c r="N337" s="6" t="str">
        <f>""</f>
        <v/>
      </c>
      <c r="O337" s="6">
        <v>33282</v>
      </c>
      <c r="P337" s="6" t="s">
        <v>1663</v>
      </c>
      <c r="R337" s="6" t="s">
        <v>1615</v>
      </c>
      <c r="S337" s="6" t="s">
        <v>1664</v>
      </c>
      <c r="T337" s="6">
        <v>1</v>
      </c>
      <c r="U337" s="6">
        <v>0</v>
      </c>
      <c r="V337" s="6">
        <v>0</v>
      </c>
      <c r="W337" s="6">
        <v>0</v>
      </c>
      <c r="X337" s="6" t="s">
        <v>169</v>
      </c>
      <c r="Z337" s="6" t="s">
        <v>170</v>
      </c>
      <c r="AA337" s="6" t="s">
        <v>171</v>
      </c>
      <c r="AB337" s="6">
        <v>0</v>
      </c>
      <c r="AC337" s="6" t="str">
        <f>"KEY-067"</f>
        <v>KEY-067</v>
      </c>
      <c r="AQ337" s="6" t="str">
        <f>""</f>
        <v/>
      </c>
      <c r="AR337" s="6" t="s">
        <v>1567</v>
      </c>
      <c r="AS337" s="6">
        <v>0</v>
      </c>
      <c r="AT337" s="6">
        <v>1</v>
      </c>
    </row>
    <row r="338" spans="2:46">
      <c r="B338" s="6" t="s">
        <v>116</v>
      </c>
      <c r="D338" s="6" t="s">
        <v>1561</v>
      </c>
      <c r="F338" s="6" t="s">
        <v>1665</v>
      </c>
      <c r="G338" s="6" t="str">
        <f>"Z165AP805M33F"</f>
        <v>Z165AP805M33F</v>
      </c>
      <c r="H338" s="6" t="s">
        <v>1666</v>
      </c>
      <c r="I338" s="6" t="s">
        <v>1666</v>
      </c>
      <c r="J338" s="6" t="str">
        <f>"Z165AP805M33F"</f>
        <v>Z165AP805M33F</v>
      </c>
      <c r="K338" s="6">
        <v>0</v>
      </c>
      <c r="L338" s="6">
        <v>0</v>
      </c>
      <c r="M338" s="6">
        <v>0</v>
      </c>
      <c r="N338" s="6" t="str">
        <f>""</f>
        <v/>
      </c>
      <c r="O338" s="6">
        <v>33280</v>
      </c>
      <c r="P338" s="6" t="s">
        <v>1666</v>
      </c>
      <c r="R338" s="6" t="s">
        <v>1667</v>
      </c>
      <c r="S338" s="6" t="s">
        <v>1668</v>
      </c>
      <c r="T338" s="6">
        <v>0</v>
      </c>
      <c r="U338" s="6">
        <v>0</v>
      </c>
      <c r="V338" s="6">
        <v>0</v>
      </c>
      <c r="W338" s="6">
        <v>0</v>
      </c>
      <c r="X338" s="6" t="s">
        <v>169</v>
      </c>
      <c r="Z338" s="6" t="s">
        <v>170</v>
      </c>
      <c r="AA338" s="6" t="s">
        <v>171</v>
      </c>
      <c r="AB338" s="6">
        <v>0</v>
      </c>
      <c r="AC338" s="6" t="str">
        <f>""</f>
        <v/>
      </c>
      <c r="AS338" s="6">
        <v>0</v>
      </c>
      <c r="AT338" s="6">
        <v>0</v>
      </c>
    </row>
    <row r="339" spans="2:46">
      <c r="B339" s="6" t="s">
        <v>116</v>
      </c>
      <c r="D339" s="6" t="s">
        <v>1561</v>
      </c>
      <c r="F339" s="6" t="s">
        <v>1669</v>
      </c>
      <c r="G339" s="6" t="str">
        <f>"Z165AP804M08F"</f>
        <v>Z165AP804M08F</v>
      </c>
      <c r="H339" s="6" t="s">
        <v>1670</v>
      </c>
      <c r="I339" s="6" t="s">
        <v>1670</v>
      </c>
      <c r="J339" s="6" t="str">
        <f>"Z165AP804M08F"</f>
        <v>Z165AP804M08F</v>
      </c>
      <c r="K339" s="6">
        <v>0</v>
      </c>
      <c r="L339" s="6">
        <v>0</v>
      </c>
      <c r="M339" s="6">
        <v>0</v>
      </c>
      <c r="N339" s="6" t="str">
        <f>""</f>
        <v/>
      </c>
      <c r="O339" s="6">
        <v>33278</v>
      </c>
      <c r="P339" s="6" t="s">
        <v>1670</v>
      </c>
      <c r="R339" s="6" t="s">
        <v>1615</v>
      </c>
      <c r="S339" s="6" t="s">
        <v>1671</v>
      </c>
      <c r="T339" s="6">
        <v>0</v>
      </c>
      <c r="U339" s="6">
        <v>0</v>
      </c>
      <c r="V339" s="6">
        <v>0</v>
      </c>
      <c r="W339" s="6">
        <v>0</v>
      </c>
      <c r="X339" s="6" t="s">
        <v>169</v>
      </c>
      <c r="Z339" s="6" t="s">
        <v>170</v>
      </c>
      <c r="AA339" s="6" t="s">
        <v>171</v>
      </c>
      <c r="AB339" s="6">
        <v>0</v>
      </c>
      <c r="AC339" s="6" t="str">
        <f>""</f>
        <v/>
      </c>
      <c r="AS339" s="6">
        <v>0</v>
      </c>
      <c r="AT339" s="6">
        <v>0</v>
      </c>
    </row>
    <row r="340" spans="2:46">
      <c r="B340" s="6" t="s">
        <v>116</v>
      </c>
      <c r="D340" s="6" t="s">
        <v>1561</v>
      </c>
      <c r="F340" s="6" t="s">
        <v>1672</v>
      </c>
      <c r="G340" s="6" t="str">
        <f>"Z165AP906M41F"</f>
        <v>Z165AP906M41F</v>
      </c>
      <c r="H340" s="6" t="s">
        <v>1673</v>
      </c>
      <c r="I340" s="6" t="s">
        <v>1673</v>
      </c>
      <c r="J340" s="6" t="str">
        <f>"Z165AP906M41F"</f>
        <v>Z165AP906M41F</v>
      </c>
      <c r="K340" s="6">
        <v>0</v>
      </c>
      <c r="L340" s="6">
        <v>0</v>
      </c>
      <c r="M340" s="6">
        <v>0</v>
      </c>
      <c r="N340" s="6" t="str">
        <f>""</f>
        <v/>
      </c>
      <c r="O340" s="6">
        <v>33276</v>
      </c>
      <c r="P340" s="6" t="s">
        <v>1673</v>
      </c>
      <c r="R340" s="6" t="s">
        <v>1674</v>
      </c>
      <c r="S340" s="6" t="s">
        <v>1675</v>
      </c>
      <c r="T340" s="6">
        <v>0</v>
      </c>
      <c r="U340" s="6">
        <v>0</v>
      </c>
      <c r="V340" s="6">
        <v>0</v>
      </c>
      <c r="W340" s="6">
        <v>0</v>
      </c>
      <c r="X340" s="6" t="s">
        <v>169</v>
      </c>
      <c r="Z340" s="6" t="s">
        <v>170</v>
      </c>
      <c r="AA340" s="6" t="s">
        <v>171</v>
      </c>
      <c r="AB340" s="6">
        <v>0</v>
      </c>
      <c r="AC340" s="6" t="str">
        <f>""</f>
        <v/>
      </c>
      <c r="AS340" s="6">
        <v>0</v>
      </c>
      <c r="AT340" s="6">
        <v>0</v>
      </c>
    </row>
    <row r="341" spans="2:46">
      <c r="B341" s="6" t="s">
        <v>116</v>
      </c>
      <c r="D341" s="6" t="s">
        <v>1561</v>
      </c>
      <c r="F341" s="6" t="s">
        <v>1676</v>
      </c>
      <c r="G341" s="6" t="str">
        <f>"Z165AP905M26F"</f>
        <v>Z165AP905M26F</v>
      </c>
      <c r="I341" s="6" t="s">
        <v>1677</v>
      </c>
      <c r="J341" s="6" t="str">
        <f>"Z165AP905M26F"</f>
        <v>Z165AP905M26F</v>
      </c>
      <c r="K341" s="6">
        <v>0</v>
      </c>
      <c r="L341" s="6">
        <v>0</v>
      </c>
      <c r="M341" s="6">
        <v>0</v>
      </c>
      <c r="N341" s="6" t="str">
        <f>""</f>
        <v/>
      </c>
      <c r="O341" s="6">
        <v>33274</v>
      </c>
      <c r="P341" s="6" t="s">
        <v>1677</v>
      </c>
      <c r="R341" s="6" t="s">
        <v>1678</v>
      </c>
      <c r="S341" s="6" t="s">
        <v>1679</v>
      </c>
      <c r="T341" s="6">
        <v>1</v>
      </c>
      <c r="U341" s="6">
        <v>0</v>
      </c>
      <c r="V341" s="6">
        <v>0</v>
      </c>
      <c r="W341" s="6">
        <v>0</v>
      </c>
      <c r="X341" s="6" t="s">
        <v>169</v>
      </c>
      <c r="Z341" s="6" t="s">
        <v>170</v>
      </c>
      <c r="AA341" s="6" t="s">
        <v>171</v>
      </c>
      <c r="AB341" s="6">
        <v>0</v>
      </c>
      <c r="AC341" s="6" t="str">
        <f>"KEY-067"</f>
        <v>KEY-067</v>
      </c>
      <c r="AQ341" s="6" t="str">
        <f>""</f>
        <v/>
      </c>
      <c r="AR341" s="6" t="s">
        <v>1567</v>
      </c>
      <c r="AS341" s="6">
        <v>0</v>
      </c>
      <c r="AT341" s="6">
        <v>1</v>
      </c>
    </row>
    <row r="342" spans="2:46">
      <c r="B342" s="6" t="s">
        <v>116</v>
      </c>
      <c r="D342" s="6" t="s">
        <v>1561</v>
      </c>
      <c r="F342" s="6" t="s">
        <v>1680</v>
      </c>
      <c r="G342" s="6" t="str">
        <f>"Z165AP904M66F"</f>
        <v>Z165AP904M66F</v>
      </c>
      <c r="H342" s="6" t="s">
        <v>1681</v>
      </c>
      <c r="I342" s="6" t="s">
        <v>1681</v>
      </c>
      <c r="J342" s="6" t="str">
        <f>"Z165AP904M66F"</f>
        <v>Z165AP904M66F</v>
      </c>
      <c r="K342" s="6">
        <v>0</v>
      </c>
      <c r="L342" s="6">
        <v>0</v>
      </c>
      <c r="M342" s="6">
        <v>0</v>
      </c>
      <c r="N342" s="6" t="str">
        <f>""</f>
        <v/>
      </c>
      <c r="O342" s="6">
        <v>33272</v>
      </c>
      <c r="P342" s="6" t="s">
        <v>1681</v>
      </c>
      <c r="R342" s="6" t="s">
        <v>1682</v>
      </c>
      <c r="S342" s="6" t="s">
        <v>1683</v>
      </c>
      <c r="T342" s="6">
        <v>0</v>
      </c>
      <c r="U342" s="6">
        <v>0</v>
      </c>
      <c r="V342" s="6">
        <v>0</v>
      </c>
      <c r="W342" s="6">
        <v>0</v>
      </c>
      <c r="X342" s="6" t="s">
        <v>169</v>
      </c>
      <c r="Z342" s="6" t="s">
        <v>170</v>
      </c>
      <c r="AA342" s="6" t="s">
        <v>171</v>
      </c>
      <c r="AB342" s="6">
        <v>0</v>
      </c>
      <c r="AC342" s="6" t="str">
        <f>""</f>
        <v/>
      </c>
      <c r="AS342" s="6">
        <v>0</v>
      </c>
      <c r="AT342" s="6">
        <v>0</v>
      </c>
    </row>
    <row r="343" spans="2:46">
      <c r="B343" s="6" t="s">
        <v>116</v>
      </c>
      <c r="D343" s="6" t="s">
        <v>1561</v>
      </c>
      <c r="F343" s="6" t="s">
        <v>1684</v>
      </c>
      <c r="G343" s="6" t="str">
        <f>"Z165AP903M15F"</f>
        <v>Z165AP903M15F</v>
      </c>
      <c r="H343" s="6" t="s">
        <v>1685</v>
      </c>
      <c r="I343" s="6" t="s">
        <v>1685</v>
      </c>
      <c r="J343" s="6" t="str">
        <f>"Z165AP903M15F"</f>
        <v>Z165AP903M15F</v>
      </c>
      <c r="K343" s="6">
        <v>0</v>
      </c>
      <c r="L343" s="6">
        <v>0</v>
      </c>
      <c r="M343" s="6">
        <v>0</v>
      </c>
      <c r="N343" s="6" t="str">
        <f>""</f>
        <v/>
      </c>
      <c r="O343" s="6">
        <v>33270</v>
      </c>
      <c r="P343" s="6" t="s">
        <v>1685</v>
      </c>
      <c r="R343" s="6" t="s">
        <v>1660</v>
      </c>
      <c r="S343" s="6" t="s">
        <v>1686</v>
      </c>
      <c r="T343" s="6">
        <v>0</v>
      </c>
      <c r="U343" s="6">
        <v>0</v>
      </c>
      <c r="V343" s="6">
        <v>0</v>
      </c>
      <c r="W343" s="6">
        <v>0</v>
      </c>
      <c r="X343" s="6" t="s">
        <v>169</v>
      </c>
      <c r="Z343" s="6" t="s">
        <v>170</v>
      </c>
      <c r="AA343" s="6" t="s">
        <v>171</v>
      </c>
      <c r="AB343" s="6">
        <v>0</v>
      </c>
      <c r="AC343" s="6" t="str">
        <f>""</f>
        <v/>
      </c>
      <c r="AS343" s="6">
        <v>0</v>
      </c>
      <c r="AT343" s="6">
        <v>0</v>
      </c>
    </row>
    <row r="344" spans="2:46">
      <c r="B344" s="6" t="s">
        <v>116</v>
      </c>
      <c r="D344" s="6" t="s">
        <v>1561</v>
      </c>
      <c r="F344" s="6" t="s">
        <v>1687</v>
      </c>
      <c r="G344" s="6" t="str">
        <f>"Z165AP902M19F"</f>
        <v>Z165AP902M19F</v>
      </c>
      <c r="H344" s="6" t="s">
        <v>1688</v>
      </c>
      <c r="I344" s="6" t="s">
        <v>1688</v>
      </c>
      <c r="J344" s="6" t="str">
        <f>"Z165AP902M19F"</f>
        <v>Z165AP902M19F</v>
      </c>
      <c r="K344" s="6">
        <v>0</v>
      </c>
      <c r="L344" s="6">
        <v>0</v>
      </c>
      <c r="M344" s="6">
        <v>0</v>
      </c>
      <c r="N344" s="6" t="str">
        <f>""</f>
        <v/>
      </c>
      <c r="O344" s="6">
        <v>33268</v>
      </c>
      <c r="P344" s="6" t="s">
        <v>1688</v>
      </c>
      <c r="R344" s="6" t="s">
        <v>1565</v>
      </c>
      <c r="S344" s="6" t="s">
        <v>1689</v>
      </c>
      <c r="T344" s="6">
        <v>0</v>
      </c>
      <c r="U344" s="6">
        <v>0</v>
      </c>
      <c r="V344" s="6">
        <v>0</v>
      </c>
      <c r="W344" s="6">
        <v>0</v>
      </c>
      <c r="X344" s="6" t="s">
        <v>169</v>
      </c>
      <c r="Z344" s="6" t="s">
        <v>170</v>
      </c>
      <c r="AA344" s="6" t="s">
        <v>171</v>
      </c>
      <c r="AB344" s="6">
        <v>0</v>
      </c>
      <c r="AC344" s="6" t="str">
        <f>""</f>
        <v/>
      </c>
      <c r="AS344" s="6">
        <v>0</v>
      </c>
      <c r="AT344" s="6">
        <v>0</v>
      </c>
    </row>
    <row r="345" spans="2:46">
      <c r="B345" s="6" t="s">
        <v>116</v>
      </c>
      <c r="D345" s="6" t="s">
        <v>1561</v>
      </c>
      <c r="F345" s="6" t="s">
        <v>1690</v>
      </c>
      <c r="G345" s="6" t="str">
        <f>"Z165AP901M01F"</f>
        <v>Z165AP901M01F</v>
      </c>
      <c r="I345" s="6" t="s">
        <v>1691</v>
      </c>
      <c r="J345" s="6" t="str">
        <f>"Z165AP901M01F"</f>
        <v>Z165AP901M01F</v>
      </c>
      <c r="K345" s="6">
        <v>0</v>
      </c>
      <c r="L345" s="6">
        <v>0</v>
      </c>
      <c r="M345" s="6">
        <v>0</v>
      </c>
      <c r="N345" s="6" t="str">
        <f>""</f>
        <v/>
      </c>
      <c r="O345" s="6">
        <v>33266</v>
      </c>
      <c r="P345" s="6" t="s">
        <v>1691</v>
      </c>
      <c r="R345" s="6" t="s">
        <v>1692</v>
      </c>
      <c r="S345" s="6" t="s">
        <v>1693</v>
      </c>
      <c r="T345" s="6">
        <v>1</v>
      </c>
      <c r="U345" s="6">
        <v>0</v>
      </c>
      <c r="V345" s="6">
        <v>0</v>
      </c>
      <c r="W345" s="6">
        <v>0</v>
      </c>
      <c r="X345" s="6" t="s">
        <v>169</v>
      </c>
      <c r="Z345" s="6" t="s">
        <v>170</v>
      </c>
      <c r="AA345" s="6" t="s">
        <v>171</v>
      </c>
      <c r="AB345" s="6">
        <v>0</v>
      </c>
      <c r="AC345" s="6" t="str">
        <f>"KEY-062"</f>
        <v>KEY-062</v>
      </c>
      <c r="AQ345" s="6" t="str">
        <f>""</f>
        <v/>
      </c>
      <c r="AR345" s="6" t="s">
        <v>1567</v>
      </c>
      <c r="AS345" s="6">
        <v>0</v>
      </c>
      <c r="AT345" s="6">
        <v>1</v>
      </c>
    </row>
    <row r="346" spans="2:46">
      <c r="B346" s="6" t="s">
        <v>116</v>
      </c>
      <c r="D346" s="6" t="s">
        <v>1561</v>
      </c>
      <c r="F346" s="6" t="s">
        <v>1694</v>
      </c>
      <c r="G346" s="6" t="str">
        <f>"Z165AP900M08F"</f>
        <v>Z165AP900M08F</v>
      </c>
      <c r="H346" s="6" t="s">
        <v>1695</v>
      </c>
      <c r="I346" s="6" t="s">
        <v>1695</v>
      </c>
      <c r="J346" s="6" t="str">
        <f>"Z165AP900M08F"</f>
        <v>Z165AP900M08F</v>
      </c>
      <c r="K346" s="6">
        <v>0</v>
      </c>
      <c r="L346" s="6">
        <v>0</v>
      </c>
      <c r="M346" s="6">
        <v>0</v>
      </c>
      <c r="N346" s="6" t="str">
        <f>""</f>
        <v/>
      </c>
      <c r="O346" s="6">
        <v>33264</v>
      </c>
      <c r="P346" s="6" t="s">
        <v>1695</v>
      </c>
      <c r="R346" s="6" t="s">
        <v>1615</v>
      </c>
      <c r="S346" s="6" t="s">
        <v>1696</v>
      </c>
      <c r="T346" s="6">
        <v>0</v>
      </c>
      <c r="U346" s="6">
        <v>0</v>
      </c>
      <c r="V346" s="6">
        <v>0</v>
      </c>
      <c r="W346" s="6">
        <v>0</v>
      </c>
      <c r="X346" s="6" t="s">
        <v>169</v>
      </c>
      <c r="Z346" s="6" t="s">
        <v>170</v>
      </c>
      <c r="AA346" s="6" t="s">
        <v>171</v>
      </c>
      <c r="AB346" s="6">
        <v>0</v>
      </c>
      <c r="AC346" s="6" t="str">
        <f>""</f>
        <v/>
      </c>
      <c r="AS346" s="6">
        <v>0</v>
      </c>
      <c r="AT346" s="6">
        <v>0</v>
      </c>
    </row>
    <row r="347" spans="2:46">
      <c r="B347" s="6" t="s">
        <v>116</v>
      </c>
      <c r="D347" s="6" t="s">
        <v>1561</v>
      </c>
      <c r="F347" s="6" t="s">
        <v>1697</v>
      </c>
      <c r="G347" s="6" t="str">
        <f>"Z165AP603M09F"</f>
        <v>Z165AP603M09F</v>
      </c>
      <c r="H347" s="6" t="s">
        <v>1698</v>
      </c>
      <c r="I347" s="6" t="s">
        <v>1698</v>
      </c>
      <c r="J347" s="6" t="str">
        <f>"Z165AP603M09F"</f>
        <v>Z165AP603M09F</v>
      </c>
      <c r="K347" s="6">
        <v>0</v>
      </c>
      <c r="L347" s="6">
        <v>0</v>
      </c>
      <c r="M347" s="6">
        <v>0</v>
      </c>
      <c r="N347" s="6" t="str">
        <f>""</f>
        <v/>
      </c>
      <c r="O347" s="6">
        <v>33262</v>
      </c>
      <c r="P347" s="6" t="s">
        <v>1698</v>
      </c>
      <c r="R347" s="6" t="s">
        <v>1699</v>
      </c>
      <c r="S347" s="6" t="s">
        <v>1700</v>
      </c>
      <c r="T347" s="6">
        <v>0</v>
      </c>
      <c r="U347" s="6">
        <v>0</v>
      </c>
      <c r="V347" s="6">
        <v>0</v>
      </c>
      <c r="W347" s="6">
        <v>0</v>
      </c>
      <c r="X347" s="6" t="s">
        <v>169</v>
      </c>
      <c r="Z347" s="6" t="s">
        <v>170</v>
      </c>
      <c r="AA347" s="6" t="s">
        <v>171</v>
      </c>
      <c r="AB347" s="6">
        <v>0</v>
      </c>
      <c r="AC347" s="6" t="str">
        <f>""</f>
        <v/>
      </c>
      <c r="AS347" s="6">
        <v>0</v>
      </c>
      <c r="AT347" s="6">
        <v>0</v>
      </c>
    </row>
    <row r="348" spans="2:46">
      <c r="B348" s="6" t="s">
        <v>116</v>
      </c>
      <c r="D348" s="6" t="s">
        <v>1561</v>
      </c>
      <c r="F348" s="6" t="s">
        <v>1701</v>
      </c>
      <c r="G348" s="6" t="str">
        <f>"Z165AP602M56F"</f>
        <v>Z165AP602M56F</v>
      </c>
      <c r="I348" s="6" t="s">
        <v>1702</v>
      </c>
      <c r="J348" s="6" t="str">
        <f>"Z165AP602M56F"</f>
        <v>Z165AP602M56F</v>
      </c>
      <c r="K348" s="6">
        <v>0</v>
      </c>
      <c r="L348" s="6">
        <v>0</v>
      </c>
      <c r="M348" s="6">
        <v>0</v>
      </c>
      <c r="N348" s="6" t="str">
        <f>""</f>
        <v/>
      </c>
      <c r="O348" s="6">
        <v>33260</v>
      </c>
      <c r="P348" s="6" t="s">
        <v>1702</v>
      </c>
      <c r="R348" s="6" t="s">
        <v>1703</v>
      </c>
      <c r="S348" s="6" t="s">
        <v>1704</v>
      </c>
      <c r="T348" s="6">
        <v>1</v>
      </c>
      <c r="U348" s="6">
        <v>0</v>
      </c>
      <c r="V348" s="6">
        <v>0</v>
      </c>
      <c r="W348" s="6">
        <v>0</v>
      </c>
      <c r="X348" s="6" t="s">
        <v>169</v>
      </c>
      <c r="Z348" s="6" t="s">
        <v>170</v>
      </c>
      <c r="AA348" s="6" t="s">
        <v>171</v>
      </c>
      <c r="AB348" s="6">
        <v>0</v>
      </c>
      <c r="AC348" s="6" t="str">
        <f>"KEY-007"</f>
        <v>KEY-007</v>
      </c>
      <c r="AQ348" s="6" t="str">
        <f>""</f>
        <v/>
      </c>
      <c r="AR348" s="6" t="s">
        <v>1584</v>
      </c>
      <c r="AS348" s="6">
        <v>0</v>
      </c>
      <c r="AT348" s="6">
        <v>1</v>
      </c>
    </row>
    <row r="349" spans="2:46">
      <c r="B349" s="6" t="s">
        <v>116</v>
      </c>
      <c r="D349" s="6" t="s">
        <v>1561</v>
      </c>
      <c r="F349" s="6" t="s">
        <v>1705</v>
      </c>
      <c r="G349" s="6" t="str">
        <f>"Z165AP601M14F"</f>
        <v>Z165AP601M14F</v>
      </c>
      <c r="I349" s="6" t="s">
        <v>1706</v>
      </c>
      <c r="J349" s="6" t="str">
        <f>"Z165AP601M14F"</f>
        <v>Z165AP601M14F</v>
      </c>
      <c r="K349" s="6">
        <v>0</v>
      </c>
      <c r="L349" s="6">
        <v>0</v>
      </c>
      <c r="M349" s="6">
        <v>0</v>
      </c>
      <c r="N349" s="6" t="str">
        <f>""</f>
        <v/>
      </c>
      <c r="O349" s="6">
        <v>33258</v>
      </c>
      <c r="P349" s="6" t="s">
        <v>1706</v>
      </c>
      <c r="R349" s="6" t="s">
        <v>1638</v>
      </c>
      <c r="S349" s="6" t="s">
        <v>1707</v>
      </c>
      <c r="T349" s="6">
        <v>2</v>
      </c>
      <c r="U349" s="6">
        <v>0</v>
      </c>
      <c r="V349" s="6">
        <v>0</v>
      </c>
      <c r="W349" s="6">
        <v>0</v>
      </c>
      <c r="X349" s="6" t="s">
        <v>169</v>
      </c>
      <c r="Z349" s="6" t="s">
        <v>170</v>
      </c>
      <c r="AA349" s="6" t="s">
        <v>171</v>
      </c>
      <c r="AB349" s="6">
        <v>0</v>
      </c>
      <c r="AC349" s="6" t="str">
        <f>"KEY-034"</f>
        <v>KEY-034</v>
      </c>
      <c r="AQ349" s="6" t="str">
        <f>""</f>
        <v/>
      </c>
      <c r="AR349" s="6" t="s">
        <v>1567</v>
      </c>
      <c r="AS349" s="6">
        <v>0</v>
      </c>
      <c r="AT349" s="6">
        <v>2</v>
      </c>
    </row>
    <row r="350" spans="2:46">
      <c r="B350" s="6" t="s">
        <v>116</v>
      </c>
      <c r="D350" s="6" t="s">
        <v>1561</v>
      </c>
      <c r="F350" s="6" t="s">
        <v>1708</v>
      </c>
      <c r="G350" s="6" t="str">
        <f>"Z165AP600M19F"</f>
        <v>Z165AP600M19F</v>
      </c>
      <c r="I350" s="6" t="s">
        <v>1709</v>
      </c>
      <c r="J350" s="6" t="str">
        <f>"Z165AP600M19F"</f>
        <v>Z165AP600M19F</v>
      </c>
      <c r="K350" s="6">
        <v>0</v>
      </c>
      <c r="L350" s="6">
        <v>0</v>
      </c>
      <c r="M350" s="6">
        <v>0</v>
      </c>
      <c r="N350" s="6" t="str">
        <f>""</f>
        <v/>
      </c>
      <c r="O350" s="6">
        <v>33256</v>
      </c>
      <c r="P350" s="6" t="s">
        <v>1709</v>
      </c>
      <c r="R350" s="6" t="s">
        <v>1565</v>
      </c>
      <c r="S350" s="6" t="s">
        <v>1710</v>
      </c>
      <c r="T350" s="6">
        <v>1</v>
      </c>
      <c r="U350" s="6">
        <v>0</v>
      </c>
      <c r="V350" s="6">
        <v>0</v>
      </c>
      <c r="W350" s="6">
        <v>0</v>
      </c>
      <c r="X350" s="6" t="s">
        <v>169</v>
      </c>
      <c r="Z350" s="6" t="s">
        <v>170</v>
      </c>
      <c r="AA350" s="6" t="s">
        <v>171</v>
      </c>
      <c r="AB350" s="6">
        <v>0</v>
      </c>
      <c r="AC350" s="6" t="str">
        <f>"KEY-007"</f>
        <v>KEY-007</v>
      </c>
      <c r="AQ350" s="6" t="str">
        <f>""</f>
        <v/>
      </c>
      <c r="AR350" s="6" t="s">
        <v>1584</v>
      </c>
      <c r="AS350" s="6">
        <v>0</v>
      </c>
      <c r="AT350" s="6">
        <v>1</v>
      </c>
    </row>
    <row r="351" spans="2:46">
      <c r="B351" s="6" t="s">
        <v>116</v>
      </c>
      <c r="D351" s="6" t="s">
        <v>1561</v>
      </c>
      <c r="F351" s="6" t="s">
        <v>1711</v>
      </c>
      <c r="G351" s="6" t="str">
        <f>"Z165AP517M58F"</f>
        <v>Z165AP517M58F</v>
      </c>
      <c r="I351" s="6" t="s">
        <v>1712</v>
      </c>
      <c r="J351" s="6" t="str">
        <f>"Z165AP517M58F"</f>
        <v>Z165AP517M58F</v>
      </c>
      <c r="K351" s="6">
        <v>0</v>
      </c>
      <c r="L351" s="6">
        <v>0</v>
      </c>
      <c r="M351" s="6">
        <v>0</v>
      </c>
      <c r="N351" s="6" t="str">
        <f>""</f>
        <v/>
      </c>
      <c r="O351" s="6">
        <v>33254</v>
      </c>
      <c r="P351" s="6" t="s">
        <v>1712</v>
      </c>
      <c r="R351" s="6" t="s">
        <v>1713</v>
      </c>
      <c r="S351" s="6" t="s">
        <v>1714</v>
      </c>
      <c r="T351" s="6">
        <v>2</v>
      </c>
      <c r="U351" s="6">
        <v>0</v>
      </c>
      <c r="V351" s="6">
        <v>0</v>
      </c>
      <c r="W351" s="6">
        <v>0</v>
      </c>
      <c r="X351" s="6" t="s">
        <v>169</v>
      </c>
      <c r="Z351" s="6" t="s">
        <v>170</v>
      </c>
      <c r="AA351" s="6" t="s">
        <v>171</v>
      </c>
      <c r="AB351" s="6">
        <v>0</v>
      </c>
      <c r="AC351" s="6" t="str">
        <f>"KEY-047"</f>
        <v>KEY-047</v>
      </c>
      <c r="AQ351" s="6" t="str">
        <f>""</f>
        <v/>
      </c>
      <c r="AR351" s="6" t="s">
        <v>1567</v>
      </c>
      <c r="AS351" s="6">
        <v>0</v>
      </c>
      <c r="AT351" s="6">
        <v>2</v>
      </c>
    </row>
    <row r="352" spans="2:46">
      <c r="B352" s="6" t="s">
        <v>116</v>
      </c>
      <c r="D352" s="6" t="s">
        <v>1561</v>
      </c>
      <c r="F352" s="6" t="s">
        <v>1715</v>
      </c>
      <c r="G352" s="6" t="str">
        <f>"Z165AP516M00F"</f>
        <v>Z165AP516M00F</v>
      </c>
      <c r="I352" s="6" t="s">
        <v>1716</v>
      </c>
      <c r="J352" s="6" t="str">
        <f>"Z165AP516M00F"</f>
        <v>Z165AP516M00F</v>
      </c>
      <c r="K352" s="6">
        <v>0</v>
      </c>
      <c r="L352" s="6">
        <v>0</v>
      </c>
      <c r="M352" s="6">
        <v>0</v>
      </c>
      <c r="N352" s="6" t="str">
        <f>""</f>
        <v/>
      </c>
      <c r="O352" s="6">
        <v>33252</v>
      </c>
      <c r="P352" s="6" t="s">
        <v>1716</v>
      </c>
      <c r="R352" s="6" t="s">
        <v>1591</v>
      </c>
      <c r="S352" s="6" t="s">
        <v>1717</v>
      </c>
      <c r="T352" s="6">
        <v>2</v>
      </c>
      <c r="U352" s="6">
        <v>0</v>
      </c>
      <c r="V352" s="6">
        <v>0</v>
      </c>
      <c r="W352" s="6">
        <v>0</v>
      </c>
      <c r="X352" s="6" t="s">
        <v>169</v>
      </c>
      <c r="Z352" s="6" t="s">
        <v>170</v>
      </c>
      <c r="AA352" s="6" t="s">
        <v>171</v>
      </c>
      <c r="AB352" s="6">
        <v>0</v>
      </c>
      <c r="AC352" s="6" t="str">
        <f>"KEY-038"</f>
        <v>KEY-038</v>
      </c>
      <c r="AQ352" s="6" t="str">
        <f>""</f>
        <v/>
      </c>
      <c r="AR352" s="6" t="s">
        <v>1567</v>
      </c>
      <c r="AS352" s="6">
        <v>0</v>
      </c>
      <c r="AT352" s="6">
        <v>2</v>
      </c>
    </row>
    <row r="353" spans="2:46">
      <c r="B353" s="6" t="s">
        <v>116</v>
      </c>
      <c r="D353" s="6" t="s">
        <v>1561</v>
      </c>
      <c r="F353" s="6" t="s">
        <v>1718</v>
      </c>
      <c r="G353" s="6" t="str">
        <f>"Z165AP522M55F"</f>
        <v>Z165AP522M55F</v>
      </c>
      <c r="I353" s="6" t="s">
        <v>1719</v>
      </c>
      <c r="J353" s="6" t="str">
        <f>"Z165AP522M55F"</f>
        <v>Z165AP522M55F</v>
      </c>
      <c r="K353" s="6">
        <v>0</v>
      </c>
      <c r="L353" s="6">
        <v>0</v>
      </c>
      <c r="M353" s="6">
        <v>0</v>
      </c>
      <c r="N353" s="6" t="str">
        <f>""</f>
        <v/>
      </c>
      <c r="O353" s="6">
        <v>33250</v>
      </c>
      <c r="P353" s="6" t="s">
        <v>1719</v>
      </c>
      <c r="R353" s="6" t="s">
        <v>1720</v>
      </c>
      <c r="S353" s="6" t="s">
        <v>1721</v>
      </c>
      <c r="T353" s="6">
        <v>1</v>
      </c>
      <c r="U353" s="6">
        <v>0</v>
      </c>
      <c r="V353" s="6">
        <v>0</v>
      </c>
      <c r="W353" s="6">
        <v>0</v>
      </c>
      <c r="X353" s="6" t="s">
        <v>169</v>
      </c>
      <c r="Z353" s="6" t="s">
        <v>170</v>
      </c>
      <c r="AA353" s="6" t="s">
        <v>171</v>
      </c>
      <c r="AB353" s="6">
        <v>0</v>
      </c>
      <c r="AC353" s="6" t="str">
        <f>"KEY-027"</f>
        <v>KEY-027</v>
      </c>
      <c r="AQ353" s="6" t="str">
        <f>""</f>
        <v/>
      </c>
      <c r="AR353" s="6" t="s">
        <v>1567</v>
      </c>
      <c r="AS353" s="6">
        <v>0</v>
      </c>
      <c r="AT353" s="6">
        <v>1</v>
      </c>
    </row>
    <row r="354" spans="2:46">
      <c r="B354" s="6" t="s">
        <v>116</v>
      </c>
      <c r="D354" s="6" t="s">
        <v>1561</v>
      </c>
      <c r="F354" s="6" t="s">
        <v>1722</v>
      </c>
      <c r="G354" s="6" t="str">
        <f>"Z165AP520M43F"</f>
        <v>Z165AP520M43F</v>
      </c>
      <c r="H354" s="6" t="s">
        <v>1723</v>
      </c>
      <c r="I354" s="6" t="s">
        <v>1723</v>
      </c>
      <c r="J354" s="6" t="str">
        <f>"Z165AP520M43F"</f>
        <v>Z165AP520M43F</v>
      </c>
      <c r="K354" s="6">
        <v>0</v>
      </c>
      <c r="L354" s="6">
        <v>0</v>
      </c>
      <c r="M354" s="6">
        <v>0</v>
      </c>
      <c r="N354" s="6" t="str">
        <f>""</f>
        <v/>
      </c>
      <c r="O354" s="6">
        <v>33248</v>
      </c>
      <c r="P354" s="6" t="s">
        <v>1723</v>
      </c>
      <c r="R354" s="6" t="s">
        <v>1682</v>
      </c>
      <c r="S354" s="6" t="s">
        <v>1724</v>
      </c>
      <c r="T354" s="6">
        <v>0</v>
      </c>
      <c r="U354" s="6">
        <v>0</v>
      </c>
      <c r="V354" s="6">
        <v>0</v>
      </c>
      <c r="W354" s="6">
        <v>0</v>
      </c>
      <c r="X354" s="6" t="s">
        <v>169</v>
      </c>
      <c r="Z354" s="6" t="s">
        <v>170</v>
      </c>
      <c r="AA354" s="6" t="s">
        <v>171</v>
      </c>
      <c r="AB354" s="6">
        <v>0</v>
      </c>
      <c r="AC354" s="6" t="str">
        <f>""</f>
        <v/>
      </c>
      <c r="AS354" s="6">
        <v>0</v>
      </c>
      <c r="AT354" s="6">
        <v>0</v>
      </c>
    </row>
    <row r="355" spans="2:46">
      <c r="B355" s="6" t="s">
        <v>116</v>
      </c>
      <c r="D355" s="6" t="s">
        <v>1561</v>
      </c>
      <c r="F355" s="6" t="s">
        <v>1725</v>
      </c>
      <c r="G355" s="6" t="str">
        <f>"Z165AP519M82F"</f>
        <v>Z165AP519M82F</v>
      </c>
      <c r="I355" s="6" t="s">
        <v>70</v>
      </c>
      <c r="J355" s="6" t="str">
        <f>"Z165AP519M82F"</f>
        <v>Z165AP519M82F</v>
      </c>
      <c r="K355" s="6">
        <v>0</v>
      </c>
      <c r="L355" s="6">
        <v>0</v>
      </c>
      <c r="M355" s="6">
        <v>0</v>
      </c>
      <c r="N355" s="6" t="str">
        <f>""</f>
        <v/>
      </c>
      <c r="O355" s="6">
        <v>33246</v>
      </c>
      <c r="P355" s="6" t="s">
        <v>70</v>
      </c>
      <c r="R355" s="6" t="s">
        <v>1726</v>
      </c>
      <c r="S355" s="6" t="s">
        <v>1727</v>
      </c>
      <c r="T355" s="6">
        <v>0</v>
      </c>
      <c r="U355" s="6">
        <v>0</v>
      </c>
      <c r="V355" s="6">
        <v>0</v>
      </c>
      <c r="W355" s="6">
        <v>0</v>
      </c>
      <c r="X355" s="6" t="s">
        <v>169</v>
      </c>
      <c r="Z355" s="6" t="s">
        <v>170</v>
      </c>
      <c r="AA355" s="6" t="s">
        <v>171</v>
      </c>
      <c r="AB355" s="6">
        <v>0</v>
      </c>
      <c r="AC355" s="6" t="str">
        <f>"KEY-027"</f>
        <v>KEY-027</v>
      </c>
      <c r="AQ355" s="6" t="str">
        <f>""</f>
        <v/>
      </c>
      <c r="AR355" s="6" t="s">
        <v>1567</v>
      </c>
      <c r="AS355" s="6">
        <v>0</v>
      </c>
      <c r="AT355" s="6">
        <v>0</v>
      </c>
    </row>
    <row r="356" spans="2:46">
      <c r="B356" s="6" t="s">
        <v>116</v>
      </c>
      <c r="D356" s="6" t="s">
        <v>1561</v>
      </c>
      <c r="F356" s="6" t="s">
        <v>1728</v>
      </c>
      <c r="G356" s="6" t="str">
        <f>"Z165AP518M08F"</f>
        <v>Z165AP518M08F</v>
      </c>
      <c r="H356" s="6" t="s">
        <v>1729</v>
      </c>
      <c r="I356" s="6" t="s">
        <v>1729</v>
      </c>
      <c r="J356" s="6" t="str">
        <f>"Z165AP518M08F"</f>
        <v>Z165AP518M08F</v>
      </c>
      <c r="K356" s="6">
        <v>0</v>
      </c>
      <c r="L356" s="6">
        <v>0</v>
      </c>
      <c r="M356" s="6">
        <v>0</v>
      </c>
      <c r="N356" s="6" t="str">
        <f>""</f>
        <v/>
      </c>
      <c r="O356" s="6">
        <v>33244</v>
      </c>
      <c r="P356" s="6" t="s">
        <v>1729</v>
      </c>
      <c r="R356" s="6" t="s">
        <v>1615</v>
      </c>
      <c r="S356" s="6" t="s">
        <v>1730</v>
      </c>
      <c r="T356" s="6">
        <v>0</v>
      </c>
      <c r="U356" s="6">
        <v>0</v>
      </c>
      <c r="V356" s="6">
        <v>0</v>
      </c>
      <c r="W356" s="6">
        <v>0</v>
      </c>
      <c r="X356" s="6" t="s">
        <v>169</v>
      </c>
      <c r="Z356" s="6" t="s">
        <v>170</v>
      </c>
      <c r="AA356" s="6" t="s">
        <v>171</v>
      </c>
      <c r="AB356" s="6">
        <v>0</v>
      </c>
      <c r="AC356" s="6" t="str">
        <f>""</f>
        <v/>
      </c>
      <c r="AS356" s="6">
        <v>0</v>
      </c>
      <c r="AT356" s="6">
        <v>0</v>
      </c>
    </row>
    <row r="357" spans="2:46">
      <c r="B357" s="6" t="s">
        <v>116</v>
      </c>
      <c r="D357" s="6" t="s">
        <v>1561</v>
      </c>
      <c r="F357" s="6" t="s">
        <v>1731</v>
      </c>
      <c r="G357" s="6" t="str">
        <f>"Z165AP413M97F"</f>
        <v>Z165AP413M97F</v>
      </c>
      <c r="I357" s="6" t="s">
        <v>1732</v>
      </c>
      <c r="J357" s="6" t="str">
        <f>"Z165AP413M97F"</f>
        <v>Z165AP413M97F</v>
      </c>
      <c r="K357" s="6">
        <v>0</v>
      </c>
      <c r="L357" s="6">
        <v>0</v>
      </c>
      <c r="M357" s="6">
        <v>0</v>
      </c>
      <c r="N357" s="6" t="str">
        <f>""</f>
        <v/>
      </c>
      <c r="O357" s="6">
        <v>33242</v>
      </c>
      <c r="P357" s="6" t="s">
        <v>1732</v>
      </c>
      <c r="R357" s="6" t="s">
        <v>1733</v>
      </c>
      <c r="S357" s="6" t="s">
        <v>1734</v>
      </c>
      <c r="T357" s="6">
        <v>2</v>
      </c>
      <c r="U357" s="6">
        <v>0</v>
      </c>
      <c r="V357" s="6">
        <v>0</v>
      </c>
      <c r="W357" s="6">
        <v>0</v>
      </c>
      <c r="X357" s="6" t="s">
        <v>169</v>
      </c>
      <c r="Z357" s="6" t="s">
        <v>170</v>
      </c>
      <c r="AA357" s="6" t="s">
        <v>171</v>
      </c>
      <c r="AB357" s="6">
        <v>0</v>
      </c>
      <c r="AC357" s="6" t="str">
        <f>"KEY-033"</f>
        <v>KEY-033</v>
      </c>
      <c r="AQ357" s="6" t="str">
        <f>""</f>
        <v/>
      </c>
      <c r="AR357" s="6" t="s">
        <v>1567</v>
      </c>
      <c r="AS357" s="6">
        <v>0</v>
      </c>
      <c r="AT357" s="6">
        <v>2</v>
      </c>
    </row>
    <row r="358" spans="2:46">
      <c r="B358" s="6" t="s">
        <v>116</v>
      </c>
      <c r="D358" s="6" t="s">
        <v>1561</v>
      </c>
      <c r="F358" s="6" t="s">
        <v>1735</v>
      </c>
      <c r="G358" s="6" t="str">
        <f>"Z165AP412M85F"</f>
        <v>Z165AP412M85F</v>
      </c>
      <c r="I358" s="6" t="s">
        <v>1736</v>
      </c>
      <c r="J358" s="6" t="str">
        <f>"Z165AP412M85F"</f>
        <v>Z165AP412M85F</v>
      </c>
      <c r="K358" s="6">
        <v>0</v>
      </c>
      <c r="L358" s="6">
        <v>0</v>
      </c>
      <c r="M358" s="6">
        <v>0</v>
      </c>
      <c r="N358" s="6" t="str">
        <f>""</f>
        <v/>
      </c>
      <c r="O358" s="6">
        <v>33240</v>
      </c>
      <c r="P358" s="6" t="s">
        <v>1736</v>
      </c>
      <c r="R358" s="6" t="s">
        <v>1737</v>
      </c>
      <c r="S358" s="6" t="s">
        <v>1738</v>
      </c>
      <c r="T358" s="6">
        <v>3</v>
      </c>
      <c r="U358" s="6">
        <v>0</v>
      </c>
      <c r="V358" s="6">
        <v>0</v>
      </c>
      <c r="W358" s="6">
        <v>0</v>
      </c>
      <c r="X358" s="6" t="s">
        <v>169</v>
      </c>
      <c r="Z358" s="6" t="s">
        <v>170</v>
      </c>
      <c r="AA358" s="6" t="s">
        <v>171</v>
      </c>
      <c r="AB358" s="6">
        <v>0</v>
      </c>
      <c r="AC358" s="6" t="str">
        <f>"KEY-058"</f>
        <v>KEY-058</v>
      </c>
      <c r="AQ358" s="6" t="str">
        <f>""</f>
        <v/>
      </c>
      <c r="AR358" s="6" t="s">
        <v>1567</v>
      </c>
      <c r="AS358" s="6">
        <v>0</v>
      </c>
      <c r="AT358" s="6">
        <v>3</v>
      </c>
    </row>
    <row r="359" spans="2:46">
      <c r="B359" s="6" t="s">
        <v>116</v>
      </c>
      <c r="D359" s="6" t="s">
        <v>1561</v>
      </c>
      <c r="F359" s="6" t="s">
        <v>1739</v>
      </c>
      <c r="G359" s="6" t="str">
        <f>"Z165AP411M36F"</f>
        <v>Z165AP411M36F</v>
      </c>
      <c r="H359" s="6" t="s">
        <v>1740</v>
      </c>
      <c r="I359" s="6" t="s">
        <v>1740</v>
      </c>
      <c r="J359" s="6" t="str">
        <f>"Z165AP411M36F"</f>
        <v>Z165AP411M36F</v>
      </c>
      <c r="K359" s="6">
        <v>0</v>
      </c>
      <c r="L359" s="6">
        <v>0</v>
      </c>
      <c r="M359" s="6">
        <v>0</v>
      </c>
      <c r="N359" s="6" t="str">
        <f>""</f>
        <v/>
      </c>
      <c r="O359" s="6">
        <v>33238</v>
      </c>
      <c r="P359" s="6" t="s">
        <v>1740</v>
      </c>
      <c r="R359" s="6" t="s">
        <v>1599</v>
      </c>
      <c r="S359" s="6" t="s">
        <v>1741</v>
      </c>
      <c r="T359" s="6">
        <v>0</v>
      </c>
      <c r="U359" s="6">
        <v>0</v>
      </c>
      <c r="V359" s="6">
        <v>0</v>
      </c>
      <c r="W359" s="6">
        <v>0</v>
      </c>
      <c r="X359" s="6" t="s">
        <v>169</v>
      </c>
      <c r="Z359" s="6" t="s">
        <v>170</v>
      </c>
      <c r="AA359" s="6" t="s">
        <v>171</v>
      </c>
      <c r="AB359" s="6">
        <v>0</v>
      </c>
      <c r="AC359" s="6" t="str">
        <f>""</f>
        <v/>
      </c>
      <c r="AS359" s="6">
        <v>0</v>
      </c>
      <c r="AT359" s="6">
        <v>3</v>
      </c>
    </row>
    <row r="360" spans="2:46">
      <c r="B360" s="6" t="s">
        <v>116</v>
      </c>
      <c r="D360" s="6" t="s">
        <v>1561</v>
      </c>
      <c r="F360" s="6" t="s">
        <v>1742</v>
      </c>
      <c r="G360" s="6" t="str">
        <f>"Z165AP410M06F"</f>
        <v>Z165AP410M06F</v>
      </c>
      <c r="I360" s="6" t="s">
        <v>1743</v>
      </c>
      <c r="J360" s="6" t="str">
        <f>"Z165AP410M06F"</f>
        <v>Z165AP410M06F</v>
      </c>
      <c r="K360" s="6">
        <v>0</v>
      </c>
      <c r="L360" s="6">
        <v>0</v>
      </c>
      <c r="M360" s="6">
        <v>0</v>
      </c>
      <c r="N360" s="6" t="str">
        <f>""</f>
        <v/>
      </c>
      <c r="O360" s="6">
        <v>33236</v>
      </c>
      <c r="P360" s="6" t="s">
        <v>1743</v>
      </c>
      <c r="R360" s="6" t="s">
        <v>1630</v>
      </c>
      <c r="S360" s="6" t="s">
        <v>1744</v>
      </c>
      <c r="T360" s="6">
        <v>3</v>
      </c>
      <c r="U360" s="6">
        <v>0</v>
      </c>
      <c r="V360" s="6">
        <v>0</v>
      </c>
      <c r="W360" s="6">
        <v>0</v>
      </c>
      <c r="X360" s="6" t="s">
        <v>169</v>
      </c>
      <c r="Z360" s="6" t="s">
        <v>170</v>
      </c>
      <c r="AA360" s="6" t="s">
        <v>171</v>
      </c>
      <c r="AB360" s="6">
        <v>0</v>
      </c>
      <c r="AC360" s="6" t="str">
        <f>"KEY-007"</f>
        <v>KEY-007</v>
      </c>
      <c r="AQ360" s="6" t="str">
        <f>""</f>
        <v/>
      </c>
      <c r="AR360" s="6" t="s">
        <v>1584</v>
      </c>
      <c r="AS360" s="6">
        <v>0</v>
      </c>
      <c r="AT360" s="6">
        <v>3</v>
      </c>
    </row>
    <row r="361" spans="2:46">
      <c r="B361" s="6" t="s">
        <v>116</v>
      </c>
      <c r="D361" s="6" t="s">
        <v>1561</v>
      </c>
      <c r="F361" s="6" t="s">
        <v>1745</v>
      </c>
      <c r="G361" s="6" t="str">
        <f>"Z165AP409M09F"</f>
        <v>Z165AP409M09F</v>
      </c>
      <c r="I361" s="6" t="s">
        <v>1746</v>
      </c>
      <c r="J361" s="6" t="str">
        <f>"Z165AP409M09F"</f>
        <v>Z165AP409M09F</v>
      </c>
      <c r="K361" s="6">
        <v>0</v>
      </c>
      <c r="L361" s="6">
        <v>0</v>
      </c>
      <c r="M361" s="6">
        <v>0</v>
      </c>
      <c r="N361" s="6" t="str">
        <f>""</f>
        <v/>
      </c>
      <c r="O361" s="6">
        <v>33234</v>
      </c>
      <c r="P361" s="6" t="s">
        <v>1746</v>
      </c>
      <c r="R361" s="6" t="s">
        <v>1747</v>
      </c>
      <c r="S361" s="6" t="s">
        <v>1748</v>
      </c>
      <c r="T361" s="6">
        <v>2</v>
      </c>
      <c r="U361" s="6">
        <v>0</v>
      </c>
      <c r="V361" s="6">
        <v>0</v>
      </c>
      <c r="W361" s="6">
        <v>0</v>
      </c>
      <c r="X361" s="6" t="s">
        <v>169</v>
      </c>
      <c r="Z361" s="6" t="s">
        <v>170</v>
      </c>
      <c r="AA361" s="6" t="s">
        <v>171</v>
      </c>
      <c r="AB361" s="6">
        <v>0</v>
      </c>
      <c r="AC361" s="6" t="str">
        <f>"KEY-024"</f>
        <v>KEY-024</v>
      </c>
      <c r="AQ361" s="6" t="str">
        <f>""</f>
        <v/>
      </c>
      <c r="AR361" s="6" t="s">
        <v>1567</v>
      </c>
      <c r="AS361" s="6">
        <v>0</v>
      </c>
      <c r="AT361" s="6">
        <v>2</v>
      </c>
    </row>
    <row r="362" spans="2:46">
      <c r="B362" s="6" t="s">
        <v>116</v>
      </c>
      <c r="D362" s="6" t="s">
        <v>1561</v>
      </c>
      <c r="F362" s="6" t="s">
        <v>1749</v>
      </c>
      <c r="G362" s="6" t="str">
        <f>"Z165AP408M09F"</f>
        <v>Z165AP408M09F</v>
      </c>
      <c r="I362" s="6" t="s">
        <v>1750</v>
      </c>
      <c r="J362" s="6" t="str">
        <f>"Z165AP408M09F"</f>
        <v>Z165AP408M09F</v>
      </c>
      <c r="K362" s="6">
        <v>0</v>
      </c>
      <c r="L362" s="6">
        <v>0</v>
      </c>
      <c r="M362" s="6">
        <v>0</v>
      </c>
      <c r="N362" s="6" t="str">
        <f>""</f>
        <v/>
      </c>
      <c r="O362" s="6">
        <v>33232</v>
      </c>
      <c r="P362" s="6" t="s">
        <v>1750</v>
      </c>
      <c r="R362" s="6" t="s">
        <v>1751</v>
      </c>
      <c r="S362" s="6" t="s">
        <v>1752</v>
      </c>
      <c r="T362" s="6">
        <v>3</v>
      </c>
      <c r="U362" s="6">
        <v>0</v>
      </c>
      <c r="V362" s="6">
        <v>0</v>
      </c>
      <c r="W362" s="6">
        <v>0</v>
      </c>
      <c r="X362" s="6" t="s">
        <v>169</v>
      </c>
      <c r="Z362" s="6" t="s">
        <v>170</v>
      </c>
      <c r="AA362" s="6" t="s">
        <v>171</v>
      </c>
      <c r="AB362" s="6">
        <v>0</v>
      </c>
      <c r="AC362" s="6" t="str">
        <f>"KEY-009"</f>
        <v>KEY-009</v>
      </c>
      <c r="AQ362" s="6" t="str">
        <f>""</f>
        <v/>
      </c>
      <c r="AR362" s="6" t="s">
        <v>1584</v>
      </c>
      <c r="AS362" s="6">
        <v>0</v>
      </c>
      <c r="AT362" s="6">
        <v>3</v>
      </c>
    </row>
    <row r="363" spans="2:46">
      <c r="B363" s="6" t="s">
        <v>116</v>
      </c>
      <c r="D363" s="6" t="s">
        <v>1561</v>
      </c>
      <c r="F363" s="6" t="s">
        <v>1753</v>
      </c>
      <c r="G363" s="6" t="str">
        <f>"Z165AP407M09F"</f>
        <v>Z165AP407M09F</v>
      </c>
      <c r="I363" s="6" t="s">
        <v>1754</v>
      </c>
      <c r="J363" s="6" t="str">
        <f>"Z165AP407M09F"</f>
        <v>Z165AP407M09F</v>
      </c>
      <c r="K363" s="6">
        <v>0</v>
      </c>
      <c r="L363" s="6">
        <v>0</v>
      </c>
      <c r="M363" s="6">
        <v>0</v>
      </c>
      <c r="N363" s="6" t="str">
        <f>""</f>
        <v/>
      </c>
      <c r="O363" s="6">
        <v>33230</v>
      </c>
      <c r="P363" s="6" t="s">
        <v>1754</v>
      </c>
      <c r="R363" s="6" t="s">
        <v>1755</v>
      </c>
      <c r="S363" s="6" t="s">
        <v>1756</v>
      </c>
      <c r="T363" s="6">
        <v>2</v>
      </c>
      <c r="U363" s="6">
        <v>0</v>
      </c>
      <c r="V363" s="6">
        <v>0</v>
      </c>
      <c r="W363" s="6">
        <v>0</v>
      </c>
      <c r="X363" s="6" t="s">
        <v>169</v>
      </c>
      <c r="Z363" s="6" t="s">
        <v>170</v>
      </c>
      <c r="AA363" s="6" t="s">
        <v>171</v>
      </c>
      <c r="AB363" s="6">
        <v>0</v>
      </c>
      <c r="AC363" s="6" t="str">
        <f>"KEY-053"</f>
        <v>KEY-053</v>
      </c>
      <c r="AQ363" s="6" t="str">
        <f>""</f>
        <v/>
      </c>
      <c r="AR363" s="6" t="s">
        <v>1567</v>
      </c>
      <c r="AS363" s="6">
        <v>0</v>
      </c>
      <c r="AT363" s="6">
        <v>2</v>
      </c>
    </row>
    <row r="364" spans="2:46">
      <c r="B364" s="6" t="s">
        <v>116</v>
      </c>
      <c r="D364" s="6" t="s">
        <v>1561</v>
      </c>
      <c r="F364" s="6" t="s">
        <v>1757</v>
      </c>
      <c r="G364" s="6" t="str">
        <f>"Z165AP406M09F"</f>
        <v>Z165AP406M09F</v>
      </c>
      <c r="I364" s="6" t="s">
        <v>1758</v>
      </c>
      <c r="J364" s="6" t="str">
        <f>"Z165AP406M09F"</f>
        <v>Z165AP406M09F</v>
      </c>
      <c r="K364" s="6">
        <v>0</v>
      </c>
      <c r="L364" s="6">
        <v>0</v>
      </c>
      <c r="M364" s="6">
        <v>0</v>
      </c>
      <c r="N364" s="6" t="str">
        <f>""</f>
        <v/>
      </c>
      <c r="O364" s="6">
        <v>33228</v>
      </c>
      <c r="P364" s="6" t="s">
        <v>1758</v>
      </c>
      <c r="R364" s="6" t="s">
        <v>1759</v>
      </c>
      <c r="S364" s="6" t="s">
        <v>1760</v>
      </c>
      <c r="T364" s="6">
        <v>1</v>
      </c>
      <c r="U364" s="6">
        <v>0</v>
      </c>
      <c r="V364" s="6">
        <v>0</v>
      </c>
      <c r="W364" s="6">
        <v>0</v>
      </c>
      <c r="X364" s="6" t="s">
        <v>169</v>
      </c>
      <c r="Z364" s="6" t="s">
        <v>170</v>
      </c>
      <c r="AA364" s="6" t="s">
        <v>171</v>
      </c>
      <c r="AB364" s="6">
        <v>0</v>
      </c>
      <c r="AC364" s="6" t="str">
        <f>"KEY-072"</f>
        <v>KEY-072</v>
      </c>
      <c r="AQ364" s="6" t="str">
        <f>""</f>
        <v/>
      </c>
      <c r="AR364" s="6" t="s">
        <v>1567</v>
      </c>
      <c r="AS364" s="6">
        <v>0</v>
      </c>
      <c r="AT364" s="6">
        <v>2</v>
      </c>
    </row>
    <row r="365" spans="2:46">
      <c r="B365" s="6" t="s">
        <v>116</v>
      </c>
      <c r="D365" s="6" t="s">
        <v>1561</v>
      </c>
      <c r="F365" s="6" t="s">
        <v>1761</v>
      </c>
      <c r="G365" s="6" t="str">
        <f>"Z165AP405M27F"</f>
        <v>Z165AP405M27F</v>
      </c>
      <c r="I365" s="6" t="s">
        <v>1762</v>
      </c>
      <c r="J365" s="6" t="str">
        <f>"Z165AP405M27F"</f>
        <v>Z165AP405M27F</v>
      </c>
      <c r="K365" s="6">
        <v>0</v>
      </c>
      <c r="L365" s="6">
        <v>0</v>
      </c>
      <c r="M365" s="6">
        <v>0</v>
      </c>
      <c r="N365" s="6" t="str">
        <f>""</f>
        <v/>
      </c>
      <c r="O365" s="6">
        <v>33226</v>
      </c>
      <c r="P365" s="6" t="s">
        <v>1762</v>
      </c>
      <c r="R365" s="6" t="s">
        <v>1763</v>
      </c>
      <c r="S365" s="6" t="s">
        <v>1764</v>
      </c>
      <c r="T365" s="6">
        <v>2</v>
      </c>
      <c r="U365" s="6">
        <v>0</v>
      </c>
      <c r="V365" s="6">
        <v>0</v>
      </c>
      <c r="W365" s="6">
        <v>0</v>
      </c>
      <c r="X365" s="6" t="s">
        <v>169</v>
      </c>
      <c r="Z365" s="6" t="s">
        <v>170</v>
      </c>
      <c r="AA365" s="6" t="s">
        <v>171</v>
      </c>
      <c r="AB365" s="6">
        <v>0</v>
      </c>
      <c r="AC365" s="6" t="str">
        <f>"KEY-074"</f>
        <v>KEY-074</v>
      </c>
      <c r="AQ365" s="6" t="str">
        <f>""</f>
        <v/>
      </c>
      <c r="AR365" s="6" t="s">
        <v>1567</v>
      </c>
      <c r="AS365" s="6">
        <v>0</v>
      </c>
      <c r="AT365" s="6">
        <v>3</v>
      </c>
    </row>
    <row r="366" spans="2:46">
      <c r="B366" s="6" t="s">
        <v>116</v>
      </c>
      <c r="D366" s="6" t="s">
        <v>1561</v>
      </c>
      <c r="F366" s="6" t="s">
        <v>1765</v>
      </c>
      <c r="G366" s="6" t="str">
        <f>"Z165AP404M54F"</f>
        <v>Z165AP404M54F</v>
      </c>
      <c r="I366" s="6" t="s">
        <v>1766</v>
      </c>
      <c r="J366" s="6" t="str">
        <f>"Z165AP404M54F"</f>
        <v>Z165AP404M54F</v>
      </c>
      <c r="K366" s="6">
        <v>0</v>
      </c>
      <c r="L366" s="6">
        <v>0</v>
      </c>
      <c r="M366" s="6">
        <v>0</v>
      </c>
      <c r="N366" s="6" t="str">
        <f>""</f>
        <v/>
      </c>
      <c r="O366" s="6">
        <v>33224</v>
      </c>
      <c r="P366" s="6" t="s">
        <v>1766</v>
      </c>
      <c r="R366" s="6" t="s">
        <v>1767</v>
      </c>
      <c r="S366" s="6" t="s">
        <v>1768</v>
      </c>
      <c r="T366" s="6">
        <v>3</v>
      </c>
      <c r="U366" s="6">
        <v>0</v>
      </c>
      <c r="V366" s="6">
        <v>0</v>
      </c>
      <c r="W366" s="6">
        <v>0</v>
      </c>
      <c r="X366" s="6" t="s">
        <v>169</v>
      </c>
      <c r="Z366" s="6" t="s">
        <v>170</v>
      </c>
      <c r="AA366" s="6" t="s">
        <v>171</v>
      </c>
      <c r="AB366" s="6">
        <v>0</v>
      </c>
      <c r="AC366" s="6" t="str">
        <f>"KEY-069"</f>
        <v>KEY-069</v>
      </c>
      <c r="AQ366" s="6" t="str">
        <f>""</f>
        <v/>
      </c>
      <c r="AR366" s="6" t="s">
        <v>1567</v>
      </c>
      <c r="AS366" s="6">
        <v>0</v>
      </c>
      <c r="AT366" s="6">
        <v>3</v>
      </c>
    </row>
    <row r="367" spans="2:46">
      <c r="B367" s="6" t="s">
        <v>116</v>
      </c>
      <c r="D367" s="6" t="s">
        <v>1561</v>
      </c>
      <c r="F367" s="6" t="s">
        <v>1769</v>
      </c>
      <c r="G367" s="6" t="str">
        <f>"Z165AP403M03F"</f>
        <v>Z165AP403M03F</v>
      </c>
      <c r="I367" s="6" t="s">
        <v>1770</v>
      </c>
      <c r="J367" s="6" t="str">
        <f>"Z165AP403M03F"</f>
        <v>Z165AP403M03F</v>
      </c>
      <c r="K367" s="6">
        <v>0</v>
      </c>
      <c r="L367" s="6">
        <v>0</v>
      </c>
      <c r="M367" s="6">
        <v>0</v>
      </c>
      <c r="N367" s="6" t="str">
        <f>""</f>
        <v/>
      </c>
      <c r="O367" s="6">
        <v>33222</v>
      </c>
      <c r="P367" s="6" t="s">
        <v>1770</v>
      </c>
      <c r="R367" s="6" t="s">
        <v>1771</v>
      </c>
      <c r="S367" s="6" t="s">
        <v>1772</v>
      </c>
      <c r="T367" s="6">
        <v>2</v>
      </c>
      <c r="U367" s="6">
        <v>0</v>
      </c>
      <c r="V367" s="6">
        <v>0</v>
      </c>
      <c r="W367" s="6">
        <v>0</v>
      </c>
      <c r="X367" s="6" t="s">
        <v>169</v>
      </c>
      <c r="Z367" s="6" t="s">
        <v>170</v>
      </c>
      <c r="AA367" s="6" t="s">
        <v>171</v>
      </c>
      <c r="AB367" s="6">
        <v>0</v>
      </c>
      <c r="AC367" s="6" t="str">
        <f>"KEY-034"</f>
        <v>KEY-034</v>
      </c>
      <c r="AQ367" s="6" t="str">
        <f>""</f>
        <v/>
      </c>
      <c r="AR367" s="6" t="s">
        <v>1567</v>
      </c>
      <c r="AS367" s="6">
        <v>0</v>
      </c>
      <c r="AT367" s="6">
        <v>2</v>
      </c>
    </row>
    <row r="368" spans="2:46">
      <c r="B368" s="6" t="s">
        <v>116</v>
      </c>
      <c r="D368" s="6" t="s">
        <v>1561</v>
      </c>
      <c r="F368" s="6" t="s">
        <v>1773</v>
      </c>
      <c r="G368" s="6" t="str">
        <f>"Z165AP402M35F"</f>
        <v>Z165AP402M35F</v>
      </c>
      <c r="I368" s="6" t="s">
        <v>1774</v>
      </c>
      <c r="J368" s="6" t="str">
        <f>"Z165AP402M35F"</f>
        <v>Z165AP402M35F</v>
      </c>
      <c r="K368" s="6">
        <v>0</v>
      </c>
      <c r="L368" s="6">
        <v>0</v>
      </c>
      <c r="M368" s="6">
        <v>0</v>
      </c>
      <c r="N368" s="6" t="str">
        <f>""</f>
        <v/>
      </c>
      <c r="O368" s="6">
        <v>33220</v>
      </c>
      <c r="P368" s="6" t="s">
        <v>1774</v>
      </c>
      <c r="R368" s="6" t="s">
        <v>1775</v>
      </c>
      <c r="S368" s="6" t="s">
        <v>1776</v>
      </c>
      <c r="T368" s="6">
        <v>3</v>
      </c>
      <c r="U368" s="6">
        <v>0</v>
      </c>
      <c r="V368" s="6">
        <v>0</v>
      </c>
      <c r="W368" s="6">
        <v>0</v>
      </c>
      <c r="X368" s="6" t="s">
        <v>169</v>
      </c>
      <c r="Z368" s="6" t="s">
        <v>170</v>
      </c>
      <c r="AA368" s="6" t="s">
        <v>171</v>
      </c>
      <c r="AB368" s="6">
        <v>0</v>
      </c>
      <c r="AC368" s="6" t="str">
        <f>"KEY-024"</f>
        <v>KEY-024</v>
      </c>
      <c r="AQ368" s="6" t="str">
        <f>""</f>
        <v/>
      </c>
      <c r="AR368" s="6" t="s">
        <v>1567</v>
      </c>
      <c r="AS368" s="6">
        <v>0</v>
      </c>
      <c r="AT368" s="6">
        <v>3</v>
      </c>
    </row>
    <row r="369" spans="2:46">
      <c r="B369" s="6" t="s">
        <v>116</v>
      </c>
      <c r="D369" s="6" t="s">
        <v>1561</v>
      </c>
      <c r="F369" s="6" t="s">
        <v>1777</v>
      </c>
      <c r="G369" s="6" t="str">
        <f>"Z165AP401M92F"</f>
        <v>Z165AP401M92F</v>
      </c>
      <c r="I369" s="6" t="s">
        <v>1778</v>
      </c>
      <c r="J369" s="6" t="str">
        <f>"Z165AP401M92F"</f>
        <v>Z165AP401M92F</v>
      </c>
      <c r="K369" s="6">
        <v>0</v>
      </c>
      <c r="L369" s="6">
        <v>0</v>
      </c>
      <c r="M369" s="6">
        <v>0</v>
      </c>
      <c r="N369" s="6" t="str">
        <f>""</f>
        <v/>
      </c>
      <c r="O369" s="6">
        <v>33218</v>
      </c>
      <c r="P369" s="6" t="s">
        <v>1778</v>
      </c>
      <c r="R369" s="6" t="s">
        <v>1779</v>
      </c>
      <c r="S369" s="6" t="s">
        <v>1780</v>
      </c>
      <c r="T369" s="6">
        <v>2</v>
      </c>
      <c r="U369" s="6">
        <v>0</v>
      </c>
      <c r="V369" s="6">
        <v>0</v>
      </c>
      <c r="W369" s="6">
        <v>0</v>
      </c>
      <c r="X369" s="6" t="s">
        <v>169</v>
      </c>
      <c r="Z369" s="6" t="s">
        <v>170</v>
      </c>
      <c r="AA369" s="6" t="s">
        <v>171</v>
      </c>
      <c r="AB369" s="6">
        <v>0</v>
      </c>
      <c r="AC369" s="6" t="str">
        <f>"KEY-048"</f>
        <v>KEY-048</v>
      </c>
      <c r="AQ369" s="6" t="str">
        <f>""</f>
        <v/>
      </c>
      <c r="AR369" s="6" t="s">
        <v>1567</v>
      </c>
      <c r="AS369" s="6">
        <v>0</v>
      </c>
      <c r="AT369" s="6">
        <v>2</v>
      </c>
    </row>
    <row r="370" spans="2:46">
      <c r="B370" s="6" t="s">
        <v>116</v>
      </c>
      <c r="D370" s="6" t="s">
        <v>1561</v>
      </c>
      <c r="F370" s="6" t="s">
        <v>1781</v>
      </c>
      <c r="G370" s="6" t="str">
        <f>"Z165AP400M93F"</f>
        <v>Z165AP400M93F</v>
      </c>
      <c r="I370" s="6" t="s">
        <v>1782</v>
      </c>
      <c r="J370" s="6" t="str">
        <f>"Z165AP400M93F"</f>
        <v>Z165AP400M93F</v>
      </c>
      <c r="K370" s="6">
        <v>0</v>
      </c>
      <c r="L370" s="6">
        <v>0</v>
      </c>
      <c r="M370" s="6">
        <v>0</v>
      </c>
      <c r="N370" s="6" t="str">
        <f>""</f>
        <v/>
      </c>
      <c r="O370" s="6">
        <v>33216</v>
      </c>
      <c r="P370" s="6" t="s">
        <v>1782</v>
      </c>
      <c r="R370" s="6" t="s">
        <v>1783</v>
      </c>
      <c r="S370" s="6" t="s">
        <v>1784</v>
      </c>
      <c r="T370" s="6">
        <v>2</v>
      </c>
      <c r="U370" s="6">
        <v>0</v>
      </c>
      <c r="V370" s="6">
        <v>0</v>
      </c>
      <c r="W370" s="6">
        <v>0</v>
      </c>
      <c r="X370" s="6" t="s">
        <v>169</v>
      </c>
      <c r="Z370" s="6" t="s">
        <v>170</v>
      </c>
      <c r="AA370" s="6" t="s">
        <v>171</v>
      </c>
      <c r="AB370" s="6">
        <v>0</v>
      </c>
      <c r="AC370" s="6" t="str">
        <f>"KEY-028"</f>
        <v>KEY-028</v>
      </c>
      <c r="AQ370" s="6" t="str">
        <f>""</f>
        <v/>
      </c>
      <c r="AR370" s="6" t="s">
        <v>1567</v>
      </c>
      <c r="AS370" s="6">
        <v>0</v>
      </c>
      <c r="AT370" s="6">
        <v>2</v>
      </c>
    </row>
    <row r="371" spans="2:46">
      <c r="B371" s="6" t="s">
        <v>116</v>
      </c>
      <c r="D371" s="6" t="s">
        <v>1561</v>
      </c>
      <c r="F371" s="6" t="s">
        <v>1785</v>
      </c>
      <c r="G371" s="6" t="str">
        <f>"Z165AP803M51F"</f>
        <v>Z165AP803M51F</v>
      </c>
      <c r="I371" s="6" t="s">
        <v>1786</v>
      </c>
      <c r="J371" s="6" t="str">
        <f>"Z165AP803M51F"</f>
        <v>Z165AP803M51F</v>
      </c>
      <c r="K371" s="6">
        <v>0</v>
      </c>
      <c r="L371" s="6">
        <v>0</v>
      </c>
      <c r="M371" s="6">
        <v>0</v>
      </c>
      <c r="N371" s="6" t="str">
        <f>""</f>
        <v/>
      </c>
      <c r="O371" s="6">
        <v>33214</v>
      </c>
      <c r="P371" s="6" t="s">
        <v>1786</v>
      </c>
      <c r="R371" s="6" t="s">
        <v>1623</v>
      </c>
      <c r="S371" s="6" t="s">
        <v>1787</v>
      </c>
      <c r="T371" s="6">
        <v>2</v>
      </c>
      <c r="U371" s="6">
        <v>0</v>
      </c>
      <c r="V371" s="6">
        <v>0</v>
      </c>
      <c r="W371" s="6">
        <v>0</v>
      </c>
      <c r="X371" s="6" t="s">
        <v>169</v>
      </c>
      <c r="Z371" s="6" t="s">
        <v>170</v>
      </c>
      <c r="AA371" s="6" t="s">
        <v>171</v>
      </c>
      <c r="AB371" s="6">
        <v>0</v>
      </c>
      <c r="AC371" s="6" t="str">
        <f>"KEY-008"</f>
        <v>KEY-008</v>
      </c>
      <c r="AQ371" s="6" t="str">
        <f>""</f>
        <v/>
      </c>
      <c r="AR371" s="6" t="s">
        <v>1584</v>
      </c>
      <c r="AS371" s="6">
        <v>0</v>
      </c>
      <c r="AT371" s="6">
        <v>2</v>
      </c>
    </row>
    <row r="372" spans="2:46">
      <c r="B372" s="6" t="s">
        <v>116</v>
      </c>
      <c r="D372" s="6" t="s">
        <v>1561</v>
      </c>
      <c r="F372" s="6" t="s">
        <v>1788</v>
      </c>
      <c r="G372" s="6" t="str">
        <f>"Z165AP802M41F"</f>
        <v>Z165AP802M41F</v>
      </c>
      <c r="I372" s="6" t="s">
        <v>1789</v>
      </c>
      <c r="J372" s="6" t="str">
        <f>"Z165AP802M41F"</f>
        <v>Z165AP802M41F</v>
      </c>
      <c r="K372" s="6">
        <v>0</v>
      </c>
      <c r="L372" s="6">
        <v>0</v>
      </c>
      <c r="M372" s="6">
        <v>0</v>
      </c>
      <c r="N372" s="6" t="str">
        <f>""</f>
        <v/>
      </c>
      <c r="O372" s="6">
        <v>33212</v>
      </c>
      <c r="P372" s="6" t="s">
        <v>1789</v>
      </c>
      <c r="R372" s="6" t="s">
        <v>1674</v>
      </c>
      <c r="S372" s="6" t="s">
        <v>1790</v>
      </c>
      <c r="T372" s="6">
        <v>2</v>
      </c>
      <c r="U372" s="6">
        <v>0</v>
      </c>
      <c r="V372" s="6">
        <v>0</v>
      </c>
      <c r="W372" s="6">
        <v>0</v>
      </c>
      <c r="X372" s="6" t="s">
        <v>169</v>
      </c>
      <c r="Z372" s="6" t="s">
        <v>170</v>
      </c>
      <c r="AA372" s="6" t="s">
        <v>171</v>
      </c>
      <c r="AB372" s="6">
        <v>0</v>
      </c>
      <c r="AC372" s="6" t="str">
        <f>"KEY-068"</f>
        <v>KEY-068</v>
      </c>
      <c r="AQ372" s="6" t="str">
        <f>""</f>
        <v/>
      </c>
      <c r="AR372" s="6" t="s">
        <v>1567</v>
      </c>
      <c r="AS372" s="6">
        <v>0</v>
      </c>
      <c r="AT372" s="6">
        <v>2</v>
      </c>
    </row>
    <row r="373" spans="2:46">
      <c r="B373" s="6" t="s">
        <v>116</v>
      </c>
      <c r="D373" s="6" t="s">
        <v>1561</v>
      </c>
      <c r="F373" s="6" t="s">
        <v>1791</v>
      </c>
      <c r="G373" s="6" t="str">
        <f>"Z165AP801M25F"</f>
        <v>Z165AP801M25F</v>
      </c>
      <c r="I373" s="6" t="s">
        <v>1792</v>
      </c>
      <c r="J373" s="6" t="str">
        <f>"Z165AP801M25F"</f>
        <v>Z165AP801M25F</v>
      </c>
      <c r="K373" s="6">
        <v>0</v>
      </c>
      <c r="L373" s="6">
        <v>0</v>
      </c>
      <c r="M373" s="6">
        <v>0</v>
      </c>
      <c r="N373" s="6" t="str">
        <f>""</f>
        <v/>
      </c>
      <c r="O373" s="6">
        <v>33210</v>
      </c>
      <c r="P373" s="6" t="s">
        <v>1792</v>
      </c>
      <c r="R373" s="6" t="s">
        <v>1793</v>
      </c>
      <c r="S373" s="6" t="s">
        <v>1794</v>
      </c>
      <c r="T373" s="6">
        <v>3</v>
      </c>
      <c r="U373" s="6">
        <v>0</v>
      </c>
      <c r="V373" s="6">
        <v>0</v>
      </c>
      <c r="W373" s="6">
        <v>0</v>
      </c>
      <c r="X373" s="6" t="s">
        <v>169</v>
      </c>
      <c r="Z373" s="6" t="s">
        <v>170</v>
      </c>
      <c r="AA373" s="6" t="s">
        <v>171</v>
      </c>
      <c r="AB373" s="6">
        <v>0</v>
      </c>
      <c r="AC373" s="6" t="str">
        <f>"KEY-039"</f>
        <v>KEY-039</v>
      </c>
      <c r="AQ373" s="6" t="str">
        <f>""</f>
        <v/>
      </c>
      <c r="AR373" s="6" t="s">
        <v>1567</v>
      </c>
      <c r="AS373" s="6">
        <v>0</v>
      </c>
      <c r="AT373" s="6">
        <v>3</v>
      </c>
    </row>
    <row r="374" spans="2:46">
      <c r="B374" s="6" t="s">
        <v>116</v>
      </c>
      <c r="D374" s="6" t="s">
        <v>1561</v>
      </c>
      <c r="F374" s="6" t="s">
        <v>1795</v>
      </c>
      <c r="G374" s="6" t="str">
        <f>"Z165AP800M36F"</f>
        <v>Z165AP800M36F</v>
      </c>
      <c r="I374" s="6" t="s">
        <v>71</v>
      </c>
      <c r="J374" s="6" t="str">
        <f>"Z165AP800M36F"</f>
        <v>Z165AP800M36F</v>
      </c>
      <c r="K374" s="6">
        <v>0</v>
      </c>
      <c r="L374" s="6">
        <v>0</v>
      </c>
      <c r="M374" s="6">
        <v>0</v>
      </c>
      <c r="N374" s="6" t="str">
        <f>""</f>
        <v/>
      </c>
      <c r="O374" s="6">
        <v>33208</v>
      </c>
      <c r="P374" s="6" t="s">
        <v>71</v>
      </c>
      <c r="R374" s="6" t="s">
        <v>1599</v>
      </c>
      <c r="S374" s="6" t="s">
        <v>1796</v>
      </c>
      <c r="T374" s="6">
        <v>1</v>
      </c>
      <c r="U374" s="6">
        <v>0</v>
      </c>
      <c r="V374" s="6">
        <v>0</v>
      </c>
      <c r="W374" s="6">
        <v>0</v>
      </c>
      <c r="X374" s="6" t="s">
        <v>169</v>
      </c>
      <c r="Z374" s="6" t="s">
        <v>170</v>
      </c>
      <c r="AA374" s="6" t="s">
        <v>171</v>
      </c>
      <c r="AB374" s="6">
        <v>0</v>
      </c>
      <c r="AC374" s="6" t="str">
        <f>"KEY-008"</f>
        <v>KEY-008</v>
      </c>
      <c r="AQ374" s="6" t="str">
        <f>""</f>
        <v/>
      </c>
      <c r="AR374" s="6" t="s">
        <v>1584</v>
      </c>
      <c r="AS374" s="6">
        <v>0</v>
      </c>
      <c r="AT374" s="6">
        <v>1</v>
      </c>
    </row>
    <row r="375" spans="2:46">
      <c r="B375" s="6" t="s">
        <v>116</v>
      </c>
      <c r="D375" s="6" t="s">
        <v>1561</v>
      </c>
      <c r="F375" s="6" t="s">
        <v>1797</v>
      </c>
      <c r="G375" s="6" t="str">
        <f>"Z165AP706M99F"</f>
        <v>Z165AP706M99F</v>
      </c>
      <c r="H375" s="6" t="s">
        <v>1798</v>
      </c>
      <c r="I375" s="6" t="s">
        <v>1798</v>
      </c>
      <c r="J375" s="6" t="str">
        <f>"Z165AP706M99F"</f>
        <v>Z165AP706M99F</v>
      </c>
      <c r="K375" s="6">
        <v>0</v>
      </c>
      <c r="L375" s="6">
        <v>0</v>
      </c>
      <c r="M375" s="6">
        <v>0</v>
      </c>
      <c r="N375" s="6" t="str">
        <f>""</f>
        <v/>
      </c>
      <c r="O375" s="6">
        <v>33206</v>
      </c>
      <c r="P375" s="6" t="s">
        <v>1798</v>
      </c>
      <c r="R375" s="6" t="s">
        <v>1799</v>
      </c>
      <c r="S375" s="6" t="s">
        <v>1800</v>
      </c>
      <c r="T375" s="6">
        <v>0</v>
      </c>
      <c r="U375" s="6">
        <v>0</v>
      </c>
      <c r="V375" s="6">
        <v>0</v>
      </c>
      <c r="W375" s="6">
        <v>0</v>
      </c>
      <c r="X375" s="6" t="s">
        <v>169</v>
      </c>
      <c r="Z375" s="6" t="s">
        <v>170</v>
      </c>
      <c r="AA375" s="6" t="s">
        <v>171</v>
      </c>
      <c r="AB375" s="6">
        <v>0</v>
      </c>
      <c r="AC375" s="6" t="str">
        <f>""</f>
        <v/>
      </c>
      <c r="AS375" s="6">
        <v>0</v>
      </c>
      <c r="AT375" s="6">
        <v>0</v>
      </c>
    </row>
    <row r="376" spans="2:46">
      <c r="B376" s="6" t="s">
        <v>116</v>
      </c>
      <c r="D376" s="6" t="s">
        <v>1561</v>
      </c>
      <c r="F376" s="6" t="s">
        <v>1801</v>
      </c>
      <c r="G376" s="6" t="str">
        <f>"Z165AP703M81F"</f>
        <v>Z165AP703M81F</v>
      </c>
      <c r="H376" s="6" t="s">
        <v>1802</v>
      </c>
      <c r="I376" s="6" t="s">
        <v>1802</v>
      </c>
      <c r="J376" s="6" t="str">
        <f>"Z165AP703M81F"</f>
        <v>Z165AP703M81F</v>
      </c>
      <c r="K376" s="6">
        <v>0</v>
      </c>
      <c r="L376" s="6">
        <v>0</v>
      </c>
      <c r="M376" s="6">
        <v>0</v>
      </c>
      <c r="N376" s="6" t="str">
        <f>""</f>
        <v/>
      </c>
      <c r="O376" s="6">
        <v>33204</v>
      </c>
      <c r="P376" s="6" t="s">
        <v>1802</v>
      </c>
      <c r="R376" s="6" t="s">
        <v>1803</v>
      </c>
      <c r="S376" s="6" t="s">
        <v>1804</v>
      </c>
      <c r="T376" s="6">
        <v>0</v>
      </c>
      <c r="U376" s="6">
        <v>0</v>
      </c>
      <c r="V376" s="6">
        <v>0</v>
      </c>
      <c r="W376" s="6">
        <v>0</v>
      </c>
      <c r="X376" s="6" t="s">
        <v>169</v>
      </c>
      <c r="Z376" s="6" t="s">
        <v>170</v>
      </c>
      <c r="AA376" s="6" t="s">
        <v>171</v>
      </c>
      <c r="AB376" s="6">
        <v>0</v>
      </c>
      <c r="AC376" s="6" t="str">
        <f>""</f>
        <v/>
      </c>
      <c r="AS376" s="6">
        <v>0</v>
      </c>
      <c r="AT376" s="6">
        <v>0</v>
      </c>
    </row>
    <row r="377" spans="2:46">
      <c r="B377" s="6" t="s">
        <v>116</v>
      </c>
      <c r="D377" s="6" t="s">
        <v>1561</v>
      </c>
      <c r="F377" s="6" t="s">
        <v>1805</v>
      </c>
      <c r="G377" s="6" t="str">
        <f>"Z165AP702M06F"</f>
        <v>Z165AP702M06F</v>
      </c>
      <c r="H377" s="6" t="s">
        <v>1806</v>
      </c>
      <c r="I377" s="6" t="s">
        <v>1806</v>
      </c>
      <c r="J377" s="6" t="str">
        <f>"Z165AP702M06F"</f>
        <v>Z165AP702M06F</v>
      </c>
      <c r="K377" s="6">
        <v>0</v>
      </c>
      <c r="L377" s="6">
        <v>0</v>
      </c>
      <c r="M377" s="6">
        <v>0</v>
      </c>
      <c r="N377" s="6" t="str">
        <f>""</f>
        <v/>
      </c>
      <c r="O377" s="6">
        <v>33202</v>
      </c>
      <c r="P377" s="6" t="s">
        <v>1806</v>
      </c>
      <c r="R377" s="6" t="s">
        <v>1630</v>
      </c>
      <c r="S377" s="6" t="s">
        <v>1807</v>
      </c>
      <c r="T377" s="6">
        <v>0</v>
      </c>
      <c r="U377" s="6">
        <v>0</v>
      </c>
      <c r="V377" s="6">
        <v>0</v>
      </c>
      <c r="W377" s="6">
        <v>0</v>
      </c>
      <c r="X377" s="6" t="s">
        <v>169</v>
      </c>
      <c r="Z377" s="6" t="s">
        <v>170</v>
      </c>
      <c r="AA377" s="6" t="s">
        <v>171</v>
      </c>
      <c r="AB377" s="6">
        <v>0</v>
      </c>
      <c r="AC377" s="6" t="str">
        <f>""</f>
        <v/>
      </c>
      <c r="AS377" s="6">
        <v>0</v>
      </c>
      <c r="AT377" s="6">
        <v>0</v>
      </c>
    </row>
    <row r="378" spans="2:46">
      <c r="B378" s="6" t="s">
        <v>116</v>
      </c>
      <c r="D378" s="6" t="s">
        <v>1561</v>
      </c>
      <c r="F378" s="6" t="s">
        <v>1808</v>
      </c>
      <c r="G378" s="6" t="str">
        <f>"Z165AP700M93F"</f>
        <v>Z165AP700M93F</v>
      </c>
      <c r="H378" s="6" t="s">
        <v>1809</v>
      </c>
      <c r="I378" s="6" t="s">
        <v>1809</v>
      </c>
      <c r="J378" s="6" t="str">
        <f>"Z165AP700M93F"</f>
        <v>Z165AP700M93F</v>
      </c>
      <c r="K378" s="6">
        <v>0</v>
      </c>
      <c r="L378" s="6">
        <v>0</v>
      </c>
      <c r="M378" s="6">
        <v>0</v>
      </c>
      <c r="N378" s="6" t="str">
        <f>""</f>
        <v/>
      </c>
      <c r="O378" s="6">
        <v>33200</v>
      </c>
      <c r="P378" s="6" t="s">
        <v>1809</v>
      </c>
      <c r="R378" s="6" t="s">
        <v>1783</v>
      </c>
      <c r="S378" s="6" t="s">
        <v>1810</v>
      </c>
      <c r="T378" s="6">
        <v>0</v>
      </c>
      <c r="U378" s="6">
        <v>0</v>
      </c>
      <c r="V378" s="6">
        <v>0</v>
      </c>
      <c r="W378" s="6">
        <v>0</v>
      </c>
      <c r="X378" s="6" t="s">
        <v>169</v>
      </c>
      <c r="Z378" s="6" t="s">
        <v>170</v>
      </c>
      <c r="AA378" s="6" t="s">
        <v>171</v>
      </c>
      <c r="AB378" s="6">
        <v>0</v>
      </c>
      <c r="AC378" s="6" t="str">
        <f>""</f>
        <v/>
      </c>
      <c r="AS378" s="6">
        <v>0</v>
      </c>
      <c r="AT378" s="6">
        <v>0</v>
      </c>
    </row>
    <row r="379" spans="2:46">
      <c r="B379" s="6" t="s">
        <v>116</v>
      </c>
      <c r="D379" s="6" t="s">
        <v>1561</v>
      </c>
      <c r="F379" s="6" t="s">
        <v>1811</v>
      </c>
      <c r="G379" s="6" t="str">
        <f>"Z165AP514M36F"</f>
        <v>Z165AP514M36F</v>
      </c>
      <c r="H379" s="6" t="s">
        <v>1812</v>
      </c>
      <c r="I379" s="6" t="s">
        <v>1812</v>
      </c>
      <c r="J379" s="6" t="str">
        <f>"Z165AP514M36F"</f>
        <v>Z165AP514M36F</v>
      </c>
      <c r="K379" s="6">
        <v>0</v>
      </c>
      <c r="L379" s="6">
        <v>0</v>
      </c>
      <c r="M379" s="6">
        <v>0</v>
      </c>
      <c r="N379" s="6" t="str">
        <f>""</f>
        <v/>
      </c>
      <c r="O379" s="6">
        <v>33198</v>
      </c>
      <c r="P379" s="6" t="s">
        <v>1812</v>
      </c>
      <c r="R379" s="6" t="s">
        <v>1599</v>
      </c>
      <c r="S379" s="6" t="s">
        <v>1813</v>
      </c>
      <c r="T379" s="6">
        <v>0</v>
      </c>
      <c r="U379" s="6">
        <v>0</v>
      </c>
      <c r="V379" s="6">
        <v>0</v>
      </c>
      <c r="W379" s="6">
        <v>0</v>
      </c>
      <c r="X379" s="6" t="s">
        <v>169</v>
      </c>
      <c r="Z379" s="6" t="s">
        <v>170</v>
      </c>
      <c r="AA379" s="6" t="s">
        <v>171</v>
      </c>
      <c r="AB379" s="6">
        <v>0</v>
      </c>
      <c r="AC379" s="6" t="str">
        <f>""</f>
        <v/>
      </c>
      <c r="AS379" s="6">
        <v>0</v>
      </c>
      <c r="AT379" s="6">
        <v>0</v>
      </c>
    </row>
    <row r="380" spans="2:46">
      <c r="B380" s="6" t="s">
        <v>116</v>
      </c>
      <c r="D380" s="6" t="s">
        <v>1561</v>
      </c>
      <c r="F380" s="6" t="s">
        <v>1814</v>
      </c>
      <c r="G380" s="6" t="str">
        <f>"Z165AP513M51F"</f>
        <v>Z165AP513M51F</v>
      </c>
      <c r="I380" s="6" t="s">
        <v>1815</v>
      </c>
      <c r="J380" s="6" t="str">
        <f>"Z165AP513M51F"</f>
        <v>Z165AP513M51F</v>
      </c>
      <c r="K380" s="6">
        <v>0</v>
      </c>
      <c r="L380" s="6">
        <v>0</v>
      </c>
      <c r="M380" s="6">
        <v>0</v>
      </c>
      <c r="N380" s="6" t="str">
        <f>""</f>
        <v/>
      </c>
      <c r="O380" s="6">
        <v>33196</v>
      </c>
      <c r="P380" s="6" t="s">
        <v>1815</v>
      </c>
      <c r="R380" s="6" t="s">
        <v>1623</v>
      </c>
      <c r="S380" s="6" t="s">
        <v>1816</v>
      </c>
      <c r="T380" s="6">
        <v>3</v>
      </c>
      <c r="U380" s="6">
        <v>0</v>
      </c>
      <c r="V380" s="6">
        <v>0</v>
      </c>
      <c r="W380" s="6">
        <v>0</v>
      </c>
      <c r="X380" s="6" t="s">
        <v>169</v>
      </c>
      <c r="Z380" s="6" t="s">
        <v>170</v>
      </c>
      <c r="AA380" s="6" t="s">
        <v>171</v>
      </c>
      <c r="AB380" s="6">
        <v>0</v>
      </c>
      <c r="AC380" s="6" t="str">
        <f>"KEY-074"</f>
        <v>KEY-074</v>
      </c>
      <c r="AQ380" s="6" t="str">
        <f>""</f>
        <v/>
      </c>
      <c r="AR380" s="6" t="s">
        <v>1567</v>
      </c>
      <c r="AS380" s="6">
        <v>0</v>
      </c>
      <c r="AT380" s="6">
        <v>3</v>
      </c>
    </row>
    <row r="381" spans="2:46">
      <c r="B381" s="6" t="s">
        <v>116</v>
      </c>
      <c r="D381" s="6" t="s">
        <v>1561</v>
      </c>
      <c r="F381" s="6" t="s">
        <v>1817</v>
      </c>
      <c r="G381" s="6" t="str">
        <f>"Z165AP512M82F"</f>
        <v>Z165AP512M82F</v>
      </c>
      <c r="I381" s="6" t="s">
        <v>1818</v>
      </c>
      <c r="J381" s="6" t="str">
        <f>"Z165AP512M82F"</f>
        <v>Z165AP512M82F</v>
      </c>
      <c r="K381" s="6">
        <v>0</v>
      </c>
      <c r="L381" s="6">
        <v>0</v>
      </c>
      <c r="M381" s="6">
        <v>0</v>
      </c>
      <c r="N381" s="6" t="str">
        <f>""</f>
        <v/>
      </c>
      <c r="O381" s="6">
        <v>33194</v>
      </c>
      <c r="P381" s="6" t="s">
        <v>1818</v>
      </c>
      <c r="R381" s="6" t="s">
        <v>1726</v>
      </c>
      <c r="S381" s="6" t="s">
        <v>1819</v>
      </c>
      <c r="T381" s="6">
        <v>1</v>
      </c>
      <c r="U381" s="6">
        <v>0</v>
      </c>
      <c r="V381" s="6">
        <v>0</v>
      </c>
      <c r="W381" s="6">
        <v>0</v>
      </c>
      <c r="X381" s="6" t="s">
        <v>169</v>
      </c>
      <c r="Z381" s="6" t="s">
        <v>170</v>
      </c>
      <c r="AA381" s="6" t="s">
        <v>171</v>
      </c>
      <c r="AB381" s="6">
        <v>0</v>
      </c>
      <c r="AC381" s="6" t="str">
        <f>"KEY-017"</f>
        <v>KEY-017</v>
      </c>
      <c r="AQ381" s="6" t="str">
        <f>""</f>
        <v/>
      </c>
      <c r="AR381" s="6" t="s">
        <v>1567</v>
      </c>
      <c r="AS381" s="6">
        <v>0</v>
      </c>
      <c r="AT381" s="6">
        <v>1</v>
      </c>
    </row>
    <row r="382" spans="2:46">
      <c r="B382" s="6" t="s">
        <v>116</v>
      </c>
      <c r="D382" s="6" t="s">
        <v>1561</v>
      </c>
      <c r="F382" s="6" t="s">
        <v>1820</v>
      </c>
      <c r="G382" s="6" t="str">
        <f>"Z165AP511M21F"</f>
        <v>Z165AP511M21F</v>
      </c>
      <c r="I382" s="6" t="s">
        <v>1821</v>
      </c>
      <c r="J382" s="6" t="str">
        <f>"Z165AP511M21F"</f>
        <v>Z165AP511M21F</v>
      </c>
      <c r="K382" s="6">
        <v>0</v>
      </c>
      <c r="L382" s="6">
        <v>0</v>
      </c>
      <c r="M382" s="6">
        <v>0</v>
      </c>
      <c r="N382" s="6" t="str">
        <f>""</f>
        <v/>
      </c>
      <c r="O382" s="6">
        <v>33192</v>
      </c>
      <c r="P382" s="6" t="s">
        <v>1821</v>
      </c>
      <c r="R382" s="6" t="s">
        <v>1603</v>
      </c>
      <c r="S382" s="6" t="s">
        <v>1822</v>
      </c>
      <c r="T382" s="6">
        <v>4</v>
      </c>
      <c r="U382" s="6">
        <v>0</v>
      </c>
      <c r="V382" s="6">
        <v>0</v>
      </c>
      <c r="W382" s="6">
        <v>0</v>
      </c>
      <c r="X382" s="6" t="s">
        <v>169</v>
      </c>
      <c r="Z382" s="6" t="s">
        <v>170</v>
      </c>
      <c r="AA382" s="6" t="s">
        <v>171</v>
      </c>
      <c r="AB382" s="6">
        <v>0</v>
      </c>
      <c r="AC382" s="6" t="str">
        <f>"KEY-006"</f>
        <v>KEY-006</v>
      </c>
      <c r="AQ382" s="6" t="str">
        <f>""</f>
        <v/>
      </c>
      <c r="AR382" s="6" t="s">
        <v>1584</v>
      </c>
      <c r="AS382" s="6">
        <v>0</v>
      </c>
      <c r="AT382" s="6">
        <v>4</v>
      </c>
    </row>
    <row r="383" spans="2:46">
      <c r="B383" s="6" t="s">
        <v>116</v>
      </c>
      <c r="D383" s="6" t="s">
        <v>1561</v>
      </c>
      <c r="F383" s="6" t="s">
        <v>1823</v>
      </c>
      <c r="G383" s="6" t="str">
        <f>"Z165AP510M06F"</f>
        <v>Z165AP510M06F</v>
      </c>
      <c r="H383" s="6" t="s">
        <v>1824</v>
      </c>
      <c r="I383" s="6" t="s">
        <v>1824</v>
      </c>
      <c r="J383" s="6" t="str">
        <f>"Z165AP510M06F"</f>
        <v>Z165AP510M06F</v>
      </c>
      <c r="K383" s="6">
        <v>0</v>
      </c>
      <c r="L383" s="6">
        <v>0</v>
      </c>
      <c r="M383" s="6">
        <v>0</v>
      </c>
      <c r="N383" s="6" t="str">
        <f>""</f>
        <v/>
      </c>
      <c r="O383" s="6">
        <v>33190</v>
      </c>
      <c r="P383" s="6" t="s">
        <v>1824</v>
      </c>
      <c r="R383" s="6" t="s">
        <v>1630</v>
      </c>
      <c r="S383" s="6" t="s">
        <v>1825</v>
      </c>
      <c r="T383" s="6">
        <v>0</v>
      </c>
      <c r="U383" s="6">
        <v>0</v>
      </c>
      <c r="V383" s="6">
        <v>0</v>
      </c>
      <c r="W383" s="6">
        <v>0</v>
      </c>
      <c r="X383" s="6" t="s">
        <v>169</v>
      </c>
      <c r="Z383" s="6" t="s">
        <v>170</v>
      </c>
      <c r="AA383" s="6" t="s">
        <v>171</v>
      </c>
      <c r="AB383" s="6">
        <v>0</v>
      </c>
      <c r="AC383" s="6" t="str">
        <f>""</f>
        <v/>
      </c>
      <c r="AS383" s="6">
        <v>0</v>
      </c>
      <c r="AT383" s="6">
        <v>0</v>
      </c>
    </row>
    <row r="384" spans="2:46">
      <c r="B384" s="6" t="s">
        <v>116</v>
      </c>
      <c r="D384" s="6" t="s">
        <v>1561</v>
      </c>
      <c r="F384" s="6" t="s">
        <v>1826</v>
      </c>
      <c r="G384" s="6" t="str">
        <f>"Z165AP509M00F"</f>
        <v>Z165AP509M00F</v>
      </c>
      <c r="I384" s="6" t="s">
        <v>1827</v>
      </c>
      <c r="J384" s="6" t="str">
        <f>"Z165AP509M00F"</f>
        <v>Z165AP509M00F</v>
      </c>
      <c r="K384" s="6">
        <v>0</v>
      </c>
      <c r="L384" s="6">
        <v>0</v>
      </c>
      <c r="M384" s="6">
        <v>0</v>
      </c>
      <c r="N384" s="6" t="str">
        <f>""</f>
        <v/>
      </c>
      <c r="O384" s="6">
        <v>33188</v>
      </c>
      <c r="P384" s="6" t="s">
        <v>1827</v>
      </c>
      <c r="R384" s="6" t="s">
        <v>1591</v>
      </c>
      <c r="S384" s="6" t="s">
        <v>1828</v>
      </c>
      <c r="T384" s="6">
        <v>3</v>
      </c>
      <c r="U384" s="6">
        <v>0</v>
      </c>
      <c r="V384" s="6">
        <v>0</v>
      </c>
      <c r="W384" s="6">
        <v>0</v>
      </c>
      <c r="X384" s="6" t="s">
        <v>169</v>
      </c>
      <c r="Z384" s="6" t="s">
        <v>170</v>
      </c>
      <c r="AA384" s="6" t="s">
        <v>171</v>
      </c>
      <c r="AB384" s="6">
        <v>0</v>
      </c>
      <c r="AC384" s="6" t="str">
        <f>"KEY-038"</f>
        <v>KEY-038</v>
      </c>
      <c r="AQ384" s="6" t="str">
        <f>""</f>
        <v/>
      </c>
      <c r="AR384" s="6" t="s">
        <v>1567</v>
      </c>
      <c r="AS384" s="6">
        <v>0</v>
      </c>
      <c r="AT384" s="6">
        <v>3</v>
      </c>
    </row>
    <row r="385" spans="2:46">
      <c r="B385" s="6" t="s">
        <v>116</v>
      </c>
      <c r="D385" s="6" t="s">
        <v>1561</v>
      </c>
      <c r="F385" s="6" t="s">
        <v>1829</v>
      </c>
      <c r="G385" s="6" t="str">
        <f>"Z165AP508M31F"</f>
        <v>Z165AP508M31F</v>
      </c>
      <c r="I385" s="6" t="s">
        <v>1830</v>
      </c>
      <c r="J385" s="6" t="str">
        <f>"Z165AP508M31F"</f>
        <v>Z165AP508M31F</v>
      </c>
      <c r="K385" s="6">
        <v>0</v>
      </c>
      <c r="L385" s="6">
        <v>0</v>
      </c>
      <c r="M385" s="6">
        <v>0</v>
      </c>
      <c r="N385" s="6" t="str">
        <f>""</f>
        <v/>
      </c>
      <c r="O385" s="6">
        <v>33186</v>
      </c>
      <c r="P385" s="6" t="s">
        <v>1830</v>
      </c>
      <c r="R385" s="6" t="s">
        <v>1619</v>
      </c>
      <c r="S385" s="6" t="s">
        <v>1831</v>
      </c>
      <c r="T385" s="6">
        <v>3</v>
      </c>
      <c r="U385" s="6">
        <v>0</v>
      </c>
      <c r="V385" s="6">
        <v>0</v>
      </c>
      <c r="W385" s="6">
        <v>0</v>
      </c>
      <c r="X385" s="6" t="s">
        <v>169</v>
      </c>
      <c r="Z385" s="6" t="s">
        <v>170</v>
      </c>
      <c r="AA385" s="6" t="s">
        <v>171</v>
      </c>
      <c r="AB385" s="6">
        <v>0</v>
      </c>
      <c r="AC385" s="6" t="str">
        <f>"KEY-006"</f>
        <v>KEY-006</v>
      </c>
      <c r="AQ385" s="6" t="str">
        <f>""</f>
        <v/>
      </c>
      <c r="AR385" s="6" t="s">
        <v>1584</v>
      </c>
      <c r="AS385" s="6">
        <v>0</v>
      </c>
      <c r="AT385" s="6">
        <v>3</v>
      </c>
    </row>
    <row r="386" spans="2:46">
      <c r="B386" s="6" t="s">
        <v>116</v>
      </c>
      <c r="D386" s="6" t="s">
        <v>1561</v>
      </c>
      <c r="F386" s="6" t="s">
        <v>1832</v>
      </c>
      <c r="G386" s="6" t="str">
        <f>"Z165AP507M15F"</f>
        <v>Z165AP507M15F</v>
      </c>
      <c r="I386" s="6" t="s">
        <v>1833</v>
      </c>
      <c r="J386" s="6" t="str">
        <f>"Z165AP507M15F"</f>
        <v>Z165AP507M15F</v>
      </c>
      <c r="K386" s="6">
        <v>0</v>
      </c>
      <c r="L386" s="6">
        <v>0</v>
      </c>
      <c r="M386" s="6">
        <v>0</v>
      </c>
      <c r="N386" s="6" t="str">
        <f>""</f>
        <v/>
      </c>
      <c r="O386" s="6">
        <v>33184</v>
      </c>
      <c r="P386" s="6" t="s">
        <v>1833</v>
      </c>
      <c r="R386" s="6" t="s">
        <v>1834</v>
      </c>
      <c r="S386" s="6" t="s">
        <v>1835</v>
      </c>
      <c r="T386" s="6">
        <v>1</v>
      </c>
      <c r="U386" s="6">
        <v>0</v>
      </c>
      <c r="V386" s="6">
        <v>0</v>
      </c>
      <c r="W386" s="6">
        <v>0</v>
      </c>
      <c r="X386" s="6" t="s">
        <v>169</v>
      </c>
      <c r="Z386" s="6" t="s">
        <v>170</v>
      </c>
      <c r="AA386" s="6" t="s">
        <v>171</v>
      </c>
      <c r="AB386" s="6">
        <v>0</v>
      </c>
      <c r="AC386" s="6" t="str">
        <f>"KEY-072"</f>
        <v>KEY-072</v>
      </c>
      <c r="AQ386" s="6" t="str">
        <f>""</f>
        <v/>
      </c>
      <c r="AR386" s="6" t="s">
        <v>1567</v>
      </c>
      <c r="AS386" s="6">
        <v>0</v>
      </c>
      <c r="AT386" s="6">
        <v>1</v>
      </c>
    </row>
    <row r="387" spans="2:46">
      <c r="B387" s="6" t="s">
        <v>116</v>
      </c>
      <c r="D387" s="6" t="s">
        <v>1561</v>
      </c>
      <c r="F387" s="6" t="s">
        <v>1836</v>
      </c>
      <c r="G387" s="6" t="str">
        <f>"Z165AP506M19F"</f>
        <v>Z165AP506M19F</v>
      </c>
      <c r="I387" s="6" t="s">
        <v>1837</v>
      </c>
      <c r="J387" s="6" t="str">
        <f>"Z165AP506M19F"</f>
        <v>Z165AP506M19F</v>
      </c>
      <c r="K387" s="6">
        <v>0</v>
      </c>
      <c r="L387" s="6">
        <v>0</v>
      </c>
      <c r="M387" s="6">
        <v>0</v>
      </c>
      <c r="N387" s="6" t="str">
        <f>""</f>
        <v/>
      </c>
      <c r="O387" s="6">
        <v>33182</v>
      </c>
      <c r="P387" s="6" t="s">
        <v>1837</v>
      </c>
      <c r="R387" s="6" t="s">
        <v>1565</v>
      </c>
      <c r="S387" s="6" t="s">
        <v>1838</v>
      </c>
      <c r="T387" s="6">
        <v>1</v>
      </c>
      <c r="U387" s="6">
        <v>0</v>
      </c>
      <c r="V387" s="6">
        <v>0</v>
      </c>
      <c r="W387" s="6">
        <v>0</v>
      </c>
      <c r="X387" s="6" t="s">
        <v>169</v>
      </c>
      <c r="Z387" s="6" t="s">
        <v>170</v>
      </c>
      <c r="AA387" s="6" t="s">
        <v>171</v>
      </c>
      <c r="AB387" s="6">
        <v>0</v>
      </c>
      <c r="AC387" s="6" t="str">
        <f>"KEY-010"</f>
        <v>KEY-010</v>
      </c>
      <c r="AQ387" s="6" t="str">
        <f>""</f>
        <v/>
      </c>
      <c r="AR387" s="6" t="s">
        <v>1584</v>
      </c>
      <c r="AS387" s="6">
        <v>0</v>
      </c>
      <c r="AT387" s="6">
        <v>1</v>
      </c>
    </row>
    <row r="388" spans="2:46">
      <c r="B388" s="6" t="s">
        <v>116</v>
      </c>
      <c r="D388" s="6" t="s">
        <v>1561</v>
      </c>
      <c r="F388" s="6" t="s">
        <v>1839</v>
      </c>
      <c r="G388" s="6" t="str">
        <f>"Z165AP505M69F"</f>
        <v>Z165AP505M69F</v>
      </c>
      <c r="I388" s="6" t="s">
        <v>1840</v>
      </c>
      <c r="J388" s="6" t="str">
        <f>"Z165AP505M69F"</f>
        <v>Z165AP505M69F</v>
      </c>
      <c r="K388" s="6">
        <v>0</v>
      </c>
      <c r="L388" s="6">
        <v>0</v>
      </c>
      <c r="M388" s="6">
        <v>0</v>
      </c>
      <c r="N388" s="6" t="str">
        <f>""</f>
        <v/>
      </c>
      <c r="O388" s="6">
        <v>33180</v>
      </c>
      <c r="P388" s="6" t="s">
        <v>1840</v>
      </c>
      <c r="R388" s="6" t="s">
        <v>1841</v>
      </c>
      <c r="S388" s="6" t="s">
        <v>1842</v>
      </c>
      <c r="T388" s="6">
        <v>3</v>
      </c>
      <c r="U388" s="6">
        <v>0</v>
      </c>
      <c r="V388" s="6">
        <v>0</v>
      </c>
      <c r="W388" s="6">
        <v>0</v>
      </c>
      <c r="X388" s="6" t="s">
        <v>169</v>
      </c>
      <c r="Z388" s="6" t="s">
        <v>170</v>
      </c>
      <c r="AA388" s="6" t="s">
        <v>171</v>
      </c>
      <c r="AB388" s="6">
        <v>0</v>
      </c>
      <c r="AC388" s="6" t="str">
        <f>"KEY-059"</f>
        <v>KEY-059</v>
      </c>
      <c r="AQ388" s="6" t="str">
        <f>""</f>
        <v/>
      </c>
      <c r="AR388" s="6" t="s">
        <v>1567</v>
      </c>
      <c r="AS388" s="6">
        <v>0</v>
      </c>
      <c r="AT388" s="6">
        <v>3</v>
      </c>
    </row>
    <row r="389" spans="2:46">
      <c r="B389" s="6" t="s">
        <v>116</v>
      </c>
      <c r="D389" s="6" t="s">
        <v>1561</v>
      </c>
      <c r="F389" s="6" t="s">
        <v>1843</v>
      </c>
      <c r="G389" s="6" t="str">
        <f>"Z165AP504M50F"</f>
        <v>Z165AP504M50F</v>
      </c>
      <c r="I389" s="6" t="s">
        <v>1844</v>
      </c>
      <c r="J389" s="6" t="str">
        <f>"Z165AP504M50F"</f>
        <v>Z165AP504M50F</v>
      </c>
      <c r="K389" s="6">
        <v>0</v>
      </c>
      <c r="L389" s="6">
        <v>0</v>
      </c>
      <c r="M389" s="6">
        <v>0</v>
      </c>
      <c r="N389" s="6" t="str">
        <f>""</f>
        <v/>
      </c>
      <c r="O389" s="6">
        <v>33178</v>
      </c>
      <c r="P389" s="6" t="s">
        <v>1844</v>
      </c>
      <c r="R389" s="6" t="s">
        <v>1845</v>
      </c>
      <c r="S389" s="6" t="s">
        <v>1846</v>
      </c>
      <c r="T389" s="6">
        <v>5</v>
      </c>
      <c r="U389" s="6">
        <v>0</v>
      </c>
      <c r="V389" s="6">
        <v>0</v>
      </c>
      <c r="W389" s="6">
        <v>0</v>
      </c>
      <c r="X389" s="6" t="s">
        <v>169</v>
      </c>
      <c r="Z389" s="6" t="s">
        <v>170</v>
      </c>
      <c r="AA389" s="6" t="s">
        <v>171</v>
      </c>
      <c r="AB389" s="6">
        <v>0</v>
      </c>
      <c r="AC389" s="6" t="str">
        <f>"KEY-042"</f>
        <v>KEY-042</v>
      </c>
      <c r="AQ389" s="6" t="str">
        <f>""</f>
        <v/>
      </c>
      <c r="AR389" s="6" t="s">
        <v>1567</v>
      </c>
      <c r="AS389" s="6">
        <v>0</v>
      </c>
      <c r="AT389" s="6">
        <v>5</v>
      </c>
    </row>
    <row r="390" spans="2:46">
      <c r="B390" s="6" t="s">
        <v>116</v>
      </c>
      <c r="D390" s="6" t="s">
        <v>1561</v>
      </c>
      <c r="F390" s="6" t="s">
        <v>1847</v>
      </c>
      <c r="G390" s="6" t="str">
        <f>"Z165AP503M30F"</f>
        <v>Z165AP503M30F</v>
      </c>
      <c r="I390" s="6" t="s">
        <v>1848</v>
      </c>
      <c r="J390" s="6" t="str">
        <f>"Z165AP503M30F"</f>
        <v>Z165AP503M30F</v>
      </c>
      <c r="K390" s="6">
        <v>0</v>
      </c>
      <c r="L390" s="6">
        <v>0</v>
      </c>
      <c r="M390" s="6">
        <v>0</v>
      </c>
      <c r="N390" s="6" t="str">
        <f>""</f>
        <v/>
      </c>
      <c r="O390" s="6">
        <v>33176</v>
      </c>
      <c r="P390" s="6" t="s">
        <v>1848</v>
      </c>
      <c r="R390" s="6" t="s">
        <v>1849</v>
      </c>
      <c r="S390" s="6" t="s">
        <v>1850</v>
      </c>
      <c r="T390" s="6">
        <v>4</v>
      </c>
      <c r="U390" s="6">
        <v>0</v>
      </c>
      <c r="V390" s="6">
        <v>0</v>
      </c>
      <c r="W390" s="6">
        <v>0</v>
      </c>
      <c r="X390" s="6" t="s">
        <v>169</v>
      </c>
      <c r="Z390" s="6" t="s">
        <v>170</v>
      </c>
      <c r="AA390" s="6" t="s">
        <v>171</v>
      </c>
      <c r="AB390" s="6">
        <v>0</v>
      </c>
      <c r="AC390" s="6" t="str">
        <f>"KEY-043"</f>
        <v>KEY-043</v>
      </c>
      <c r="AQ390" s="6" t="str">
        <f>""</f>
        <v/>
      </c>
      <c r="AR390" s="6" t="s">
        <v>1567</v>
      </c>
      <c r="AS390" s="6">
        <v>0</v>
      </c>
      <c r="AT390" s="6">
        <v>4</v>
      </c>
    </row>
    <row r="391" spans="2:46">
      <c r="B391" s="6" t="s">
        <v>116</v>
      </c>
      <c r="D391" s="6" t="s">
        <v>1561</v>
      </c>
      <c r="F391" s="6" t="s">
        <v>1851</v>
      </c>
      <c r="G391" s="6" t="str">
        <f>"Z165AP502M44F"</f>
        <v>Z165AP502M44F</v>
      </c>
      <c r="I391" s="6" t="s">
        <v>72</v>
      </c>
      <c r="J391" s="6" t="str">
        <f>"Z165AP502M44F"</f>
        <v>Z165AP502M44F</v>
      </c>
      <c r="K391" s="6">
        <v>0</v>
      </c>
      <c r="L391" s="6">
        <v>0</v>
      </c>
      <c r="M391" s="6">
        <v>0</v>
      </c>
      <c r="N391" s="6" t="str">
        <f>""</f>
        <v/>
      </c>
      <c r="O391" s="6">
        <v>33174</v>
      </c>
      <c r="P391" s="6" t="s">
        <v>72</v>
      </c>
      <c r="R391" s="6" t="s">
        <v>1852</v>
      </c>
      <c r="S391" s="6" t="s">
        <v>1853</v>
      </c>
      <c r="T391" s="6">
        <v>1</v>
      </c>
      <c r="U391" s="6">
        <v>0</v>
      </c>
      <c r="V391" s="6">
        <v>0</v>
      </c>
      <c r="W391" s="6">
        <v>0</v>
      </c>
      <c r="X391" s="6" t="s">
        <v>169</v>
      </c>
      <c r="Z391" s="6" t="s">
        <v>170</v>
      </c>
      <c r="AA391" s="6" t="s">
        <v>171</v>
      </c>
      <c r="AB391" s="6">
        <v>0</v>
      </c>
      <c r="AC391" s="6" t="str">
        <f>"KEY-013"</f>
        <v>KEY-013</v>
      </c>
      <c r="AQ391" s="6" t="str">
        <f>""</f>
        <v/>
      </c>
      <c r="AR391" s="6" t="s">
        <v>1584</v>
      </c>
      <c r="AS391" s="6">
        <v>0</v>
      </c>
      <c r="AT391" s="6">
        <v>1</v>
      </c>
    </row>
    <row r="392" spans="2:46">
      <c r="B392" s="6" t="s">
        <v>107</v>
      </c>
      <c r="D392" s="6" t="s">
        <v>1561</v>
      </c>
      <c r="F392" s="6" t="s">
        <v>1854</v>
      </c>
      <c r="G392" s="6" t="str">
        <f>"3181522100174120"</f>
        <v>3181522100174120</v>
      </c>
      <c r="H392" s="6">
        <v>3181522100174120</v>
      </c>
      <c r="I392" s="6" t="s">
        <v>1855</v>
      </c>
      <c r="J392" s="6" t="str">
        <f>"frill bucket hat_beige"</f>
        <v>frill bucket hat_beige</v>
      </c>
      <c r="K392" s="6">
        <v>0</v>
      </c>
      <c r="L392" s="6">
        <v>0</v>
      </c>
      <c r="M392" s="6">
        <v>0</v>
      </c>
      <c r="N392" s="6" t="str">
        <f>""</f>
        <v/>
      </c>
      <c r="O392" s="6">
        <v>33172</v>
      </c>
      <c r="P392" s="6" t="s">
        <v>1856</v>
      </c>
      <c r="R392" s="6" t="s">
        <v>202</v>
      </c>
      <c r="S392" s="6" t="s">
        <v>1857</v>
      </c>
      <c r="T392" s="6">
        <v>0</v>
      </c>
      <c r="U392" s="6">
        <v>0</v>
      </c>
      <c r="V392" s="6">
        <v>0</v>
      </c>
      <c r="W392" s="6">
        <v>0</v>
      </c>
      <c r="X392" s="6" t="s">
        <v>169</v>
      </c>
      <c r="Z392" s="6" t="s">
        <v>170</v>
      </c>
      <c r="AA392" s="6" t="s">
        <v>171</v>
      </c>
      <c r="AB392" s="6">
        <v>0</v>
      </c>
      <c r="AC392" s="6" t="str">
        <f>""</f>
        <v/>
      </c>
      <c r="AS392" s="6">
        <v>0</v>
      </c>
      <c r="AT392" s="6">
        <v>0</v>
      </c>
    </row>
    <row r="393" spans="2:46">
      <c r="B393" s="6" t="s">
        <v>107</v>
      </c>
      <c r="D393" s="6" t="s">
        <v>1561</v>
      </c>
      <c r="F393" s="6" t="s">
        <v>1858</v>
      </c>
      <c r="G393" s="6" t="str">
        <f>"3181222100699208"</f>
        <v>3181222100699208</v>
      </c>
      <c r="H393" s="6">
        <v>3181222100699200</v>
      </c>
      <c r="I393" s="6" t="s">
        <v>41</v>
      </c>
      <c r="J393" s="6" t="str">
        <f>"y point T-shirts_black"</f>
        <v>y point T-shirts_black</v>
      </c>
      <c r="K393" s="6">
        <v>0</v>
      </c>
      <c r="L393" s="6">
        <v>0</v>
      </c>
      <c r="M393" s="6">
        <v>0</v>
      </c>
      <c r="N393" s="6" t="str">
        <f>""</f>
        <v/>
      </c>
      <c r="O393" s="6">
        <v>33170</v>
      </c>
      <c r="P393" s="6" t="s">
        <v>40</v>
      </c>
      <c r="R393" s="6" t="s">
        <v>197</v>
      </c>
      <c r="S393" s="6" t="s">
        <v>1859</v>
      </c>
      <c r="T393" s="6">
        <v>0</v>
      </c>
      <c r="U393" s="6">
        <v>0</v>
      </c>
      <c r="V393" s="6">
        <v>0</v>
      </c>
      <c r="W393" s="6">
        <v>0</v>
      </c>
      <c r="X393" s="6" t="s">
        <v>169</v>
      </c>
      <c r="Z393" s="6" t="s">
        <v>170</v>
      </c>
      <c r="AA393" s="6" t="s">
        <v>171</v>
      </c>
      <c r="AB393" s="6">
        <v>0</v>
      </c>
      <c r="AC393" s="6" t="str">
        <f>"KEY-018"</f>
        <v>KEY-018</v>
      </c>
      <c r="AS393" s="6">
        <v>0</v>
      </c>
      <c r="AT393" s="6">
        <v>0</v>
      </c>
    </row>
    <row r="394" spans="2:46">
      <c r="B394" s="6" t="s">
        <v>107</v>
      </c>
      <c r="D394" s="6" t="s">
        <v>1561</v>
      </c>
      <c r="F394" s="6" t="s">
        <v>1860</v>
      </c>
      <c r="G394" s="6" t="str">
        <f>"3181222100669208"</f>
        <v>3181222100669208</v>
      </c>
      <c r="I394" s="6" t="s">
        <v>39</v>
      </c>
      <c r="J394" s="6" t="str">
        <f>"y point T-shirts_ivory"</f>
        <v>y point T-shirts_ivory</v>
      </c>
      <c r="K394" s="6">
        <v>0</v>
      </c>
      <c r="L394" s="6">
        <v>0</v>
      </c>
      <c r="M394" s="6">
        <v>0</v>
      </c>
      <c r="N394" s="6" t="str">
        <f>""</f>
        <v/>
      </c>
      <c r="O394" s="6">
        <v>33168</v>
      </c>
      <c r="P394" s="6" t="s">
        <v>38</v>
      </c>
      <c r="R394" s="6" t="s">
        <v>1861</v>
      </c>
      <c r="S394" s="6" t="s">
        <v>1862</v>
      </c>
      <c r="T394" s="6">
        <v>0</v>
      </c>
      <c r="U394" s="6">
        <v>0</v>
      </c>
      <c r="V394" s="6">
        <v>0</v>
      </c>
      <c r="W394" s="6">
        <v>0</v>
      </c>
      <c r="X394" s="6" t="s">
        <v>169</v>
      </c>
      <c r="Z394" s="6" t="s">
        <v>170</v>
      </c>
      <c r="AA394" s="6" t="s">
        <v>171</v>
      </c>
      <c r="AB394" s="6">
        <v>0</v>
      </c>
      <c r="AC394" s="6" t="str">
        <f>"KEY-022"</f>
        <v>KEY-022</v>
      </c>
      <c r="AQ394" s="6" t="str">
        <f>""</f>
        <v/>
      </c>
      <c r="AR394" s="6" t="s">
        <v>1567</v>
      </c>
      <c r="AS394" s="6">
        <v>0</v>
      </c>
      <c r="AT394" s="6">
        <v>0</v>
      </c>
    </row>
    <row r="395" spans="2:46">
      <c r="B395" s="6" t="s">
        <v>107</v>
      </c>
      <c r="D395" s="6" t="s">
        <v>1561</v>
      </c>
      <c r="F395" s="6" t="s">
        <v>1863</v>
      </c>
      <c r="G395" s="6" t="str">
        <f>"3181522100199120"</f>
        <v>3181522100199120</v>
      </c>
      <c r="H395" s="6">
        <v>3181522100199120</v>
      </c>
      <c r="I395" s="6" t="s">
        <v>1864</v>
      </c>
      <c r="J395" s="6" t="str">
        <f>"frill bucket hat_black"</f>
        <v>frill bucket hat_black</v>
      </c>
      <c r="K395" s="6">
        <v>0</v>
      </c>
      <c r="L395" s="6">
        <v>0</v>
      </c>
      <c r="M395" s="6">
        <v>0</v>
      </c>
      <c r="N395" s="6" t="str">
        <f>""</f>
        <v/>
      </c>
      <c r="O395" s="6">
        <v>33166</v>
      </c>
      <c r="P395" s="6" t="s">
        <v>1865</v>
      </c>
      <c r="R395" s="6" t="s">
        <v>197</v>
      </c>
      <c r="S395" s="6" t="s">
        <v>1866</v>
      </c>
      <c r="T395" s="6">
        <v>0</v>
      </c>
      <c r="U395" s="6">
        <v>0</v>
      </c>
      <c r="V395" s="6">
        <v>0</v>
      </c>
      <c r="W395" s="6">
        <v>0</v>
      </c>
      <c r="X395" s="6" t="s">
        <v>169</v>
      </c>
      <c r="Z395" s="6" t="s">
        <v>170</v>
      </c>
      <c r="AA395" s="6" t="s">
        <v>171</v>
      </c>
      <c r="AB395" s="6">
        <v>0</v>
      </c>
      <c r="AC395" s="6" t="str">
        <f>""</f>
        <v/>
      </c>
      <c r="AS395" s="6">
        <v>0</v>
      </c>
      <c r="AT395" s="6">
        <v>0</v>
      </c>
    </row>
    <row r="396" spans="2:46">
      <c r="B396" s="6" t="s">
        <v>107</v>
      </c>
      <c r="D396" s="6" t="s">
        <v>1561</v>
      </c>
      <c r="F396" s="6" t="s">
        <v>1867</v>
      </c>
      <c r="G396" s="6" t="str">
        <f>"3181222100630208"</f>
        <v>3181222100630208</v>
      </c>
      <c r="H396" s="6">
        <v>3181222100630200</v>
      </c>
      <c r="I396" s="6" t="s">
        <v>1868</v>
      </c>
      <c r="J396" s="6" t="str">
        <f>"y point T-shirts_navy"</f>
        <v>y point T-shirts_navy</v>
      </c>
      <c r="K396" s="6">
        <v>0</v>
      </c>
      <c r="L396" s="6">
        <v>0</v>
      </c>
      <c r="M396" s="6">
        <v>0</v>
      </c>
      <c r="N396" s="6" t="str">
        <f>""</f>
        <v/>
      </c>
      <c r="O396" s="6">
        <v>33164</v>
      </c>
      <c r="P396" s="6" t="s">
        <v>1869</v>
      </c>
      <c r="R396" s="6" t="s">
        <v>212</v>
      </c>
      <c r="S396" s="6" t="s">
        <v>1870</v>
      </c>
      <c r="T396" s="6">
        <v>0</v>
      </c>
      <c r="U396" s="6">
        <v>0</v>
      </c>
      <c r="V396" s="6">
        <v>0</v>
      </c>
      <c r="W396" s="6">
        <v>0</v>
      </c>
      <c r="X396" s="6" t="s">
        <v>169</v>
      </c>
      <c r="Z396" s="6" t="s">
        <v>170</v>
      </c>
      <c r="AA396" s="6" t="s">
        <v>171</v>
      </c>
      <c r="AB396" s="6">
        <v>0</v>
      </c>
      <c r="AC396" s="6" t="str">
        <f>""</f>
        <v/>
      </c>
      <c r="AS396" s="6">
        <v>0</v>
      </c>
      <c r="AT396" s="6">
        <v>0</v>
      </c>
    </row>
    <row r="397" spans="2:46">
      <c r="B397" s="6" t="s">
        <v>107</v>
      </c>
      <c r="D397" s="6" t="s">
        <v>1561</v>
      </c>
      <c r="F397" s="6" t="s">
        <v>1871</v>
      </c>
      <c r="G397" s="6" t="str">
        <f>"YP17SUSH05BL"</f>
        <v>YP17SUSH05BL</v>
      </c>
      <c r="H397" s="6" t="s">
        <v>1872</v>
      </c>
      <c r="I397" s="6" t="s">
        <v>1873</v>
      </c>
      <c r="J397" s="6" t="str">
        <f>"frill stripe shirts"</f>
        <v>frill stripe shirts</v>
      </c>
      <c r="K397" s="6">
        <v>0</v>
      </c>
      <c r="L397" s="6">
        <v>0</v>
      </c>
      <c r="M397" s="6">
        <v>0</v>
      </c>
      <c r="N397" s="6" t="str">
        <f>""</f>
        <v/>
      </c>
      <c r="O397" s="6">
        <v>33162</v>
      </c>
      <c r="P397" s="6" t="s">
        <v>1872</v>
      </c>
      <c r="R397" s="6" t="s">
        <v>239</v>
      </c>
      <c r="S397" s="6" t="s">
        <v>1874</v>
      </c>
      <c r="T397" s="6">
        <v>0</v>
      </c>
      <c r="U397" s="6">
        <v>0</v>
      </c>
      <c r="V397" s="6">
        <v>0</v>
      </c>
      <c r="W397" s="6">
        <v>0</v>
      </c>
      <c r="X397" s="6" t="s">
        <v>169</v>
      </c>
      <c r="Z397" s="6" t="s">
        <v>170</v>
      </c>
      <c r="AA397" s="6" t="s">
        <v>171</v>
      </c>
      <c r="AB397" s="6">
        <v>0</v>
      </c>
      <c r="AC397" s="6" t="str">
        <f>""</f>
        <v/>
      </c>
      <c r="AS397" s="6">
        <v>0</v>
      </c>
      <c r="AT397" s="6">
        <v>0</v>
      </c>
    </row>
    <row r="398" spans="2:46">
      <c r="B398" s="6" t="s">
        <v>107</v>
      </c>
      <c r="D398" s="6" t="s">
        <v>1561</v>
      </c>
      <c r="F398" s="6" t="s">
        <v>1875</v>
      </c>
      <c r="G398" s="6" t="str">
        <f>"YP17SUSH05WH"</f>
        <v>YP17SUSH05WH</v>
      </c>
      <c r="H398" s="6" t="s">
        <v>1876</v>
      </c>
      <c r="I398" s="6" t="s">
        <v>1873</v>
      </c>
      <c r="J398" s="6" t="str">
        <f>"frill stripe shirts"</f>
        <v>frill stripe shirts</v>
      </c>
      <c r="K398" s="6">
        <v>0</v>
      </c>
      <c r="L398" s="6">
        <v>0</v>
      </c>
      <c r="M398" s="6">
        <v>0</v>
      </c>
      <c r="N398" s="6" t="str">
        <f>""</f>
        <v/>
      </c>
      <c r="O398" s="6">
        <v>33161</v>
      </c>
      <c r="P398" s="6" t="s">
        <v>1876</v>
      </c>
      <c r="R398" s="6" t="s">
        <v>217</v>
      </c>
      <c r="S398" s="6" t="s">
        <v>1877</v>
      </c>
      <c r="T398" s="6">
        <v>0</v>
      </c>
      <c r="U398" s="6">
        <v>0</v>
      </c>
      <c r="V398" s="6">
        <v>0</v>
      </c>
      <c r="W398" s="6">
        <v>0</v>
      </c>
      <c r="X398" s="6" t="s">
        <v>169</v>
      </c>
      <c r="Z398" s="6" t="s">
        <v>170</v>
      </c>
      <c r="AA398" s="6" t="s">
        <v>171</v>
      </c>
      <c r="AB398" s="6">
        <v>0</v>
      </c>
      <c r="AC398" s="6" t="str">
        <f>""</f>
        <v/>
      </c>
      <c r="AS398" s="6">
        <v>0</v>
      </c>
      <c r="AT398" s="6">
        <v>0</v>
      </c>
    </row>
    <row r="399" spans="2:46">
      <c r="B399" s="6" t="s">
        <v>107</v>
      </c>
      <c r="D399" s="6" t="s">
        <v>1561</v>
      </c>
      <c r="F399" s="6" t="s">
        <v>1878</v>
      </c>
      <c r="G399" s="6" t="str">
        <f>"YP17SUTS05BK"</f>
        <v>YP17SUTS05BK</v>
      </c>
      <c r="H399" s="6" t="s">
        <v>1879</v>
      </c>
      <c r="I399" s="6" t="s">
        <v>1880</v>
      </c>
      <c r="J399" s="6" t="str">
        <f>"well done T-shirts"</f>
        <v>well done T-shirts</v>
      </c>
      <c r="K399" s="6">
        <v>0</v>
      </c>
      <c r="L399" s="6">
        <v>0</v>
      </c>
      <c r="M399" s="6">
        <v>0</v>
      </c>
      <c r="N399" s="6" t="str">
        <f>""</f>
        <v/>
      </c>
      <c r="O399" s="6">
        <v>33159</v>
      </c>
      <c r="P399" s="6" t="s">
        <v>1879</v>
      </c>
      <c r="R399" s="6" t="s">
        <v>1881</v>
      </c>
      <c r="S399" s="6" t="s">
        <v>1882</v>
      </c>
      <c r="T399" s="6">
        <v>0</v>
      </c>
      <c r="U399" s="6">
        <v>0</v>
      </c>
      <c r="V399" s="6">
        <v>0</v>
      </c>
      <c r="W399" s="6">
        <v>0</v>
      </c>
      <c r="X399" s="6" t="s">
        <v>169</v>
      </c>
      <c r="Z399" s="6" t="s">
        <v>170</v>
      </c>
      <c r="AA399" s="6" t="s">
        <v>171</v>
      </c>
      <c r="AB399" s="6">
        <v>0</v>
      </c>
      <c r="AC399" s="6" t="str">
        <f>""</f>
        <v/>
      </c>
      <c r="AS399" s="6">
        <v>0</v>
      </c>
      <c r="AT399" s="6">
        <v>0</v>
      </c>
    </row>
    <row r="400" spans="2:46">
      <c r="B400" s="6" t="s">
        <v>107</v>
      </c>
      <c r="D400" s="6" t="s">
        <v>1561</v>
      </c>
      <c r="F400" s="6" t="s">
        <v>1883</v>
      </c>
      <c r="G400" s="6" t="str">
        <f>"YP17SUOP06PK"</f>
        <v>YP17SUOP06PK</v>
      </c>
      <c r="H400" s="6" t="s">
        <v>1884</v>
      </c>
      <c r="I400" s="6" t="s">
        <v>1885</v>
      </c>
      <c r="J400" s="6" t="str">
        <f>"frill button onepiece"</f>
        <v>frill button onepiece</v>
      </c>
      <c r="K400" s="6">
        <v>0</v>
      </c>
      <c r="L400" s="6">
        <v>0</v>
      </c>
      <c r="M400" s="6">
        <v>0</v>
      </c>
      <c r="N400" s="6" t="str">
        <f>""</f>
        <v/>
      </c>
      <c r="O400" s="6">
        <v>33157</v>
      </c>
      <c r="P400" s="6" t="s">
        <v>1884</v>
      </c>
      <c r="R400" s="6" t="s">
        <v>230</v>
      </c>
      <c r="S400" s="6" t="s">
        <v>1886</v>
      </c>
      <c r="T400" s="6">
        <v>0</v>
      </c>
      <c r="U400" s="6">
        <v>0</v>
      </c>
      <c r="V400" s="6">
        <v>0</v>
      </c>
      <c r="W400" s="6">
        <v>0</v>
      </c>
      <c r="X400" s="6" t="s">
        <v>169</v>
      </c>
      <c r="Z400" s="6" t="s">
        <v>170</v>
      </c>
      <c r="AA400" s="6" t="s">
        <v>171</v>
      </c>
      <c r="AB400" s="6">
        <v>0</v>
      </c>
      <c r="AC400" s="6" t="str">
        <f>""</f>
        <v/>
      </c>
      <c r="AS400" s="6">
        <v>0</v>
      </c>
      <c r="AT400" s="6">
        <v>0</v>
      </c>
    </row>
    <row r="401" spans="2:46">
      <c r="B401" s="6" t="s">
        <v>107</v>
      </c>
      <c r="D401" s="6" t="s">
        <v>1561</v>
      </c>
      <c r="F401" s="6" t="s">
        <v>1887</v>
      </c>
      <c r="G401" s="6" t="str">
        <f>"YP17SUOP06BK"</f>
        <v>YP17SUOP06BK</v>
      </c>
      <c r="H401" s="6" t="s">
        <v>1888</v>
      </c>
      <c r="I401" s="6" t="s">
        <v>1885</v>
      </c>
      <c r="J401" s="6" t="str">
        <f>"frill button onepiece"</f>
        <v>frill button onepiece</v>
      </c>
      <c r="K401" s="6">
        <v>0</v>
      </c>
      <c r="L401" s="6">
        <v>0</v>
      </c>
      <c r="M401" s="6">
        <v>0</v>
      </c>
      <c r="N401" s="6" t="str">
        <f>""</f>
        <v/>
      </c>
      <c r="O401" s="6">
        <v>33156</v>
      </c>
      <c r="P401" s="6" t="s">
        <v>1888</v>
      </c>
      <c r="R401" s="6" t="s">
        <v>197</v>
      </c>
      <c r="S401" s="6" t="s">
        <v>1889</v>
      </c>
      <c r="T401" s="6">
        <v>0</v>
      </c>
      <c r="U401" s="6">
        <v>0</v>
      </c>
      <c r="V401" s="6">
        <v>0</v>
      </c>
      <c r="W401" s="6">
        <v>0</v>
      </c>
      <c r="X401" s="6" t="s">
        <v>169</v>
      </c>
      <c r="Z401" s="6" t="s">
        <v>170</v>
      </c>
      <c r="AA401" s="6" t="s">
        <v>171</v>
      </c>
      <c r="AB401" s="6">
        <v>0</v>
      </c>
      <c r="AC401" s="6" t="str">
        <f>""</f>
        <v/>
      </c>
      <c r="AS401" s="6">
        <v>0</v>
      </c>
      <c r="AT401" s="6">
        <v>0</v>
      </c>
    </row>
    <row r="402" spans="2:46">
      <c r="B402" s="6" t="s">
        <v>107</v>
      </c>
      <c r="D402" s="6" t="s">
        <v>1561</v>
      </c>
      <c r="F402" s="6" t="s">
        <v>1890</v>
      </c>
      <c r="G402" s="6" t="str">
        <f>"YP17SUOP04PK"</f>
        <v>YP17SUOP04PK</v>
      </c>
      <c r="H402" s="6" t="s">
        <v>1891</v>
      </c>
      <c r="I402" s="6" t="s">
        <v>1892</v>
      </c>
      <c r="J402" s="6" t="str">
        <f>"two frill onepiece"</f>
        <v>two frill onepiece</v>
      </c>
      <c r="K402" s="6">
        <v>0</v>
      </c>
      <c r="L402" s="6">
        <v>0</v>
      </c>
      <c r="M402" s="6">
        <v>0</v>
      </c>
      <c r="N402" s="6" t="str">
        <f>""</f>
        <v/>
      </c>
      <c r="O402" s="6">
        <v>33154</v>
      </c>
      <c r="P402" s="6" t="s">
        <v>1891</v>
      </c>
      <c r="R402" s="6" t="s">
        <v>230</v>
      </c>
      <c r="S402" s="6" t="s">
        <v>1893</v>
      </c>
      <c r="T402" s="6">
        <v>0</v>
      </c>
      <c r="U402" s="6">
        <v>0</v>
      </c>
      <c r="V402" s="6">
        <v>0</v>
      </c>
      <c r="W402" s="6">
        <v>0</v>
      </c>
      <c r="X402" s="6" t="s">
        <v>169</v>
      </c>
      <c r="Z402" s="6" t="s">
        <v>170</v>
      </c>
      <c r="AA402" s="6" t="s">
        <v>171</v>
      </c>
      <c r="AB402" s="6">
        <v>0</v>
      </c>
      <c r="AC402" s="6" t="str">
        <f>""</f>
        <v/>
      </c>
      <c r="AS402" s="6">
        <v>0</v>
      </c>
      <c r="AT402" s="6">
        <v>0</v>
      </c>
    </row>
    <row r="403" spans="2:46">
      <c r="B403" s="6" t="s">
        <v>107</v>
      </c>
      <c r="D403" s="6" t="s">
        <v>1561</v>
      </c>
      <c r="F403" s="6" t="s">
        <v>1894</v>
      </c>
      <c r="G403" s="6" t="str">
        <f>"YP17SUOP04WH"</f>
        <v>YP17SUOP04WH</v>
      </c>
      <c r="H403" s="6" t="s">
        <v>1895</v>
      </c>
      <c r="I403" s="6" t="s">
        <v>1892</v>
      </c>
      <c r="J403" s="6" t="str">
        <f>"two frill onepiece"</f>
        <v>two frill onepiece</v>
      </c>
      <c r="K403" s="6">
        <v>0</v>
      </c>
      <c r="L403" s="6">
        <v>0</v>
      </c>
      <c r="M403" s="6">
        <v>0</v>
      </c>
      <c r="N403" s="6" t="str">
        <f>""</f>
        <v/>
      </c>
      <c r="O403" s="6">
        <v>33153</v>
      </c>
      <c r="P403" s="6" t="s">
        <v>1895</v>
      </c>
      <c r="R403" s="6" t="s">
        <v>217</v>
      </c>
      <c r="S403" s="6" t="s">
        <v>1896</v>
      </c>
      <c r="T403" s="6">
        <v>0</v>
      </c>
      <c r="U403" s="6">
        <v>0</v>
      </c>
      <c r="V403" s="6">
        <v>0</v>
      </c>
      <c r="W403" s="6">
        <v>0</v>
      </c>
      <c r="X403" s="6" t="s">
        <v>169</v>
      </c>
      <c r="Z403" s="6" t="s">
        <v>170</v>
      </c>
      <c r="AA403" s="6" t="s">
        <v>171</v>
      </c>
      <c r="AB403" s="6">
        <v>0</v>
      </c>
      <c r="AC403" s="6" t="str">
        <f>""</f>
        <v/>
      </c>
      <c r="AS403" s="6">
        <v>0</v>
      </c>
      <c r="AT403" s="6">
        <v>0</v>
      </c>
    </row>
    <row r="404" spans="2:46">
      <c r="B404" s="6" t="s">
        <v>107</v>
      </c>
      <c r="D404" s="6" t="s">
        <v>1561</v>
      </c>
      <c r="F404" s="6" t="s">
        <v>1897</v>
      </c>
      <c r="G404" s="6" t="str">
        <f>"YP17SUOP03PK"</f>
        <v>YP17SUOP03PK</v>
      </c>
      <c r="H404" s="6" t="s">
        <v>1898</v>
      </c>
      <c r="I404" s="6" t="s">
        <v>1899</v>
      </c>
      <c r="J404" s="6" t="str">
        <f>"button onepiece"</f>
        <v>button onepiece</v>
      </c>
      <c r="K404" s="6">
        <v>0</v>
      </c>
      <c r="L404" s="6">
        <v>0</v>
      </c>
      <c r="M404" s="6">
        <v>0</v>
      </c>
      <c r="N404" s="6" t="str">
        <f>""</f>
        <v/>
      </c>
      <c r="O404" s="6">
        <v>33151</v>
      </c>
      <c r="P404" s="6" t="s">
        <v>1898</v>
      </c>
      <c r="R404" s="6" t="s">
        <v>230</v>
      </c>
      <c r="S404" s="6" t="s">
        <v>1900</v>
      </c>
      <c r="T404" s="6">
        <v>0</v>
      </c>
      <c r="U404" s="6">
        <v>0</v>
      </c>
      <c r="V404" s="6">
        <v>0</v>
      </c>
      <c r="W404" s="6">
        <v>0</v>
      </c>
      <c r="X404" s="6" t="s">
        <v>169</v>
      </c>
      <c r="Z404" s="6" t="s">
        <v>170</v>
      </c>
      <c r="AA404" s="6" t="s">
        <v>171</v>
      </c>
      <c r="AB404" s="6">
        <v>0</v>
      </c>
      <c r="AC404" s="6" t="str">
        <f>""</f>
        <v/>
      </c>
      <c r="AS404" s="6">
        <v>0</v>
      </c>
      <c r="AT404" s="6">
        <v>0</v>
      </c>
    </row>
    <row r="405" spans="2:46">
      <c r="B405" s="6" t="s">
        <v>107</v>
      </c>
      <c r="D405" s="6" t="s">
        <v>1561</v>
      </c>
      <c r="F405" s="6" t="s">
        <v>1901</v>
      </c>
      <c r="G405" s="6" t="str">
        <f>"YP17SUOP02WH"</f>
        <v>YP17SUOP02WH</v>
      </c>
      <c r="H405" s="6" t="s">
        <v>1902</v>
      </c>
      <c r="I405" s="6" t="s">
        <v>1903</v>
      </c>
      <c r="J405" s="6" t="str">
        <f>"mid-line onepiece"</f>
        <v>mid-line onepiece</v>
      </c>
      <c r="K405" s="6">
        <v>0</v>
      </c>
      <c r="L405" s="6">
        <v>0</v>
      </c>
      <c r="M405" s="6">
        <v>0</v>
      </c>
      <c r="N405" s="6" t="str">
        <f>""</f>
        <v/>
      </c>
      <c r="O405" s="6">
        <v>33149</v>
      </c>
      <c r="P405" s="6" t="s">
        <v>1902</v>
      </c>
      <c r="R405" s="6" t="s">
        <v>217</v>
      </c>
      <c r="S405" s="6" t="s">
        <v>1904</v>
      </c>
      <c r="T405" s="6">
        <v>0</v>
      </c>
      <c r="U405" s="6">
        <v>0</v>
      </c>
      <c r="V405" s="6">
        <v>0</v>
      </c>
      <c r="W405" s="6">
        <v>0</v>
      </c>
      <c r="X405" s="6" t="s">
        <v>169</v>
      </c>
      <c r="Z405" s="6" t="s">
        <v>170</v>
      </c>
      <c r="AA405" s="6" t="s">
        <v>171</v>
      </c>
      <c r="AB405" s="6">
        <v>0</v>
      </c>
      <c r="AC405" s="6" t="str">
        <f>""</f>
        <v/>
      </c>
      <c r="AS405" s="6">
        <v>0</v>
      </c>
      <c r="AT405" s="6">
        <v>0</v>
      </c>
    </row>
    <row r="406" spans="2:46">
      <c r="B406" s="6" t="s">
        <v>107</v>
      </c>
      <c r="D406" s="6" t="s">
        <v>1561</v>
      </c>
      <c r="F406" s="6" t="s">
        <v>1905</v>
      </c>
      <c r="G406" s="6" t="str">
        <f>"YP17SUOP02NA"</f>
        <v>YP17SUOP02NA</v>
      </c>
      <c r="H406" s="6" t="s">
        <v>1906</v>
      </c>
      <c r="I406" s="6" t="s">
        <v>1903</v>
      </c>
      <c r="J406" s="6" t="str">
        <f>"mid-line onepiece"</f>
        <v>mid-line onepiece</v>
      </c>
      <c r="K406" s="6">
        <v>0</v>
      </c>
      <c r="L406" s="6">
        <v>0</v>
      </c>
      <c r="M406" s="6">
        <v>0</v>
      </c>
      <c r="N406" s="6" t="str">
        <f>""</f>
        <v/>
      </c>
      <c r="O406" s="6">
        <v>33148</v>
      </c>
      <c r="P406" s="6" t="s">
        <v>1906</v>
      </c>
      <c r="R406" s="6" t="s">
        <v>212</v>
      </c>
      <c r="S406" s="6" t="s">
        <v>1907</v>
      </c>
      <c r="T406" s="6">
        <v>0</v>
      </c>
      <c r="U406" s="6">
        <v>0</v>
      </c>
      <c r="V406" s="6">
        <v>0</v>
      </c>
      <c r="W406" s="6">
        <v>0</v>
      </c>
      <c r="X406" s="6" t="s">
        <v>169</v>
      </c>
      <c r="Z406" s="6" t="s">
        <v>170</v>
      </c>
      <c r="AA406" s="6" t="s">
        <v>171</v>
      </c>
      <c r="AB406" s="6">
        <v>0</v>
      </c>
      <c r="AC406" s="6" t="str">
        <f>""</f>
        <v/>
      </c>
      <c r="AS406" s="6">
        <v>0</v>
      </c>
      <c r="AT406" s="6">
        <v>0</v>
      </c>
    </row>
    <row r="407" spans="2:46">
      <c r="B407" s="6" t="s">
        <v>107</v>
      </c>
      <c r="D407" s="6" t="s">
        <v>1561</v>
      </c>
      <c r="F407" s="6" t="s">
        <v>1908</v>
      </c>
      <c r="G407" s="6" t="str">
        <f>"YP17SUOP01NA"</f>
        <v>YP17SUOP01NA</v>
      </c>
      <c r="H407" s="6" t="s">
        <v>1909</v>
      </c>
      <c r="I407" s="6" t="s">
        <v>1910</v>
      </c>
      <c r="J407" s="6" t="str">
        <f>"white frill onepiece"</f>
        <v>white frill onepiece</v>
      </c>
      <c r="K407" s="6">
        <v>0</v>
      </c>
      <c r="L407" s="6">
        <v>0</v>
      </c>
      <c r="M407" s="6">
        <v>0</v>
      </c>
      <c r="N407" s="6" t="str">
        <f>""</f>
        <v/>
      </c>
      <c r="O407" s="6">
        <v>33146</v>
      </c>
      <c r="P407" s="6" t="s">
        <v>1909</v>
      </c>
      <c r="R407" s="6" t="s">
        <v>212</v>
      </c>
      <c r="S407" s="6" t="s">
        <v>1911</v>
      </c>
      <c r="T407" s="6">
        <v>0</v>
      </c>
      <c r="U407" s="6">
        <v>0</v>
      </c>
      <c r="V407" s="6">
        <v>0</v>
      </c>
      <c r="W407" s="6">
        <v>0</v>
      </c>
      <c r="X407" s="6" t="s">
        <v>169</v>
      </c>
      <c r="Z407" s="6" t="s">
        <v>170</v>
      </c>
      <c r="AA407" s="6" t="s">
        <v>171</v>
      </c>
      <c r="AB407" s="6">
        <v>0</v>
      </c>
      <c r="AC407" s="6" t="str">
        <f>""</f>
        <v/>
      </c>
      <c r="AS407" s="6">
        <v>0</v>
      </c>
      <c r="AT407" s="6">
        <v>0</v>
      </c>
    </row>
    <row r="408" spans="2:46">
      <c r="B408" s="6" t="s">
        <v>107</v>
      </c>
      <c r="D408" s="6" t="s">
        <v>1561</v>
      </c>
      <c r="F408" s="6" t="s">
        <v>1912</v>
      </c>
      <c r="G408" s="6" t="str">
        <f>"YP17SUOP01BE"</f>
        <v>YP17SUOP01BE</v>
      </c>
      <c r="H408" s="6" t="s">
        <v>1913</v>
      </c>
      <c r="I408" s="6" t="s">
        <v>1910</v>
      </c>
      <c r="J408" s="6" t="str">
        <f>"white frill onepiece"</f>
        <v>white frill onepiece</v>
      </c>
      <c r="K408" s="6">
        <v>0</v>
      </c>
      <c r="L408" s="6">
        <v>0</v>
      </c>
      <c r="M408" s="6">
        <v>0</v>
      </c>
      <c r="N408" s="6" t="str">
        <f>""</f>
        <v/>
      </c>
      <c r="O408" s="6">
        <v>33145</v>
      </c>
      <c r="P408" s="6" t="s">
        <v>1913</v>
      </c>
      <c r="R408" s="6" t="s">
        <v>202</v>
      </c>
      <c r="S408" s="6" t="s">
        <v>1914</v>
      </c>
      <c r="T408" s="6">
        <v>0</v>
      </c>
      <c r="U408" s="6">
        <v>0</v>
      </c>
      <c r="V408" s="6">
        <v>0</v>
      </c>
      <c r="W408" s="6">
        <v>0</v>
      </c>
      <c r="X408" s="6" t="s">
        <v>169</v>
      </c>
      <c r="Z408" s="6" t="s">
        <v>170</v>
      </c>
      <c r="AA408" s="6" t="s">
        <v>171</v>
      </c>
      <c r="AB408" s="6">
        <v>0</v>
      </c>
      <c r="AC408" s="6" t="str">
        <f>""</f>
        <v/>
      </c>
      <c r="AS408" s="6">
        <v>0</v>
      </c>
      <c r="AT408" s="6">
        <v>0</v>
      </c>
    </row>
    <row r="409" spans="2:46">
      <c r="B409" s="6" t="s">
        <v>107</v>
      </c>
      <c r="D409" s="6" t="s">
        <v>1561</v>
      </c>
      <c r="F409" s="6" t="s">
        <v>1915</v>
      </c>
      <c r="G409" s="6" t="str">
        <f>"YP17SUSK02NA"</f>
        <v>YP17SUSK02NA</v>
      </c>
      <c r="H409" s="6" t="s">
        <v>1916</v>
      </c>
      <c r="I409" s="6" t="s">
        <v>1917</v>
      </c>
      <c r="J409" s="6" t="str">
        <f>"coloring skirt"</f>
        <v>coloring skirt</v>
      </c>
      <c r="K409" s="6">
        <v>0</v>
      </c>
      <c r="L409" s="6">
        <v>0</v>
      </c>
      <c r="M409" s="6">
        <v>0</v>
      </c>
      <c r="N409" s="6" t="str">
        <f>""</f>
        <v/>
      </c>
      <c r="O409" s="6">
        <v>33143</v>
      </c>
      <c r="P409" s="6" t="s">
        <v>1916</v>
      </c>
      <c r="R409" s="6" t="s">
        <v>212</v>
      </c>
      <c r="S409" s="6" t="s">
        <v>1918</v>
      </c>
      <c r="T409" s="6">
        <v>0</v>
      </c>
      <c r="U409" s="6">
        <v>0</v>
      </c>
      <c r="V409" s="6">
        <v>0</v>
      </c>
      <c r="W409" s="6">
        <v>0</v>
      </c>
      <c r="X409" s="6" t="s">
        <v>169</v>
      </c>
      <c r="Z409" s="6" t="s">
        <v>170</v>
      </c>
      <c r="AA409" s="6" t="s">
        <v>171</v>
      </c>
      <c r="AB409" s="6">
        <v>0</v>
      </c>
      <c r="AC409" s="6" t="str">
        <f>""</f>
        <v/>
      </c>
      <c r="AS409" s="6">
        <v>0</v>
      </c>
      <c r="AT409" s="6">
        <v>0</v>
      </c>
    </row>
    <row r="410" spans="2:46">
      <c r="B410" s="6" t="s">
        <v>107</v>
      </c>
      <c r="D410" s="6" t="s">
        <v>1561</v>
      </c>
      <c r="F410" s="6" t="s">
        <v>1919</v>
      </c>
      <c r="G410" s="6" t="str">
        <f>"YP17SUSK01WH"</f>
        <v>YP17SUSK01WH</v>
      </c>
      <c r="H410" s="6" t="s">
        <v>1920</v>
      </c>
      <c r="I410" s="6" t="s">
        <v>1921</v>
      </c>
      <c r="J410" s="6" t="str">
        <f>"N frill skirt"</f>
        <v>N frill skirt</v>
      </c>
      <c r="K410" s="6">
        <v>0</v>
      </c>
      <c r="L410" s="6">
        <v>0</v>
      </c>
      <c r="M410" s="6">
        <v>0</v>
      </c>
      <c r="N410" s="6" t="str">
        <f>""</f>
        <v/>
      </c>
      <c r="O410" s="6">
        <v>33141</v>
      </c>
      <c r="P410" s="6" t="s">
        <v>1920</v>
      </c>
      <c r="R410" s="6" t="s">
        <v>217</v>
      </c>
      <c r="S410" s="6" t="s">
        <v>1922</v>
      </c>
      <c r="T410" s="6">
        <v>0</v>
      </c>
      <c r="U410" s="6">
        <v>0</v>
      </c>
      <c r="V410" s="6">
        <v>0</v>
      </c>
      <c r="W410" s="6">
        <v>0</v>
      </c>
      <c r="X410" s="6" t="s">
        <v>169</v>
      </c>
      <c r="Z410" s="6" t="s">
        <v>170</v>
      </c>
      <c r="AA410" s="6" t="s">
        <v>171</v>
      </c>
      <c r="AB410" s="6">
        <v>0</v>
      </c>
      <c r="AC410" s="6" t="str">
        <f>""</f>
        <v/>
      </c>
      <c r="AS410" s="6">
        <v>0</v>
      </c>
      <c r="AT410" s="6">
        <v>0</v>
      </c>
    </row>
    <row r="411" spans="2:46">
      <c r="B411" s="6" t="s">
        <v>107</v>
      </c>
      <c r="D411" s="6" t="s">
        <v>1561</v>
      </c>
      <c r="F411" s="6" t="s">
        <v>1923</v>
      </c>
      <c r="G411" s="6" t="str">
        <f>"YP17SUSK01PK"</f>
        <v>YP17SUSK01PK</v>
      </c>
      <c r="H411" s="6" t="s">
        <v>1924</v>
      </c>
      <c r="I411" s="6" t="s">
        <v>1921</v>
      </c>
      <c r="J411" s="6" t="str">
        <f>"N frill skirt"</f>
        <v>N frill skirt</v>
      </c>
      <c r="K411" s="6">
        <v>0</v>
      </c>
      <c r="L411" s="6">
        <v>0</v>
      </c>
      <c r="M411" s="6">
        <v>0</v>
      </c>
      <c r="N411" s="6" t="str">
        <f>""</f>
        <v/>
      </c>
      <c r="O411" s="6">
        <v>33140</v>
      </c>
      <c r="P411" s="6" t="s">
        <v>1924</v>
      </c>
      <c r="R411" s="6" t="s">
        <v>230</v>
      </c>
      <c r="S411" s="6" t="s">
        <v>1925</v>
      </c>
      <c r="T411" s="6">
        <v>0</v>
      </c>
      <c r="U411" s="6">
        <v>0</v>
      </c>
      <c r="V411" s="6">
        <v>0</v>
      </c>
      <c r="W411" s="6">
        <v>0</v>
      </c>
      <c r="X411" s="6" t="s">
        <v>169</v>
      </c>
      <c r="Z411" s="6" t="s">
        <v>170</v>
      </c>
      <c r="AA411" s="6" t="s">
        <v>171</v>
      </c>
      <c r="AB411" s="6">
        <v>0</v>
      </c>
      <c r="AC411" s="6" t="str">
        <f>""</f>
        <v/>
      </c>
      <c r="AS411" s="6">
        <v>0</v>
      </c>
      <c r="AT411" s="6">
        <v>0</v>
      </c>
    </row>
    <row r="412" spans="2:46">
      <c r="B412" s="6" t="s">
        <v>107</v>
      </c>
      <c r="D412" s="6" t="s">
        <v>1561</v>
      </c>
      <c r="F412" s="6" t="s">
        <v>1926</v>
      </c>
      <c r="G412" s="6" t="str">
        <f>"YP17SUPT01NA"</f>
        <v>YP17SUPT01NA</v>
      </c>
      <c r="H412" s="6" t="s">
        <v>1927</v>
      </c>
      <c r="I412" s="6" t="s">
        <v>1928</v>
      </c>
      <c r="J412" s="6" t="str">
        <f>"string pants"</f>
        <v>string pants</v>
      </c>
      <c r="K412" s="6">
        <v>0</v>
      </c>
      <c r="L412" s="6">
        <v>0</v>
      </c>
      <c r="M412" s="6">
        <v>0</v>
      </c>
      <c r="N412" s="6" t="str">
        <f>""</f>
        <v/>
      </c>
      <c r="O412" s="6">
        <v>33138</v>
      </c>
      <c r="P412" s="6" t="s">
        <v>1927</v>
      </c>
      <c r="R412" s="6" t="s">
        <v>212</v>
      </c>
      <c r="S412" s="6" t="s">
        <v>1929</v>
      </c>
      <c r="T412" s="6">
        <v>0</v>
      </c>
      <c r="U412" s="6">
        <v>0</v>
      </c>
      <c r="V412" s="6">
        <v>0</v>
      </c>
      <c r="W412" s="6">
        <v>0</v>
      </c>
      <c r="X412" s="6" t="s">
        <v>169</v>
      </c>
      <c r="Z412" s="6" t="s">
        <v>170</v>
      </c>
      <c r="AA412" s="6" t="s">
        <v>171</v>
      </c>
      <c r="AB412" s="6">
        <v>0</v>
      </c>
      <c r="AC412" s="6" t="str">
        <f>""</f>
        <v/>
      </c>
      <c r="AS412" s="6">
        <v>0</v>
      </c>
      <c r="AT412" s="6">
        <v>0</v>
      </c>
    </row>
    <row r="413" spans="2:46">
      <c r="B413" s="6" t="s">
        <v>107</v>
      </c>
      <c r="D413" s="6" t="s">
        <v>1561</v>
      </c>
      <c r="F413" s="6" t="s">
        <v>1930</v>
      </c>
      <c r="G413" s="6" t="str">
        <f>"YP17SUPT01BK"</f>
        <v>YP17SUPT01BK</v>
      </c>
      <c r="H413" s="6" t="s">
        <v>1931</v>
      </c>
      <c r="I413" s="6" t="s">
        <v>1928</v>
      </c>
      <c r="J413" s="6" t="str">
        <f>"string pants"</f>
        <v>string pants</v>
      </c>
      <c r="K413" s="6">
        <v>0</v>
      </c>
      <c r="L413" s="6">
        <v>0</v>
      </c>
      <c r="M413" s="6">
        <v>0</v>
      </c>
      <c r="N413" s="6" t="str">
        <f>""</f>
        <v/>
      </c>
      <c r="O413" s="6">
        <v>33137</v>
      </c>
      <c r="P413" s="6" t="s">
        <v>1931</v>
      </c>
      <c r="R413" s="6" t="s">
        <v>197</v>
      </c>
      <c r="S413" s="6" t="s">
        <v>1932</v>
      </c>
      <c r="T413" s="6">
        <v>0</v>
      </c>
      <c r="U413" s="6">
        <v>0</v>
      </c>
      <c r="V413" s="6">
        <v>0</v>
      </c>
      <c r="W413" s="6">
        <v>0</v>
      </c>
      <c r="X413" s="6" t="s">
        <v>169</v>
      </c>
      <c r="Z413" s="6" t="s">
        <v>170</v>
      </c>
      <c r="AA413" s="6" t="s">
        <v>171</v>
      </c>
      <c r="AB413" s="6">
        <v>0</v>
      </c>
      <c r="AC413" s="6" t="str">
        <f>""</f>
        <v/>
      </c>
      <c r="AS413" s="6">
        <v>0</v>
      </c>
      <c r="AT413" s="6">
        <v>0</v>
      </c>
    </row>
    <row r="414" spans="2:46">
      <c r="B414" s="6" t="s">
        <v>107</v>
      </c>
      <c r="D414" s="6" t="s">
        <v>1561</v>
      </c>
      <c r="F414" s="6" t="s">
        <v>1933</v>
      </c>
      <c r="G414" s="6" t="str">
        <f>"YP17SUSH04BE"</f>
        <v>YP17SUSH04BE</v>
      </c>
      <c r="H414" s="6" t="s">
        <v>1934</v>
      </c>
      <c r="I414" s="6" t="s">
        <v>1935</v>
      </c>
      <c r="J414" s="6" t="str">
        <f>"white frill shirts"</f>
        <v>white frill shirts</v>
      </c>
      <c r="K414" s="6">
        <v>0</v>
      </c>
      <c r="L414" s="6">
        <v>0</v>
      </c>
      <c r="M414" s="6">
        <v>0</v>
      </c>
      <c r="N414" s="6" t="str">
        <f>""</f>
        <v/>
      </c>
      <c r="O414" s="6">
        <v>33135</v>
      </c>
      <c r="P414" s="6" t="s">
        <v>1934</v>
      </c>
      <c r="R414" s="6" t="s">
        <v>202</v>
      </c>
      <c r="S414" s="6" t="s">
        <v>1936</v>
      </c>
      <c r="T414" s="6">
        <v>0</v>
      </c>
      <c r="U414" s="6">
        <v>0</v>
      </c>
      <c r="V414" s="6">
        <v>0</v>
      </c>
      <c r="W414" s="6">
        <v>0</v>
      </c>
      <c r="X414" s="6" t="s">
        <v>169</v>
      </c>
      <c r="Z414" s="6" t="s">
        <v>170</v>
      </c>
      <c r="AA414" s="6" t="s">
        <v>171</v>
      </c>
      <c r="AB414" s="6">
        <v>0</v>
      </c>
      <c r="AC414" s="6" t="str">
        <f>""</f>
        <v/>
      </c>
      <c r="AS414" s="6">
        <v>0</v>
      </c>
      <c r="AT414" s="6">
        <v>0</v>
      </c>
    </row>
    <row r="415" spans="2:46">
      <c r="B415" s="6" t="s">
        <v>107</v>
      </c>
      <c r="D415" s="6" t="s">
        <v>1561</v>
      </c>
      <c r="F415" s="6" t="s">
        <v>1937</v>
      </c>
      <c r="G415" s="6" t="str">
        <f>"YP17SUSH04NA"</f>
        <v>YP17SUSH04NA</v>
      </c>
      <c r="H415" s="6" t="s">
        <v>1938</v>
      </c>
      <c r="I415" s="6" t="s">
        <v>1935</v>
      </c>
      <c r="J415" s="6" t="str">
        <f>"white frill shirts"</f>
        <v>white frill shirts</v>
      </c>
      <c r="K415" s="6">
        <v>0</v>
      </c>
      <c r="L415" s="6">
        <v>0</v>
      </c>
      <c r="M415" s="6">
        <v>0</v>
      </c>
      <c r="N415" s="6" t="str">
        <f>""</f>
        <v/>
      </c>
      <c r="O415" s="6">
        <v>33134</v>
      </c>
      <c r="P415" s="6" t="s">
        <v>1938</v>
      </c>
      <c r="R415" s="6" t="s">
        <v>212</v>
      </c>
      <c r="S415" s="6" t="s">
        <v>1939</v>
      </c>
      <c r="T415" s="6">
        <v>0</v>
      </c>
      <c r="U415" s="6">
        <v>0</v>
      </c>
      <c r="V415" s="6">
        <v>0</v>
      </c>
      <c r="W415" s="6">
        <v>0</v>
      </c>
      <c r="X415" s="6" t="s">
        <v>169</v>
      </c>
      <c r="Z415" s="6" t="s">
        <v>170</v>
      </c>
      <c r="AA415" s="6" t="s">
        <v>171</v>
      </c>
      <c r="AB415" s="6">
        <v>0</v>
      </c>
      <c r="AC415" s="6" t="str">
        <f>""</f>
        <v/>
      </c>
      <c r="AS415" s="6">
        <v>0</v>
      </c>
      <c r="AT415" s="6">
        <v>0</v>
      </c>
    </row>
    <row r="416" spans="2:46">
      <c r="B416" s="6" t="s">
        <v>107</v>
      </c>
      <c r="D416" s="6" t="s">
        <v>1561</v>
      </c>
      <c r="F416" s="6" t="s">
        <v>1940</v>
      </c>
      <c r="G416" s="6" t="str">
        <f>"YP17SUSH03WH"</f>
        <v>YP17SUSH03WH</v>
      </c>
      <c r="H416" s="6" t="s">
        <v>1941</v>
      </c>
      <c r="I416" s="6" t="s">
        <v>1942</v>
      </c>
      <c r="J416" s="6" t="str">
        <f>"lace shirts"</f>
        <v>lace shirts</v>
      </c>
      <c r="K416" s="6">
        <v>0</v>
      </c>
      <c r="L416" s="6">
        <v>0</v>
      </c>
      <c r="M416" s="6">
        <v>0</v>
      </c>
      <c r="N416" s="6" t="str">
        <f>""</f>
        <v/>
      </c>
      <c r="O416" s="6">
        <v>33132</v>
      </c>
      <c r="P416" s="6" t="s">
        <v>1941</v>
      </c>
      <c r="R416" s="6" t="s">
        <v>217</v>
      </c>
      <c r="S416" s="6" t="s">
        <v>1943</v>
      </c>
      <c r="T416" s="6">
        <v>0</v>
      </c>
      <c r="U416" s="6">
        <v>0</v>
      </c>
      <c r="V416" s="6">
        <v>0</v>
      </c>
      <c r="W416" s="6">
        <v>0</v>
      </c>
      <c r="X416" s="6" t="s">
        <v>169</v>
      </c>
      <c r="Z416" s="6" t="s">
        <v>170</v>
      </c>
      <c r="AA416" s="6" t="s">
        <v>171</v>
      </c>
      <c r="AB416" s="6">
        <v>0</v>
      </c>
      <c r="AC416" s="6" t="str">
        <f>""</f>
        <v/>
      </c>
      <c r="AS416" s="6">
        <v>0</v>
      </c>
      <c r="AT416" s="6">
        <v>0</v>
      </c>
    </row>
    <row r="417" spans="2:46">
      <c r="B417" s="6" t="s">
        <v>107</v>
      </c>
      <c r="D417" s="6" t="s">
        <v>1561</v>
      </c>
      <c r="F417" s="6" t="s">
        <v>1944</v>
      </c>
      <c r="G417" s="6" t="str">
        <f>"YP17SUSH03NA"</f>
        <v>YP17SUSH03NA</v>
      </c>
      <c r="H417" s="6" t="s">
        <v>1945</v>
      </c>
      <c r="I417" s="6" t="s">
        <v>1942</v>
      </c>
      <c r="J417" s="6" t="str">
        <f>"lace shirts"</f>
        <v>lace shirts</v>
      </c>
      <c r="K417" s="6">
        <v>0</v>
      </c>
      <c r="L417" s="6">
        <v>0</v>
      </c>
      <c r="M417" s="6">
        <v>0</v>
      </c>
      <c r="N417" s="6" t="str">
        <f>""</f>
        <v/>
      </c>
      <c r="O417" s="6">
        <v>33131</v>
      </c>
      <c r="P417" s="6" t="s">
        <v>1945</v>
      </c>
      <c r="R417" s="6" t="s">
        <v>212</v>
      </c>
      <c r="S417" s="6" t="s">
        <v>1946</v>
      </c>
      <c r="T417" s="6">
        <v>0</v>
      </c>
      <c r="U417" s="6">
        <v>0</v>
      </c>
      <c r="V417" s="6">
        <v>0</v>
      </c>
      <c r="W417" s="6">
        <v>0</v>
      </c>
      <c r="X417" s="6" t="s">
        <v>169</v>
      </c>
      <c r="Z417" s="6" t="s">
        <v>170</v>
      </c>
      <c r="AA417" s="6" t="s">
        <v>171</v>
      </c>
      <c r="AB417" s="6">
        <v>0</v>
      </c>
      <c r="AC417" s="6" t="str">
        <f>""</f>
        <v/>
      </c>
      <c r="AS417" s="6">
        <v>0</v>
      </c>
      <c r="AT417" s="6">
        <v>0</v>
      </c>
    </row>
    <row r="418" spans="2:46">
      <c r="B418" s="6" t="s">
        <v>107</v>
      </c>
      <c r="D418" s="6" t="s">
        <v>1561</v>
      </c>
      <c r="F418" s="6" t="s">
        <v>1947</v>
      </c>
      <c r="G418" s="6" t="str">
        <f>"YP17SUSH02SK"</f>
        <v>YP17SUSH02SK</v>
      </c>
      <c r="H418" s="6" t="s">
        <v>1948</v>
      </c>
      <c r="I418" s="6" t="s">
        <v>1949</v>
      </c>
      <c r="J418" s="6" t="str">
        <f>"square shirts"</f>
        <v>square shirts</v>
      </c>
      <c r="K418" s="6">
        <v>0</v>
      </c>
      <c r="L418" s="6">
        <v>0</v>
      </c>
      <c r="M418" s="6">
        <v>0</v>
      </c>
      <c r="N418" s="6" t="str">
        <f>""</f>
        <v/>
      </c>
      <c r="O418" s="6">
        <v>33129</v>
      </c>
      <c r="P418" s="6" t="s">
        <v>1948</v>
      </c>
      <c r="R418" s="6" t="s">
        <v>207</v>
      </c>
      <c r="S418" s="6" t="s">
        <v>1950</v>
      </c>
      <c r="T418" s="6">
        <v>0</v>
      </c>
      <c r="U418" s="6">
        <v>0</v>
      </c>
      <c r="V418" s="6">
        <v>0</v>
      </c>
      <c r="W418" s="6">
        <v>0</v>
      </c>
      <c r="X418" s="6" t="s">
        <v>169</v>
      </c>
      <c r="Z418" s="6" t="s">
        <v>170</v>
      </c>
      <c r="AA418" s="6" t="s">
        <v>171</v>
      </c>
      <c r="AB418" s="6">
        <v>0</v>
      </c>
      <c r="AC418" s="6" t="str">
        <f>""</f>
        <v/>
      </c>
      <c r="AS418" s="6">
        <v>0</v>
      </c>
      <c r="AT418" s="6">
        <v>0</v>
      </c>
    </row>
    <row r="419" spans="2:46">
      <c r="B419" s="6" t="s">
        <v>107</v>
      </c>
      <c r="D419" s="6" t="s">
        <v>1561</v>
      </c>
      <c r="F419" s="6" t="s">
        <v>1951</v>
      </c>
      <c r="G419" s="6" t="str">
        <f>"YP17SUSH02WH"</f>
        <v>YP17SUSH02WH</v>
      </c>
      <c r="H419" s="6" t="s">
        <v>1952</v>
      </c>
      <c r="I419" s="6" t="s">
        <v>1949</v>
      </c>
      <c r="J419" s="6" t="str">
        <f>"square shirts"</f>
        <v>square shirts</v>
      </c>
      <c r="K419" s="6">
        <v>0</v>
      </c>
      <c r="L419" s="6">
        <v>0</v>
      </c>
      <c r="M419" s="6">
        <v>0</v>
      </c>
      <c r="N419" s="6" t="str">
        <f>""</f>
        <v/>
      </c>
      <c r="O419" s="6">
        <v>33128</v>
      </c>
      <c r="P419" s="6" t="s">
        <v>1952</v>
      </c>
      <c r="R419" s="6" t="s">
        <v>217</v>
      </c>
      <c r="S419" s="6" t="s">
        <v>1953</v>
      </c>
      <c r="T419" s="6">
        <v>0</v>
      </c>
      <c r="U419" s="6">
        <v>0</v>
      </c>
      <c r="V419" s="6">
        <v>0</v>
      </c>
      <c r="W419" s="6">
        <v>0</v>
      </c>
      <c r="X419" s="6" t="s">
        <v>169</v>
      </c>
      <c r="Z419" s="6" t="s">
        <v>170</v>
      </c>
      <c r="AA419" s="6" t="s">
        <v>171</v>
      </c>
      <c r="AB419" s="6">
        <v>0</v>
      </c>
      <c r="AC419" s="6" t="str">
        <f>""</f>
        <v/>
      </c>
      <c r="AS419" s="6">
        <v>0</v>
      </c>
      <c r="AT419" s="6">
        <v>0</v>
      </c>
    </row>
    <row r="420" spans="2:46">
      <c r="B420" s="6" t="s">
        <v>107</v>
      </c>
      <c r="D420" s="6" t="s">
        <v>1561</v>
      </c>
      <c r="F420" s="6" t="s">
        <v>1954</v>
      </c>
      <c r="G420" s="6" t="str">
        <f>"YP17SUSH01SK"</f>
        <v>YP17SUSH01SK</v>
      </c>
      <c r="H420" s="6" t="s">
        <v>1955</v>
      </c>
      <c r="I420" s="6" t="s">
        <v>1956</v>
      </c>
      <c r="J420" s="6" t="str">
        <f>"diagonal shirts"</f>
        <v>diagonal shirts</v>
      </c>
      <c r="K420" s="6">
        <v>0</v>
      </c>
      <c r="L420" s="6">
        <v>0</v>
      </c>
      <c r="M420" s="6">
        <v>0</v>
      </c>
      <c r="N420" s="6" t="str">
        <f>""</f>
        <v/>
      </c>
      <c r="O420" s="6">
        <v>33126</v>
      </c>
      <c r="P420" s="6" t="s">
        <v>1955</v>
      </c>
      <c r="R420" s="6" t="s">
        <v>207</v>
      </c>
      <c r="S420" s="6" t="s">
        <v>1957</v>
      </c>
      <c r="T420" s="6">
        <v>0</v>
      </c>
      <c r="U420" s="6">
        <v>0</v>
      </c>
      <c r="V420" s="6">
        <v>0</v>
      </c>
      <c r="W420" s="6">
        <v>0</v>
      </c>
      <c r="X420" s="6" t="s">
        <v>169</v>
      </c>
      <c r="Z420" s="6" t="s">
        <v>170</v>
      </c>
      <c r="AA420" s="6" t="s">
        <v>171</v>
      </c>
      <c r="AB420" s="6">
        <v>0</v>
      </c>
      <c r="AC420" s="6" t="str">
        <f>""</f>
        <v/>
      </c>
      <c r="AS420" s="6">
        <v>0</v>
      </c>
      <c r="AT420" s="6">
        <v>0</v>
      </c>
    </row>
    <row r="421" spans="2:46">
      <c r="B421" s="6" t="s">
        <v>107</v>
      </c>
      <c r="D421" s="6" t="s">
        <v>1561</v>
      </c>
      <c r="F421" s="6" t="s">
        <v>1958</v>
      </c>
      <c r="G421" s="6" t="str">
        <f>"YP17SUSH01WH"</f>
        <v>YP17SUSH01WH</v>
      </c>
      <c r="H421" s="6" t="s">
        <v>1959</v>
      </c>
      <c r="I421" s="6" t="s">
        <v>1956</v>
      </c>
      <c r="J421" s="6" t="str">
        <f>"diagonal shirts"</f>
        <v>diagonal shirts</v>
      </c>
      <c r="K421" s="6">
        <v>0</v>
      </c>
      <c r="L421" s="6">
        <v>0</v>
      </c>
      <c r="M421" s="6">
        <v>0</v>
      </c>
      <c r="N421" s="6" t="str">
        <f>""</f>
        <v/>
      </c>
      <c r="O421" s="6">
        <v>33125</v>
      </c>
      <c r="P421" s="6" t="s">
        <v>1959</v>
      </c>
      <c r="R421" s="6" t="s">
        <v>217</v>
      </c>
      <c r="S421" s="6" t="s">
        <v>1960</v>
      </c>
      <c r="T421" s="6">
        <v>0</v>
      </c>
      <c r="U421" s="6">
        <v>0</v>
      </c>
      <c r="V421" s="6">
        <v>0</v>
      </c>
      <c r="W421" s="6">
        <v>0</v>
      </c>
      <c r="X421" s="6" t="s">
        <v>169</v>
      </c>
      <c r="Z421" s="6" t="s">
        <v>170</v>
      </c>
      <c r="AA421" s="6" t="s">
        <v>171</v>
      </c>
      <c r="AB421" s="6">
        <v>0</v>
      </c>
      <c r="AC421" s="6" t="str">
        <f>""</f>
        <v/>
      </c>
      <c r="AS421" s="6">
        <v>0</v>
      </c>
      <c r="AT421" s="6">
        <v>0</v>
      </c>
    </row>
    <row r="422" spans="2:46">
      <c r="B422" s="6" t="s">
        <v>107</v>
      </c>
      <c r="D422" s="6" t="s">
        <v>1561</v>
      </c>
      <c r="F422" s="6" t="s">
        <v>1961</v>
      </c>
      <c r="G422" s="6" t="str">
        <f>"YP17SUTS04BE"</f>
        <v>YP17SUTS04BE</v>
      </c>
      <c r="H422" s="6" t="s">
        <v>1962</v>
      </c>
      <c r="I422" s="6" t="s">
        <v>1963</v>
      </c>
      <c r="J422" s="6" t="str">
        <f>"frill collar T-shirts"</f>
        <v>frill collar T-shirts</v>
      </c>
      <c r="K422" s="6">
        <v>0</v>
      </c>
      <c r="L422" s="6">
        <v>0</v>
      </c>
      <c r="M422" s="6">
        <v>0</v>
      </c>
      <c r="N422" s="6" t="str">
        <f>""</f>
        <v/>
      </c>
      <c r="O422" s="6">
        <v>33123</v>
      </c>
      <c r="P422" s="6" t="s">
        <v>1962</v>
      </c>
      <c r="R422" s="6" t="s">
        <v>202</v>
      </c>
      <c r="S422" s="6" t="s">
        <v>1964</v>
      </c>
      <c r="T422" s="6">
        <v>0</v>
      </c>
      <c r="U422" s="6">
        <v>0</v>
      </c>
      <c r="V422" s="6">
        <v>0</v>
      </c>
      <c r="W422" s="6">
        <v>0</v>
      </c>
      <c r="X422" s="6" t="s">
        <v>169</v>
      </c>
      <c r="Z422" s="6" t="s">
        <v>170</v>
      </c>
      <c r="AA422" s="6" t="s">
        <v>171</v>
      </c>
      <c r="AB422" s="6">
        <v>0</v>
      </c>
      <c r="AC422" s="6" t="str">
        <f>""</f>
        <v/>
      </c>
      <c r="AS422" s="6">
        <v>0</v>
      </c>
      <c r="AT422" s="6">
        <v>0</v>
      </c>
    </row>
    <row r="423" spans="2:46">
      <c r="B423" s="6" t="s">
        <v>107</v>
      </c>
      <c r="D423" s="6" t="s">
        <v>1561</v>
      </c>
      <c r="F423" s="6" t="s">
        <v>1965</v>
      </c>
      <c r="G423" s="6" t="str">
        <f>"YP17SUTS03PK"</f>
        <v>YP17SUTS03PK</v>
      </c>
      <c r="H423" s="6" t="s">
        <v>1966</v>
      </c>
      <c r="I423" s="6" t="s">
        <v>1967</v>
      </c>
      <c r="J423" s="6" t="str">
        <f>"circle stripe  T-shirts"</f>
        <v>circle stripe  T-shirts</v>
      </c>
      <c r="K423" s="6">
        <v>0</v>
      </c>
      <c r="L423" s="6">
        <v>0</v>
      </c>
      <c r="M423" s="6">
        <v>0</v>
      </c>
      <c r="N423" s="6" t="str">
        <f>""</f>
        <v/>
      </c>
      <c r="O423" s="6">
        <v>33121</v>
      </c>
      <c r="P423" s="6" t="s">
        <v>1966</v>
      </c>
      <c r="R423" s="6" t="s">
        <v>230</v>
      </c>
      <c r="S423" s="6" t="s">
        <v>1968</v>
      </c>
      <c r="T423" s="6">
        <v>0</v>
      </c>
      <c r="U423" s="6">
        <v>0</v>
      </c>
      <c r="V423" s="6">
        <v>0</v>
      </c>
      <c r="W423" s="6">
        <v>0</v>
      </c>
      <c r="X423" s="6" t="s">
        <v>169</v>
      </c>
      <c r="Z423" s="6" t="s">
        <v>170</v>
      </c>
      <c r="AA423" s="6" t="s">
        <v>171</v>
      </c>
      <c r="AB423" s="6">
        <v>0</v>
      </c>
      <c r="AC423" s="6" t="str">
        <f>""</f>
        <v/>
      </c>
      <c r="AS423" s="6">
        <v>0</v>
      </c>
      <c r="AT423" s="6">
        <v>0</v>
      </c>
    </row>
    <row r="424" spans="2:46">
      <c r="B424" s="6" t="s">
        <v>107</v>
      </c>
      <c r="D424" s="6" t="s">
        <v>1561</v>
      </c>
      <c r="F424" s="6" t="s">
        <v>1969</v>
      </c>
      <c r="G424" s="6" t="str">
        <f>"YP17SUTS02BK"</f>
        <v>YP17SUTS02BK</v>
      </c>
      <c r="H424" s="6" t="s">
        <v>1970</v>
      </c>
      <c r="I424" s="6" t="s">
        <v>1971</v>
      </c>
      <c r="J424" s="6" t="str">
        <f>"y frill T-shirt"</f>
        <v>y frill T-shirt</v>
      </c>
      <c r="K424" s="6">
        <v>0</v>
      </c>
      <c r="L424" s="6">
        <v>0</v>
      </c>
      <c r="M424" s="6">
        <v>0</v>
      </c>
      <c r="N424" s="6" t="str">
        <f>""</f>
        <v/>
      </c>
      <c r="O424" s="6">
        <v>33119</v>
      </c>
      <c r="P424" s="6" t="s">
        <v>1970</v>
      </c>
      <c r="R424" s="6" t="s">
        <v>197</v>
      </c>
      <c r="S424" s="6" t="s">
        <v>1972</v>
      </c>
      <c r="T424" s="6">
        <v>0</v>
      </c>
      <c r="U424" s="6">
        <v>0</v>
      </c>
      <c r="V424" s="6">
        <v>0</v>
      </c>
      <c r="W424" s="6">
        <v>0</v>
      </c>
      <c r="X424" s="6" t="s">
        <v>169</v>
      </c>
      <c r="Z424" s="6" t="s">
        <v>170</v>
      </c>
      <c r="AA424" s="6" t="s">
        <v>171</v>
      </c>
      <c r="AB424" s="6">
        <v>0</v>
      </c>
      <c r="AC424" s="6" t="str">
        <f>""</f>
        <v/>
      </c>
      <c r="AS424" s="6">
        <v>0</v>
      </c>
      <c r="AT424" s="6">
        <v>0</v>
      </c>
    </row>
    <row r="425" spans="2:46">
      <c r="B425" s="6" t="s">
        <v>107</v>
      </c>
      <c r="D425" s="6" t="s">
        <v>1561</v>
      </c>
      <c r="F425" s="6" t="s">
        <v>1973</v>
      </c>
      <c r="G425" s="6" t="str">
        <f>"YP17SUTS01BR"</f>
        <v>YP17SUTS01BR</v>
      </c>
      <c r="H425" s="6" t="s">
        <v>1974</v>
      </c>
      <c r="I425" s="6" t="s">
        <v>1975</v>
      </c>
      <c r="J425" s="6" t="str">
        <f>"yuppe T-shirts"</f>
        <v>yuppe T-shirts</v>
      </c>
      <c r="K425" s="6">
        <v>0</v>
      </c>
      <c r="L425" s="6">
        <v>0</v>
      </c>
      <c r="M425" s="6">
        <v>0</v>
      </c>
      <c r="N425" s="6" t="str">
        <f>""</f>
        <v/>
      </c>
      <c r="O425" s="6">
        <v>33117</v>
      </c>
      <c r="P425" s="6" t="s">
        <v>1974</v>
      </c>
      <c r="R425" s="6" t="s">
        <v>1976</v>
      </c>
      <c r="S425" s="6" t="s">
        <v>1977</v>
      </c>
      <c r="T425" s="6">
        <v>0</v>
      </c>
      <c r="U425" s="6">
        <v>0</v>
      </c>
      <c r="V425" s="6">
        <v>0</v>
      </c>
      <c r="W425" s="6">
        <v>0</v>
      </c>
      <c r="X425" s="6" t="s">
        <v>169</v>
      </c>
      <c r="Z425" s="6" t="s">
        <v>170</v>
      </c>
      <c r="AA425" s="6" t="s">
        <v>171</v>
      </c>
      <c r="AB425" s="6">
        <v>0</v>
      </c>
      <c r="AC425" s="6" t="str">
        <f>""</f>
        <v/>
      </c>
      <c r="AS425" s="6">
        <v>0</v>
      </c>
      <c r="AT425" s="6">
        <v>0</v>
      </c>
    </row>
    <row r="426" spans="2:46">
      <c r="B426" s="6" t="s">
        <v>107</v>
      </c>
      <c r="D426" s="6" t="s">
        <v>1561</v>
      </c>
      <c r="F426" s="6" t="s">
        <v>1978</v>
      </c>
      <c r="G426" s="6" t="str">
        <f>"YP17WTPT01GR"</f>
        <v>YP17WTPT01GR</v>
      </c>
      <c r="H426" s="6" t="s">
        <v>1979</v>
      </c>
      <c r="I426" s="6" t="s">
        <v>1980</v>
      </c>
      <c r="J426" s="6" t="str">
        <f>"Warm pants_grey"</f>
        <v>Warm pants_grey</v>
      </c>
      <c r="K426" s="6">
        <v>0</v>
      </c>
      <c r="L426" s="6">
        <v>0</v>
      </c>
      <c r="M426" s="6">
        <v>0</v>
      </c>
      <c r="N426" s="6" t="str">
        <f>""</f>
        <v/>
      </c>
      <c r="O426" s="6">
        <v>33115</v>
      </c>
      <c r="P426" s="6" t="s">
        <v>1979</v>
      </c>
      <c r="R426" s="6" t="s">
        <v>1981</v>
      </c>
      <c r="S426" s="6" t="s">
        <v>1982</v>
      </c>
      <c r="T426" s="6">
        <v>0</v>
      </c>
      <c r="U426" s="6">
        <v>0</v>
      </c>
      <c r="V426" s="6">
        <v>0</v>
      </c>
      <c r="W426" s="6">
        <v>0</v>
      </c>
      <c r="X426" s="6" t="s">
        <v>169</v>
      </c>
      <c r="Z426" s="6" t="s">
        <v>170</v>
      </c>
      <c r="AA426" s="6" t="s">
        <v>171</v>
      </c>
      <c r="AB426" s="6">
        <v>0</v>
      </c>
      <c r="AC426" s="6" t="str">
        <f>""</f>
        <v/>
      </c>
      <c r="AS426" s="6">
        <v>0</v>
      </c>
      <c r="AT426" s="6">
        <v>0</v>
      </c>
    </row>
    <row r="427" spans="2:46">
      <c r="B427" s="6" t="s">
        <v>107</v>
      </c>
      <c r="D427" s="6" t="s">
        <v>1561</v>
      </c>
      <c r="F427" s="6" t="s">
        <v>1983</v>
      </c>
      <c r="G427" s="6" t="str">
        <f>"YP17WTPT01BK"</f>
        <v>YP17WTPT01BK</v>
      </c>
      <c r="H427" s="6" t="s">
        <v>1984</v>
      </c>
      <c r="I427" s="6" t="s">
        <v>1985</v>
      </c>
      <c r="J427" s="6" t="str">
        <f>"Warm pants_black"</f>
        <v>Warm pants_black</v>
      </c>
      <c r="K427" s="6">
        <v>0</v>
      </c>
      <c r="L427" s="6">
        <v>0</v>
      </c>
      <c r="M427" s="6">
        <v>0</v>
      </c>
      <c r="N427" s="6" t="str">
        <f>""</f>
        <v/>
      </c>
      <c r="O427" s="6">
        <v>33113</v>
      </c>
      <c r="P427" s="6" t="s">
        <v>1984</v>
      </c>
      <c r="R427" s="6" t="s">
        <v>197</v>
      </c>
      <c r="S427" s="6" t="s">
        <v>1986</v>
      </c>
      <c r="T427" s="6">
        <v>0</v>
      </c>
      <c r="U427" s="6">
        <v>0</v>
      </c>
      <c r="V427" s="6">
        <v>0</v>
      </c>
      <c r="W427" s="6">
        <v>0</v>
      </c>
      <c r="X427" s="6" t="s">
        <v>169</v>
      </c>
      <c r="Z427" s="6" t="s">
        <v>170</v>
      </c>
      <c r="AA427" s="6" t="s">
        <v>171</v>
      </c>
      <c r="AB427" s="6">
        <v>0</v>
      </c>
      <c r="AC427" s="6" t="str">
        <f>""</f>
        <v/>
      </c>
      <c r="AS427" s="6">
        <v>0</v>
      </c>
      <c r="AT427" s="6">
        <v>0</v>
      </c>
    </row>
    <row r="428" spans="2:46">
      <c r="B428" s="6" t="s">
        <v>107</v>
      </c>
      <c r="D428" s="6" t="s">
        <v>1561</v>
      </c>
      <c r="F428" s="6" t="s">
        <v>1987</v>
      </c>
      <c r="G428" s="6" t="str">
        <f>"YP17WTSK02GR"</f>
        <v>YP17WTSK02GR</v>
      </c>
      <c r="H428" s="6" t="s">
        <v>1988</v>
      </c>
      <c r="I428" s="6" t="s">
        <v>1989</v>
      </c>
      <c r="J428" s="6" t="str">
        <f>"Check mermaid skirt_grey"</f>
        <v>Check mermaid skirt_grey</v>
      </c>
      <c r="K428" s="6">
        <v>0</v>
      </c>
      <c r="L428" s="6">
        <v>0</v>
      </c>
      <c r="M428" s="6">
        <v>0</v>
      </c>
      <c r="N428" s="6" t="str">
        <f>""</f>
        <v/>
      </c>
      <c r="O428" s="6">
        <v>33111</v>
      </c>
      <c r="P428" s="6" t="s">
        <v>1988</v>
      </c>
      <c r="R428" s="6" t="s">
        <v>1981</v>
      </c>
      <c r="S428" s="6" t="s">
        <v>1990</v>
      </c>
      <c r="T428" s="6">
        <v>0</v>
      </c>
      <c r="U428" s="6">
        <v>0</v>
      </c>
      <c r="V428" s="6">
        <v>0</v>
      </c>
      <c r="W428" s="6">
        <v>0</v>
      </c>
      <c r="X428" s="6" t="s">
        <v>169</v>
      </c>
      <c r="Z428" s="6" t="s">
        <v>170</v>
      </c>
      <c r="AA428" s="6" t="s">
        <v>171</v>
      </c>
      <c r="AB428" s="6">
        <v>0</v>
      </c>
      <c r="AC428" s="6" t="str">
        <f>""</f>
        <v/>
      </c>
      <c r="AS428" s="6">
        <v>0</v>
      </c>
      <c r="AT428" s="6">
        <v>0</v>
      </c>
    </row>
    <row r="429" spans="2:46">
      <c r="B429" s="6" t="s">
        <v>107</v>
      </c>
      <c r="D429" s="6" t="s">
        <v>1561</v>
      </c>
      <c r="F429" s="6" t="s">
        <v>1991</v>
      </c>
      <c r="G429" s="6" t="str">
        <f>"YP17WTSK02RD"</f>
        <v>YP17WTSK02RD</v>
      </c>
      <c r="H429" s="6" t="s">
        <v>1992</v>
      </c>
      <c r="I429" s="6" t="s">
        <v>1993</v>
      </c>
      <c r="J429" s="6" t="str">
        <f>"Check mermaid skirt_red"</f>
        <v>Check mermaid skirt_red</v>
      </c>
      <c r="K429" s="6">
        <v>0</v>
      </c>
      <c r="L429" s="6">
        <v>0</v>
      </c>
      <c r="M429" s="6">
        <v>0</v>
      </c>
      <c r="N429" s="6" t="str">
        <f>""</f>
        <v/>
      </c>
      <c r="O429" s="6">
        <v>33109</v>
      </c>
      <c r="P429" s="6" t="s">
        <v>1992</v>
      </c>
      <c r="R429" s="6" t="s">
        <v>1994</v>
      </c>
      <c r="S429" s="6" t="s">
        <v>1995</v>
      </c>
      <c r="T429" s="6">
        <v>0</v>
      </c>
      <c r="U429" s="6">
        <v>0</v>
      </c>
      <c r="V429" s="6">
        <v>0</v>
      </c>
      <c r="W429" s="6">
        <v>0</v>
      </c>
      <c r="X429" s="6" t="s">
        <v>169</v>
      </c>
      <c r="Z429" s="6" t="s">
        <v>170</v>
      </c>
      <c r="AA429" s="6" t="s">
        <v>171</v>
      </c>
      <c r="AB429" s="6">
        <v>0</v>
      </c>
      <c r="AC429" s="6" t="str">
        <f>""</f>
        <v/>
      </c>
      <c r="AS429" s="6">
        <v>0</v>
      </c>
      <c r="AT429" s="6">
        <v>0</v>
      </c>
    </row>
    <row r="430" spans="2:46">
      <c r="B430" s="6" t="s">
        <v>107</v>
      </c>
      <c r="D430" s="6" t="s">
        <v>1561</v>
      </c>
      <c r="F430" s="6" t="s">
        <v>1996</v>
      </c>
      <c r="G430" s="6" t="str">
        <f>"YP17WTSK01BK"</f>
        <v>YP17WTSK01BK</v>
      </c>
      <c r="H430" s="6" t="s">
        <v>1997</v>
      </c>
      <c r="I430" s="6" t="s">
        <v>1998</v>
      </c>
      <c r="J430" s="6" t="str">
        <f>"Wave skirt_black"</f>
        <v>Wave skirt_black</v>
      </c>
      <c r="K430" s="6">
        <v>0</v>
      </c>
      <c r="L430" s="6">
        <v>0</v>
      </c>
      <c r="M430" s="6">
        <v>0</v>
      </c>
      <c r="N430" s="6" t="str">
        <f>""</f>
        <v/>
      </c>
      <c r="O430" s="6">
        <v>33107</v>
      </c>
      <c r="P430" s="6" t="s">
        <v>1997</v>
      </c>
      <c r="R430" s="6" t="s">
        <v>197</v>
      </c>
      <c r="S430" s="6" t="s">
        <v>1999</v>
      </c>
      <c r="T430" s="6">
        <v>0</v>
      </c>
      <c r="U430" s="6">
        <v>0</v>
      </c>
      <c r="V430" s="6">
        <v>0</v>
      </c>
      <c r="W430" s="6">
        <v>0</v>
      </c>
      <c r="X430" s="6" t="s">
        <v>169</v>
      </c>
      <c r="Z430" s="6" t="s">
        <v>170</v>
      </c>
      <c r="AA430" s="6" t="s">
        <v>171</v>
      </c>
      <c r="AB430" s="6">
        <v>0</v>
      </c>
      <c r="AC430" s="6" t="str">
        <f>""</f>
        <v/>
      </c>
      <c r="AS430" s="6">
        <v>0</v>
      </c>
      <c r="AT430" s="6">
        <v>0</v>
      </c>
    </row>
    <row r="431" spans="2:46">
      <c r="B431" s="6" t="s">
        <v>107</v>
      </c>
      <c r="D431" s="6" t="s">
        <v>1561</v>
      </c>
      <c r="F431" s="6" t="s">
        <v>2000</v>
      </c>
      <c r="G431" s="6" t="str">
        <f>"YP17WTSK01PK"</f>
        <v>YP17WTSK01PK</v>
      </c>
      <c r="H431" s="6" t="s">
        <v>2001</v>
      </c>
      <c r="I431" s="6" t="s">
        <v>2002</v>
      </c>
      <c r="J431" s="6" t="str">
        <f>"Wave skirt_pink"</f>
        <v>Wave skirt_pink</v>
      </c>
      <c r="K431" s="6">
        <v>0</v>
      </c>
      <c r="L431" s="6">
        <v>0</v>
      </c>
      <c r="M431" s="6">
        <v>0</v>
      </c>
      <c r="N431" s="6" t="str">
        <f>""</f>
        <v/>
      </c>
      <c r="O431" s="6">
        <v>33105</v>
      </c>
      <c r="P431" s="6" t="s">
        <v>2001</v>
      </c>
      <c r="R431" s="6" t="s">
        <v>230</v>
      </c>
      <c r="S431" s="6" t="s">
        <v>2003</v>
      </c>
      <c r="T431" s="6">
        <v>0</v>
      </c>
      <c r="U431" s="6">
        <v>0</v>
      </c>
      <c r="V431" s="6">
        <v>0</v>
      </c>
      <c r="W431" s="6">
        <v>0</v>
      </c>
      <c r="X431" s="6" t="s">
        <v>169</v>
      </c>
      <c r="Z431" s="6" t="s">
        <v>170</v>
      </c>
      <c r="AA431" s="6" t="s">
        <v>171</v>
      </c>
      <c r="AB431" s="6">
        <v>0</v>
      </c>
      <c r="AC431" s="6" t="str">
        <f>""</f>
        <v/>
      </c>
      <c r="AS431" s="6">
        <v>0</v>
      </c>
      <c r="AT431" s="6">
        <v>0</v>
      </c>
    </row>
    <row r="432" spans="2:46">
      <c r="B432" s="6" t="s">
        <v>107</v>
      </c>
      <c r="D432" s="6" t="s">
        <v>1561</v>
      </c>
      <c r="F432" s="6" t="s">
        <v>2004</v>
      </c>
      <c r="G432" s="6" t="str">
        <f>"YP17WTPD01BK"</f>
        <v>YP17WTPD01BK</v>
      </c>
      <c r="H432" s="6" t="s">
        <v>2005</v>
      </c>
      <c r="I432" s="6" t="s">
        <v>2006</v>
      </c>
      <c r="J432" s="6" t="str">
        <f>"Fur padding_black"</f>
        <v>Fur padding_black</v>
      </c>
      <c r="K432" s="6">
        <v>0</v>
      </c>
      <c r="L432" s="6">
        <v>0</v>
      </c>
      <c r="M432" s="6">
        <v>0</v>
      </c>
      <c r="N432" s="6" t="str">
        <f>""</f>
        <v/>
      </c>
      <c r="O432" s="6">
        <v>33103</v>
      </c>
      <c r="P432" s="6" t="s">
        <v>2005</v>
      </c>
      <c r="R432" s="6" t="s">
        <v>197</v>
      </c>
      <c r="S432" s="6" t="s">
        <v>2007</v>
      </c>
      <c r="T432" s="6">
        <v>0</v>
      </c>
      <c r="U432" s="6">
        <v>0</v>
      </c>
      <c r="V432" s="6">
        <v>0</v>
      </c>
      <c r="W432" s="6">
        <v>0</v>
      </c>
      <c r="X432" s="6" t="s">
        <v>169</v>
      </c>
      <c r="Z432" s="6" t="s">
        <v>170</v>
      </c>
      <c r="AA432" s="6" t="s">
        <v>171</v>
      </c>
      <c r="AB432" s="6">
        <v>0</v>
      </c>
      <c r="AC432" s="6" t="str">
        <f>""</f>
        <v/>
      </c>
      <c r="AS432" s="6">
        <v>0</v>
      </c>
      <c r="AT432" s="6">
        <v>0</v>
      </c>
    </row>
    <row r="433" spans="2:46">
      <c r="B433" s="6" t="s">
        <v>107</v>
      </c>
      <c r="D433" s="6" t="s">
        <v>1561</v>
      </c>
      <c r="F433" s="6" t="s">
        <v>2008</v>
      </c>
      <c r="G433" s="6" t="str">
        <f>"YP17WTPD01BE"</f>
        <v>YP17WTPD01BE</v>
      </c>
      <c r="H433" s="6" t="s">
        <v>2009</v>
      </c>
      <c r="I433" s="6" t="s">
        <v>2010</v>
      </c>
      <c r="J433" s="6" t="str">
        <f>"Fur padding_beige"</f>
        <v>Fur padding_beige</v>
      </c>
      <c r="K433" s="6">
        <v>0</v>
      </c>
      <c r="L433" s="6">
        <v>0</v>
      </c>
      <c r="M433" s="6">
        <v>0</v>
      </c>
      <c r="N433" s="6" t="str">
        <f>""</f>
        <v/>
      </c>
      <c r="O433" s="6">
        <v>33101</v>
      </c>
      <c r="P433" s="6" t="s">
        <v>2009</v>
      </c>
      <c r="R433" s="6" t="s">
        <v>202</v>
      </c>
      <c r="S433" s="6" t="s">
        <v>2011</v>
      </c>
      <c r="T433" s="6">
        <v>0</v>
      </c>
      <c r="U433" s="6">
        <v>0</v>
      </c>
      <c r="V433" s="6">
        <v>0</v>
      </c>
      <c r="W433" s="6">
        <v>0</v>
      </c>
      <c r="X433" s="6" t="s">
        <v>169</v>
      </c>
      <c r="Z433" s="6" t="s">
        <v>170</v>
      </c>
      <c r="AA433" s="6" t="s">
        <v>171</v>
      </c>
      <c r="AB433" s="6">
        <v>0</v>
      </c>
      <c r="AC433" s="6" t="str">
        <f>""</f>
        <v/>
      </c>
      <c r="AS433" s="6">
        <v>0</v>
      </c>
      <c r="AT433" s="6">
        <v>0</v>
      </c>
    </row>
    <row r="434" spans="2:46">
      <c r="B434" s="6" t="s">
        <v>107</v>
      </c>
      <c r="D434" s="6" t="s">
        <v>1561</v>
      </c>
      <c r="F434" s="6" t="s">
        <v>2012</v>
      </c>
      <c r="G434" s="6" t="str">
        <f>"YP17WTCT03GR"</f>
        <v>YP17WTCT03GR</v>
      </c>
      <c r="H434" s="6" t="s">
        <v>2013</v>
      </c>
      <c r="I434" s="6" t="s">
        <v>2014</v>
      </c>
      <c r="J434" s="6" t="str">
        <f>"Check long coat_grey"</f>
        <v>Check long coat_grey</v>
      </c>
      <c r="K434" s="6">
        <v>0</v>
      </c>
      <c r="L434" s="6">
        <v>0</v>
      </c>
      <c r="M434" s="6">
        <v>0</v>
      </c>
      <c r="N434" s="6" t="str">
        <f>""</f>
        <v/>
      </c>
      <c r="O434" s="6">
        <v>33099</v>
      </c>
      <c r="P434" s="6" t="s">
        <v>2013</v>
      </c>
      <c r="R434" s="6" t="s">
        <v>1981</v>
      </c>
      <c r="S434" s="6" t="s">
        <v>2015</v>
      </c>
      <c r="T434" s="6">
        <v>0</v>
      </c>
      <c r="U434" s="6">
        <v>0</v>
      </c>
      <c r="V434" s="6">
        <v>0</v>
      </c>
      <c r="W434" s="6">
        <v>0</v>
      </c>
      <c r="X434" s="6" t="s">
        <v>169</v>
      </c>
      <c r="Z434" s="6" t="s">
        <v>170</v>
      </c>
      <c r="AA434" s="6" t="s">
        <v>171</v>
      </c>
      <c r="AB434" s="6">
        <v>0</v>
      </c>
      <c r="AC434" s="6" t="str">
        <f>""</f>
        <v/>
      </c>
      <c r="AS434" s="6">
        <v>0</v>
      </c>
      <c r="AT434" s="6">
        <v>0</v>
      </c>
    </row>
    <row r="435" spans="2:46">
      <c r="B435" s="6" t="s">
        <v>107</v>
      </c>
      <c r="D435" s="6" t="s">
        <v>1561</v>
      </c>
      <c r="F435" s="6" t="s">
        <v>2016</v>
      </c>
      <c r="G435" s="6" t="str">
        <f>"YP17WTCT02GR"</f>
        <v>YP17WTCT02GR</v>
      </c>
      <c r="H435" s="6" t="s">
        <v>2017</v>
      </c>
      <c r="I435" s="6" t="s">
        <v>2018</v>
      </c>
      <c r="J435" s="6" t="str">
        <f>"Half double coat_grey"</f>
        <v>Half double coat_grey</v>
      </c>
      <c r="K435" s="6">
        <v>0</v>
      </c>
      <c r="L435" s="6">
        <v>0</v>
      </c>
      <c r="M435" s="6">
        <v>0</v>
      </c>
      <c r="N435" s="6" t="str">
        <f>""</f>
        <v/>
      </c>
      <c r="O435" s="6">
        <v>33097</v>
      </c>
      <c r="P435" s="6" t="s">
        <v>2017</v>
      </c>
      <c r="R435" s="6" t="s">
        <v>1981</v>
      </c>
      <c r="S435" s="6" t="s">
        <v>2019</v>
      </c>
      <c r="T435" s="6">
        <v>0</v>
      </c>
      <c r="U435" s="6">
        <v>0</v>
      </c>
      <c r="V435" s="6">
        <v>0</v>
      </c>
      <c r="W435" s="6">
        <v>0</v>
      </c>
      <c r="X435" s="6" t="s">
        <v>169</v>
      </c>
      <c r="Z435" s="6" t="s">
        <v>170</v>
      </c>
      <c r="AA435" s="6" t="s">
        <v>171</v>
      </c>
      <c r="AB435" s="6">
        <v>0</v>
      </c>
      <c r="AC435" s="6" t="str">
        <f>""</f>
        <v/>
      </c>
      <c r="AS435" s="6">
        <v>0</v>
      </c>
      <c r="AT435" s="6">
        <v>0</v>
      </c>
    </row>
    <row r="436" spans="2:46">
      <c r="B436" s="6" t="s">
        <v>107</v>
      </c>
      <c r="D436" s="6" t="s">
        <v>1561</v>
      </c>
      <c r="F436" s="6" t="s">
        <v>2020</v>
      </c>
      <c r="G436" s="6" t="str">
        <f>"YP17WTCT02BE"</f>
        <v>YP17WTCT02BE</v>
      </c>
      <c r="H436" s="6" t="s">
        <v>2021</v>
      </c>
      <c r="I436" s="6" t="s">
        <v>2022</v>
      </c>
      <c r="J436" s="6" t="str">
        <f>"Half double coat_beige"</f>
        <v>Half double coat_beige</v>
      </c>
      <c r="K436" s="6">
        <v>0</v>
      </c>
      <c r="L436" s="6">
        <v>0</v>
      </c>
      <c r="M436" s="6">
        <v>0</v>
      </c>
      <c r="N436" s="6" t="str">
        <f>""</f>
        <v/>
      </c>
      <c r="O436" s="6">
        <v>33095</v>
      </c>
      <c r="P436" s="6" t="s">
        <v>2021</v>
      </c>
      <c r="R436" s="6" t="s">
        <v>202</v>
      </c>
      <c r="S436" s="6" t="s">
        <v>2023</v>
      </c>
      <c r="T436" s="6">
        <v>0</v>
      </c>
      <c r="U436" s="6">
        <v>0</v>
      </c>
      <c r="V436" s="6">
        <v>0</v>
      </c>
      <c r="W436" s="6">
        <v>0</v>
      </c>
      <c r="X436" s="6" t="s">
        <v>169</v>
      </c>
      <c r="Z436" s="6" t="s">
        <v>170</v>
      </c>
      <c r="AA436" s="6" t="s">
        <v>171</v>
      </c>
      <c r="AB436" s="6">
        <v>0</v>
      </c>
      <c r="AC436" s="6" t="str">
        <f>""</f>
        <v/>
      </c>
      <c r="AS436" s="6">
        <v>0</v>
      </c>
      <c r="AT436" s="6">
        <v>0</v>
      </c>
    </row>
    <row r="437" spans="2:46">
      <c r="B437" s="6" t="s">
        <v>107</v>
      </c>
      <c r="D437" s="6" t="s">
        <v>1561</v>
      </c>
      <c r="F437" s="6" t="s">
        <v>2024</v>
      </c>
      <c r="G437" s="6" t="str">
        <f>"YP17WTCT01GR"</f>
        <v>YP17WTCT01GR</v>
      </c>
      <c r="H437" s="6" t="s">
        <v>2025</v>
      </c>
      <c r="I437" s="6" t="s">
        <v>2026</v>
      </c>
      <c r="J437" s="6" t="str">
        <f>"Hidden button coat_green"</f>
        <v>Hidden button coat_green</v>
      </c>
      <c r="K437" s="6">
        <v>0</v>
      </c>
      <c r="L437" s="6">
        <v>0</v>
      </c>
      <c r="M437" s="6">
        <v>0</v>
      </c>
      <c r="N437" s="6" t="str">
        <f>""</f>
        <v/>
      </c>
      <c r="O437" s="6">
        <v>33093</v>
      </c>
      <c r="P437" s="6" t="s">
        <v>2025</v>
      </c>
      <c r="R437" s="6" t="s">
        <v>2027</v>
      </c>
      <c r="S437" s="6" t="s">
        <v>2028</v>
      </c>
      <c r="T437" s="6">
        <v>0</v>
      </c>
      <c r="U437" s="6">
        <v>0</v>
      </c>
      <c r="V437" s="6">
        <v>0</v>
      </c>
      <c r="W437" s="6">
        <v>0</v>
      </c>
      <c r="X437" s="6" t="s">
        <v>169</v>
      </c>
      <c r="Z437" s="6" t="s">
        <v>170</v>
      </c>
      <c r="AA437" s="6" t="s">
        <v>171</v>
      </c>
      <c r="AB437" s="6">
        <v>0</v>
      </c>
      <c r="AC437" s="6" t="str">
        <f>""</f>
        <v/>
      </c>
      <c r="AS437" s="6">
        <v>0</v>
      </c>
      <c r="AT437" s="6">
        <v>0</v>
      </c>
    </row>
    <row r="438" spans="2:46">
      <c r="B438" s="6" t="s">
        <v>107</v>
      </c>
      <c r="D438" s="6" t="s">
        <v>1561</v>
      </c>
      <c r="F438" s="6" t="s">
        <v>2029</v>
      </c>
      <c r="G438" s="6" t="str">
        <f>"YP17WTCT01BK"</f>
        <v>YP17WTCT01BK</v>
      </c>
      <c r="H438" s="6" t="s">
        <v>2030</v>
      </c>
      <c r="I438" s="6" t="s">
        <v>2031</v>
      </c>
      <c r="J438" s="6" t="str">
        <f>"Hidden button coat_black"</f>
        <v>Hidden button coat_black</v>
      </c>
      <c r="K438" s="6">
        <v>0</v>
      </c>
      <c r="L438" s="6">
        <v>0</v>
      </c>
      <c r="M438" s="6">
        <v>0</v>
      </c>
      <c r="N438" s="6" t="str">
        <f>""</f>
        <v/>
      </c>
      <c r="O438" s="6">
        <v>33091</v>
      </c>
      <c r="P438" s="6" t="s">
        <v>2030</v>
      </c>
      <c r="R438" s="6" t="s">
        <v>197</v>
      </c>
      <c r="S438" s="6" t="s">
        <v>2032</v>
      </c>
      <c r="T438" s="6">
        <v>0</v>
      </c>
      <c r="U438" s="6">
        <v>0</v>
      </c>
      <c r="V438" s="6">
        <v>0</v>
      </c>
      <c r="W438" s="6">
        <v>0</v>
      </c>
      <c r="X438" s="6" t="s">
        <v>169</v>
      </c>
      <c r="Z438" s="6" t="s">
        <v>170</v>
      </c>
      <c r="AA438" s="6" t="s">
        <v>171</v>
      </c>
      <c r="AB438" s="6">
        <v>0</v>
      </c>
      <c r="AC438" s="6" t="str">
        <f>""</f>
        <v/>
      </c>
      <c r="AS438" s="6">
        <v>0</v>
      </c>
      <c r="AT438" s="6">
        <v>0</v>
      </c>
    </row>
    <row r="439" spans="2:46">
      <c r="B439" s="6" t="s">
        <v>107</v>
      </c>
      <c r="D439" s="6" t="s">
        <v>1561</v>
      </c>
      <c r="F439" s="6" t="s">
        <v>2033</v>
      </c>
      <c r="G439" s="6" t="str">
        <f>"YP17WTOP01BK"</f>
        <v>YP17WTOP01BK</v>
      </c>
      <c r="H439" s="6" t="s">
        <v>2034</v>
      </c>
      <c r="I439" s="6" t="s">
        <v>2035</v>
      </c>
      <c r="J439" s="6" t="str">
        <f>"V frill onepiece_black"</f>
        <v>V frill onepiece_black</v>
      </c>
      <c r="K439" s="6">
        <v>0</v>
      </c>
      <c r="L439" s="6">
        <v>0</v>
      </c>
      <c r="M439" s="6">
        <v>0</v>
      </c>
      <c r="N439" s="6" t="str">
        <f>""</f>
        <v/>
      </c>
      <c r="O439" s="6">
        <v>33089</v>
      </c>
      <c r="P439" s="6" t="s">
        <v>2034</v>
      </c>
      <c r="R439" s="6" t="s">
        <v>197</v>
      </c>
      <c r="S439" s="6" t="s">
        <v>2036</v>
      </c>
      <c r="T439" s="6">
        <v>0</v>
      </c>
      <c r="U439" s="6">
        <v>0</v>
      </c>
      <c r="V439" s="6">
        <v>0</v>
      </c>
      <c r="W439" s="6">
        <v>0</v>
      </c>
      <c r="X439" s="6" t="s">
        <v>169</v>
      </c>
      <c r="Z439" s="6" t="s">
        <v>170</v>
      </c>
      <c r="AA439" s="6" t="s">
        <v>171</v>
      </c>
      <c r="AB439" s="6">
        <v>0</v>
      </c>
      <c r="AC439" s="6" t="str">
        <f>""</f>
        <v/>
      </c>
      <c r="AS439" s="6">
        <v>0</v>
      </c>
      <c r="AT439" s="6">
        <v>0</v>
      </c>
    </row>
    <row r="440" spans="2:46">
      <c r="B440" s="6" t="s">
        <v>107</v>
      </c>
      <c r="D440" s="6" t="s">
        <v>1561</v>
      </c>
      <c r="F440" s="6" t="s">
        <v>2037</v>
      </c>
      <c r="G440" s="6" t="str">
        <f>"YP17WTOP01PK"</f>
        <v>YP17WTOP01PK</v>
      </c>
      <c r="H440" s="6" t="s">
        <v>2038</v>
      </c>
      <c r="I440" s="6" t="s">
        <v>2039</v>
      </c>
      <c r="J440" s="6" t="str">
        <f>"V frill onepiece_pink"</f>
        <v>V frill onepiece_pink</v>
      </c>
      <c r="K440" s="6">
        <v>0</v>
      </c>
      <c r="L440" s="6">
        <v>0</v>
      </c>
      <c r="M440" s="6">
        <v>0</v>
      </c>
      <c r="N440" s="6" t="str">
        <f>""</f>
        <v/>
      </c>
      <c r="O440" s="6">
        <v>33087</v>
      </c>
      <c r="P440" s="6" t="s">
        <v>2038</v>
      </c>
      <c r="R440" s="6" t="s">
        <v>230</v>
      </c>
      <c r="S440" s="6" t="s">
        <v>2040</v>
      </c>
      <c r="T440" s="6">
        <v>0</v>
      </c>
      <c r="U440" s="6">
        <v>0</v>
      </c>
      <c r="V440" s="6">
        <v>0</v>
      </c>
      <c r="W440" s="6">
        <v>0</v>
      </c>
      <c r="X440" s="6" t="s">
        <v>169</v>
      </c>
      <c r="Z440" s="6" t="s">
        <v>170</v>
      </c>
      <c r="AA440" s="6" t="s">
        <v>171</v>
      </c>
      <c r="AB440" s="6">
        <v>0</v>
      </c>
      <c r="AC440" s="6" t="str">
        <f>""</f>
        <v/>
      </c>
      <c r="AS440" s="6">
        <v>0</v>
      </c>
      <c r="AT440" s="6">
        <v>0</v>
      </c>
    </row>
    <row r="441" spans="2:46">
      <c r="B441" s="6" t="s">
        <v>107</v>
      </c>
      <c r="D441" s="6" t="s">
        <v>1561</v>
      </c>
      <c r="F441" s="6" t="s">
        <v>2041</v>
      </c>
      <c r="G441" s="6" t="str">
        <f>"YP17WTKT02KH"</f>
        <v>YP17WTKT02KH</v>
      </c>
      <c r="H441" s="6" t="s">
        <v>2042</v>
      </c>
      <c r="I441" s="6" t="s">
        <v>2043</v>
      </c>
      <c r="J441" s="6" t="str">
        <f>"Twist knit_khaki"</f>
        <v>Twist knit_khaki</v>
      </c>
      <c r="K441" s="6">
        <v>0</v>
      </c>
      <c r="L441" s="6">
        <v>0</v>
      </c>
      <c r="M441" s="6">
        <v>0</v>
      </c>
      <c r="N441" s="6" t="str">
        <f>""</f>
        <v/>
      </c>
      <c r="O441" s="6">
        <v>33085</v>
      </c>
      <c r="P441" s="6" t="s">
        <v>2042</v>
      </c>
      <c r="R441" s="6" t="s">
        <v>2044</v>
      </c>
      <c r="S441" s="6" t="s">
        <v>2045</v>
      </c>
      <c r="T441" s="6">
        <v>0</v>
      </c>
      <c r="U441" s="6">
        <v>0</v>
      </c>
      <c r="V441" s="6">
        <v>0</v>
      </c>
      <c r="W441" s="6">
        <v>0</v>
      </c>
      <c r="X441" s="6" t="s">
        <v>169</v>
      </c>
      <c r="Z441" s="6" t="s">
        <v>170</v>
      </c>
      <c r="AA441" s="6" t="s">
        <v>171</v>
      </c>
      <c r="AB441" s="6">
        <v>0</v>
      </c>
      <c r="AC441" s="6" t="str">
        <f>""</f>
        <v/>
      </c>
      <c r="AS441" s="6">
        <v>0</v>
      </c>
      <c r="AT441" s="6">
        <v>0</v>
      </c>
    </row>
    <row r="442" spans="2:46">
      <c r="B442" s="6" t="s">
        <v>107</v>
      </c>
      <c r="D442" s="6" t="s">
        <v>1561</v>
      </c>
      <c r="F442" s="6" t="s">
        <v>2046</v>
      </c>
      <c r="G442" s="6" t="str">
        <f>"YP17WTKT02SK"</f>
        <v>YP17WTKT02SK</v>
      </c>
      <c r="H442" s="6" t="s">
        <v>2047</v>
      </c>
      <c r="I442" s="6" t="s">
        <v>2048</v>
      </c>
      <c r="J442" s="6" t="str">
        <f>"Twist knit_skyblue"</f>
        <v>Twist knit_skyblue</v>
      </c>
      <c r="K442" s="6">
        <v>0</v>
      </c>
      <c r="L442" s="6">
        <v>0</v>
      </c>
      <c r="M442" s="6">
        <v>0</v>
      </c>
      <c r="N442" s="6" t="str">
        <f>""</f>
        <v/>
      </c>
      <c r="O442" s="6">
        <v>33083</v>
      </c>
      <c r="P442" s="6" t="s">
        <v>2047</v>
      </c>
      <c r="R442" s="6" t="s">
        <v>207</v>
      </c>
      <c r="S442" s="6" t="s">
        <v>2049</v>
      </c>
      <c r="T442" s="6">
        <v>0</v>
      </c>
      <c r="U442" s="6">
        <v>0</v>
      </c>
      <c r="V442" s="6">
        <v>0</v>
      </c>
      <c r="W442" s="6">
        <v>0</v>
      </c>
      <c r="X442" s="6" t="s">
        <v>169</v>
      </c>
      <c r="Z442" s="6" t="s">
        <v>170</v>
      </c>
      <c r="AA442" s="6" t="s">
        <v>171</v>
      </c>
      <c r="AB442" s="6">
        <v>0</v>
      </c>
      <c r="AC442" s="6" t="str">
        <f>""</f>
        <v/>
      </c>
      <c r="AS442" s="6">
        <v>0</v>
      </c>
      <c r="AT442" s="6">
        <v>0</v>
      </c>
    </row>
    <row r="443" spans="2:46">
      <c r="B443" s="6" t="s">
        <v>107</v>
      </c>
      <c r="D443" s="6" t="s">
        <v>1561</v>
      </c>
      <c r="F443" s="6" t="s">
        <v>2050</v>
      </c>
      <c r="G443" s="6" t="str">
        <f>"3174232101969208"</f>
        <v>3174232101969208</v>
      </c>
      <c r="H443" s="6">
        <v>3174232101969200</v>
      </c>
      <c r="I443" s="6" t="s">
        <v>2051</v>
      </c>
      <c r="J443" s="6" t="str">
        <f>"Stripe flare knit_ivory"</f>
        <v>Stripe flare knit_ivory</v>
      </c>
      <c r="K443" s="6">
        <v>0</v>
      </c>
      <c r="L443" s="6">
        <v>0</v>
      </c>
      <c r="M443" s="6">
        <v>0</v>
      </c>
      <c r="N443" s="6" t="str">
        <f>""</f>
        <v/>
      </c>
      <c r="O443" s="6">
        <v>33081</v>
      </c>
      <c r="P443" s="6" t="s">
        <v>2052</v>
      </c>
      <c r="R443" s="6" t="s">
        <v>1861</v>
      </c>
      <c r="S443" s="6" t="s">
        <v>2053</v>
      </c>
      <c r="T443" s="6">
        <v>0</v>
      </c>
      <c r="U443" s="6">
        <v>0</v>
      </c>
      <c r="V443" s="6">
        <v>0</v>
      </c>
      <c r="W443" s="6">
        <v>0</v>
      </c>
      <c r="X443" s="6" t="s">
        <v>169</v>
      </c>
      <c r="Z443" s="6" t="s">
        <v>170</v>
      </c>
      <c r="AA443" s="6" t="s">
        <v>171</v>
      </c>
      <c r="AB443" s="6">
        <v>0</v>
      </c>
      <c r="AC443" s="6" t="str">
        <f>""</f>
        <v/>
      </c>
      <c r="AS443" s="6">
        <v>0</v>
      </c>
      <c r="AT443" s="6">
        <v>0</v>
      </c>
    </row>
    <row r="444" spans="2:46">
      <c r="B444" s="6" t="s">
        <v>107</v>
      </c>
      <c r="D444" s="6" t="s">
        <v>1561</v>
      </c>
      <c r="F444" s="6" t="s">
        <v>2054</v>
      </c>
      <c r="G444" s="6" t="str">
        <f>"3174232101918208"</f>
        <v>3174232101918208</v>
      </c>
      <c r="H444" s="6">
        <v>3174232101918200</v>
      </c>
      <c r="I444" s="6" t="s">
        <v>2055</v>
      </c>
      <c r="J444" s="6" t="str">
        <f>"Stripe flare knit_navy"</f>
        <v>Stripe flare knit_navy</v>
      </c>
      <c r="K444" s="6">
        <v>0</v>
      </c>
      <c r="L444" s="6">
        <v>0</v>
      </c>
      <c r="M444" s="6">
        <v>0</v>
      </c>
      <c r="N444" s="6" t="str">
        <f>""</f>
        <v/>
      </c>
      <c r="O444" s="6">
        <v>33079</v>
      </c>
      <c r="P444" s="6" t="s">
        <v>2056</v>
      </c>
      <c r="R444" s="6" t="s">
        <v>212</v>
      </c>
      <c r="S444" s="6" t="s">
        <v>2057</v>
      </c>
      <c r="T444" s="6">
        <v>0</v>
      </c>
      <c r="U444" s="6">
        <v>0</v>
      </c>
      <c r="V444" s="6">
        <v>0</v>
      </c>
      <c r="W444" s="6">
        <v>0</v>
      </c>
      <c r="X444" s="6" t="s">
        <v>169</v>
      </c>
      <c r="Z444" s="6" t="s">
        <v>170</v>
      </c>
      <c r="AA444" s="6" t="s">
        <v>171</v>
      </c>
      <c r="AB444" s="6">
        <v>0</v>
      </c>
      <c r="AC444" s="6" t="str">
        <f>""</f>
        <v/>
      </c>
      <c r="AS444" s="6">
        <v>0</v>
      </c>
      <c r="AT444" s="6">
        <v>0</v>
      </c>
    </row>
    <row r="445" spans="2:46">
      <c r="B445" s="6" t="s">
        <v>107</v>
      </c>
      <c r="D445" s="6" t="s">
        <v>1561</v>
      </c>
      <c r="F445" s="6" t="s">
        <v>2058</v>
      </c>
      <c r="G445" s="6" t="str">
        <f>"3174212101323208"</f>
        <v>3174212101323208</v>
      </c>
      <c r="H445" s="6">
        <v>3174212101323200</v>
      </c>
      <c r="I445" s="6" t="s">
        <v>2059</v>
      </c>
      <c r="J445" s="6" t="str">
        <f>"Tie shirts_skyblue"</f>
        <v>Tie shirts_skyblue</v>
      </c>
      <c r="K445" s="6">
        <v>0</v>
      </c>
      <c r="L445" s="6">
        <v>0</v>
      </c>
      <c r="M445" s="6">
        <v>0</v>
      </c>
      <c r="N445" s="6" t="str">
        <f>""</f>
        <v/>
      </c>
      <c r="O445" s="6">
        <v>33077</v>
      </c>
      <c r="P445" s="6" t="s">
        <v>2060</v>
      </c>
      <c r="R445" s="6" t="s">
        <v>207</v>
      </c>
      <c r="S445" s="6" t="s">
        <v>2061</v>
      </c>
      <c r="T445" s="6">
        <v>0</v>
      </c>
      <c r="U445" s="6">
        <v>0</v>
      </c>
      <c r="V445" s="6">
        <v>0</v>
      </c>
      <c r="W445" s="6">
        <v>0</v>
      </c>
      <c r="X445" s="6" t="s">
        <v>169</v>
      </c>
      <c r="Z445" s="6" t="s">
        <v>170</v>
      </c>
      <c r="AA445" s="6" t="s">
        <v>171</v>
      </c>
      <c r="AB445" s="6">
        <v>0</v>
      </c>
      <c r="AC445" s="6" t="str">
        <f>""</f>
        <v/>
      </c>
      <c r="AS445" s="6">
        <v>0</v>
      </c>
      <c r="AT445" s="6">
        <v>0</v>
      </c>
    </row>
    <row r="446" spans="2:46">
      <c r="B446" s="6" t="s">
        <v>107</v>
      </c>
      <c r="D446" s="6" t="s">
        <v>1561</v>
      </c>
      <c r="F446" s="6" t="s">
        <v>2062</v>
      </c>
      <c r="G446" s="6" t="str">
        <f>"YP17WTSH01WH"</f>
        <v>YP17WTSH01WH</v>
      </c>
      <c r="H446" s="6" t="s">
        <v>2063</v>
      </c>
      <c r="I446" s="6" t="s">
        <v>2064</v>
      </c>
      <c r="J446" s="6" t="str">
        <f>"Tie shirts_white"</f>
        <v>Tie shirts_white</v>
      </c>
      <c r="K446" s="6">
        <v>0</v>
      </c>
      <c r="L446" s="6">
        <v>0</v>
      </c>
      <c r="M446" s="6">
        <v>0</v>
      </c>
      <c r="N446" s="6" t="str">
        <f>""</f>
        <v/>
      </c>
      <c r="O446" s="6">
        <v>33075</v>
      </c>
      <c r="P446" s="6" t="s">
        <v>2063</v>
      </c>
      <c r="R446" s="6" t="s">
        <v>217</v>
      </c>
      <c r="S446" s="6" t="s">
        <v>2065</v>
      </c>
      <c r="T446" s="6">
        <v>0</v>
      </c>
      <c r="U446" s="6">
        <v>0</v>
      </c>
      <c r="V446" s="6">
        <v>0</v>
      </c>
      <c r="W446" s="6">
        <v>0</v>
      </c>
      <c r="X446" s="6" t="s">
        <v>169</v>
      </c>
      <c r="Z446" s="6" t="s">
        <v>170</v>
      </c>
      <c r="AA446" s="6" t="s">
        <v>171</v>
      </c>
      <c r="AB446" s="6">
        <v>0</v>
      </c>
      <c r="AC446" s="6" t="str">
        <f>""</f>
        <v/>
      </c>
      <c r="AS446" s="6">
        <v>0</v>
      </c>
      <c r="AT446" s="6">
        <v>0</v>
      </c>
    </row>
    <row r="447" spans="2:46">
      <c r="B447" s="6" t="s">
        <v>107</v>
      </c>
      <c r="D447" s="6" t="s">
        <v>1561</v>
      </c>
      <c r="F447" s="6" t="s">
        <v>2066</v>
      </c>
      <c r="G447" s="6" t="str">
        <f>"YP17WTTS04NA"</f>
        <v>YP17WTTS04NA</v>
      </c>
      <c r="H447" s="6" t="s">
        <v>2067</v>
      </c>
      <c r="I447" s="6" t="s">
        <v>2068</v>
      </c>
      <c r="J447" s="6" t="str">
        <f>"Y rib hoodie_navy"</f>
        <v>Y rib hoodie_navy</v>
      </c>
      <c r="K447" s="6">
        <v>0</v>
      </c>
      <c r="L447" s="6">
        <v>0</v>
      </c>
      <c r="M447" s="6">
        <v>0</v>
      </c>
      <c r="N447" s="6" t="str">
        <f>""</f>
        <v/>
      </c>
      <c r="O447" s="6">
        <v>33073</v>
      </c>
      <c r="P447" s="6" t="s">
        <v>2067</v>
      </c>
      <c r="R447" s="6" t="s">
        <v>212</v>
      </c>
      <c r="S447" s="6" t="s">
        <v>2069</v>
      </c>
      <c r="T447" s="6">
        <v>0</v>
      </c>
      <c r="U447" s="6">
        <v>0</v>
      </c>
      <c r="V447" s="6">
        <v>0</v>
      </c>
      <c r="W447" s="6">
        <v>0</v>
      </c>
      <c r="X447" s="6" t="s">
        <v>169</v>
      </c>
      <c r="Z447" s="6" t="s">
        <v>170</v>
      </c>
      <c r="AA447" s="6" t="s">
        <v>171</v>
      </c>
      <c r="AB447" s="6">
        <v>0</v>
      </c>
      <c r="AC447" s="6" t="str">
        <f>""</f>
        <v/>
      </c>
      <c r="AS447" s="6">
        <v>0</v>
      </c>
      <c r="AT447" s="6">
        <v>0</v>
      </c>
    </row>
    <row r="448" spans="2:46">
      <c r="B448" s="6" t="s">
        <v>107</v>
      </c>
      <c r="D448" s="6" t="s">
        <v>1561</v>
      </c>
      <c r="F448" s="6" t="s">
        <v>2070</v>
      </c>
      <c r="G448" s="6" t="str">
        <f>"YP17WTTS04GR"</f>
        <v>YP17WTTS04GR</v>
      </c>
      <c r="H448" s="6" t="s">
        <v>2071</v>
      </c>
      <c r="I448" s="6" t="s">
        <v>2072</v>
      </c>
      <c r="J448" s="6" t="str">
        <f>"Y rib hoodie_green"</f>
        <v>Y rib hoodie_green</v>
      </c>
      <c r="K448" s="6">
        <v>0</v>
      </c>
      <c r="L448" s="6">
        <v>0</v>
      </c>
      <c r="M448" s="6">
        <v>0</v>
      </c>
      <c r="N448" s="6" t="str">
        <f>""</f>
        <v/>
      </c>
      <c r="O448" s="6">
        <v>33071</v>
      </c>
      <c r="P448" s="6" t="s">
        <v>2071</v>
      </c>
      <c r="R448" s="6" t="s">
        <v>2027</v>
      </c>
      <c r="S448" s="6" t="s">
        <v>2073</v>
      </c>
      <c r="T448" s="6">
        <v>0</v>
      </c>
      <c r="U448" s="6">
        <v>0</v>
      </c>
      <c r="V448" s="6">
        <v>0</v>
      </c>
      <c r="W448" s="6">
        <v>0</v>
      </c>
      <c r="X448" s="6" t="s">
        <v>169</v>
      </c>
      <c r="Z448" s="6" t="s">
        <v>170</v>
      </c>
      <c r="AA448" s="6" t="s">
        <v>171</v>
      </c>
      <c r="AB448" s="6">
        <v>0</v>
      </c>
      <c r="AC448" s="6" t="str">
        <f>""</f>
        <v/>
      </c>
      <c r="AS448" s="6">
        <v>0</v>
      </c>
      <c r="AT448" s="6">
        <v>0</v>
      </c>
    </row>
    <row r="449" spans="2:46">
      <c r="B449" s="6" t="s">
        <v>107</v>
      </c>
      <c r="D449" s="6" t="s">
        <v>1561</v>
      </c>
      <c r="F449" s="6" t="s">
        <v>2074</v>
      </c>
      <c r="G449" s="6" t="str">
        <f>"YP17WTTS03BK"</f>
        <v>YP17WTTS03BK</v>
      </c>
      <c r="H449" s="6" t="s">
        <v>2075</v>
      </c>
      <c r="I449" s="6" t="s">
        <v>2076</v>
      </c>
      <c r="J449" s="6" t="str">
        <f>"Cross rib mtm_black"</f>
        <v>Cross rib mtm_black</v>
      </c>
      <c r="K449" s="6">
        <v>0</v>
      </c>
      <c r="L449" s="6">
        <v>0</v>
      </c>
      <c r="M449" s="6">
        <v>0</v>
      </c>
      <c r="N449" s="6" t="str">
        <f>""</f>
        <v/>
      </c>
      <c r="O449" s="6">
        <v>33069</v>
      </c>
      <c r="P449" s="6" t="s">
        <v>2075</v>
      </c>
      <c r="R449" s="6" t="s">
        <v>197</v>
      </c>
      <c r="S449" s="6" t="s">
        <v>2077</v>
      </c>
      <c r="T449" s="6">
        <v>0</v>
      </c>
      <c r="U449" s="6">
        <v>0</v>
      </c>
      <c r="V449" s="6">
        <v>0</v>
      </c>
      <c r="W449" s="6">
        <v>0</v>
      </c>
      <c r="X449" s="6" t="s">
        <v>169</v>
      </c>
      <c r="Z449" s="6" t="s">
        <v>170</v>
      </c>
      <c r="AA449" s="6" t="s">
        <v>171</v>
      </c>
      <c r="AB449" s="6">
        <v>0</v>
      </c>
      <c r="AC449" s="6" t="str">
        <f>""</f>
        <v/>
      </c>
      <c r="AS449" s="6">
        <v>0</v>
      </c>
      <c r="AT449" s="6">
        <v>0</v>
      </c>
    </row>
    <row r="450" spans="2:46">
      <c r="B450" s="6" t="s">
        <v>107</v>
      </c>
      <c r="D450" s="6" t="s">
        <v>1561</v>
      </c>
      <c r="F450" s="6" t="s">
        <v>2078</v>
      </c>
      <c r="G450" s="6" t="str">
        <f>"YP17WTTS03WH"</f>
        <v>YP17WTTS03WH</v>
      </c>
      <c r="H450" s="6" t="s">
        <v>2079</v>
      </c>
      <c r="I450" s="6" t="s">
        <v>2080</v>
      </c>
      <c r="J450" s="6" t="str">
        <f>"Cross rib mtm_white"</f>
        <v>Cross rib mtm_white</v>
      </c>
      <c r="K450" s="6">
        <v>0</v>
      </c>
      <c r="L450" s="6">
        <v>0</v>
      </c>
      <c r="M450" s="6">
        <v>0</v>
      </c>
      <c r="N450" s="6" t="str">
        <f>""</f>
        <v/>
      </c>
      <c r="O450" s="6">
        <v>33067</v>
      </c>
      <c r="P450" s="6" t="s">
        <v>2079</v>
      </c>
      <c r="R450" s="6" t="s">
        <v>217</v>
      </c>
      <c r="S450" s="6" t="s">
        <v>2081</v>
      </c>
      <c r="T450" s="6">
        <v>0</v>
      </c>
      <c r="U450" s="6">
        <v>0</v>
      </c>
      <c r="V450" s="6">
        <v>0</v>
      </c>
      <c r="W450" s="6">
        <v>0</v>
      </c>
      <c r="X450" s="6" t="s">
        <v>169</v>
      </c>
      <c r="Z450" s="6" t="s">
        <v>170</v>
      </c>
      <c r="AA450" s="6" t="s">
        <v>171</v>
      </c>
      <c r="AB450" s="6">
        <v>0</v>
      </c>
      <c r="AC450" s="6" t="str">
        <f>""</f>
        <v/>
      </c>
      <c r="AS450" s="6">
        <v>0</v>
      </c>
      <c r="AT450" s="6">
        <v>0</v>
      </c>
    </row>
    <row r="451" spans="2:46">
      <c r="B451" s="6" t="s">
        <v>107</v>
      </c>
      <c r="D451" s="6" t="s">
        <v>1561</v>
      </c>
      <c r="F451" s="6" t="s">
        <v>2082</v>
      </c>
      <c r="G451" s="6" t="str">
        <f>"YP17WTTS02GR"</f>
        <v>YP17WTTS02GR</v>
      </c>
      <c r="H451" s="6" t="s">
        <v>2083</v>
      </c>
      <c r="I451" s="6" t="s">
        <v>2084</v>
      </c>
      <c r="J451" s="6" t="str">
        <f>"Open Raglan mtm_grey"</f>
        <v>Open Raglan mtm_grey</v>
      </c>
      <c r="K451" s="6">
        <v>0</v>
      </c>
      <c r="L451" s="6">
        <v>0</v>
      </c>
      <c r="M451" s="6">
        <v>0</v>
      </c>
      <c r="N451" s="6" t="str">
        <f>""</f>
        <v/>
      </c>
      <c r="O451" s="6">
        <v>33065</v>
      </c>
      <c r="P451" s="6" t="s">
        <v>2083</v>
      </c>
      <c r="R451" s="6" t="s">
        <v>1981</v>
      </c>
      <c r="S451" s="6" t="s">
        <v>2085</v>
      </c>
      <c r="T451" s="6">
        <v>0</v>
      </c>
      <c r="U451" s="6">
        <v>0</v>
      </c>
      <c r="V451" s="6">
        <v>0</v>
      </c>
      <c r="W451" s="6">
        <v>0</v>
      </c>
      <c r="X451" s="6" t="s">
        <v>169</v>
      </c>
      <c r="Z451" s="6" t="s">
        <v>170</v>
      </c>
      <c r="AA451" s="6" t="s">
        <v>171</v>
      </c>
      <c r="AB451" s="6">
        <v>0</v>
      </c>
      <c r="AC451" s="6" t="str">
        <f>""</f>
        <v/>
      </c>
      <c r="AS451" s="6">
        <v>0</v>
      </c>
      <c r="AT451" s="6">
        <v>0</v>
      </c>
    </row>
    <row r="452" spans="2:46">
      <c r="B452" s="6" t="s">
        <v>107</v>
      </c>
      <c r="D452" s="6" t="s">
        <v>1561</v>
      </c>
      <c r="F452" s="6" t="s">
        <v>2086</v>
      </c>
      <c r="G452" s="6" t="str">
        <f>"YP17WTTS02BR"</f>
        <v>YP17WTTS02BR</v>
      </c>
      <c r="H452" s="6" t="s">
        <v>2087</v>
      </c>
      <c r="I452" s="6" t="s">
        <v>2088</v>
      </c>
      <c r="J452" s="6" t="str">
        <f>"Open Raglan mtm_brown"</f>
        <v>Open Raglan mtm_brown</v>
      </c>
      <c r="K452" s="6">
        <v>0</v>
      </c>
      <c r="L452" s="6">
        <v>0</v>
      </c>
      <c r="M452" s="6">
        <v>0</v>
      </c>
      <c r="N452" s="6" t="str">
        <f>""</f>
        <v/>
      </c>
      <c r="O452" s="6">
        <v>33063</v>
      </c>
      <c r="P452" s="6" t="s">
        <v>2087</v>
      </c>
      <c r="R452" s="6" t="s">
        <v>1976</v>
      </c>
      <c r="S452" s="6" t="s">
        <v>2089</v>
      </c>
      <c r="T452" s="6">
        <v>0</v>
      </c>
      <c r="U452" s="6">
        <v>0</v>
      </c>
      <c r="V452" s="6">
        <v>0</v>
      </c>
      <c r="W452" s="6">
        <v>0</v>
      </c>
      <c r="X452" s="6" t="s">
        <v>169</v>
      </c>
      <c r="Z452" s="6" t="s">
        <v>170</v>
      </c>
      <c r="AA452" s="6" t="s">
        <v>171</v>
      </c>
      <c r="AB452" s="6">
        <v>0</v>
      </c>
      <c r="AC452" s="6" t="str">
        <f>""</f>
        <v/>
      </c>
      <c r="AS452" s="6">
        <v>0</v>
      </c>
      <c r="AT452" s="6">
        <v>0</v>
      </c>
    </row>
    <row r="453" spans="2:46">
      <c r="B453" s="6" t="s">
        <v>107</v>
      </c>
      <c r="D453" s="6" t="s">
        <v>1561</v>
      </c>
      <c r="F453" s="6" t="s">
        <v>2090</v>
      </c>
      <c r="G453" s="6" t="str">
        <f>"YP17WTTS01CH"</f>
        <v>YP17WTTS01CH</v>
      </c>
      <c r="H453" s="6" t="s">
        <v>2091</v>
      </c>
      <c r="I453" s="6" t="s">
        <v>2092</v>
      </c>
      <c r="J453" s="6" t="str">
        <f>"Frill Turtleneck T_charcoal"</f>
        <v>Frill Turtleneck T_charcoal</v>
      </c>
      <c r="K453" s="6">
        <v>0</v>
      </c>
      <c r="L453" s="6">
        <v>0</v>
      </c>
      <c r="M453" s="6">
        <v>0</v>
      </c>
      <c r="N453" s="6" t="str">
        <f>""</f>
        <v/>
      </c>
      <c r="O453" s="6">
        <v>33061</v>
      </c>
      <c r="P453" s="6" t="s">
        <v>2091</v>
      </c>
      <c r="R453" s="6" t="s">
        <v>2093</v>
      </c>
      <c r="S453" s="6" t="s">
        <v>2094</v>
      </c>
      <c r="T453" s="6">
        <v>0</v>
      </c>
      <c r="U453" s="6">
        <v>0</v>
      </c>
      <c r="V453" s="6">
        <v>0</v>
      </c>
      <c r="W453" s="6">
        <v>0</v>
      </c>
      <c r="X453" s="6" t="s">
        <v>169</v>
      </c>
      <c r="Z453" s="6" t="s">
        <v>170</v>
      </c>
      <c r="AA453" s="6" t="s">
        <v>171</v>
      </c>
      <c r="AB453" s="6">
        <v>0</v>
      </c>
      <c r="AC453" s="6" t="str">
        <f>""</f>
        <v/>
      </c>
      <c r="AS453" s="6">
        <v>0</v>
      </c>
      <c r="AT453" s="6">
        <v>0</v>
      </c>
    </row>
    <row r="454" spans="2:46">
      <c r="B454" s="6" t="s">
        <v>107</v>
      </c>
      <c r="D454" s="6" t="s">
        <v>1561</v>
      </c>
      <c r="F454" s="6" t="s">
        <v>2095</v>
      </c>
      <c r="G454" s="6" t="str">
        <f>"YP17WTTS01BK"</f>
        <v>YP17WTTS01BK</v>
      </c>
      <c r="H454" s="6" t="s">
        <v>2096</v>
      </c>
      <c r="I454" s="6" t="s">
        <v>2097</v>
      </c>
      <c r="J454" s="6" t="str">
        <f>"Frill Turtleneck T_black"</f>
        <v>Frill Turtleneck T_black</v>
      </c>
      <c r="K454" s="6">
        <v>0</v>
      </c>
      <c r="L454" s="6">
        <v>0</v>
      </c>
      <c r="M454" s="6">
        <v>0</v>
      </c>
      <c r="N454" s="6" t="str">
        <f>""</f>
        <v/>
      </c>
      <c r="O454" s="6">
        <v>33059</v>
      </c>
      <c r="P454" s="6" t="s">
        <v>2096</v>
      </c>
      <c r="R454" s="6" t="s">
        <v>197</v>
      </c>
      <c r="S454" s="6" t="s">
        <v>2098</v>
      </c>
      <c r="T454" s="6">
        <v>0</v>
      </c>
      <c r="U454" s="6">
        <v>0</v>
      </c>
      <c r="V454" s="6">
        <v>0</v>
      </c>
      <c r="W454" s="6">
        <v>0</v>
      </c>
      <c r="X454" s="6" t="s">
        <v>169</v>
      </c>
      <c r="Z454" s="6" t="s">
        <v>170</v>
      </c>
      <c r="AA454" s="6" t="s">
        <v>171</v>
      </c>
      <c r="AB454" s="6">
        <v>0</v>
      </c>
      <c r="AC454" s="6" t="str">
        <f>""</f>
        <v/>
      </c>
      <c r="AS454" s="6">
        <v>0</v>
      </c>
      <c r="AT454" s="6">
        <v>0</v>
      </c>
    </row>
    <row r="455" spans="2:46">
      <c r="B455" s="6" t="s">
        <v>107</v>
      </c>
      <c r="D455" s="6" t="s">
        <v>1561</v>
      </c>
      <c r="F455" s="6" t="s">
        <v>2099</v>
      </c>
      <c r="G455" s="6" t="str">
        <f>"3177512200374120"</f>
        <v>3177512200374120</v>
      </c>
      <c r="H455" s="6">
        <v>3177512200374120</v>
      </c>
      <c r="I455" s="6" t="s">
        <v>2100</v>
      </c>
      <c r="J455" s="6" t="str">
        <f>"ribbon canvasbag"</f>
        <v>ribbon canvasbag</v>
      </c>
      <c r="K455" s="6">
        <v>0</v>
      </c>
      <c r="L455" s="6">
        <v>0</v>
      </c>
      <c r="M455" s="6">
        <v>0</v>
      </c>
      <c r="N455" s="6" t="str">
        <f>""</f>
        <v/>
      </c>
      <c r="O455" s="6">
        <v>33057</v>
      </c>
      <c r="P455" s="6" t="s">
        <v>2101</v>
      </c>
      <c r="R455" s="6" t="s">
        <v>2102</v>
      </c>
      <c r="S455" s="6" t="s">
        <v>2103</v>
      </c>
      <c r="T455" s="6">
        <v>0</v>
      </c>
      <c r="U455" s="6">
        <v>0</v>
      </c>
      <c r="V455" s="6">
        <v>0</v>
      </c>
      <c r="W455" s="6">
        <v>0</v>
      </c>
      <c r="X455" s="6" t="s">
        <v>169</v>
      </c>
      <c r="Z455" s="6" t="s">
        <v>170</v>
      </c>
      <c r="AA455" s="6" t="s">
        <v>171</v>
      </c>
      <c r="AB455" s="6">
        <v>0</v>
      </c>
      <c r="AC455" s="6" t="str">
        <f>""</f>
        <v/>
      </c>
      <c r="AS455" s="6">
        <v>0</v>
      </c>
      <c r="AT455" s="6">
        <v>0</v>
      </c>
    </row>
    <row r="456" spans="2:46">
      <c r="B456" s="6" t="s">
        <v>107</v>
      </c>
      <c r="D456" s="6" t="s">
        <v>1561</v>
      </c>
      <c r="F456" s="6" t="s">
        <v>2104</v>
      </c>
      <c r="G456" s="6" t="str">
        <f>"3177512200399120"</f>
        <v>3177512200399120</v>
      </c>
      <c r="H456" s="6">
        <v>3177512200399120</v>
      </c>
      <c r="I456" s="6" t="s">
        <v>2100</v>
      </c>
      <c r="J456" s="6" t="str">
        <f>"ribbon canvasbag"</f>
        <v>ribbon canvasbag</v>
      </c>
      <c r="K456" s="6">
        <v>0</v>
      </c>
      <c r="L456" s="6">
        <v>0</v>
      </c>
      <c r="M456" s="6">
        <v>0</v>
      </c>
      <c r="N456" s="6" t="str">
        <f>""</f>
        <v/>
      </c>
      <c r="O456" s="6">
        <v>33056</v>
      </c>
      <c r="P456" s="6" t="s">
        <v>2105</v>
      </c>
      <c r="R456" s="6" t="s">
        <v>2106</v>
      </c>
      <c r="S456" s="6" t="s">
        <v>2107</v>
      </c>
      <c r="T456" s="6">
        <v>0</v>
      </c>
      <c r="U456" s="6">
        <v>0</v>
      </c>
      <c r="V456" s="6">
        <v>0</v>
      </c>
      <c r="W456" s="6">
        <v>0</v>
      </c>
      <c r="X456" s="6" t="s">
        <v>169</v>
      </c>
      <c r="Z456" s="6" t="s">
        <v>170</v>
      </c>
      <c r="AA456" s="6" t="s">
        <v>171</v>
      </c>
      <c r="AB456" s="6">
        <v>0</v>
      </c>
      <c r="AC456" s="6" t="str">
        <f>""</f>
        <v/>
      </c>
      <c r="AS456" s="6">
        <v>0</v>
      </c>
      <c r="AT456" s="6">
        <v>0</v>
      </c>
    </row>
    <row r="457" spans="2:46">
      <c r="B457" s="6" t="s">
        <v>107</v>
      </c>
      <c r="D457" s="6" t="s">
        <v>1561</v>
      </c>
      <c r="F457" s="6" t="s">
        <v>2108</v>
      </c>
      <c r="G457" s="6" t="str">
        <f>"3173312100130320"</f>
        <v>3173312100130320</v>
      </c>
      <c r="H457" s="6">
        <v>3173312100130320</v>
      </c>
      <c r="I457" s="6" t="s">
        <v>2109</v>
      </c>
      <c r="J457" s="6" t="str">
        <f>"frill pants"</f>
        <v>frill pants</v>
      </c>
      <c r="K457" s="6">
        <v>0</v>
      </c>
      <c r="L457" s="6">
        <v>0</v>
      </c>
      <c r="M457" s="6">
        <v>0</v>
      </c>
      <c r="N457" s="6" t="str">
        <f>""</f>
        <v/>
      </c>
      <c r="O457" s="6">
        <v>33054</v>
      </c>
      <c r="P457" s="6" t="s">
        <v>2110</v>
      </c>
      <c r="R457" s="6" t="s">
        <v>2111</v>
      </c>
      <c r="S457" s="6" t="s">
        <v>2112</v>
      </c>
      <c r="T457" s="6">
        <v>0</v>
      </c>
      <c r="U457" s="6">
        <v>0</v>
      </c>
      <c r="V457" s="6">
        <v>0</v>
      </c>
      <c r="W457" s="6">
        <v>0</v>
      </c>
      <c r="X457" s="6" t="s">
        <v>169</v>
      </c>
      <c r="Z457" s="6" t="s">
        <v>170</v>
      </c>
      <c r="AA457" s="6" t="s">
        <v>171</v>
      </c>
      <c r="AB457" s="6">
        <v>0</v>
      </c>
      <c r="AC457" s="6" t="str">
        <f>""</f>
        <v/>
      </c>
      <c r="AS457" s="6">
        <v>0</v>
      </c>
      <c r="AT457" s="6">
        <v>0</v>
      </c>
    </row>
    <row r="458" spans="2:46">
      <c r="B458" s="6" t="s">
        <v>107</v>
      </c>
      <c r="D458" s="6" t="s">
        <v>1561</v>
      </c>
      <c r="F458" s="6" t="s">
        <v>2113</v>
      </c>
      <c r="G458" s="6" t="str">
        <f>"3173312100199320"</f>
        <v>3173312100199320</v>
      </c>
      <c r="H458" s="6">
        <v>3173312100199320</v>
      </c>
      <c r="I458" s="6" t="s">
        <v>2109</v>
      </c>
      <c r="J458" s="6" t="str">
        <f>"frill pants"</f>
        <v>frill pants</v>
      </c>
      <c r="K458" s="6">
        <v>0</v>
      </c>
      <c r="L458" s="6">
        <v>0</v>
      </c>
      <c r="M458" s="6">
        <v>0</v>
      </c>
      <c r="N458" s="6" t="str">
        <f>""</f>
        <v/>
      </c>
      <c r="O458" s="6">
        <v>33053</v>
      </c>
      <c r="P458" s="6" t="s">
        <v>2114</v>
      </c>
      <c r="R458" s="6" t="s">
        <v>2106</v>
      </c>
      <c r="S458" s="6" t="s">
        <v>2115</v>
      </c>
      <c r="T458" s="6">
        <v>0</v>
      </c>
      <c r="U458" s="6">
        <v>0</v>
      </c>
      <c r="V458" s="6">
        <v>0</v>
      </c>
      <c r="W458" s="6">
        <v>0</v>
      </c>
      <c r="X458" s="6" t="s">
        <v>169</v>
      </c>
      <c r="Z458" s="6" t="s">
        <v>170</v>
      </c>
      <c r="AA458" s="6" t="s">
        <v>171</v>
      </c>
      <c r="AB458" s="6">
        <v>0</v>
      </c>
      <c r="AC458" s="6" t="str">
        <f>""</f>
        <v/>
      </c>
      <c r="AS458" s="6">
        <v>0</v>
      </c>
      <c r="AT458" s="6">
        <v>0</v>
      </c>
    </row>
    <row r="459" spans="2:46">
      <c r="B459" s="6" t="s">
        <v>107</v>
      </c>
      <c r="D459" s="6" t="s">
        <v>1561</v>
      </c>
      <c r="F459" s="6" t="s">
        <v>2116</v>
      </c>
      <c r="G459" s="6" t="str">
        <f>"3177332105675320"</f>
        <v>3177332105675320</v>
      </c>
      <c r="H459" s="6">
        <v>3177332105675320</v>
      </c>
      <c r="I459" s="6" t="s">
        <v>2117</v>
      </c>
      <c r="J459" s="6" t="str">
        <f>"ribbon string skirt"</f>
        <v>ribbon string skirt</v>
      </c>
      <c r="K459" s="6">
        <v>0</v>
      </c>
      <c r="L459" s="6">
        <v>0</v>
      </c>
      <c r="M459" s="6">
        <v>0</v>
      </c>
      <c r="N459" s="6" t="str">
        <f>""</f>
        <v/>
      </c>
      <c r="O459" s="6">
        <v>33051</v>
      </c>
      <c r="P459" s="6" t="s">
        <v>2118</v>
      </c>
      <c r="R459" s="6" t="s">
        <v>2119</v>
      </c>
      <c r="S459" s="6" t="s">
        <v>2120</v>
      </c>
      <c r="T459" s="6">
        <v>0</v>
      </c>
      <c r="U459" s="6">
        <v>0</v>
      </c>
      <c r="V459" s="6">
        <v>0</v>
      </c>
      <c r="W459" s="6">
        <v>0</v>
      </c>
      <c r="X459" s="6" t="s">
        <v>169</v>
      </c>
      <c r="Z459" s="6" t="s">
        <v>170</v>
      </c>
      <c r="AA459" s="6" t="s">
        <v>171</v>
      </c>
      <c r="AB459" s="6">
        <v>0</v>
      </c>
      <c r="AC459" s="6" t="str">
        <f>""</f>
        <v/>
      </c>
      <c r="AS459" s="6">
        <v>0</v>
      </c>
      <c r="AT459" s="6">
        <v>0</v>
      </c>
    </row>
    <row r="460" spans="2:46">
      <c r="B460" s="6" t="s">
        <v>107</v>
      </c>
      <c r="D460" s="6" t="s">
        <v>1561</v>
      </c>
      <c r="F460" s="6" t="s">
        <v>2121</v>
      </c>
      <c r="G460" s="6" t="str">
        <f>"3177332105699320"</f>
        <v>3177332105699320</v>
      </c>
      <c r="H460" s="6">
        <v>3177332105699320</v>
      </c>
      <c r="I460" s="6" t="s">
        <v>2117</v>
      </c>
      <c r="J460" s="6" t="str">
        <f>"ribbon string skirt"</f>
        <v>ribbon string skirt</v>
      </c>
      <c r="K460" s="6">
        <v>0</v>
      </c>
      <c r="L460" s="6">
        <v>0</v>
      </c>
      <c r="M460" s="6">
        <v>0</v>
      </c>
      <c r="N460" s="6" t="str">
        <f>""</f>
        <v/>
      </c>
      <c r="O460" s="6">
        <v>33050</v>
      </c>
      <c r="P460" s="6" t="s">
        <v>2122</v>
      </c>
      <c r="R460" s="6" t="s">
        <v>2106</v>
      </c>
      <c r="S460" s="6" t="s">
        <v>2123</v>
      </c>
      <c r="T460" s="6">
        <v>0</v>
      </c>
      <c r="U460" s="6">
        <v>0</v>
      </c>
      <c r="V460" s="6">
        <v>0</v>
      </c>
      <c r="W460" s="6">
        <v>0</v>
      </c>
      <c r="X460" s="6" t="s">
        <v>169</v>
      </c>
      <c r="Z460" s="6" t="s">
        <v>170</v>
      </c>
      <c r="AA460" s="6" t="s">
        <v>171</v>
      </c>
      <c r="AB460" s="6">
        <v>0</v>
      </c>
      <c r="AC460" s="6" t="str">
        <f>""</f>
        <v/>
      </c>
      <c r="AS460" s="6">
        <v>0</v>
      </c>
      <c r="AT460" s="6">
        <v>0</v>
      </c>
    </row>
    <row r="461" spans="2:46">
      <c r="B461" s="6" t="s">
        <v>107</v>
      </c>
      <c r="D461" s="6" t="s">
        <v>1561</v>
      </c>
      <c r="F461" s="6" t="s">
        <v>2124</v>
      </c>
      <c r="G461" s="6" t="str">
        <f>"3177332105730320"</f>
        <v>3177332105730320</v>
      </c>
      <c r="H461" s="6">
        <v>3177332105730320</v>
      </c>
      <c r="I461" s="6" t="s">
        <v>2125</v>
      </c>
      <c r="J461" s="6" t="str">
        <f>"triangle skirt"</f>
        <v>triangle skirt</v>
      </c>
      <c r="K461" s="6">
        <v>0</v>
      </c>
      <c r="L461" s="6">
        <v>0</v>
      </c>
      <c r="M461" s="6">
        <v>0</v>
      </c>
      <c r="N461" s="6" t="str">
        <f>""</f>
        <v/>
      </c>
      <c r="O461" s="6">
        <v>33048</v>
      </c>
      <c r="P461" s="6" t="s">
        <v>2126</v>
      </c>
      <c r="R461" s="6" t="s">
        <v>2111</v>
      </c>
      <c r="S461" s="6" t="s">
        <v>2127</v>
      </c>
      <c r="T461" s="6">
        <v>0</v>
      </c>
      <c r="U461" s="6">
        <v>0</v>
      </c>
      <c r="V461" s="6">
        <v>0</v>
      </c>
      <c r="W461" s="6">
        <v>0</v>
      </c>
      <c r="X461" s="6" t="s">
        <v>169</v>
      </c>
      <c r="Z461" s="6" t="s">
        <v>170</v>
      </c>
      <c r="AA461" s="6" t="s">
        <v>171</v>
      </c>
      <c r="AB461" s="6">
        <v>0</v>
      </c>
      <c r="AC461" s="6" t="str">
        <f>""</f>
        <v/>
      </c>
      <c r="AS461" s="6">
        <v>0</v>
      </c>
      <c r="AT461" s="6">
        <v>0</v>
      </c>
    </row>
    <row r="462" spans="2:46">
      <c r="B462" s="6" t="s">
        <v>107</v>
      </c>
      <c r="D462" s="6" t="s">
        <v>1561</v>
      </c>
      <c r="F462" s="6" t="s">
        <v>2128</v>
      </c>
      <c r="G462" s="6" t="str">
        <f>"3177332105799320"</f>
        <v>3177332105799320</v>
      </c>
      <c r="H462" s="6">
        <v>3177332105799320</v>
      </c>
      <c r="I462" s="6" t="s">
        <v>2125</v>
      </c>
      <c r="J462" s="6" t="str">
        <f>"triangle skirt"</f>
        <v>triangle skirt</v>
      </c>
      <c r="K462" s="6">
        <v>0</v>
      </c>
      <c r="L462" s="6">
        <v>0</v>
      </c>
      <c r="M462" s="6">
        <v>0</v>
      </c>
      <c r="N462" s="6" t="str">
        <f>""</f>
        <v/>
      </c>
      <c r="O462" s="6">
        <v>33047</v>
      </c>
      <c r="P462" s="6" t="s">
        <v>2129</v>
      </c>
      <c r="R462" s="6" t="s">
        <v>2106</v>
      </c>
      <c r="S462" s="6" t="s">
        <v>2130</v>
      </c>
      <c r="T462" s="6">
        <v>0</v>
      </c>
      <c r="U462" s="6">
        <v>0</v>
      </c>
      <c r="V462" s="6">
        <v>0</v>
      </c>
      <c r="W462" s="6">
        <v>0</v>
      </c>
      <c r="X462" s="6" t="s">
        <v>169</v>
      </c>
      <c r="Z462" s="6" t="s">
        <v>170</v>
      </c>
      <c r="AA462" s="6" t="s">
        <v>171</v>
      </c>
      <c r="AB462" s="6">
        <v>0</v>
      </c>
      <c r="AC462" s="6" t="str">
        <f>""</f>
        <v/>
      </c>
      <c r="AS462" s="6">
        <v>0</v>
      </c>
      <c r="AT462" s="6">
        <v>0</v>
      </c>
    </row>
    <row r="463" spans="2:46">
      <c r="B463" s="6" t="s">
        <v>107</v>
      </c>
      <c r="D463" s="6" t="s">
        <v>1561</v>
      </c>
      <c r="F463" s="6" t="s">
        <v>2131</v>
      </c>
      <c r="G463" s="6" t="str">
        <f>"3177252105130208"</f>
        <v>3177252105130208</v>
      </c>
      <c r="H463" s="6">
        <v>3177252105130200</v>
      </c>
      <c r="I463" s="6" t="s">
        <v>2132</v>
      </c>
      <c r="J463" s="6" t="str">
        <f>"shirring onepiece"</f>
        <v>shirring onepiece</v>
      </c>
      <c r="K463" s="6">
        <v>0</v>
      </c>
      <c r="L463" s="6">
        <v>0</v>
      </c>
      <c r="M463" s="6">
        <v>0</v>
      </c>
      <c r="N463" s="6" t="str">
        <f>""</f>
        <v/>
      </c>
      <c r="O463" s="6">
        <v>33045</v>
      </c>
      <c r="P463" s="6" t="s">
        <v>2133</v>
      </c>
      <c r="R463" s="6" t="s">
        <v>2111</v>
      </c>
      <c r="S463" s="6" t="s">
        <v>2134</v>
      </c>
      <c r="T463" s="6">
        <v>0</v>
      </c>
      <c r="U463" s="6">
        <v>0</v>
      </c>
      <c r="V463" s="6">
        <v>0</v>
      </c>
      <c r="W463" s="6">
        <v>0</v>
      </c>
      <c r="X463" s="6" t="s">
        <v>169</v>
      </c>
      <c r="Z463" s="6" t="s">
        <v>170</v>
      </c>
      <c r="AA463" s="6" t="s">
        <v>171</v>
      </c>
      <c r="AB463" s="6">
        <v>0</v>
      </c>
      <c r="AC463" s="6" t="str">
        <f>""</f>
        <v/>
      </c>
      <c r="AS463" s="6">
        <v>0</v>
      </c>
      <c r="AT463" s="6">
        <v>0</v>
      </c>
    </row>
    <row r="464" spans="2:46">
      <c r="B464" s="6" t="s">
        <v>107</v>
      </c>
      <c r="D464" s="6" t="s">
        <v>1561</v>
      </c>
      <c r="F464" s="6" t="s">
        <v>2135</v>
      </c>
      <c r="G464" s="6" t="str">
        <f>"3177252105199208"</f>
        <v>3177252105199208</v>
      </c>
      <c r="H464" s="6">
        <v>3177252105199200</v>
      </c>
      <c r="I464" s="6" t="s">
        <v>2132</v>
      </c>
      <c r="J464" s="6" t="str">
        <f>"shirring onepiece"</f>
        <v>shirring onepiece</v>
      </c>
      <c r="K464" s="6">
        <v>0</v>
      </c>
      <c r="L464" s="6">
        <v>0</v>
      </c>
      <c r="M464" s="6">
        <v>0</v>
      </c>
      <c r="N464" s="6" t="str">
        <f>""</f>
        <v/>
      </c>
      <c r="O464" s="6">
        <v>33044</v>
      </c>
      <c r="P464" s="6" t="s">
        <v>2136</v>
      </c>
      <c r="R464" s="6" t="s">
        <v>2106</v>
      </c>
      <c r="S464" s="6" t="s">
        <v>2137</v>
      </c>
      <c r="T464" s="6">
        <v>0</v>
      </c>
      <c r="U464" s="6">
        <v>0</v>
      </c>
      <c r="V464" s="6">
        <v>0</v>
      </c>
      <c r="W464" s="6">
        <v>0</v>
      </c>
      <c r="X464" s="6" t="s">
        <v>169</v>
      </c>
      <c r="Z464" s="6" t="s">
        <v>170</v>
      </c>
      <c r="AA464" s="6" t="s">
        <v>171</v>
      </c>
      <c r="AB464" s="6">
        <v>0</v>
      </c>
      <c r="AC464" s="6" t="str">
        <f>""</f>
        <v/>
      </c>
      <c r="AS464" s="6">
        <v>0</v>
      </c>
      <c r="AT464" s="6">
        <v>0</v>
      </c>
    </row>
    <row r="465" spans="2:46">
      <c r="B465" s="6" t="s">
        <v>107</v>
      </c>
      <c r="D465" s="6" t="s">
        <v>1561</v>
      </c>
      <c r="F465" s="6" t="s">
        <v>2138</v>
      </c>
      <c r="G465" s="6" t="str">
        <f>"3177132102675208"</f>
        <v>3177132102675208</v>
      </c>
      <c r="H465" s="6">
        <v>3177132102675200</v>
      </c>
      <c r="I465" s="6" t="s">
        <v>2139</v>
      </c>
      <c r="J465" s="6" t="str">
        <f>"check jacket"</f>
        <v>check jacket</v>
      </c>
      <c r="K465" s="6">
        <v>0</v>
      </c>
      <c r="L465" s="6">
        <v>0</v>
      </c>
      <c r="M465" s="6">
        <v>0</v>
      </c>
      <c r="N465" s="6" t="str">
        <f>""</f>
        <v/>
      </c>
      <c r="O465" s="6">
        <v>33042</v>
      </c>
      <c r="P465" s="6" t="s">
        <v>2140</v>
      </c>
      <c r="R465" s="6" t="s">
        <v>2119</v>
      </c>
      <c r="S465" s="6" t="s">
        <v>2141</v>
      </c>
      <c r="T465" s="6">
        <v>0</v>
      </c>
      <c r="U465" s="6">
        <v>0</v>
      </c>
      <c r="V465" s="6">
        <v>0</v>
      </c>
      <c r="W465" s="6">
        <v>0</v>
      </c>
      <c r="X465" s="6" t="s">
        <v>169</v>
      </c>
      <c r="Z465" s="6" t="s">
        <v>170</v>
      </c>
      <c r="AA465" s="6" t="s">
        <v>171</v>
      </c>
      <c r="AB465" s="6">
        <v>0</v>
      </c>
      <c r="AC465" s="6" t="str">
        <f>""</f>
        <v/>
      </c>
      <c r="AS465" s="6">
        <v>0</v>
      </c>
      <c r="AT465" s="6">
        <v>0</v>
      </c>
    </row>
    <row r="466" spans="2:46">
      <c r="B466" s="6" t="s">
        <v>107</v>
      </c>
      <c r="D466" s="6" t="s">
        <v>1561</v>
      </c>
      <c r="F466" s="6" t="s">
        <v>2142</v>
      </c>
      <c r="G466" s="6" t="str">
        <f>"3177132102318208"</f>
        <v>3177132102318208</v>
      </c>
      <c r="H466" s="6">
        <v>3177132102318200</v>
      </c>
      <c r="I466" s="6" t="s">
        <v>2143</v>
      </c>
      <c r="J466" s="6" t="str">
        <f>"shirring jacket"</f>
        <v>shirring jacket</v>
      </c>
      <c r="K466" s="6">
        <v>0</v>
      </c>
      <c r="L466" s="6">
        <v>0</v>
      </c>
      <c r="M466" s="6">
        <v>0</v>
      </c>
      <c r="N466" s="6" t="str">
        <f>""</f>
        <v/>
      </c>
      <c r="O466" s="6">
        <v>33040</v>
      </c>
      <c r="P466" s="6" t="s">
        <v>2144</v>
      </c>
      <c r="R466" s="6" t="s">
        <v>2145</v>
      </c>
      <c r="S466" s="6" t="s">
        <v>2146</v>
      </c>
      <c r="T466" s="6">
        <v>0</v>
      </c>
      <c r="U466" s="6">
        <v>0</v>
      </c>
      <c r="V466" s="6">
        <v>0</v>
      </c>
      <c r="W466" s="6">
        <v>0</v>
      </c>
      <c r="X466" s="6" t="s">
        <v>169</v>
      </c>
      <c r="Z466" s="6" t="s">
        <v>170</v>
      </c>
      <c r="AA466" s="6" t="s">
        <v>171</v>
      </c>
      <c r="AB466" s="6">
        <v>0</v>
      </c>
      <c r="AC466" s="6" t="str">
        <f>""</f>
        <v/>
      </c>
      <c r="AS466" s="6">
        <v>0</v>
      </c>
      <c r="AT466" s="6">
        <v>0</v>
      </c>
    </row>
    <row r="467" spans="2:46">
      <c r="B467" s="6" t="s">
        <v>107</v>
      </c>
      <c r="D467" s="6" t="s">
        <v>1561</v>
      </c>
      <c r="F467" s="6" t="s">
        <v>2147</v>
      </c>
      <c r="G467" s="6" t="str">
        <f>"3177212104530208"</f>
        <v>3177212104530208</v>
      </c>
      <c r="H467" s="6">
        <v>3177212104530200</v>
      </c>
      <c r="I467" s="6" t="s">
        <v>2148</v>
      </c>
      <c r="J467" s="6" t="str">
        <f>"check ribbon shirts"</f>
        <v>check ribbon shirts</v>
      </c>
      <c r="K467" s="6">
        <v>0</v>
      </c>
      <c r="L467" s="6">
        <v>0</v>
      </c>
      <c r="M467" s="6">
        <v>0</v>
      </c>
      <c r="N467" s="6" t="str">
        <f>""</f>
        <v/>
      </c>
      <c r="O467" s="6">
        <v>33038</v>
      </c>
      <c r="P467" s="6" t="s">
        <v>2149</v>
      </c>
      <c r="R467" s="6" t="s">
        <v>2111</v>
      </c>
      <c r="S467" s="6" t="s">
        <v>2150</v>
      </c>
      <c r="T467" s="6">
        <v>0</v>
      </c>
      <c r="U467" s="6">
        <v>0</v>
      </c>
      <c r="V467" s="6">
        <v>0</v>
      </c>
      <c r="W467" s="6">
        <v>0</v>
      </c>
      <c r="X467" s="6" t="s">
        <v>169</v>
      </c>
      <c r="Z467" s="6" t="s">
        <v>170</v>
      </c>
      <c r="AA467" s="6" t="s">
        <v>171</v>
      </c>
      <c r="AB467" s="6">
        <v>0</v>
      </c>
      <c r="AC467" s="6" t="str">
        <f>""</f>
        <v/>
      </c>
      <c r="AS467" s="6">
        <v>0</v>
      </c>
      <c r="AT467" s="6">
        <v>0</v>
      </c>
    </row>
    <row r="468" spans="2:46">
      <c r="B468" s="6" t="s">
        <v>107</v>
      </c>
      <c r="D468" s="6" t="s">
        <v>1561</v>
      </c>
      <c r="F468" s="6" t="s">
        <v>2151</v>
      </c>
      <c r="G468" s="6" t="str">
        <f>"3177212104599208"</f>
        <v>3177212104599208</v>
      </c>
      <c r="H468" s="6">
        <v>3177212104599200</v>
      </c>
      <c r="I468" s="6" t="s">
        <v>2148</v>
      </c>
      <c r="J468" s="6" t="str">
        <f>"check ribbon shirts"</f>
        <v>check ribbon shirts</v>
      </c>
      <c r="K468" s="6">
        <v>0</v>
      </c>
      <c r="L468" s="6">
        <v>0</v>
      </c>
      <c r="M468" s="6">
        <v>0</v>
      </c>
      <c r="N468" s="6" t="str">
        <f>""</f>
        <v/>
      </c>
      <c r="O468" s="6">
        <v>33037</v>
      </c>
      <c r="P468" s="6" t="s">
        <v>2152</v>
      </c>
      <c r="R468" s="6" t="s">
        <v>2106</v>
      </c>
      <c r="S468" s="6" t="s">
        <v>2153</v>
      </c>
      <c r="T468" s="6">
        <v>0</v>
      </c>
      <c r="U468" s="6">
        <v>0</v>
      </c>
      <c r="V468" s="6">
        <v>0</v>
      </c>
      <c r="W468" s="6">
        <v>0</v>
      </c>
      <c r="X468" s="6" t="s">
        <v>169</v>
      </c>
      <c r="Z468" s="6" t="s">
        <v>170</v>
      </c>
      <c r="AA468" s="6" t="s">
        <v>171</v>
      </c>
      <c r="AB468" s="6">
        <v>0</v>
      </c>
      <c r="AC468" s="6" t="str">
        <f>""</f>
        <v/>
      </c>
      <c r="AS468" s="6">
        <v>0</v>
      </c>
      <c r="AT468" s="6">
        <v>0</v>
      </c>
    </row>
    <row r="469" spans="2:46">
      <c r="B469" s="6" t="s">
        <v>107</v>
      </c>
      <c r="D469" s="6" t="s">
        <v>1561</v>
      </c>
      <c r="F469" s="6" t="s">
        <v>2154</v>
      </c>
      <c r="G469" s="6" t="str">
        <f>"3173242100330208"</f>
        <v>3173242100330208</v>
      </c>
      <c r="H469" s="6">
        <v>3173242100330200</v>
      </c>
      <c r="I469" s="6" t="s">
        <v>2155</v>
      </c>
      <c r="J469" s="6" t="str">
        <f>"V frill blouse"</f>
        <v>V frill blouse</v>
      </c>
      <c r="K469" s="6">
        <v>0</v>
      </c>
      <c r="L469" s="6">
        <v>0</v>
      </c>
      <c r="M469" s="6">
        <v>0</v>
      </c>
      <c r="N469" s="6" t="str">
        <f>""</f>
        <v/>
      </c>
      <c r="O469" s="6">
        <v>33035</v>
      </c>
      <c r="P469" s="6" t="s">
        <v>2156</v>
      </c>
      <c r="R469" s="6" t="s">
        <v>2111</v>
      </c>
      <c r="S469" s="6" t="s">
        <v>2157</v>
      </c>
      <c r="T469" s="6">
        <v>0</v>
      </c>
      <c r="U469" s="6">
        <v>0</v>
      </c>
      <c r="V469" s="6">
        <v>0</v>
      </c>
      <c r="W469" s="6">
        <v>0</v>
      </c>
      <c r="X469" s="6" t="s">
        <v>169</v>
      </c>
      <c r="Z469" s="6" t="s">
        <v>170</v>
      </c>
      <c r="AA469" s="6" t="s">
        <v>171</v>
      </c>
      <c r="AB469" s="6">
        <v>0</v>
      </c>
      <c r="AC469" s="6" t="str">
        <f>""</f>
        <v/>
      </c>
      <c r="AS469" s="6">
        <v>0</v>
      </c>
      <c r="AT469" s="6">
        <v>0</v>
      </c>
    </row>
    <row r="470" spans="2:46">
      <c r="B470" s="6" t="s">
        <v>107</v>
      </c>
      <c r="D470" s="6" t="s">
        <v>1561</v>
      </c>
      <c r="F470" s="6" t="s">
        <v>2158</v>
      </c>
      <c r="G470" s="6" t="str">
        <f>"3173242100374208"</f>
        <v>3173242100374208</v>
      </c>
      <c r="H470" s="6">
        <v>3173242100374200</v>
      </c>
      <c r="I470" s="6" t="s">
        <v>2155</v>
      </c>
      <c r="J470" s="6" t="str">
        <f>"V frill blouse"</f>
        <v>V frill blouse</v>
      </c>
      <c r="K470" s="6">
        <v>0</v>
      </c>
      <c r="L470" s="6">
        <v>0</v>
      </c>
      <c r="M470" s="6">
        <v>0</v>
      </c>
      <c r="N470" s="6" t="str">
        <f>""</f>
        <v/>
      </c>
      <c r="O470" s="6">
        <v>33034</v>
      </c>
      <c r="P470" s="6" t="s">
        <v>2159</v>
      </c>
      <c r="R470" s="6" t="s">
        <v>2102</v>
      </c>
      <c r="S470" s="6" t="s">
        <v>2160</v>
      </c>
      <c r="T470" s="6">
        <v>0</v>
      </c>
      <c r="U470" s="6">
        <v>0</v>
      </c>
      <c r="V470" s="6">
        <v>0</v>
      </c>
      <c r="W470" s="6">
        <v>0</v>
      </c>
      <c r="X470" s="6" t="s">
        <v>169</v>
      </c>
      <c r="Z470" s="6" t="s">
        <v>170</v>
      </c>
      <c r="AA470" s="6" t="s">
        <v>171</v>
      </c>
      <c r="AB470" s="6">
        <v>0</v>
      </c>
      <c r="AC470" s="6" t="str">
        <f>""</f>
        <v/>
      </c>
      <c r="AS470" s="6">
        <v>0</v>
      </c>
      <c r="AT470" s="6">
        <v>0</v>
      </c>
    </row>
    <row r="471" spans="2:46">
      <c r="B471" s="6" t="s">
        <v>107</v>
      </c>
      <c r="D471" s="6" t="s">
        <v>1561</v>
      </c>
      <c r="F471" s="6" t="s">
        <v>2161</v>
      </c>
      <c r="G471" s="6" t="str">
        <f>"3177212104430208"</f>
        <v>3177212104430208</v>
      </c>
      <c r="H471" s="6">
        <v>3177212104430200</v>
      </c>
      <c r="I471" s="6" t="s">
        <v>2162</v>
      </c>
      <c r="J471" s="6" t="str">
        <f>"neck frill blouse"</f>
        <v>neck frill blouse</v>
      </c>
      <c r="K471" s="6">
        <v>0</v>
      </c>
      <c r="L471" s="6">
        <v>0</v>
      </c>
      <c r="M471" s="6">
        <v>0</v>
      </c>
      <c r="N471" s="6" t="str">
        <f>""</f>
        <v/>
      </c>
      <c r="O471" s="6">
        <v>33032</v>
      </c>
      <c r="P471" s="6" t="s">
        <v>2163</v>
      </c>
      <c r="R471" s="6" t="s">
        <v>2111</v>
      </c>
      <c r="S471" s="6" t="s">
        <v>2164</v>
      </c>
      <c r="T471" s="6">
        <v>0</v>
      </c>
      <c r="U471" s="6">
        <v>0</v>
      </c>
      <c r="V471" s="6">
        <v>0</v>
      </c>
      <c r="W471" s="6">
        <v>0</v>
      </c>
      <c r="X471" s="6" t="s">
        <v>169</v>
      </c>
      <c r="Z471" s="6" t="s">
        <v>170</v>
      </c>
      <c r="AA471" s="6" t="s">
        <v>171</v>
      </c>
      <c r="AB471" s="6">
        <v>0</v>
      </c>
      <c r="AC471" s="6" t="str">
        <f>""</f>
        <v/>
      </c>
      <c r="AS471" s="6">
        <v>0</v>
      </c>
      <c r="AT471" s="6">
        <v>0</v>
      </c>
    </row>
    <row r="472" spans="2:46">
      <c r="B472" s="6" t="s">
        <v>107</v>
      </c>
      <c r="D472" s="6" t="s">
        <v>1561</v>
      </c>
      <c r="F472" s="6" t="s">
        <v>2165</v>
      </c>
      <c r="G472" s="6" t="str">
        <f>"3177212104491208"</f>
        <v>3177212104491208</v>
      </c>
      <c r="H472" s="6">
        <v>3177212104491200</v>
      </c>
      <c r="I472" s="6" t="s">
        <v>2162</v>
      </c>
      <c r="J472" s="6" t="str">
        <f>"neck frill blouse"</f>
        <v>neck frill blouse</v>
      </c>
      <c r="K472" s="6">
        <v>0</v>
      </c>
      <c r="L472" s="6">
        <v>0</v>
      </c>
      <c r="M472" s="6">
        <v>0</v>
      </c>
      <c r="N472" s="6" t="str">
        <f>""</f>
        <v/>
      </c>
      <c r="O472" s="6">
        <v>33031</v>
      </c>
      <c r="P472" s="6" t="s">
        <v>2166</v>
      </c>
      <c r="R472" s="6" t="s">
        <v>2167</v>
      </c>
      <c r="S472" s="6" t="s">
        <v>2168</v>
      </c>
      <c r="T472" s="6">
        <v>0</v>
      </c>
      <c r="U472" s="6">
        <v>0</v>
      </c>
      <c r="V472" s="6">
        <v>0</v>
      </c>
      <c r="W472" s="6">
        <v>0</v>
      </c>
      <c r="X472" s="6" t="s">
        <v>169</v>
      </c>
      <c r="Z472" s="6" t="s">
        <v>170</v>
      </c>
      <c r="AA472" s="6" t="s">
        <v>171</v>
      </c>
      <c r="AB472" s="6">
        <v>0</v>
      </c>
      <c r="AC472" s="6" t="str">
        <f>""</f>
        <v/>
      </c>
      <c r="AS472" s="6">
        <v>0</v>
      </c>
      <c r="AT472" s="6">
        <v>0</v>
      </c>
    </row>
    <row r="473" spans="2:46">
      <c r="B473" s="6" t="s">
        <v>107</v>
      </c>
      <c r="D473" s="6" t="s">
        <v>1561</v>
      </c>
      <c r="F473" s="6" t="s">
        <v>2169</v>
      </c>
      <c r="G473" s="6" t="str">
        <f>"3177212104391208"</f>
        <v>3177212104391208</v>
      </c>
      <c r="H473" s="6">
        <v>3177212104391200</v>
      </c>
      <c r="I473" s="6" t="s">
        <v>2170</v>
      </c>
      <c r="J473" s="6" t="str">
        <f>"cuff stripe shirts"</f>
        <v>cuff stripe shirts</v>
      </c>
      <c r="K473" s="6">
        <v>0</v>
      </c>
      <c r="L473" s="6">
        <v>0</v>
      </c>
      <c r="M473" s="6">
        <v>0</v>
      </c>
      <c r="N473" s="6" t="str">
        <f>""</f>
        <v/>
      </c>
      <c r="O473" s="6">
        <v>33029</v>
      </c>
      <c r="P473" s="6" t="s">
        <v>2171</v>
      </c>
      <c r="R473" s="6" t="s">
        <v>2167</v>
      </c>
      <c r="S473" s="6" t="s">
        <v>2172</v>
      </c>
      <c r="T473" s="6">
        <v>0</v>
      </c>
      <c r="U473" s="6">
        <v>0</v>
      </c>
      <c r="V473" s="6">
        <v>0</v>
      </c>
      <c r="W473" s="6">
        <v>0</v>
      </c>
      <c r="X473" s="6" t="s">
        <v>169</v>
      </c>
      <c r="Z473" s="6" t="s">
        <v>170</v>
      </c>
      <c r="AA473" s="6" t="s">
        <v>171</v>
      </c>
      <c r="AB473" s="6">
        <v>0</v>
      </c>
      <c r="AC473" s="6" t="str">
        <f>""</f>
        <v/>
      </c>
      <c r="AS473" s="6">
        <v>0</v>
      </c>
      <c r="AT473" s="6">
        <v>0</v>
      </c>
    </row>
    <row r="474" spans="2:46">
      <c r="B474" s="6" t="s">
        <v>107</v>
      </c>
      <c r="D474" s="6" t="s">
        <v>1561</v>
      </c>
      <c r="F474" s="6" t="s">
        <v>2173</v>
      </c>
      <c r="G474" s="6" t="str">
        <f>"3177212104325208"</f>
        <v>3177212104325208</v>
      </c>
      <c r="H474" s="6">
        <v>3177212104325200</v>
      </c>
      <c r="I474" s="6" t="s">
        <v>2170</v>
      </c>
      <c r="J474" s="6" t="str">
        <f>"cuff stripe shirts"</f>
        <v>cuff stripe shirts</v>
      </c>
      <c r="K474" s="6">
        <v>0</v>
      </c>
      <c r="L474" s="6">
        <v>0</v>
      </c>
      <c r="M474" s="6">
        <v>0</v>
      </c>
      <c r="N474" s="6" t="str">
        <f>""</f>
        <v/>
      </c>
      <c r="O474" s="6">
        <v>33028</v>
      </c>
      <c r="P474" s="6" t="s">
        <v>2174</v>
      </c>
      <c r="R474" s="6" t="s">
        <v>2175</v>
      </c>
      <c r="S474" s="6" t="s">
        <v>2176</v>
      </c>
      <c r="T474" s="6">
        <v>0</v>
      </c>
      <c r="U474" s="6">
        <v>0</v>
      </c>
      <c r="V474" s="6">
        <v>0</v>
      </c>
      <c r="W474" s="6">
        <v>0</v>
      </c>
      <c r="X474" s="6" t="s">
        <v>169</v>
      </c>
      <c r="Z474" s="6" t="s">
        <v>170</v>
      </c>
      <c r="AA474" s="6" t="s">
        <v>171</v>
      </c>
      <c r="AB474" s="6">
        <v>0</v>
      </c>
      <c r="AC474" s="6" t="str">
        <f>""</f>
        <v/>
      </c>
      <c r="AS474" s="6">
        <v>0</v>
      </c>
      <c r="AT474" s="6">
        <v>0</v>
      </c>
    </row>
    <row r="475" spans="2:46">
      <c r="B475" s="6" t="s">
        <v>107</v>
      </c>
      <c r="D475" s="6" t="s">
        <v>1561</v>
      </c>
      <c r="F475" s="6" t="s">
        <v>2177</v>
      </c>
      <c r="G475" s="6" t="str">
        <f>"3173212101191208"</f>
        <v>3173212101191208</v>
      </c>
      <c r="H475" s="6">
        <v>3173212101191200</v>
      </c>
      <c r="I475" s="6" t="s">
        <v>2178</v>
      </c>
      <c r="J475" s="6" t="str">
        <f>"two flare blouse"</f>
        <v>two flare blouse</v>
      </c>
      <c r="K475" s="6">
        <v>0</v>
      </c>
      <c r="L475" s="6">
        <v>0</v>
      </c>
      <c r="M475" s="6">
        <v>0</v>
      </c>
      <c r="N475" s="6" t="str">
        <f>""</f>
        <v/>
      </c>
      <c r="O475" s="6">
        <v>33026</v>
      </c>
      <c r="P475" s="6" t="s">
        <v>2179</v>
      </c>
      <c r="R475" s="6" t="s">
        <v>2167</v>
      </c>
      <c r="S475" s="6" t="s">
        <v>2180</v>
      </c>
      <c r="T475" s="6">
        <v>0</v>
      </c>
      <c r="U475" s="6">
        <v>0</v>
      </c>
      <c r="V475" s="6">
        <v>0</v>
      </c>
      <c r="W475" s="6">
        <v>0</v>
      </c>
      <c r="X475" s="6" t="s">
        <v>169</v>
      </c>
      <c r="Z475" s="6" t="s">
        <v>170</v>
      </c>
      <c r="AA475" s="6" t="s">
        <v>171</v>
      </c>
      <c r="AB475" s="6">
        <v>0</v>
      </c>
      <c r="AC475" s="6" t="str">
        <f>""</f>
        <v/>
      </c>
      <c r="AS475" s="6">
        <v>0</v>
      </c>
      <c r="AT475" s="6">
        <v>0</v>
      </c>
    </row>
    <row r="476" spans="2:46">
      <c r="B476" s="6" t="s">
        <v>107</v>
      </c>
      <c r="D476" s="6" t="s">
        <v>1561</v>
      </c>
      <c r="F476" s="6" t="s">
        <v>2181</v>
      </c>
      <c r="G476" s="6" t="str">
        <f>"3173212101130208"</f>
        <v>3173212101130208</v>
      </c>
      <c r="H476" s="6">
        <v>3173212101130200</v>
      </c>
      <c r="I476" s="6" t="s">
        <v>2178</v>
      </c>
      <c r="J476" s="6" t="str">
        <f>"two flare blouse"</f>
        <v>two flare blouse</v>
      </c>
      <c r="K476" s="6">
        <v>0</v>
      </c>
      <c r="L476" s="6">
        <v>0</v>
      </c>
      <c r="M476" s="6">
        <v>0</v>
      </c>
      <c r="N476" s="6" t="str">
        <f>""</f>
        <v/>
      </c>
      <c r="O476" s="6">
        <v>33025</v>
      </c>
      <c r="P476" s="6" t="s">
        <v>2182</v>
      </c>
      <c r="R476" s="6" t="s">
        <v>2111</v>
      </c>
      <c r="S476" s="6" t="s">
        <v>2183</v>
      </c>
      <c r="T476" s="6">
        <v>0</v>
      </c>
      <c r="U476" s="6">
        <v>0</v>
      </c>
      <c r="V476" s="6">
        <v>0</v>
      </c>
      <c r="W476" s="6">
        <v>0</v>
      </c>
      <c r="X476" s="6" t="s">
        <v>169</v>
      </c>
      <c r="Z476" s="6" t="s">
        <v>170</v>
      </c>
      <c r="AA476" s="6" t="s">
        <v>171</v>
      </c>
      <c r="AB476" s="6">
        <v>0</v>
      </c>
      <c r="AC476" s="6" t="str">
        <f>""</f>
        <v/>
      </c>
      <c r="AS476" s="6">
        <v>0</v>
      </c>
      <c r="AT476" s="6">
        <v>0</v>
      </c>
    </row>
    <row r="477" spans="2:46">
      <c r="B477" s="6" t="s">
        <v>107</v>
      </c>
      <c r="D477" s="6" t="s">
        <v>1561</v>
      </c>
      <c r="F477" s="6" t="s">
        <v>2184</v>
      </c>
      <c r="G477" s="6" t="str">
        <f>"3177222106395208"</f>
        <v>3177222106395208</v>
      </c>
      <c r="H477" s="6">
        <v>3177222106395200</v>
      </c>
      <c r="I477" s="6" t="s">
        <v>2185</v>
      </c>
      <c r="J477" s="6" t="str">
        <f>"white golgi T-shirts"</f>
        <v>white golgi T-shirts</v>
      </c>
      <c r="K477" s="6">
        <v>0</v>
      </c>
      <c r="L477" s="6">
        <v>0</v>
      </c>
      <c r="M477" s="6">
        <v>0</v>
      </c>
      <c r="N477" s="6" t="str">
        <f>""</f>
        <v/>
      </c>
      <c r="O477" s="6">
        <v>33023</v>
      </c>
      <c r="P477" s="6" t="s">
        <v>2186</v>
      </c>
      <c r="R477" s="6" t="s">
        <v>2187</v>
      </c>
      <c r="S477" s="6" t="s">
        <v>2188</v>
      </c>
      <c r="T477" s="6">
        <v>0</v>
      </c>
      <c r="U477" s="6">
        <v>0</v>
      </c>
      <c r="V477" s="6">
        <v>0</v>
      </c>
      <c r="W477" s="6">
        <v>0</v>
      </c>
      <c r="X477" s="6" t="s">
        <v>169</v>
      </c>
      <c r="Z477" s="6" t="s">
        <v>170</v>
      </c>
      <c r="AA477" s="6" t="s">
        <v>171</v>
      </c>
      <c r="AB477" s="6">
        <v>0</v>
      </c>
      <c r="AC477" s="6" t="str">
        <f>""</f>
        <v/>
      </c>
      <c r="AS477" s="6">
        <v>0</v>
      </c>
      <c r="AT477" s="6">
        <v>0</v>
      </c>
    </row>
    <row r="478" spans="2:46">
      <c r="B478" s="6" t="s">
        <v>107</v>
      </c>
      <c r="D478" s="6" t="s">
        <v>1561</v>
      </c>
      <c r="F478" s="6" t="s">
        <v>2189</v>
      </c>
      <c r="G478" s="6" t="str">
        <f>"3177222106330208"</f>
        <v>3177222106330208</v>
      </c>
      <c r="H478" s="6">
        <v>3177222106330200</v>
      </c>
      <c r="I478" s="6" t="s">
        <v>2185</v>
      </c>
      <c r="J478" s="6" t="str">
        <f>"white golgi T-shirts"</f>
        <v>white golgi T-shirts</v>
      </c>
      <c r="K478" s="6">
        <v>0</v>
      </c>
      <c r="L478" s="6">
        <v>0</v>
      </c>
      <c r="M478" s="6">
        <v>0</v>
      </c>
      <c r="N478" s="6" t="str">
        <f>""</f>
        <v/>
      </c>
      <c r="O478" s="6">
        <v>33022</v>
      </c>
      <c r="P478" s="6" t="s">
        <v>2190</v>
      </c>
      <c r="R478" s="6" t="s">
        <v>2111</v>
      </c>
      <c r="S478" s="6" t="s">
        <v>2191</v>
      </c>
      <c r="T478" s="6">
        <v>0</v>
      </c>
      <c r="U478" s="6">
        <v>0</v>
      </c>
      <c r="V478" s="6">
        <v>0</v>
      </c>
      <c r="W478" s="6">
        <v>0</v>
      </c>
      <c r="X478" s="6" t="s">
        <v>169</v>
      </c>
      <c r="Z478" s="6" t="s">
        <v>170</v>
      </c>
      <c r="AA478" s="6" t="s">
        <v>171</v>
      </c>
      <c r="AB478" s="6">
        <v>0</v>
      </c>
      <c r="AC478" s="6" t="str">
        <f>""</f>
        <v/>
      </c>
      <c r="AS478" s="6">
        <v>0</v>
      </c>
      <c r="AT478" s="6">
        <v>0</v>
      </c>
    </row>
    <row r="479" spans="2:46">
      <c r="B479" s="6" t="s">
        <v>107</v>
      </c>
      <c r="D479" s="6" t="s">
        <v>1561</v>
      </c>
      <c r="F479" s="6" t="s">
        <v>2192</v>
      </c>
      <c r="G479" s="6" t="str">
        <f>"3177232103295208"</f>
        <v>3177232103295208</v>
      </c>
      <c r="H479" s="6">
        <v>3177232103295200</v>
      </c>
      <c r="I479" s="6" t="s">
        <v>2193</v>
      </c>
      <c r="J479" s="6" t="str">
        <f>"Y raglan mtm"</f>
        <v>Y raglan mtm</v>
      </c>
      <c r="K479" s="6">
        <v>0</v>
      </c>
      <c r="L479" s="6">
        <v>0</v>
      </c>
      <c r="M479" s="6">
        <v>0</v>
      </c>
      <c r="N479" s="6" t="str">
        <f>""</f>
        <v/>
      </c>
      <c r="O479" s="6">
        <v>33020</v>
      </c>
      <c r="P479" s="6" t="s">
        <v>2194</v>
      </c>
      <c r="R479" s="6" t="s">
        <v>2187</v>
      </c>
      <c r="S479" s="6" t="s">
        <v>2195</v>
      </c>
      <c r="T479" s="6">
        <v>0</v>
      </c>
      <c r="U479" s="6">
        <v>0</v>
      </c>
      <c r="V479" s="6">
        <v>0</v>
      </c>
      <c r="W479" s="6">
        <v>0</v>
      </c>
      <c r="X479" s="6" t="s">
        <v>169</v>
      </c>
      <c r="Z479" s="6" t="s">
        <v>170</v>
      </c>
      <c r="AA479" s="6" t="s">
        <v>171</v>
      </c>
      <c r="AB479" s="6">
        <v>0</v>
      </c>
      <c r="AC479" s="6" t="str">
        <f>""</f>
        <v/>
      </c>
      <c r="AS479" s="6">
        <v>0</v>
      </c>
      <c r="AT479" s="6">
        <v>0</v>
      </c>
    </row>
    <row r="480" spans="2:46">
      <c r="B480" s="6" t="s">
        <v>107</v>
      </c>
      <c r="D480" s="6" t="s">
        <v>1561</v>
      </c>
      <c r="F480" s="6" t="s">
        <v>2196</v>
      </c>
      <c r="G480" s="6" t="str">
        <f>"3177232103299208"</f>
        <v>3177232103299208</v>
      </c>
      <c r="H480" s="6">
        <v>3177232103299200</v>
      </c>
      <c r="I480" s="6" t="s">
        <v>2193</v>
      </c>
      <c r="J480" s="6" t="str">
        <f>"Y raglan mtm"</f>
        <v>Y raglan mtm</v>
      </c>
      <c r="K480" s="6">
        <v>0</v>
      </c>
      <c r="L480" s="6">
        <v>0</v>
      </c>
      <c r="M480" s="6">
        <v>0</v>
      </c>
      <c r="N480" s="6" t="str">
        <f>""</f>
        <v/>
      </c>
      <c r="O480" s="6">
        <v>33019</v>
      </c>
      <c r="P480" s="6" t="s">
        <v>2197</v>
      </c>
      <c r="R480" s="6" t="s">
        <v>2106</v>
      </c>
      <c r="S480" s="6" t="s">
        <v>2198</v>
      </c>
      <c r="T480" s="6">
        <v>0</v>
      </c>
      <c r="U480" s="6">
        <v>0</v>
      </c>
      <c r="V480" s="6">
        <v>0</v>
      </c>
      <c r="W480" s="6">
        <v>0</v>
      </c>
      <c r="X480" s="6" t="s">
        <v>169</v>
      </c>
      <c r="Z480" s="6" t="s">
        <v>170</v>
      </c>
      <c r="AA480" s="6" t="s">
        <v>171</v>
      </c>
      <c r="AB480" s="6">
        <v>0</v>
      </c>
      <c r="AC480" s="6" t="str">
        <f>""</f>
        <v/>
      </c>
      <c r="AS480" s="6">
        <v>0</v>
      </c>
      <c r="AT480" s="6">
        <v>0</v>
      </c>
    </row>
    <row r="481" spans="2:46">
      <c r="B481" s="6" t="s">
        <v>107</v>
      </c>
      <c r="D481" s="6" t="s">
        <v>1561</v>
      </c>
      <c r="F481" s="6" t="s">
        <v>2199</v>
      </c>
      <c r="G481" s="6" t="str">
        <f>"3177222106291208"</f>
        <v>3177222106291208</v>
      </c>
      <c r="H481" s="6">
        <v>3177222106291200</v>
      </c>
      <c r="I481" s="6" t="s">
        <v>2200</v>
      </c>
      <c r="J481" s="6" t="str">
        <f>"V frill T-shirts"</f>
        <v>V frill T-shirts</v>
      </c>
      <c r="K481" s="6">
        <v>0</v>
      </c>
      <c r="L481" s="6">
        <v>0</v>
      </c>
      <c r="M481" s="6">
        <v>0</v>
      </c>
      <c r="N481" s="6" t="str">
        <f>""</f>
        <v/>
      </c>
      <c r="O481" s="6">
        <v>33017</v>
      </c>
      <c r="P481" s="6" t="s">
        <v>2201</v>
      </c>
      <c r="R481" s="6" t="s">
        <v>2167</v>
      </c>
      <c r="S481" s="6" t="s">
        <v>2202</v>
      </c>
      <c r="T481" s="6">
        <v>0</v>
      </c>
      <c r="U481" s="6">
        <v>0</v>
      </c>
      <c r="V481" s="6">
        <v>0</v>
      </c>
      <c r="W481" s="6">
        <v>0</v>
      </c>
      <c r="X481" s="6" t="s">
        <v>169</v>
      </c>
      <c r="Z481" s="6" t="s">
        <v>170</v>
      </c>
      <c r="AA481" s="6" t="s">
        <v>171</v>
      </c>
      <c r="AB481" s="6">
        <v>0</v>
      </c>
      <c r="AC481" s="6" t="str">
        <f>""</f>
        <v/>
      </c>
      <c r="AS481" s="6">
        <v>0</v>
      </c>
      <c r="AT481" s="6">
        <v>0</v>
      </c>
    </row>
    <row r="482" spans="2:46">
      <c r="B482" s="6" t="s">
        <v>107</v>
      </c>
      <c r="D482" s="6" t="s">
        <v>1561</v>
      </c>
      <c r="F482" s="6" t="s">
        <v>2203</v>
      </c>
      <c r="G482" s="6" t="str">
        <f>"3177222106230208"</f>
        <v>3177222106230208</v>
      </c>
      <c r="H482" s="6">
        <v>3177222106230200</v>
      </c>
      <c r="I482" s="6" t="s">
        <v>2200</v>
      </c>
      <c r="J482" s="6" t="str">
        <f>"V frill T-shirts"</f>
        <v>V frill T-shirts</v>
      </c>
      <c r="K482" s="6">
        <v>0</v>
      </c>
      <c r="L482" s="6">
        <v>0</v>
      </c>
      <c r="M482" s="6">
        <v>0</v>
      </c>
      <c r="N482" s="6" t="str">
        <f>""</f>
        <v/>
      </c>
      <c r="O482" s="6">
        <v>33016</v>
      </c>
      <c r="P482" s="6" t="s">
        <v>2204</v>
      </c>
      <c r="R482" s="6" t="s">
        <v>2111</v>
      </c>
      <c r="S482" s="6" t="s">
        <v>2205</v>
      </c>
      <c r="T482" s="6">
        <v>0</v>
      </c>
      <c r="U482" s="6">
        <v>0</v>
      </c>
      <c r="V482" s="6">
        <v>0</v>
      </c>
      <c r="W482" s="6">
        <v>0</v>
      </c>
      <c r="X482" s="6" t="s">
        <v>169</v>
      </c>
      <c r="Z482" s="6" t="s">
        <v>170</v>
      </c>
      <c r="AA482" s="6" t="s">
        <v>171</v>
      </c>
      <c r="AB482" s="6">
        <v>0</v>
      </c>
      <c r="AC482" s="6" t="str">
        <f>""</f>
        <v/>
      </c>
      <c r="AS482" s="6">
        <v>0</v>
      </c>
      <c r="AT482" s="6">
        <v>0</v>
      </c>
    </row>
    <row r="483" spans="2:46">
      <c r="B483" s="6" t="s">
        <v>2206</v>
      </c>
      <c r="D483" s="6" t="s">
        <v>1561</v>
      </c>
      <c r="F483" s="6" t="s">
        <v>2207</v>
      </c>
      <c r="G483" s="6" t="str">
        <f>"17030803"</f>
        <v>17030803</v>
      </c>
      <c r="H483" s="6">
        <v>17030803</v>
      </c>
      <c r="I483" s="6" t="s">
        <v>2208</v>
      </c>
      <c r="J483" s="6" t="str">
        <f>"SS17_VIK-Clutch-B5-2_Pink"</f>
        <v>SS17_VIK-Clutch-B5-2_Pink</v>
      </c>
      <c r="K483" s="6">
        <v>0</v>
      </c>
      <c r="L483" s="6">
        <v>0</v>
      </c>
      <c r="M483" s="6">
        <v>0</v>
      </c>
      <c r="N483" s="6" t="str">
        <f>""</f>
        <v/>
      </c>
      <c r="O483" s="6">
        <v>33014</v>
      </c>
      <c r="P483" s="6" t="s">
        <v>2208</v>
      </c>
      <c r="R483" s="6" t="s">
        <v>2209</v>
      </c>
      <c r="S483" s="6" t="s">
        <v>2210</v>
      </c>
      <c r="T483" s="6">
        <v>0</v>
      </c>
      <c r="U483" s="6">
        <v>0</v>
      </c>
      <c r="V483" s="6">
        <v>0</v>
      </c>
      <c r="W483" s="6">
        <v>0</v>
      </c>
      <c r="X483" s="6" t="s">
        <v>169</v>
      </c>
      <c r="Z483" s="6" t="s">
        <v>170</v>
      </c>
      <c r="AA483" s="6" t="s">
        <v>171</v>
      </c>
      <c r="AB483" s="6">
        <v>0</v>
      </c>
      <c r="AC483" s="6" t="str">
        <f>""</f>
        <v/>
      </c>
      <c r="AS483" s="6">
        <v>0</v>
      </c>
      <c r="AT483" s="6">
        <v>0</v>
      </c>
    </row>
    <row r="484" spans="2:46">
      <c r="B484" s="6" t="s">
        <v>2206</v>
      </c>
      <c r="D484" s="6" t="s">
        <v>1561</v>
      </c>
      <c r="F484" s="6" t="s">
        <v>2211</v>
      </c>
      <c r="G484" s="6" t="str">
        <f>"17030804"</f>
        <v>17030804</v>
      </c>
      <c r="H484" s="6">
        <v>17030804</v>
      </c>
      <c r="I484" s="6" t="s">
        <v>2212</v>
      </c>
      <c r="J484" s="6" t="str">
        <f>"SS17_VIK-Clutch-B13_gray"</f>
        <v>SS17_VIK-Clutch-B13_gray</v>
      </c>
      <c r="K484" s="6">
        <v>0</v>
      </c>
      <c r="L484" s="6">
        <v>0</v>
      </c>
      <c r="M484" s="6">
        <v>0</v>
      </c>
      <c r="N484" s="6" t="str">
        <f>""</f>
        <v/>
      </c>
      <c r="O484" s="6">
        <v>33012</v>
      </c>
      <c r="P484" s="6" t="s">
        <v>2212</v>
      </c>
      <c r="R484" s="6" t="s">
        <v>2213</v>
      </c>
      <c r="S484" s="6" t="s">
        <v>2214</v>
      </c>
      <c r="T484" s="6">
        <v>0</v>
      </c>
      <c r="U484" s="6">
        <v>0</v>
      </c>
      <c r="V484" s="6">
        <v>0</v>
      </c>
      <c r="W484" s="6">
        <v>0</v>
      </c>
      <c r="X484" s="6" t="s">
        <v>169</v>
      </c>
      <c r="Z484" s="6" t="s">
        <v>170</v>
      </c>
      <c r="AA484" s="6" t="s">
        <v>171</v>
      </c>
      <c r="AB484" s="6">
        <v>0</v>
      </c>
      <c r="AC484" s="6" t="str">
        <f>""</f>
        <v/>
      </c>
      <c r="AS484" s="6">
        <v>0</v>
      </c>
      <c r="AT484" s="6">
        <v>0</v>
      </c>
    </row>
    <row r="485" spans="2:46">
      <c r="B485" s="6" t="s">
        <v>2206</v>
      </c>
      <c r="D485" s="6" t="s">
        <v>1561</v>
      </c>
      <c r="F485" s="6" t="s">
        <v>2215</v>
      </c>
      <c r="G485" s="6" t="str">
        <f>"17030805"</f>
        <v>17030805</v>
      </c>
      <c r="H485" s="6">
        <v>17030805</v>
      </c>
      <c r="I485" s="6" t="s">
        <v>2216</v>
      </c>
      <c r="J485" s="6" t="str">
        <f>"SS17_VIK-Clutch-B15_gray"</f>
        <v>SS17_VIK-Clutch-B15_gray</v>
      </c>
      <c r="K485" s="6">
        <v>0</v>
      </c>
      <c r="L485" s="6">
        <v>0</v>
      </c>
      <c r="M485" s="6">
        <v>0</v>
      </c>
      <c r="N485" s="6" t="str">
        <f>""</f>
        <v/>
      </c>
      <c r="O485" s="6">
        <v>33010</v>
      </c>
      <c r="P485" s="6" t="s">
        <v>2216</v>
      </c>
      <c r="R485" s="6" t="s">
        <v>2217</v>
      </c>
      <c r="S485" s="6" t="s">
        <v>2218</v>
      </c>
      <c r="T485" s="6">
        <v>0</v>
      </c>
      <c r="U485" s="6">
        <v>0</v>
      </c>
      <c r="V485" s="6">
        <v>0</v>
      </c>
      <c r="W485" s="6">
        <v>0</v>
      </c>
      <c r="X485" s="6" t="s">
        <v>169</v>
      </c>
      <c r="Z485" s="6" t="s">
        <v>170</v>
      </c>
      <c r="AA485" s="6" t="s">
        <v>171</v>
      </c>
      <c r="AB485" s="6">
        <v>0</v>
      </c>
      <c r="AC485" s="6" t="str">
        <f>""</f>
        <v/>
      </c>
      <c r="AS485" s="6">
        <v>0</v>
      </c>
      <c r="AT485" s="6">
        <v>0</v>
      </c>
    </row>
    <row r="486" spans="2:46">
      <c r="B486" s="6" t="s">
        <v>2206</v>
      </c>
      <c r="D486" s="6" t="s">
        <v>1561</v>
      </c>
      <c r="F486" s="6" t="s">
        <v>2219</v>
      </c>
      <c r="G486" s="6" t="str">
        <f>"17030802"</f>
        <v>17030802</v>
      </c>
      <c r="H486" s="6">
        <v>17030802</v>
      </c>
      <c r="I486" s="6" t="s">
        <v>2220</v>
      </c>
      <c r="J486" s="6" t="str">
        <f>"SS17_VIK-Clutch-B4 Yellow"</f>
        <v>SS17_VIK-Clutch-B4 Yellow</v>
      </c>
      <c r="K486" s="6">
        <v>0</v>
      </c>
      <c r="L486" s="6">
        <v>0</v>
      </c>
      <c r="M486" s="6">
        <v>0</v>
      </c>
      <c r="N486" s="6" t="str">
        <f>""</f>
        <v/>
      </c>
      <c r="O486" s="6">
        <v>33008</v>
      </c>
      <c r="P486" s="6" t="s">
        <v>2220</v>
      </c>
      <c r="R486" s="6" t="s">
        <v>2221</v>
      </c>
      <c r="S486" s="6" t="s">
        <v>2222</v>
      </c>
      <c r="T486" s="6">
        <v>0</v>
      </c>
      <c r="U486" s="6">
        <v>0</v>
      </c>
      <c r="V486" s="6">
        <v>0</v>
      </c>
      <c r="W486" s="6">
        <v>0</v>
      </c>
      <c r="X486" s="6" t="s">
        <v>169</v>
      </c>
      <c r="Z486" s="6" t="s">
        <v>170</v>
      </c>
      <c r="AA486" s="6" t="s">
        <v>171</v>
      </c>
      <c r="AB486" s="6">
        <v>0</v>
      </c>
      <c r="AC486" s="6" t="str">
        <f>""</f>
        <v/>
      </c>
      <c r="AS486" s="6">
        <v>0</v>
      </c>
      <c r="AT486" s="6">
        <v>0</v>
      </c>
    </row>
    <row r="487" spans="2:46">
      <c r="B487" s="6" t="s">
        <v>2206</v>
      </c>
      <c r="D487" s="6" t="s">
        <v>1561</v>
      </c>
      <c r="F487" s="6" t="s">
        <v>2223</v>
      </c>
      <c r="G487" s="6" t="str">
        <f>"17030801"</f>
        <v>17030801</v>
      </c>
      <c r="H487" s="6">
        <v>17030801</v>
      </c>
      <c r="I487" s="6" t="s">
        <v>2224</v>
      </c>
      <c r="J487" s="6" t="str">
        <f>"SS17_VIK-Clutch-B3 Blue"</f>
        <v>SS17_VIK-Clutch-B3 Blue</v>
      </c>
      <c r="K487" s="6">
        <v>0</v>
      </c>
      <c r="L487" s="6">
        <v>0</v>
      </c>
      <c r="M487" s="6">
        <v>0</v>
      </c>
      <c r="N487" s="6" t="str">
        <f>""</f>
        <v/>
      </c>
      <c r="O487" s="6">
        <v>33006</v>
      </c>
      <c r="P487" s="6" t="s">
        <v>2224</v>
      </c>
      <c r="R487" s="6" t="s">
        <v>2225</v>
      </c>
      <c r="S487" s="6" t="s">
        <v>2226</v>
      </c>
      <c r="T487" s="6">
        <v>0</v>
      </c>
      <c r="U487" s="6">
        <v>0</v>
      </c>
      <c r="V487" s="6">
        <v>0</v>
      </c>
      <c r="W487" s="6">
        <v>0</v>
      </c>
      <c r="X487" s="6" t="s">
        <v>169</v>
      </c>
      <c r="Z487" s="6" t="s">
        <v>170</v>
      </c>
      <c r="AA487" s="6" t="s">
        <v>171</v>
      </c>
      <c r="AB487" s="6">
        <v>0</v>
      </c>
      <c r="AC487" s="6" t="str">
        <f>""</f>
        <v/>
      </c>
      <c r="AS487" s="6">
        <v>0</v>
      </c>
      <c r="AT487" s="6">
        <v>0</v>
      </c>
    </row>
    <row r="488" spans="2:46">
      <c r="B488" s="6" t="s">
        <v>2206</v>
      </c>
      <c r="D488" s="6" t="s">
        <v>1561</v>
      </c>
      <c r="F488" s="6" t="s">
        <v>2227</v>
      </c>
      <c r="G488" s="6" t="str">
        <f>"10020401"</f>
        <v>10020401</v>
      </c>
      <c r="H488" s="6">
        <v>10020401</v>
      </c>
      <c r="I488" s="6" t="s">
        <v>2228</v>
      </c>
      <c r="J488" s="6" t="str">
        <f>"SS17_VIK-Knit_MTM_21_Pink"</f>
        <v>SS17_VIK-Knit_MTM_21_Pink</v>
      </c>
      <c r="K488" s="6">
        <v>0</v>
      </c>
      <c r="L488" s="6">
        <v>0</v>
      </c>
      <c r="M488" s="6">
        <v>0</v>
      </c>
      <c r="N488" s="6" t="str">
        <f>""</f>
        <v/>
      </c>
      <c r="O488" s="6">
        <v>33004</v>
      </c>
      <c r="P488" s="6" t="s">
        <v>2228</v>
      </c>
      <c r="R488" s="6" t="s">
        <v>2229</v>
      </c>
      <c r="S488" s="6" t="s">
        <v>2230</v>
      </c>
      <c r="T488" s="6">
        <v>0</v>
      </c>
      <c r="U488" s="6">
        <v>0</v>
      </c>
      <c r="V488" s="6">
        <v>0</v>
      </c>
      <c r="W488" s="6">
        <v>0</v>
      </c>
      <c r="X488" s="6" t="s">
        <v>169</v>
      </c>
      <c r="Z488" s="6" t="s">
        <v>170</v>
      </c>
      <c r="AA488" s="6" t="s">
        <v>171</v>
      </c>
      <c r="AB488" s="6">
        <v>0</v>
      </c>
      <c r="AC488" s="6" t="str">
        <f>""</f>
        <v/>
      </c>
      <c r="AS488" s="6">
        <v>0</v>
      </c>
      <c r="AT488" s="6">
        <v>0</v>
      </c>
    </row>
    <row r="489" spans="2:46">
      <c r="B489" s="6" t="s">
        <v>2206</v>
      </c>
      <c r="D489" s="6" t="s">
        <v>1561</v>
      </c>
      <c r="F489" s="6" t="s">
        <v>2231</v>
      </c>
      <c r="G489" s="6" t="str">
        <f>"12010406"</f>
        <v>12010406</v>
      </c>
      <c r="H489" s="6">
        <v>12010406</v>
      </c>
      <c r="I489" s="6" t="s">
        <v>2232</v>
      </c>
      <c r="J489" s="6" t="str">
        <f>"SS17_VIK_MTM-19 White"</f>
        <v>SS17_VIK_MTM-19 White</v>
      </c>
      <c r="K489" s="6">
        <v>0</v>
      </c>
      <c r="L489" s="6">
        <v>0</v>
      </c>
      <c r="M489" s="6">
        <v>0</v>
      </c>
      <c r="N489" s="6" t="str">
        <f>""</f>
        <v/>
      </c>
      <c r="O489" s="6">
        <v>33002</v>
      </c>
      <c r="P489" s="6" t="s">
        <v>2232</v>
      </c>
      <c r="R489" s="6" t="s">
        <v>2233</v>
      </c>
      <c r="S489" s="6" t="s">
        <v>2234</v>
      </c>
      <c r="T489" s="6">
        <v>0</v>
      </c>
      <c r="U489" s="6">
        <v>0</v>
      </c>
      <c r="V489" s="6">
        <v>0</v>
      </c>
      <c r="W489" s="6">
        <v>0</v>
      </c>
      <c r="X489" s="6" t="s">
        <v>169</v>
      </c>
      <c r="Z489" s="6" t="s">
        <v>170</v>
      </c>
      <c r="AA489" s="6" t="s">
        <v>171</v>
      </c>
      <c r="AB489" s="6">
        <v>0</v>
      </c>
      <c r="AC489" s="6" t="str">
        <f>""</f>
        <v/>
      </c>
      <c r="AS489" s="6">
        <v>0</v>
      </c>
      <c r="AT489" s="6">
        <v>0</v>
      </c>
    </row>
    <row r="490" spans="2:46">
      <c r="B490" s="6" t="s">
        <v>2206</v>
      </c>
      <c r="D490" s="6" t="s">
        <v>1561</v>
      </c>
      <c r="F490" s="6" t="s">
        <v>2235</v>
      </c>
      <c r="G490" s="6" t="str">
        <f>"12010401"</f>
        <v>12010401</v>
      </c>
      <c r="H490" s="6">
        <v>12010401</v>
      </c>
      <c r="I490" s="6" t="s">
        <v>2236</v>
      </c>
      <c r="J490" s="6" t="str">
        <f>"SS17_VIK_MTM-11_Brown"</f>
        <v>SS17_VIK_MTM-11_Brown</v>
      </c>
      <c r="K490" s="6">
        <v>0</v>
      </c>
      <c r="L490" s="6">
        <v>0</v>
      </c>
      <c r="M490" s="6">
        <v>0</v>
      </c>
      <c r="N490" s="6" t="str">
        <f>""</f>
        <v/>
      </c>
      <c r="O490" s="6">
        <v>33000</v>
      </c>
      <c r="P490" s="6" t="s">
        <v>2236</v>
      </c>
      <c r="R490" s="6" t="s">
        <v>2237</v>
      </c>
      <c r="S490" s="6" t="s">
        <v>2238</v>
      </c>
      <c r="T490" s="6">
        <v>0</v>
      </c>
      <c r="U490" s="6">
        <v>0</v>
      </c>
      <c r="V490" s="6">
        <v>0</v>
      </c>
      <c r="W490" s="6">
        <v>0</v>
      </c>
      <c r="X490" s="6" t="s">
        <v>169</v>
      </c>
      <c r="Z490" s="6" t="s">
        <v>170</v>
      </c>
      <c r="AA490" s="6" t="s">
        <v>171</v>
      </c>
      <c r="AB490" s="6">
        <v>0</v>
      </c>
      <c r="AC490" s="6" t="str">
        <f>""</f>
        <v/>
      </c>
      <c r="AS490" s="6">
        <v>0</v>
      </c>
      <c r="AT490" s="6">
        <v>0</v>
      </c>
    </row>
    <row r="491" spans="2:46">
      <c r="B491" s="6" t="s">
        <v>2206</v>
      </c>
      <c r="D491" s="6" t="s">
        <v>1561</v>
      </c>
      <c r="F491" s="6" t="s">
        <v>2239</v>
      </c>
      <c r="G491" s="6" t="str">
        <f>"12010408"</f>
        <v>12010408</v>
      </c>
      <c r="H491" s="6">
        <v>12010408</v>
      </c>
      <c r="I491" s="6" t="s">
        <v>2240</v>
      </c>
      <c r="J491" s="6" t="str">
        <f>"SS17_VIK_MTM-07_Brown"</f>
        <v>SS17_VIK_MTM-07_Brown</v>
      </c>
      <c r="K491" s="6">
        <v>0</v>
      </c>
      <c r="L491" s="6">
        <v>0</v>
      </c>
      <c r="M491" s="6">
        <v>0</v>
      </c>
      <c r="N491" s="6" t="str">
        <f>""</f>
        <v/>
      </c>
      <c r="O491" s="6">
        <v>32998</v>
      </c>
      <c r="P491" s="6" t="s">
        <v>2240</v>
      </c>
      <c r="R491" s="6" t="s">
        <v>2237</v>
      </c>
      <c r="S491" s="6" t="s">
        <v>2241</v>
      </c>
      <c r="T491" s="6">
        <v>0</v>
      </c>
      <c r="U491" s="6">
        <v>0</v>
      </c>
      <c r="V491" s="6">
        <v>0</v>
      </c>
      <c r="W491" s="6">
        <v>0</v>
      </c>
      <c r="X491" s="6" t="s">
        <v>169</v>
      </c>
      <c r="Z491" s="6" t="s">
        <v>170</v>
      </c>
      <c r="AA491" s="6" t="s">
        <v>171</v>
      </c>
      <c r="AB491" s="6">
        <v>0</v>
      </c>
      <c r="AC491" s="6" t="str">
        <f>""</f>
        <v/>
      </c>
      <c r="AS491" s="6">
        <v>0</v>
      </c>
      <c r="AT491" s="6">
        <v>0</v>
      </c>
    </row>
    <row r="492" spans="2:46">
      <c r="B492" s="6" t="s">
        <v>2206</v>
      </c>
      <c r="D492" s="6" t="s">
        <v>1561</v>
      </c>
      <c r="F492" s="6" t="s">
        <v>2242</v>
      </c>
      <c r="G492" s="6" t="str">
        <f>"12010407"</f>
        <v>12010407</v>
      </c>
      <c r="H492" s="6">
        <v>12010407</v>
      </c>
      <c r="I492" s="6" t="s">
        <v>2243</v>
      </c>
      <c r="J492" s="6" t="str">
        <f>"SS17_VIK_MTM-07_Navy"</f>
        <v>SS17_VIK_MTM-07_Navy</v>
      </c>
      <c r="K492" s="6">
        <v>0</v>
      </c>
      <c r="L492" s="6">
        <v>0</v>
      </c>
      <c r="M492" s="6">
        <v>0</v>
      </c>
      <c r="N492" s="6" t="str">
        <f>""</f>
        <v/>
      </c>
      <c r="O492" s="6">
        <v>32996</v>
      </c>
      <c r="P492" s="6" t="s">
        <v>2243</v>
      </c>
      <c r="R492" s="6" t="s">
        <v>2244</v>
      </c>
      <c r="S492" s="6" t="s">
        <v>2245</v>
      </c>
      <c r="T492" s="6">
        <v>0</v>
      </c>
      <c r="U492" s="6">
        <v>0</v>
      </c>
      <c r="V492" s="6">
        <v>0</v>
      </c>
      <c r="W492" s="6">
        <v>0</v>
      </c>
      <c r="X492" s="6" t="s">
        <v>169</v>
      </c>
      <c r="Z492" s="6" t="s">
        <v>170</v>
      </c>
      <c r="AA492" s="6" t="s">
        <v>171</v>
      </c>
      <c r="AB492" s="6">
        <v>0</v>
      </c>
      <c r="AC492" s="6" t="str">
        <f>""</f>
        <v/>
      </c>
      <c r="AS492" s="6">
        <v>0</v>
      </c>
      <c r="AT492" s="6">
        <v>0</v>
      </c>
    </row>
    <row r="493" spans="2:46">
      <c r="B493" s="6" t="s">
        <v>2206</v>
      </c>
      <c r="D493" s="6" t="s">
        <v>1561</v>
      </c>
      <c r="F493" s="6" t="s">
        <v>2246</v>
      </c>
      <c r="G493" s="6" t="str">
        <f>"12010410"</f>
        <v>12010410</v>
      </c>
      <c r="H493" s="6">
        <v>12010410</v>
      </c>
      <c r="I493" s="6" t="s">
        <v>2247</v>
      </c>
      <c r="J493" s="6" t="str">
        <f>"SS17_VIK_MTM-06_White"</f>
        <v>SS17_VIK_MTM-06_White</v>
      </c>
      <c r="K493" s="6">
        <v>0</v>
      </c>
      <c r="L493" s="6">
        <v>0</v>
      </c>
      <c r="M493" s="6">
        <v>0</v>
      </c>
      <c r="N493" s="6" t="str">
        <f>""</f>
        <v/>
      </c>
      <c r="O493" s="6">
        <v>32994</v>
      </c>
      <c r="P493" s="6" t="s">
        <v>2247</v>
      </c>
      <c r="R493" s="6" t="s">
        <v>2233</v>
      </c>
      <c r="S493" s="6" t="s">
        <v>2248</v>
      </c>
      <c r="T493" s="6">
        <v>0</v>
      </c>
      <c r="U493" s="6">
        <v>0</v>
      </c>
      <c r="V493" s="6">
        <v>0</v>
      </c>
      <c r="W493" s="6">
        <v>0</v>
      </c>
      <c r="X493" s="6" t="s">
        <v>169</v>
      </c>
      <c r="Z493" s="6" t="s">
        <v>170</v>
      </c>
      <c r="AA493" s="6" t="s">
        <v>171</v>
      </c>
      <c r="AB493" s="6">
        <v>0</v>
      </c>
      <c r="AC493" s="6" t="str">
        <f>""</f>
        <v/>
      </c>
      <c r="AS493" s="6">
        <v>0</v>
      </c>
      <c r="AT493" s="6">
        <v>0</v>
      </c>
    </row>
    <row r="494" spans="2:46">
      <c r="B494" s="6" t="s">
        <v>2206</v>
      </c>
      <c r="D494" s="6" t="s">
        <v>1561</v>
      </c>
      <c r="F494" s="6" t="s">
        <v>2249</v>
      </c>
      <c r="G494" s="6" t="str">
        <f>"12010409"</f>
        <v>12010409</v>
      </c>
      <c r="H494" s="6">
        <v>12010409</v>
      </c>
      <c r="I494" s="6" t="s">
        <v>2250</v>
      </c>
      <c r="J494" s="6" t="str">
        <f>"SS17_VIK_Hood-MTM-02_White"</f>
        <v>SS17_VIK_Hood-MTM-02_White</v>
      </c>
      <c r="K494" s="6">
        <v>0</v>
      </c>
      <c r="L494" s="6">
        <v>0</v>
      </c>
      <c r="M494" s="6">
        <v>0</v>
      </c>
      <c r="N494" s="6" t="str">
        <f>""</f>
        <v/>
      </c>
      <c r="O494" s="6">
        <v>32992</v>
      </c>
      <c r="P494" s="6" t="s">
        <v>2250</v>
      </c>
      <c r="R494" s="6" t="s">
        <v>2233</v>
      </c>
      <c r="S494" s="6" t="s">
        <v>2251</v>
      </c>
      <c r="T494" s="6">
        <v>0</v>
      </c>
      <c r="U494" s="6">
        <v>0</v>
      </c>
      <c r="V494" s="6">
        <v>0</v>
      </c>
      <c r="W494" s="6">
        <v>0</v>
      </c>
      <c r="X494" s="6" t="s">
        <v>169</v>
      </c>
      <c r="Z494" s="6" t="s">
        <v>170</v>
      </c>
      <c r="AA494" s="6" t="s">
        <v>171</v>
      </c>
      <c r="AB494" s="6">
        <v>0</v>
      </c>
      <c r="AC494" s="6" t="str">
        <f>""</f>
        <v/>
      </c>
      <c r="AS494" s="6">
        <v>0</v>
      </c>
      <c r="AT494" s="6">
        <v>0</v>
      </c>
    </row>
    <row r="495" spans="2:46">
      <c r="B495" s="6" t="s">
        <v>2206</v>
      </c>
      <c r="D495" s="6" t="s">
        <v>1561</v>
      </c>
      <c r="F495" s="6" t="s">
        <v>2252</v>
      </c>
      <c r="G495" s="6" t="str">
        <f>"10051307"</f>
        <v>10051307</v>
      </c>
      <c r="H495" s="6">
        <v>10051307</v>
      </c>
      <c r="I495" s="6" t="s">
        <v>2253</v>
      </c>
      <c r="J495" s="6" t="str">
        <f>"SS17_Vik_JP_03_GN"</f>
        <v>SS17_Vik_JP_03_GN</v>
      </c>
      <c r="K495" s="6">
        <v>0</v>
      </c>
      <c r="L495" s="6">
        <v>0</v>
      </c>
      <c r="M495" s="6">
        <v>0</v>
      </c>
      <c r="N495" s="6" t="str">
        <f>""</f>
        <v/>
      </c>
      <c r="O495" s="6">
        <v>32990</v>
      </c>
      <c r="P495" s="6" t="s">
        <v>2253</v>
      </c>
      <c r="R495" s="6" t="s">
        <v>2254</v>
      </c>
      <c r="S495" s="6" t="s">
        <v>2255</v>
      </c>
      <c r="T495" s="6">
        <v>0</v>
      </c>
      <c r="U495" s="6">
        <v>0</v>
      </c>
      <c r="V495" s="6">
        <v>0</v>
      </c>
      <c r="W495" s="6">
        <v>0</v>
      </c>
      <c r="X495" s="6" t="s">
        <v>169</v>
      </c>
      <c r="Z495" s="6" t="s">
        <v>170</v>
      </c>
      <c r="AA495" s="6" t="s">
        <v>171</v>
      </c>
      <c r="AB495" s="6">
        <v>0</v>
      </c>
      <c r="AC495" s="6" t="str">
        <f>""</f>
        <v/>
      </c>
      <c r="AS495" s="6">
        <v>0</v>
      </c>
      <c r="AT495" s="6">
        <v>0</v>
      </c>
    </row>
    <row r="496" spans="2:46">
      <c r="B496" s="6" t="s">
        <v>2206</v>
      </c>
      <c r="D496" s="6" t="s">
        <v>1561</v>
      </c>
      <c r="F496" s="6" t="s">
        <v>2256</v>
      </c>
      <c r="G496" s="6" t="str">
        <f>"10051308"</f>
        <v>10051308</v>
      </c>
      <c r="H496" s="6">
        <v>10051308</v>
      </c>
      <c r="I496" s="6" t="s">
        <v>2257</v>
      </c>
      <c r="J496" s="6" t="str">
        <f>"SS17_Vik_JP_03_BK"</f>
        <v>SS17_Vik_JP_03_BK</v>
      </c>
      <c r="K496" s="6">
        <v>0</v>
      </c>
      <c r="L496" s="6">
        <v>0</v>
      </c>
      <c r="M496" s="6">
        <v>0</v>
      </c>
      <c r="N496" s="6" t="str">
        <f>""</f>
        <v/>
      </c>
      <c r="O496" s="6">
        <v>32988</v>
      </c>
      <c r="P496" s="6" t="s">
        <v>2257</v>
      </c>
      <c r="R496" s="6" t="s">
        <v>2258</v>
      </c>
      <c r="S496" s="6" t="s">
        <v>2259</v>
      </c>
      <c r="T496" s="6">
        <v>0</v>
      </c>
      <c r="U496" s="6">
        <v>0</v>
      </c>
      <c r="V496" s="6">
        <v>0</v>
      </c>
      <c r="W496" s="6">
        <v>0</v>
      </c>
      <c r="X496" s="6" t="s">
        <v>169</v>
      </c>
      <c r="Z496" s="6" t="s">
        <v>170</v>
      </c>
      <c r="AA496" s="6" t="s">
        <v>171</v>
      </c>
      <c r="AB496" s="6">
        <v>0</v>
      </c>
      <c r="AC496" s="6" t="str">
        <f>""</f>
        <v/>
      </c>
      <c r="AS496" s="6">
        <v>0</v>
      </c>
      <c r="AT496" s="6">
        <v>0</v>
      </c>
    </row>
    <row r="497" spans="2:46">
      <c r="B497" s="6" t="s">
        <v>2206</v>
      </c>
      <c r="D497" s="6" t="s">
        <v>1561</v>
      </c>
      <c r="F497" s="6" t="s">
        <v>2260</v>
      </c>
      <c r="G497" s="6" t="str">
        <f>"10051305"</f>
        <v>10051305</v>
      </c>
      <c r="H497" s="6">
        <v>10051305</v>
      </c>
      <c r="I497" s="6" t="s">
        <v>2261</v>
      </c>
      <c r="J497" s="6" t="str">
        <f>"SS17_Vik_JP_02_Navy"</f>
        <v>SS17_Vik_JP_02_Navy</v>
      </c>
      <c r="K497" s="6">
        <v>0</v>
      </c>
      <c r="L497" s="6">
        <v>0</v>
      </c>
      <c r="M497" s="6">
        <v>0</v>
      </c>
      <c r="N497" s="6" t="str">
        <f>""</f>
        <v/>
      </c>
      <c r="O497" s="6">
        <v>32986</v>
      </c>
      <c r="P497" s="6" t="s">
        <v>2261</v>
      </c>
      <c r="R497" s="6" t="s">
        <v>2244</v>
      </c>
      <c r="S497" s="6" t="s">
        <v>2262</v>
      </c>
      <c r="T497" s="6">
        <v>0</v>
      </c>
      <c r="U497" s="6">
        <v>0</v>
      </c>
      <c r="V497" s="6">
        <v>0</v>
      </c>
      <c r="W497" s="6">
        <v>0</v>
      </c>
      <c r="X497" s="6" t="s">
        <v>169</v>
      </c>
      <c r="Z497" s="6" t="s">
        <v>170</v>
      </c>
      <c r="AA497" s="6" t="s">
        <v>171</v>
      </c>
      <c r="AB497" s="6">
        <v>0</v>
      </c>
      <c r="AC497" s="6" t="str">
        <f>""</f>
        <v/>
      </c>
      <c r="AS497" s="6">
        <v>0</v>
      </c>
      <c r="AT497" s="6">
        <v>0</v>
      </c>
    </row>
    <row r="498" spans="2:46">
      <c r="B498" s="6" t="s">
        <v>2206</v>
      </c>
      <c r="D498" s="6" t="s">
        <v>1561</v>
      </c>
      <c r="F498" s="6" t="s">
        <v>2263</v>
      </c>
      <c r="G498" s="6" t="str">
        <f>"10051306"</f>
        <v>10051306</v>
      </c>
      <c r="H498" s="6">
        <v>10051306</v>
      </c>
      <c r="I498" s="6" t="s">
        <v>2264</v>
      </c>
      <c r="J498" s="6" t="str">
        <f>"SS17_Vik_JP_02_Pink"</f>
        <v>SS17_Vik_JP_02_Pink</v>
      </c>
      <c r="K498" s="6">
        <v>0</v>
      </c>
      <c r="L498" s="6">
        <v>0</v>
      </c>
      <c r="M498" s="6">
        <v>0</v>
      </c>
      <c r="N498" s="6" t="str">
        <f>""</f>
        <v/>
      </c>
      <c r="O498" s="6">
        <v>32984</v>
      </c>
      <c r="P498" s="6" t="s">
        <v>2264</v>
      </c>
      <c r="R498" s="6" t="s">
        <v>2229</v>
      </c>
      <c r="S498" s="6" t="s">
        <v>2265</v>
      </c>
      <c r="T498" s="6">
        <v>0</v>
      </c>
      <c r="U498" s="6">
        <v>0</v>
      </c>
      <c r="V498" s="6">
        <v>0</v>
      </c>
      <c r="W498" s="6">
        <v>0</v>
      </c>
      <c r="X498" s="6" t="s">
        <v>169</v>
      </c>
      <c r="Z498" s="6" t="s">
        <v>170</v>
      </c>
      <c r="AA498" s="6" t="s">
        <v>171</v>
      </c>
      <c r="AB498" s="6">
        <v>0</v>
      </c>
      <c r="AC498" s="6" t="str">
        <f>""</f>
        <v/>
      </c>
      <c r="AS498" s="6">
        <v>0</v>
      </c>
      <c r="AT498" s="6">
        <v>0</v>
      </c>
    </row>
    <row r="499" spans="2:46">
      <c r="B499" s="6" t="s">
        <v>2206</v>
      </c>
      <c r="D499" s="6" t="s">
        <v>1561</v>
      </c>
      <c r="F499" s="6" t="s">
        <v>2266</v>
      </c>
      <c r="G499" s="6" t="str">
        <f>"10051304"</f>
        <v>10051304</v>
      </c>
      <c r="H499" s="6">
        <v>10051304</v>
      </c>
      <c r="I499" s="6" t="s">
        <v>2267</v>
      </c>
      <c r="J499" s="6" t="str">
        <f>"SS17_Vik_JP_01-Pink"</f>
        <v>SS17_Vik_JP_01-Pink</v>
      </c>
      <c r="K499" s="6">
        <v>0</v>
      </c>
      <c r="L499" s="6">
        <v>0</v>
      </c>
      <c r="M499" s="6">
        <v>0</v>
      </c>
      <c r="N499" s="6" t="str">
        <f>""</f>
        <v/>
      </c>
      <c r="O499" s="6">
        <v>32982</v>
      </c>
      <c r="P499" s="6" t="s">
        <v>2267</v>
      </c>
      <c r="R499" s="6" t="s">
        <v>2229</v>
      </c>
      <c r="S499" s="6" t="s">
        <v>2268</v>
      </c>
      <c r="T499" s="6">
        <v>0</v>
      </c>
      <c r="U499" s="6">
        <v>0</v>
      </c>
      <c r="V499" s="6">
        <v>0</v>
      </c>
      <c r="W499" s="6">
        <v>0</v>
      </c>
      <c r="X499" s="6" t="s">
        <v>169</v>
      </c>
      <c r="Z499" s="6" t="s">
        <v>170</v>
      </c>
      <c r="AA499" s="6" t="s">
        <v>171</v>
      </c>
      <c r="AB499" s="6">
        <v>0</v>
      </c>
      <c r="AC499" s="6" t="str">
        <f>""</f>
        <v/>
      </c>
      <c r="AS499" s="6">
        <v>0</v>
      </c>
      <c r="AT499" s="6">
        <v>0</v>
      </c>
    </row>
    <row r="500" spans="2:46">
      <c r="B500" s="6" t="s">
        <v>2206</v>
      </c>
      <c r="D500" s="6" t="s">
        <v>1561</v>
      </c>
      <c r="F500" s="6" t="s">
        <v>2269</v>
      </c>
      <c r="G500" s="6" t="str">
        <f>"10051303"</f>
        <v>10051303</v>
      </c>
      <c r="H500" s="6">
        <v>10051303</v>
      </c>
      <c r="I500" s="6" t="s">
        <v>2270</v>
      </c>
      <c r="J500" s="6" t="str">
        <f>"SS17_Vik_JP_01_Navy"</f>
        <v>SS17_Vik_JP_01_Navy</v>
      </c>
      <c r="K500" s="6">
        <v>0</v>
      </c>
      <c r="L500" s="6">
        <v>0</v>
      </c>
      <c r="M500" s="6">
        <v>0</v>
      </c>
      <c r="N500" s="6" t="str">
        <f>""</f>
        <v/>
      </c>
      <c r="O500" s="6">
        <v>32980</v>
      </c>
      <c r="P500" s="6" t="s">
        <v>2270</v>
      </c>
      <c r="R500" s="6" t="s">
        <v>2244</v>
      </c>
      <c r="S500" s="6" t="s">
        <v>2271</v>
      </c>
      <c r="T500" s="6">
        <v>0</v>
      </c>
      <c r="U500" s="6">
        <v>0</v>
      </c>
      <c r="V500" s="6">
        <v>0</v>
      </c>
      <c r="W500" s="6">
        <v>0</v>
      </c>
      <c r="X500" s="6" t="s">
        <v>169</v>
      </c>
      <c r="Z500" s="6" t="s">
        <v>170</v>
      </c>
      <c r="AA500" s="6" t="s">
        <v>171</v>
      </c>
      <c r="AB500" s="6">
        <v>0</v>
      </c>
      <c r="AC500" s="6" t="str">
        <f>""</f>
        <v/>
      </c>
      <c r="AS500" s="6">
        <v>0</v>
      </c>
      <c r="AT500" s="6">
        <v>0</v>
      </c>
    </row>
    <row r="501" spans="2:46">
      <c r="B501" s="6" t="s">
        <v>2206</v>
      </c>
      <c r="D501" s="6" t="s">
        <v>1561</v>
      </c>
      <c r="F501" s="6" t="s">
        <v>2272</v>
      </c>
      <c r="G501" s="6" t="str">
        <f>"10051302"</f>
        <v>10051302</v>
      </c>
      <c r="H501" s="6">
        <v>10051302</v>
      </c>
      <c r="I501" s="6" t="s">
        <v>2273</v>
      </c>
      <c r="J501" s="6" t="str">
        <f>"SS17_VIK_VV_JP01_Wine"</f>
        <v>SS17_VIK_VV_JP01_Wine</v>
      </c>
      <c r="K501" s="6">
        <v>0</v>
      </c>
      <c r="L501" s="6">
        <v>0</v>
      </c>
      <c r="M501" s="6">
        <v>0</v>
      </c>
      <c r="N501" s="6" t="str">
        <f>""</f>
        <v/>
      </c>
      <c r="O501" s="6">
        <v>32978</v>
      </c>
      <c r="P501" s="6" t="s">
        <v>2273</v>
      </c>
      <c r="R501" s="6" t="s">
        <v>2274</v>
      </c>
      <c r="S501" s="6" t="s">
        <v>2275</v>
      </c>
      <c r="T501" s="6">
        <v>0</v>
      </c>
      <c r="U501" s="6">
        <v>0</v>
      </c>
      <c r="V501" s="6">
        <v>0</v>
      </c>
      <c r="W501" s="6">
        <v>0</v>
      </c>
      <c r="X501" s="6" t="s">
        <v>169</v>
      </c>
      <c r="Z501" s="6" t="s">
        <v>170</v>
      </c>
      <c r="AA501" s="6" t="s">
        <v>171</v>
      </c>
      <c r="AB501" s="6">
        <v>0</v>
      </c>
      <c r="AC501" s="6" t="str">
        <f>""</f>
        <v/>
      </c>
      <c r="AS501" s="6">
        <v>0</v>
      </c>
      <c r="AT501" s="6">
        <v>0</v>
      </c>
    </row>
    <row r="502" spans="2:46">
      <c r="B502" s="6" t="s">
        <v>2206</v>
      </c>
      <c r="D502" s="6" t="s">
        <v>1561</v>
      </c>
      <c r="F502" s="6" t="s">
        <v>2276</v>
      </c>
      <c r="G502" s="6" t="str">
        <f>"10051301"</f>
        <v>10051301</v>
      </c>
      <c r="H502" s="6">
        <v>10051301</v>
      </c>
      <c r="I502" s="6" t="s">
        <v>2277</v>
      </c>
      <c r="J502" s="6" t="str">
        <f>"SS17_VIK_VV_JP01_Navy"</f>
        <v>SS17_VIK_VV_JP01_Navy</v>
      </c>
      <c r="K502" s="6">
        <v>0</v>
      </c>
      <c r="L502" s="6">
        <v>0</v>
      </c>
      <c r="M502" s="6">
        <v>0</v>
      </c>
      <c r="N502" s="6" t="str">
        <f>""</f>
        <v/>
      </c>
      <c r="O502" s="6">
        <v>32976</v>
      </c>
      <c r="P502" s="6" t="s">
        <v>2277</v>
      </c>
      <c r="R502" s="6" t="s">
        <v>2244</v>
      </c>
      <c r="S502" s="6" t="s">
        <v>2278</v>
      </c>
      <c r="T502" s="6">
        <v>0</v>
      </c>
      <c r="U502" s="6">
        <v>0</v>
      </c>
      <c r="V502" s="6">
        <v>0</v>
      </c>
      <c r="W502" s="6">
        <v>0</v>
      </c>
      <c r="X502" s="6" t="s">
        <v>169</v>
      </c>
      <c r="Z502" s="6" t="s">
        <v>170</v>
      </c>
      <c r="AA502" s="6" t="s">
        <v>171</v>
      </c>
      <c r="AB502" s="6">
        <v>0</v>
      </c>
      <c r="AC502" s="6" t="str">
        <f>""</f>
        <v/>
      </c>
      <c r="AS502" s="6">
        <v>0</v>
      </c>
      <c r="AT502" s="6">
        <v>0</v>
      </c>
    </row>
    <row r="503" spans="2:46">
      <c r="B503" s="6" t="s">
        <v>2206</v>
      </c>
      <c r="D503" s="6" t="s">
        <v>1561</v>
      </c>
      <c r="F503" s="6" t="s">
        <v>2279</v>
      </c>
      <c r="G503" s="6" t="str">
        <f>"12010404"</f>
        <v>12010404</v>
      </c>
      <c r="H503" s="6">
        <v>12010404</v>
      </c>
      <c r="I503" s="6" t="s">
        <v>2280</v>
      </c>
      <c r="J503" s="6" t="str">
        <f>"SS17_VIK-MTM-15_YELLOW"</f>
        <v>SS17_VIK-MTM-15_YELLOW</v>
      </c>
      <c r="K503" s="6">
        <v>0</v>
      </c>
      <c r="L503" s="6">
        <v>0</v>
      </c>
      <c r="M503" s="6">
        <v>0</v>
      </c>
      <c r="N503" s="6" t="str">
        <f>""</f>
        <v/>
      </c>
      <c r="O503" s="6">
        <v>32974</v>
      </c>
      <c r="P503" s="6" t="s">
        <v>2280</v>
      </c>
      <c r="R503" s="6" t="s">
        <v>2281</v>
      </c>
      <c r="S503" s="6" t="s">
        <v>2282</v>
      </c>
      <c r="T503" s="6">
        <v>0</v>
      </c>
      <c r="U503" s="6">
        <v>0</v>
      </c>
      <c r="V503" s="6">
        <v>0</v>
      </c>
      <c r="W503" s="6">
        <v>0</v>
      </c>
      <c r="X503" s="6" t="s">
        <v>169</v>
      </c>
      <c r="Z503" s="6" t="s">
        <v>170</v>
      </c>
      <c r="AA503" s="6" t="s">
        <v>171</v>
      </c>
      <c r="AB503" s="6">
        <v>0</v>
      </c>
      <c r="AC503" s="6" t="str">
        <f>""</f>
        <v/>
      </c>
      <c r="AS503" s="6">
        <v>0</v>
      </c>
      <c r="AT503" s="6">
        <v>0</v>
      </c>
    </row>
    <row r="504" spans="2:46">
      <c r="B504" s="6" t="s">
        <v>2206</v>
      </c>
      <c r="D504" s="6" t="s">
        <v>1561</v>
      </c>
      <c r="F504" s="6" t="s">
        <v>2283</v>
      </c>
      <c r="G504" s="6" t="str">
        <f>"12010405"</f>
        <v>12010405</v>
      </c>
      <c r="H504" s="6">
        <v>12010405</v>
      </c>
      <c r="I504" s="6" t="s">
        <v>2284</v>
      </c>
      <c r="J504" s="6" t="str">
        <f>"SS17_VIK_MTM-19 BlacK"</f>
        <v>SS17_VIK_MTM-19 BlacK</v>
      </c>
      <c r="K504" s="6">
        <v>0</v>
      </c>
      <c r="L504" s="6">
        <v>0</v>
      </c>
      <c r="M504" s="6">
        <v>0</v>
      </c>
      <c r="N504" s="6" t="str">
        <f>""</f>
        <v/>
      </c>
      <c r="O504" s="6">
        <v>32972</v>
      </c>
      <c r="P504" s="6" t="s">
        <v>2284</v>
      </c>
      <c r="R504" s="6" t="s">
        <v>2285</v>
      </c>
      <c r="S504" s="6" t="s">
        <v>2286</v>
      </c>
      <c r="T504" s="6">
        <v>0</v>
      </c>
      <c r="U504" s="6">
        <v>0</v>
      </c>
      <c r="V504" s="6">
        <v>0</v>
      </c>
      <c r="W504" s="6">
        <v>0</v>
      </c>
      <c r="X504" s="6" t="s">
        <v>169</v>
      </c>
      <c r="Z504" s="6" t="s">
        <v>170</v>
      </c>
      <c r="AA504" s="6" t="s">
        <v>171</v>
      </c>
      <c r="AB504" s="6">
        <v>0</v>
      </c>
      <c r="AC504" s="6" t="str">
        <f>""</f>
        <v/>
      </c>
      <c r="AS504" s="6">
        <v>0</v>
      </c>
      <c r="AT504" s="6">
        <v>0</v>
      </c>
    </row>
    <row r="505" spans="2:46">
      <c r="B505" s="6" t="s">
        <v>2206</v>
      </c>
      <c r="D505" s="6" t="s">
        <v>1561</v>
      </c>
      <c r="F505" s="6" t="s">
        <v>2287</v>
      </c>
      <c r="G505" s="6" t="str">
        <f>"12010403"</f>
        <v>12010403</v>
      </c>
      <c r="H505" s="6">
        <v>12010403</v>
      </c>
      <c r="I505" s="6" t="s">
        <v>2288</v>
      </c>
      <c r="J505" s="6" t="str">
        <f>"SS17_VIK_MTM-14_Green"</f>
        <v>SS17_VIK_MTM-14_Green</v>
      </c>
      <c r="K505" s="6">
        <v>0</v>
      </c>
      <c r="L505" s="6">
        <v>0</v>
      </c>
      <c r="M505" s="6">
        <v>0</v>
      </c>
      <c r="N505" s="6" t="str">
        <f>""</f>
        <v/>
      </c>
      <c r="O505" s="6">
        <v>32970</v>
      </c>
      <c r="P505" s="6" t="s">
        <v>2288</v>
      </c>
      <c r="R505" s="6" t="s">
        <v>2289</v>
      </c>
      <c r="S505" s="6" t="s">
        <v>2290</v>
      </c>
      <c r="T505" s="6">
        <v>0</v>
      </c>
      <c r="U505" s="6">
        <v>0</v>
      </c>
      <c r="V505" s="6">
        <v>0</v>
      </c>
      <c r="W505" s="6">
        <v>0</v>
      </c>
      <c r="X505" s="6" t="s">
        <v>169</v>
      </c>
      <c r="Z505" s="6" t="s">
        <v>170</v>
      </c>
      <c r="AA505" s="6" t="s">
        <v>171</v>
      </c>
      <c r="AB505" s="6">
        <v>0</v>
      </c>
      <c r="AC505" s="6" t="str">
        <f>""</f>
        <v/>
      </c>
      <c r="AS505" s="6">
        <v>0</v>
      </c>
      <c r="AT505" s="6">
        <v>0</v>
      </c>
    </row>
    <row r="506" spans="2:46">
      <c r="B506" s="6" t="s">
        <v>2206</v>
      </c>
      <c r="D506" s="6" t="s">
        <v>1561</v>
      </c>
      <c r="F506" s="6" t="s">
        <v>2291</v>
      </c>
      <c r="G506" s="6" t="str">
        <f>"12010402"</f>
        <v>12010402</v>
      </c>
      <c r="H506" s="6">
        <v>12010402</v>
      </c>
      <c r="I506" s="6" t="s">
        <v>2292</v>
      </c>
      <c r="J506" s="6" t="str">
        <f>"SS17_VIK_MTM-11_Pink"</f>
        <v>SS17_VIK_MTM-11_Pink</v>
      </c>
      <c r="K506" s="6">
        <v>0</v>
      </c>
      <c r="L506" s="6">
        <v>0</v>
      </c>
      <c r="M506" s="6">
        <v>0</v>
      </c>
      <c r="N506" s="6" t="str">
        <f>""</f>
        <v/>
      </c>
      <c r="O506" s="6">
        <v>32968</v>
      </c>
      <c r="P506" s="6" t="s">
        <v>2292</v>
      </c>
      <c r="R506" s="6" t="s">
        <v>2229</v>
      </c>
      <c r="S506" s="6" t="s">
        <v>2293</v>
      </c>
      <c r="T506" s="6">
        <v>0</v>
      </c>
      <c r="U506" s="6">
        <v>0</v>
      </c>
      <c r="V506" s="6">
        <v>0</v>
      </c>
      <c r="W506" s="6">
        <v>0</v>
      </c>
      <c r="X506" s="6" t="s">
        <v>169</v>
      </c>
      <c r="Z506" s="6" t="s">
        <v>170</v>
      </c>
      <c r="AA506" s="6" t="s">
        <v>171</v>
      </c>
      <c r="AB506" s="6">
        <v>0</v>
      </c>
      <c r="AC506" s="6" t="str">
        <f>""</f>
        <v/>
      </c>
      <c r="AS506" s="6">
        <v>0</v>
      </c>
      <c r="AT506" s="6">
        <v>0</v>
      </c>
    </row>
    <row r="507" spans="2:46">
      <c r="B507" s="6" t="s">
        <v>2294</v>
      </c>
      <c r="D507" s="6" t="s">
        <v>1561</v>
      </c>
      <c r="F507" s="6" t="s">
        <v>2295</v>
      </c>
      <c r="G507" s="6" t="str">
        <f>"VV17FWSK01NA"</f>
        <v>VV17FWSK01NA</v>
      </c>
      <c r="H507" s="6" t="s">
        <v>2296</v>
      </c>
      <c r="I507" s="6" t="s">
        <v>2297</v>
      </c>
      <c r="J507" s="6" t="str">
        <f>"POCKET POINT WRAP MINI SKIRT"</f>
        <v>POCKET POINT WRAP MINI SKIRT</v>
      </c>
      <c r="K507" s="6">
        <v>0</v>
      </c>
      <c r="L507" s="6">
        <v>0</v>
      </c>
      <c r="M507" s="6">
        <v>0</v>
      </c>
      <c r="N507" s="6" t="str">
        <f>""</f>
        <v/>
      </c>
      <c r="O507" s="6">
        <v>32966</v>
      </c>
      <c r="P507" s="6" t="s">
        <v>2296</v>
      </c>
      <c r="R507" s="6" t="s">
        <v>2111</v>
      </c>
      <c r="S507" s="6" t="s">
        <v>2298</v>
      </c>
      <c r="T507" s="6">
        <v>0</v>
      </c>
      <c r="U507" s="6">
        <v>0</v>
      </c>
      <c r="V507" s="6">
        <v>0</v>
      </c>
      <c r="W507" s="6">
        <v>0</v>
      </c>
      <c r="X507" s="6" t="s">
        <v>169</v>
      </c>
      <c r="Z507" s="6" t="s">
        <v>170</v>
      </c>
      <c r="AA507" s="6" t="s">
        <v>171</v>
      </c>
      <c r="AB507" s="6">
        <v>0</v>
      </c>
      <c r="AC507" s="6" t="str">
        <f>""</f>
        <v/>
      </c>
      <c r="AS507" s="6">
        <v>0</v>
      </c>
      <c r="AT507" s="6">
        <v>0</v>
      </c>
    </row>
    <row r="508" spans="2:46">
      <c r="B508" s="6" t="s">
        <v>2294</v>
      </c>
      <c r="D508" s="6" t="s">
        <v>1561</v>
      </c>
      <c r="F508" s="6" t="s">
        <v>2299</v>
      </c>
      <c r="G508" s="6" t="str">
        <f>"VV17FWSK01BR"</f>
        <v>VV17FWSK01BR</v>
      </c>
      <c r="H508" s="6" t="s">
        <v>2300</v>
      </c>
      <c r="I508" s="6" t="s">
        <v>2297</v>
      </c>
      <c r="J508" s="6" t="str">
        <f>"POCKET POINT WRAP MINI SKIRT"</f>
        <v>POCKET POINT WRAP MINI SKIRT</v>
      </c>
      <c r="K508" s="6">
        <v>0</v>
      </c>
      <c r="L508" s="6">
        <v>0</v>
      </c>
      <c r="M508" s="6">
        <v>0</v>
      </c>
      <c r="N508" s="6" t="str">
        <f>""</f>
        <v/>
      </c>
      <c r="O508" s="6">
        <v>32965</v>
      </c>
      <c r="P508" s="6" t="s">
        <v>2300</v>
      </c>
      <c r="R508" s="6" t="s">
        <v>2119</v>
      </c>
      <c r="S508" s="6" t="s">
        <v>2301</v>
      </c>
      <c r="T508" s="6">
        <v>0</v>
      </c>
      <c r="U508" s="6">
        <v>0</v>
      </c>
      <c r="V508" s="6">
        <v>0</v>
      </c>
      <c r="W508" s="6">
        <v>0</v>
      </c>
      <c r="X508" s="6" t="s">
        <v>169</v>
      </c>
      <c r="Z508" s="6" t="s">
        <v>170</v>
      </c>
      <c r="AA508" s="6" t="s">
        <v>171</v>
      </c>
      <c r="AB508" s="6">
        <v>0</v>
      </c>
      <c r="AC508" s="6" t="str">
        <f>""</f>
        <v/>
      </c>
      <c r="AS508" s="6">
        <v>0</v>
      </c>
      <c r="AT508" s="6">
        <v>0</v>
      </c>
    </row>
    <row r="509" spans="2:46">
      <c r="B509" s="6" t="s">
        <v>2294</v>
      </c>
      <c r="D509" s="6" t="s">
        <v>1561</v>
      </c>
      <c r="F509" s="6" t="s">
        <v>2302</v>
      </c>
      <c r="G509" s="6" t="str">
        <f>"VV17FWOP04BK"</f>
        <v>VV17FWOP04BK</v>
      </c>
      <c r="H509" s="6" t="s">
        <v>2303</v>
      </c>
      <c r="I509" s="6" t="s">
        <v>2304</v>
      </c>
      <c r="J509" s="6" t="str">
        <f>"BLACK CHECK ONEPIECE"</f>
        <v>BLACK CHECK ONEPIECE</v>
      </c>
      <c r="K509" s="6">
        <v>0</v>
      </c>
      <c r="L509" s="6">
        <v>0</v>
      </c>
      <c r="M509" s="6">
        <v>0</v>
      </c>
      <c r="N509" s="6" t="str">
        <f>""</f>
        <v/>
      </c>
      <c r="O509" s="6">
        <v>32963</v>
      </c>
      <c r="P509" s="6" t="s">
        <v>2303</v>
      </c>
      <c r="R509" s="6" t="s">
        <v>2106</v>
      </c>
      <c r="S509" s="6" t="s">
        <v>2305</v>
      </c>
      <c r="T509" s="6">
        <v>0</v>
      </c>
      <c r="U509" s="6">
        <v>0</v>
      </c>
      <c r="V509" s="6">
        <v>0</v>
      </c>
      <c r="W509" s="6">
        <v>0</v>
      </c>
      <c r="X509" s="6" t="s">
        <v>169</v>
      </c>
      <c r="Z509" s="6" t="s">
        <v>170</v>
      </c>
      <c r="AA509" s="6" t="s">
        <v>171</v>
      </c>
      <c r="AB509" s="6">
        <v>0</v>
      </c>
      <c r="AC509" s="6" t="str">
        <f>""</f>
        <v/>
      </c>
      <c r="AS509" s="6">
        <v>0</v>
      </c>
      <c r="AT509" s="6">
        <v>0</v>
      </c>
    </row>
    <row r="510" spans="2:46">
      <c r="B510" s="6" t="s">
        <v>2294</v>
      </c>
      <c r="D510" s="6" t="s">
        <v>1561</v>
      </c>
      <c r="F510" s="6" t="s">
        <v>2306</v>
      </c>
      <c r="G510" s="6" t="str">
        <f>"VV17FWOP03RD"</f>
        <v>VV17FWOP03RD</v>
      </c>
      <c r="H510" s="6" t="s">
        <v>2307</v>
      </c>
      <c r="I510" s="6" t="s">
        <v>2308</v>
      </c>
      <c r="J510" s="6" t="str">
        <f>"DOT POINT WRAP JUMPSUIT"</f>
        <v>DOT POINT WRAP JUMPSUIT</v>
      </c>
      <c r="K510" s="6">
        <v>0</v>
      </c>
      <c r="L510" s="6">
        <v>0</v>
      </c>
      <c r="M510" s="6">
        <v>0</v>
      </c>
      <c r="N510" s="6" t="str">
        <f>""</f>
        <v/>
      </c>
      <c r="O510" s="6">
        <v>32961</v>
      </c>
      <c r="P510" s="6" t="s">
        <v>2307</v>
      </c>
      <c r="R510" s="6" t="s">
        <v>2309</v>
      </c>
      <c r="S510" s="6" t="s">
        <v>2310</v>
      </c>
      <c r="T510" s="6">
        <v>0</v>
      </c>
      <c r="U510" s="6">
        <v>0</v>
      </c>
      <c r="V510" s="6">
        <v>0</v>
      </c>
      <c r="W510" s="6">
        <v>0</v>
      </c>
      <c r="X510" s="6" t="s">
        <v>169</v>
      </c>
      <c r="Z510" s="6" t="s">
        <v>170</v>
      </c>
      <c r="AA510" s="6" t="s">
        <v>171</v>
      </c>
      <c r="AB510" s="6">
        <v>0</v>
      </c>
      <c r="AC510" s="6" t="str">
        <f>""</f>
        <v/>
      </c>
      <c r="AS510" s="6">
        <v>0</v>
      </c>
      <c r="AT510" s="6">
        <v>0</v>
      </c>
    </row>
    <row r="511" spans="2:46">
      <c r="B511" s="6" t="s">
        <v>2294</v>
      </c>
      <c r="D511" s="6" t="s">
        <v>1561</v>
      </c>
      <c r="F511" s="6" t="s">
        <v>2311</v>
      </c>
      <c r="G511" s="6" t="str">
        <f>"VV17FWOP03NA"</f>
        <v>VV17FWOP03NA</v>
      </c>
      <c r="H511" s="6" t="s">
        <v>2312</v>
      </c>
      <c r="I511" s="6" t="s">
        <v>2308</v>
      </c>
      <c r="J511" s="6" t="str">
        <f>"DOT POINT WRAP JUMPSUIT"</f>
        <v>DOT POINT WRAP JUMPSUIT</v>
      </c>
      <c r="K511" s="6">
        <v>0</v>
      </c>
      <c r="L511" s="6">
        <v>0</v>
      </c>
      <c r="M511" s="6">
        <v>0</v>
      </c>
      <c r="N511" s="6" t="str">
        <f>""</f>
        <v/>
      </c>
      <c r="O511" s="6">
        <v>32960</v>
      </c>
      <c r="P511" s="6" t="s">
        <v>2312</v>
      </c>
      <c r="R511" s="6" t="s">
        <v>2111</v>
      </c>
      <c r="S511" s="6" t="s">
        <v>2313</v>
      </c>
      <c r="T511" s="6">
        <v>0</v>
      </c>
      <c r="U511" s="6">
        <v>0</v>
      </c>
      <c r="V511" s="6">
        <v>0</v>
      </c>
      <c r="W511" s="6">
        <v>0</v>
      </c>
      <c r="X511" s="6" t="s">
        <v>169</v>
      </c>
      <c r="Z511" s="6" t="s">
        <v>170</v>
      </c>
      <c r="AA511" s="6" t="s">
        <v>171</v>
      </c>
      <c r="AB511" s="6">
        <v>0</v>
      </c>
      <c r="AC511" s="6" t="str">
        <f>""</f>
        <v/>
      </c>
      <c r="AS511" s="6">
        <v>0</v>
      </c>
      <c r="AT511" s="6">
        <v>0</v>
      </c>
    </row>
    <row r="512" spans="2:46">
      <c r="B512" s="6" t="s">
        <v>2294</v>
      </c>
      <c r="D512" s="6" t="s">
        <v>1561</v>
      </c>
      <c r="F512" s="6" t="s">
        <v>2314</v>
      </c>
      <c r="G512" s="6" t="str">
        <f>"VV17FWOP01NAS"</f>
        <v>VV17FWOP01NAS</v>
      </c>
      <c r="H512" s="6" t="s">
        <v>2315</v>
      </c>
      <c r="I512" s="6" t="s">
        <v>2316</v>
      </c>
      <c r="J512" s="6" t="str">
        <f>"RUFFLE POINT SLEEVES CHECK WRAP ONEPIECE"</f>
        <v>RUFFLE POINT SLEEVES CHECK WRAP ONEPIECE</v>
      </c>
      <c r="K512" s="6">
        <v>0</v>
      </c>
      <c r="L512" s="6">
        <v>0</v>
      </c>
      <c r="M512" s="6">
        <v>0</v>
      </c>
      <c r="N512" s="6" t="str">
        <f>""</f>
        <v/>
      </c>
      <c r="O512" s="6">
        <v>32956</v>
      </c>
      <c r="P512" s="6" t="s">
        <v>2315</v>
      </c>
      <c r="R512" s="6" t="s">
        <v>566</v>
      </c>
      <c r="S512" s="6" t="s">
        <v>2317</v>
      </c>
      <c r="T512" s="6">
        <v>0</v>
      </c>
      <c r="U512" s="6">
        <v>0</v>
      </c>
      <c r="V512" s="6">
        <v>0</v>
      </c>
      <c r="W512" s="6">
        <v>0</v>
      </c>
      <c r="X512" s="6" t="s">
        <v>169</v>
      </c>
      <c r="Z512" s="6" t="s">
        <v>170</v>
      </c>
      <c r="AA512" s="6" t="s">
        <v>171</v>
      </c>
      <c r="AB512" s="6">
        <v>0</v>
      </c>
      <c r="AC512" s="6" t="str">
        <f>""</f>
        <v/>
      </c>
      <c r="AS512" s="6">
        <v>0</v>
      </c>
      <c r="AT512" s="6">
        <v>0</v>
      </c>
    </row>
    <row r="513" spans="2:46">
      <c r="B513" s="6" t="s">
        <v>2294</v>
      </c>
      <c r="D513" s="6" t="s">
        <v>1561</v>
      </c>
      <c r="F513" s="6" t="s">
        <v>2318</v>
      </c>
      <c r="G513" s="6" t="str">
        <f>"VV17FWOP01NAM"</f>
        <v>VV17FWOP01NAM</v>
      </c>
      <c r="H513" s="6" t="s">
        <v>2319</v>
      </c>
      <c r="I513" s="6" t="s">
        <v>2316</v>
      </c>
      <c r="J513" s="6" t="str">
        <f>"RUFFLE POINT SLEEVES CHECK WRAP ONEPIECE"</f>
        <v>RUFFLE POINT SLEEVES CHECK WRAP ONEPIECE</v>
      </c>
      <c r="K513" s="6">
        <v>0</v>
      </c>
      <c r="L513" s="6">
        <v>0</v>
      </c>
      <c r="M513" s="6">
        <v>0</v>
      </c>
      <c r="N513" s="6" t="str">
        <f>""</f>
        <v/>
      </c>
      <c r="O513" s="6">
        <v>32955</v>
      </c>
      <c r="P513" s="6" t="s">
        <v>2319</v>
      </c>
      <c r="R513" s="6" t="s">
        <v>571</v>
      </c>
      <c r="S513" s="6" t="s">
        <v>2320</v>
      </c>
      <c r="T513" s="6">
        <v>0</v>
      </c>
      <c r="U513" s="6">
        <v>0</v>
      </c>
      <c r="V513" s="6">
        <v>0</v>
      </c>
      <c r="W513" s="6">
        <v>0</v>
      </c>
      <c r="X513" s="6" t="s">
        <v>169</v>
      </c>
      <c r="Z513" s="6" t="s">
        <v>170</v>
      </c>
      <c r="AA513" s="6" t="s">
        <v>171</v>
      </c>
      <c r="AB513" s="6">
        <v>0</v>
      </c>
      <c r="AC513" s="6" t="str">
        <f>""</f>
        <v/>
      </c>
      <c r="AS513" s="6">
        <v>0</v>
      </c>
      <c r="AT513" s="6">
        <v>0</v>
      </c>
    </row>
    <row r="514" spans="2:46">
      <c r="B514" s="6" t="s">
        <v>2294</v>
      </c>
      <c r="D514" s="6" t="s">
        <v>1561</v>
      </c>
      <c r="F514" s="6" t="s">
        <v>2321</v>
      </c>
      <c r="G514" s="6" t="str">
        <f>"VV17FWOP01BKM"</f>
        <v>VV17FWOP01BKM</v>
      </c>
      <c r="H514" s="6" t="s">
        <v>2322</v>
      </c>
      <c r="I514" s="6" t="s">
        <v>2323</v>
      </c>
      <c r="J514" s="6" t="str">
        <f>"RUFFLE POINT SLEEVES WRAP ONEPIECE"</f>
        <v>RUFFLE POINT SLEEVES WRAP ONEPIECE</v>
      </c>
      <c r="K514" s="6">
        <v>0</v>
      </c>
      <c r="L514" s="6">
        <v>0</v>
      </c>
      <c r="M514" s="6">
        <v>0</v>
      </c>
      <c r="N514" s="6" t="str">
        <f>""</f>
        <v/>
      </c>
      <c r="O514" s="6">
        <v>32953</v>
      </c>
      <c r="P514" s="6" t="s">
        <v>2322</v>
      </c>
      <c r="R514" s="6" t="s">
        <v>601</v>
      </c>
      <c r="S514" s="6" t="s">
        <v>2324</v>
      </c>
      <c r="T514" s="6">
        <v>0</v>
      </c>
      <c r="U514" s="6">
        <v>0</v>
      </c>
      <c r="V514" s="6">
        <v>0</v>
      </c>
      <c r="W514" s="6">
        <v>0</v>
      </c>
      <c r="X514" s="6" t="s">
        <v>169</v>
      </c>
      <c r="Z514" s="6" t="s">
        <v>170</v>
      </c>
      <c r="AA514" s="6" t="s">
        <v>171</v>
      </c>
      <c r="AB514" s="6">
        <v>0</v>
      </c>
      <c r="AC514" s="6" t="str">
        <f>""</f>
        <v/>
      </c>
      <c r="AS514" s="6">
        <v>0</v>
      </c>
      <c r="AT514" s="6">
        <v>0</v>
      </c>
    </row>
    <row r="515" spans="2:46">
      <c r="B515" s="6" t="s">
        <v>2294</v>
      </c>
      <c r="D515" s="6" t="s">
        <v>1561</v>
      </c>
      <c r="F515" s="6" t="s">
        <v>2325</v>
      </c>
      <c r="G515" s="6" t="str">
        <f>"VV17FWOP01BKS"</f>
        <v>VV17FWOP01BKS</v>
      </c>
      <c r="H515" s="6" t="s">
        <v>2326</v>
      </c>
      <c r="I515" s="6" t="s">
        <v>2323</v>
      </c>
      <c r="J515" s="6" t="str">
        <f>"RUFFLE POINT SLEEVES WRAP ONEPIECE"</f>
        <v>RUFFLE POINT SLEEVES WRAP ONEPIECE</v>
      </c>
      <c r="K515" s="6">
        <v>0</v>
      </c>
      <c r="L515" s="6">
        <v>0</v>
      </c>
      <c r="M515" s="6">
        <v>0</v>
      </c>
      <c r="N515" s="6" t="str">
        <f>""</f>
        <v/>
      </c>
      <c r="O515" s="6">
        <v>32952</v>
      </c>
      <c r="P515" s="6" t="s">
        <v>2326</v>
      </c>
      <c r="R515" s="6" t="s">
        <v>606</v>
      </c>
      <c r="S515" s="6" t="s">
        <v>2327</v>
      </c>
      <c r="T515" s="6">
        <v>0</v>
      </c>
      <c r="U515" s="6">
        <v>0</v>
      </c>
      <c r="V515" s="6">
        <v>0</v>
      </c>
      <c r="W515" s="6">
        <v>0</v>
      </c>
      <c r="X515" s="6" t="s">
        <v>169</v>
      </c>
      <c r="Z515" s="6" t="s">
        <v>170</v>
      </c>
      <c r="AA515" s="6" t="s">
        <v>171</v>
      </c>
      <c r="AB515" s="6">
        <v>0</v>
      </c>
      <c r="AC515" s="6" t="str">
        <f>""</f>
        <v/>
      </c>
      <c r="AS515" s="6">
        <v>0</v>
      </c>
      <c r="AT515" s="6">
        <v>0</v>
      </c>
    </row>
    <row r="516" spans="2:46">
      <c r="B516" s="6" t="s">
        <v>2294</v>
      </c>
      <c r="D516" s="6" t="s">
        <v>1561</v>
      </c>
      <c r="F516" s="6" t="s">
        <v>2328</v>
      </c>
      <c r="G516" s="6" t="str">
        <f>"VV17FWST02NA"</f>
        <v>VV17FWST02NA</v>
      </c>
      <c r="H516" s="6" t="s">
        <v>2329</v>
      </c>
      <c r="I516" s="6" t="s">
        <v>2330</v>
      </c>
      <c r="J516" s="6" t="str">
        <f>"DRAPE PLACKET CHECK LONG SHIRTS"</f>
        <v>DRAPE PLACKET CHECK LONG SHIRTS</v>
      </c>
      <c r="K516" s="6">
        <v>0</v>
      </c>
      <c r="L516" s="6">
        <v>0</v>
      </c>
      <c r="M516" s="6">
        <v>0</v>
      </c>
      <c r="N516" s="6" t="str">
        <f>""</f>
        <v/>
      </c>
      <c r="O516" s="6">
        <v>32950</v>
      </c>
      <c r="P516" s="6" t="s">
        <v>2329</v>
      </c>
      <c r="R516" s="6" t="s">
        <v>2111</v>
      </c>
      <c r="S516" s="6" t="s">
        <v>2331</v>
      </c>
      <c r="T516" s="6">
        <v>0</v>
      </c>
      <c r="U516" s="6">
        <v>0</v>
      </c>
      <c r="V516" s="6">
        <v>0</v>
      </c>
      <c r="W516" s="6">
        <v>0</v>
      </c>
      <c r="X516" s="6" t="s">
        <v>169</v>
      </c>
      <c r="Z516" s="6" t="s">
        <v>170</v>
      </c>
      <c r="AA516" s="6" t="s">
        <v>171</v>
      </c>
      <c r="AB516" s="6">
        <v>0</v>
      </c>
      <c r="AC516" s="6" t="str">
        <f>""</f>
        <v/>
      </c>
      <c r="AS516" s="6">
        <v>0</v>
      </c>
      <c r="AT516" s="6">
        <v>0</v>
      </c>
    </row>
    <row r="517" spans="2:46">
      <c r="B517" s="6" t="s">
        <v>2294</v>
      </c>
      <c r="D517" s="6" t="s">
        <v>1561</v>
      </c>
      <c r="F517" s="6" t="s">
        <v>2332</v>
      </c>
      <c r="G517" s="6" t="str">
        <f>"VV17FWST01SB"</f>
        <v>VV17FWST01SB</v>
      </c>
      <c r="H517" s="6" t="s">
        <v>2333</v>
      </c>
      <c r="I517" s="6" t="s">
        <v>2334</v>
      </c>
      <c r="J517" s="6" t="str">
        <f>"DRAPE PLACKET STRIPE SHIRTS"</f>
        <v>DRAPE PLACKET STRIPE SHIRTS</v>
      </c>
      <c r="K517" s="6">
        <v>0</v>
      </c>
      <c r="L517" s="6">
        <v>0</v>
      </c>
      <c r="M517" s="6">
        <v>0</v>
      </c>
      <c r="N517" s="6" t="str">
        <f>""</f>
        <v/>
      </c>
      <c r="O517" s="6">
        <v>32948</v>
      </c>
      <c r="P517" s="6" t="s">
        <v>2333</v>
      </c>
      <c r="R517" s="6" t="s">
        <v>2335</v>
      </c>
      <c r="S517" s="6" t="s">
        <v>2336</v>
      </c>
      <c r="T517" s="6">
        <v>0</v>
      </c>
      <c r="U517" s="6">
        <v>0</v>
      </c>
      <c r="V517" s="6">
        <v>0</v>
      </c>
      <c r="W517" s="6">
        <v>0</v>
      </c>
      <c r="X517" s="6" t="s">
        <v>169</v>
      </c>
      <c r="Z517" s="6" t="s">
        <v>170</v>
      </c>
      <c r="AA517" s="6" t="s">
        <v>171</v>
      </c>
      <c r="AB517" s="6">
        <v>0</v>
      </c>
      <c r="AC517" s="6" t="str">
        <f>""</f>
        <v/>
      </c>
      <c r="AS517" s="6">
        <v>0</v>
      </c>
      <c r="AT517" s="6">
        <v>0</v>
      </c>
    </row>
    <row r="518" spans="2:46">
      <c r="B518" s="6" t="s">
        <v>2294</v>
      </c>
      <c r="D518" s="6" t="s">
        <v>1561</v>
      </c>
      <c r="F518" s="6" t="s">
        <v>2337</v>
      </c>
      <c r="G518" s="6" t="str">
        <f>"VV17FWST01MT"</f>
        <v>VV17FWST01MT</v>
      </c>
      <c r="H518" s="6" t="s">
        <v>2338</v>
      </c>
      <c r="I518" s="6" t="s">
        <v>2339</v>
      </c>
      <c r="J518" s="6" t="str">
        <f>"DRAPE PLACKET SHIRTS"</f>
        <v>DRAPE PLACKET SHIRTS</v>
      </c>
      <c r="K518" s="6">
        <v>0</v>
      </c>
      <c r="L518" s="6">
        <v>0</v>
      </c>
      <c r="M518" s="6">
        <v>0</v>
      </c>
      <c r="N518" s="6" t="str">
        <f>""</f>
        <v/>
      </c>
      <c r="O518" s="6">
        <v>32946</v>
      </c>
      <c r="P518" s="6" t="s">
        <v>2338</v>
      </c>
      <c r="R518" s="6" t="s">
        <v>2340</v>
      </c>
      <c r="S518" s="6" t="s">
        <v>2341</v>
      </c>
      <c r="T518" s="6">
        <v>0</v>
      </c>
      <c r="U518" s="6">
        <v>0</v>
      </c>
      <c r="V518" s="6">
        <v>0</v>
      </c>
      <c r="W518" s="6">
        <v>0</v>
      </c>
      <c r="X518" s="6" t="s">
        <v>169</v>
      </c>
      <c r="Z518" s="6" t="s">
        <v>170</v>
      </c>
      <c r="AA518" s="6" t="s">
        <v>171</v>
      </c>
      <c r="AB518" s="6">
        <v>0</v>
      </c>
      <c r="AC518" s="6" t="str">
        <f>""</f>
        <v/>
      </c>
      <c r="AS518" s="6">
        <v>0</v>
      </c>
      <c r="AT518" s="6">
        <v>0</v>
      </c>
    </row>
    <row r="519" spans="2:46">
      <c r="B519" s="6" t="s">
        <v>2294</v>
      </c>
      <c r="D519" s="6" t="s">
        <v>1561</v>
      </c>
      <c r="F519" s="6" t="s">
        <v>2342</v>
      </c>
      <c r="G519" s="6" t="str">
        <f>"VV17FWBL01RD"</f>
        <v>VV17FWBL01RD</v>
      </c>
      <c r="H519" s="6" t="s">
        <v>2343</v>
      </c>
      <c r="I519" s="6" t="s">
        <v>2344</v>
      </c>
      <c r="J519" s="6" t="str">
        <f>"NECK STRAP CHECK BLOUSE"</f>
        <v>NECK STRAP CHECK BLOUSE</v>
      </c>
      <c r="K519" s="6">
        <v>0</v>
      </c>
      <c r="L519" s="6">
        <v>0</v>
      </c>
      <c r="M519" s="6">
        <v>0</v>
      </c>
      <c r="N519" s="6" t="str">
        <f>""</f>
        <v/>
      </c>
      <c r="O519" s="6">
        <v>32944</v>
      </c>
      <c r="P519" s="6" t="s">
        <v>2343</v>
      </c>
      <c r="R519" s="6" t="s">
        <v>2309</v>
      </c>
      <c r="S519" s="6" t="s">
        <v>2345</v>
      </c>
      <c r="T519" s="6">
        <v>0</v>
      </c>
      <c r="U519" s="6">
        <v>0</v>
      </c>
      <c r="V519" s="6">
        <v>0</v>
      </c>
      <c r="W519" s="6">
        <v>0</v>
      </c>
      <c r="X519" s="6" t="s">
        <v>169</v>
      </c>
      <c r="Z519" s="6" t="s">
        <v>170</v>
      </c>
      <c r="AA519" s="6" t="s">
        <v>171</v>
      </c>
      <c r="AB519" s="6">
        <v>0</v>
      </c>
      <c r="AC519" s="6" t="str">
        <f>""</f>
        <v/>
      </c>
      <c r="AS519" s="6">
        <v>0</v>
      </c>
      <c r="AT519" s="6">
        <v>0</v>
      </c>
    </row>
    <row r="520" spans="2:46">
      <c r="B520" s="6" t="s">
        <v>2294</v>
      </c>
      <c r="D520" s="6" t="s">
        <v>1561</v>
      </c>
      <c r="F520" s="6" t="s">
        <v>2346</v>
      </c>
      <c r="G520" s="6" t="str">
        <f>"VV17FWBL01BK"</f>
        <v>VV17FWBL01BK</v>
      </c>
      <c r="H520" s="6" t="s">
        <v>2347</v>
      </c>
      <c r="I520" s="6" t="s">
        <v>2348</v>
      </c>
      <c r="J520" s="6" t="str">
        <f>"NECK STRAP PRINTED BLOUSE"</f>
        <v>NECK STRAP PRINTED BLOUSE</v>
      </c>
      <c r="K520" s="6">
        <v>0</v>
      </c>
      <c r="L520" s="6">
        <v>0</v>
      </c>
      <c r="M520" s="6">
        <v>0</v>
      </c>
      <c r="N520" s="6" t="str">
        <f>""</f>
        <v/>
      </c>
      <c r="O520" s="6">
        <v>32942</v>
      </c>
      <c r="P520" s="6" t="s">
        <v>2347</v>
      </c>
      <c r="R520" s="6" t="s">
        <v>2106</v>
      </c>
      <c r="S520" s="6" t="s">
        <v>2349</v>
      </c>
      <c r="T520" s="6">
        <v>0</v>
      </c>
      <c r="U520" s="6">
        <v>0</v>
      </c>
      <c r="V520" s="6">
        <v>0</v>
      </c>
      <c r="W520" s="6">
        <v>0</v>
      </c>
      <c r="X520" s="6" t="s">
        <v>169</v>
      </c>
      <c r="Z520" s="6" t="s">
        <v>170</v>
      </c>
      <c r="AA520" s="6" t="s">
        <v>171</v>
      </c>
      <c r="AB520" s="6">
        <v>0</v>
      </c>
      <c r="AC520" s="6" t="str">
        <f>""</f>
        <v/>
      </c>
      <c r="AS520" s="6">
        <v>0</v>
      </c>
      <c r="AT520" s="6">
        <v>0</v>
      </c>
    </row>
    <row r="521" spans="2:46">
      <c r="B521" s="6" t="s">
        <v>2294</v>
      </c>
      <c r="D521" s="6" t="s">
        <v>1561</v>
      </c>
      <c r="F521" s="6" t="s">
        <v>2350</v>
      </c>
      <c r="G521" s="6" t="str">
        <f>"VV17FWTOP04RD"</f>
        <v>VV17FWTOP04RD</v>
      </c>
      <c r="H521" s="6" t="s">
        <v>2351</v>
      </c>
      <c r="I521" s="6" t="s">
        <v>2352</v>
      </c>
      <c r="J521" s="6" t="str">
        <f>"SPANGLE PULLOVER HOODY"</f>
        <v>SPANGLE PULLOVER HOODY</v>
      </c>
      <c r="K521" s="6">
        <v>0</v>
      </c>
      <c r="L521" s="6">
        <v>0</v>
      </c>
      <c r="M521" s="6">
        <v>0</v>
      </c>
      <c r="N521" s="6" t="str">
        <f>""</f>
        <v/>
      </c>
      <c r="O521" s="6">
        <v>32940</v>
      </c>
      <c r="P521" s="6" t="s">
        <v>2351</v>
      </c>
      <c r="R521" s="6" t="s">
        <v>2309</v>
      </c>
      <c r="S521" s="6" t="s">
        <v>2353</v>
      </c>
      <c r="T521" s="6">
        <v>0</v>
      </c>
      <c r="U521" s="6">
        <v>0</v>
      </c>
      <c r="V521" s="6">
        <v>0</v>
      </c>
      <c r="W521" s="6">
        <v>0</v>
      </c>
      <c r="X521" s="6" t="s">
        <v>169</v>
      </c>
      <c r="Z521" s="6" t="s">
        <v>170</v>
      </c>
      <c r="AA521" s="6" t="s">
        <v>171</v>
      </c>
      <c r="AB521" s="6">
        <v>0</v>
      </c>
      <c r="AC521" s="6" t="str">
        <f>""</f>
        <v/>
      </c>
      <c r="AS521" s="6">
        <v>0</v>
      </c>
      <c r="AT521" s="6">
        <v>0</v>
      </c>
    </row>
    <row r="522" spans="2:46">
      <c r="B522" s="6" t="s">
        <v>2294</v>
      </c>
      <c r="D522" s="6" t="s">
        <v>1561</v>
      </c>
      <c r="F522" s="6" t="s">
        <v>2354</v>
      </c>
      <c r="G522" s="6" t="str">
        <f>"VV17FWTOP04IV"</f>
        <v>VV17FWTOP04IV</v>
      </c>
      <c r="H522" s="6" t="s">
        <v>2355</v>
      </c>
      <c r="I522" s="6" t="s">
        <v>2352</v>
      </c>
      <c r="J522" s="6" t="str">
        <f>"SPANGLE PULLOVER HOODY"</f>
        <v>SPANGLE PULLOVER HOODY</v>
      </c>
      <c r="K522" s="6">
        <v>0</v>
      </c>
      <c r="L522" s="6">
        <v>0</v>
      </c>
      <c r="M522" s="6">
        <v>0</v>
      </c>
      <c r="N522" s="6" t="str">
        <f>""</f>
        <v/>
      </c>
      <c r="O522" s="6">
        <v>32939</v>
      </c>
      <c r="P522" s="6" t="s">
        <v>2355</v>
      </c>
      <c r="R522" s="6" t="s">
        <v>2356</v>
      </c>
      <c r="S522" s="6" t="s">
        <v>2357</v>
      </c>
      <c r="T522" s="6">
        <v>0</v>
      </c>
      <c r="U522" s="6">
        <v>0</v>
      </c>
      <c r="V522" s="6">
        <v>0</v>
      </c>
      <c r="W522" s="6">
        <v>0</v>
      </c>
      <c r="X522" s="6" t="s">
        <v>169</v>
      </c>
      <c r="Z522" s="6" t="s">
        <v>170</v>
      </c>
      <c r="AA522" s="6" t="s">
        <v>171</v>
      </c>
      <c r="AB522" s="6">
        <v>0</v>
      </c>
      <c r="AC522" s="6" t="str">
        <f>""</f>
        <v/>
      </c>
      <c r="AS522" s="6">
        <v>0</v>
      </c>
      <c r="AT522" s="6">
        <v>0</v>
      </c>
    </row>
    <row r="523" spans="2:46">
      <c r="B523" s="6" t="s">
        <v>2294</v>
      </c>
      <c r="D523" s="6" t="s">
        <v>1561</v>
      </c>
      <c r="F523" s="6" t="s">
        <v>2358</v>
      </c>
      <c r="G523" s="6" t="str">
        <f>"VV17FWTOP03NA"</f>
        <v>VV17FWTOP03NA</v>
      </c>
      <c r="H523" s="6" t="s">
        <v>2359</v>
      </c>
      <c r="I523" s="6" t="s">
        <v>2360</v>
      </c>
      <c r="J523" s="6" t="str">
        <f>"SPANGLE SWEATSHIRT"</f>
        <v>SPANGLE SWEATSHIRT</v>
      </c>
      <c r="K523" s="6">
        <v>0</v>
      </c>
      <c r="L523" s="6">
        <v>0</v>
      </c>
      <c r="M523" s="6">
        <v>0</v>
      </c>
      <c r="N523" s="6" t="str">
        <f>""</f>
        <v/>
      </c>
      <c r="O523" s="6">
        <v>32937</v>
      </c>
      <c r="P523" s="6" t="s">
        <v>2359</v>
      </c>
      <c r="R523" s="6" t="s">
        <v>2111</v>
      </c>
      <c r="S523" s="6" t="s">
        <v>2361</v>
      </c>
      <c r="T523" s="6">
        <v>0</v>
      </c>
      <c r="U523" s="6">
        <v>0</v>
      </c>
      <c r="V523" s="6">
        <v>0</v>
      </c>
      <c r="W523" s="6">
        <v>0</v>
      </c>
      <c r="X523" s="6" t="s">
        <v>169</v>
      </c>
      <c r="Z523" s="6" t="s">
        <v>170</v>
      </c>
      <c r="AA523" s="6" t="s">
        <v>171</v>
      </c>
      <c r="AB523" s="6">
        <v>0</v>
      </c>
      <c r="AC523" s="6" t="str">
        <f>""</f>
        <v/>
      </c>
      <c r="AS523" s="6">
        <v>0</v>
      </c>
      <c r="AT523" s="6">
        <v>0</v>
      </c>
    </row>
    <row r="524" spans="2:46">
      <c r="B524" s="6" t="s">
        <v>2294</v>
      </c>
      <c r="D524" s="6" t="s">
        <v>1561</v>
      </c>
      <c r="F524" s="6" t="s">
        <v>2362</v>
      </c>
      <c r="G524" s="6" t="str">
        <f>"VV17FWTOP03GR"</f>
        <v>VV17FWTOP03GR</v>
      </c>
      <c r="H524" s="6" t="s">
        <v>2363</v>
      </c>
      <c r="I524" s="6" t="s">
        <v>2360</v>
      </c>
      <c r="J524" s="6" t="str">
        <f>"SPANGLE SWEATSHIRT"</f>
        <v>SPANGLE SWEATSHIRT</v>
      </c>
      <c r="K524" s="6">
        <v>0</v>
      </c>
      <c r="L524" s="6">
        <v>0</v>
      </c>
      <c r="M524" s="6">
        <v>0</v>
      </c>
      <c r="N524" s="6" t="str">
        <f>""</f>
        <v/>
      </c>
      <c r="O524" s="6">
        <v>32936</v>
      </c>
      <c r="P524" s="6" t="s">
        <v>2363</v>
      </c>
      <c r="R524" s="6" t="s">
        <v>2364</v>
      </c>
      <c r="S524" s="6" t="s">
        <v>2365</v>
      </c>
      <c r="T524" s="6">
        <v>0</v>
      </c>
      <c r="U524" s="6">
        <v>0</v>
      </c>
      <c r="V524" s="6">
        <v>0</v>
      </c>
      <c r="W524" s="6">
        <v>0</v>
      </c>
      <c r="X524" s="6" t="s">
        <v>169</v>
      </c>
      <c r="Z524" s="6" t="s">
        <v>170</v>
      </c>
      <c r="AA524" s="6" t="s">
        <v>171</v>
      </c>
      <c r="AB524" s="6">
        <v>0</v>
      </c>
      <c r="AC524" s="6" t="str">
        <f>""</f>
        <v/>
      </c>
      <c r="AS524" s="6">
        <v>0</v>
      </c>
      <c r="AT524" s="6">
        <v>0</v>
      </c>
    </row>
    <row r="525" spans="2:46">
      <c r="B525" s="6" t="s">
        <v>2294</v>
      </c>
      <c r="D525" s="6" t="s">
        <v>1561</v>
      </c>
      <c r="F525" s="6" t="s">
        <v>2366</v>
      </c>
      <c r="G525" s="6" t="str">
        <f>"VV17FWTOP01MU"</f>
        <v>VV17FWTOP01MU</v>
      </c>
      <c r="H525" s="6" t="s">
        <v>2367</v>
      </c>
      <c r="I525" s="6" t="s">
        <v>2368</v>
      </c>
      <c r="J525" s="6" t="str">
        <f>"NECK STRAP SLEEVES TOP"</f>
        <v>NECK STRAP SLEEVES TOP</v>
      </c>
      <c r="K525" s="6">
        <v>0</v>
      </c>
      <c r="L525" s="6">
        <v>0</v>
      </c>
      <c r="M525" s="6">
        <v>0</v>
      </c>
      <c r="N525" s="6" t="str">
        <f>""</f>
        <v/>
      </c>
      <c r="O525" s="6">
        <v>32934</v>
      </c>
      <c r="P525" s="6" t="s">
        <v>2367</v>
      </c>
      <c r="R525" s="6" t="s">
        <v>2369</v>
      </c>
      <c r="S525" s="6" t="s">
        <v>2370</v>
      </c>
      <c r="T525" s="6">
        <v>0</v>
      </c>
      <c r="U525" s="6">
        <v>0</v>
      </c>
      <c r="V525" s="6">
        <v>0</v>
      </c>
      <c r="W525" s="6">
        <v>0</v>
      </c>
      <c r="X525" s="6" t="s">
        <v>169</v>
      </c>
      <c r="Z525" s="6" t="s">
        <v>170</v>
      </c>
      <c r="AA525" s="6" t="s">
        <v>171</v>
      </c>
      <c r="AB525" s="6">
        <v>0</v>
      </c>
      <c r="AC525" s="6" t="str">
        <f>""</f>
        <v/>
      </c>
      <c r="AS525" s="6">
        <v>0</v>
      </c>
      <c r="AT525" s="6">
        <v>0</v>
      </c>
    </row>
    <row r="526" spans="2:46">
      <c r="B526" s="6" t="s">
        <v>2294</v>
      </c>
      <c r="D526" s="6" t="s">
        <v>1561</v>
      </c>
      <c r="F526" s="6" t="s">
        <v>2371</v>
      </c>
      <c r="G526" s="6" t="str">
        <f>"VV17FWTOP01IV"</f>
        <v>VV17FWTOP01IV</v>
      </c>
      <c r="H526" s="6" t="s">
        <v>2372</v>
      </c>
      <c r="I526" s="6" t="s">
        <v>2368</v>
      </c>
      <c r="J526" s="6" t="str">
        <f>"NECK STRAP SLEEVES TOP"</f>
        <v>NECK STRAP SLEEVES TOP</v>
      </c>
      <c r="K526" s="6">
        <v>0</v>
      </c>
      <c r="L526" s="6">
        <v>0</v>
      </c>
      <c r="M526" s="6">
        <v>0</v>
      </c>
      <c r="N526" s="6" t="str">
        <f>""</f>
        <v/>
      </c>
      <c r="O526" s="6">
        <v>32933</v>
      </c>
      <c r="P526" s="6" t="s">
        <v>2372</v>
      </c>
      <c r="R526" s="6" t="s">
        <v>2356</v>
      </c>
      <c r="S526" s="6" t="s">
        <v>2373</v>
      </c>
      <c r="T526" s="6">
        <v>0</v>
      </c>
      <c r="U526" s="6">
        <v>0</v>
      </c>
      <c r="V526" s="6">
        <v>0</v>
      </c>
      <c r="W526" s="6">
        <v>0</v>
      </c>
      <c r="X526" s="6" t="s">
        <v>169</v>
      </c>
      <c r="Z526" s="6" t="s">
        <v>170</v>
      </c>
      <c r="AA526" s="6" t="s">
        <v>171</v>
      </c>
      <c r="AB526" s="6">
        <v>0</v>
      </c>
      <c r="AC526" s="6" t="str">
        <f>""</f>
        <v/>
      </c>
      <c r="AS526" s="6">
        <v>0</v>
      </c>
      <c r="AT526" s="6">
        <v>0</v>
      </c>
    </row>
    <row r="527" spans="2:46" ht="66">
      <c r="B527" s="6" t="s">
        <v>2294</v>
      </c>
      <c r="D527" s="6" t="s">
        <v>1561</v>
      </c>
      <c r="F527" s="6" t="s">
        <v>2374</v>
      </c>
      <c r="G527" s="6" t="str">
        <f>"VV17SMOP02RD"</f>
        <v>VV17SMOP02RD</v>
      </c>
      <c r="H527" s="6" t="s">
        <v>2375</v>
      </c>
      <c r="I527" s="6" t="s">
        <v>2376</v>
      </c>
      <c r="J527" s="6" t="str">
        <f>"RUFFLE POINT PRINTED WRAP ONEPIECE"</f>
        <v>RUFFLE POINT PRINTED WRAP ONEPIECE</v>
      </c>
      <c r="K527" s="6">
        <v>0</v>
      </c>
      <c r="L527" s="6">
        <v>0</v>
      </c>
      <c r="M527" s="6">
        <v>0</v>
      </c>
      <c r="N527" s="6" t="str">
        <f>""</f>
        <v/>
      </c>
      <c r="O527" s="6">
        <v>32931</v>
      </c>
      <c r="P527" s="6" t="s">
        <v>2375</v>
      </c>
      <c r="R527" s="7" t="s">
        <v>2377</v>
      </c>
      <c r="S527" s="7" t="s">
        <v>2378</v>
      </c>
      <c r="T527" s="6">
        <v>0</v>
      </c>
      <c r="U527" s="6">
        <v>0</v>
      </c>
      <c r="V527" s="6">
        <v>0</v>
      </c>
      <c r="W527" s="6">
        <v>0</v>
      </c>
      <c r="X527" s="6" t="s">
        <v>169</v>
      </c>
      <c r="Z527" s="6" t="s">
        <v>170</v>
      </c>
      <c r="AA527" s="6" t="s">
        <v>171</v>
      </c>
      <c r="AB527" s="6">
        <v>0</v>
      </c>
      <c r="AC527" s="6" t="str">
        <f>""</f>
        <v/>
      </c>
      <c r="AS527" s="6">
        <v>0</v>
      </c>
      <c r="AT527" s="6">
        <v>0</v>
      </c>
    </row>
    <row r="528" spans="2:46" ht="49.5">
      <c r="B528" s="6" t="s">
        <v>2294</v>
      </c>
      <c r="D528" s="6" t="s">
        <v>1561</v>
      </c>
      <c r="F528" s="6" t="s">
        <v>2379</v>
      </c>
      <c r="G528" s="6" t="str">
        <f>"VV17SMTOP03PK"</f>
        <v>VV17SMTOP03PK</v>
      </c>
      <c r="H528" s="6" t="s">
        <v>2380</v>
      </c>
      <c r="I528" s="6" t="s">
        <v>2381</v>
      </c>
      <c r="J528" s="6" t="str">
        <f>"STRIPE HALF SLEEVES"</f>
        <v>STRIPE HALF SLEEVES</v>
      </c>
      <c r="K528" s="6">
        <v>0</v>
      </c>
      <c r="L528" s="6">
        <v>0</v>
      </c>
      <c r="M528" s="6">
        <v>0</v>
      </c>
      <c r="N528" s="6" t="str">
        <f>""</f>
        <v/>
      </c>
      <c r="O528" s="6">
        <v>32929</v>
      </c>
      <c r="P528" s="6" t="s">
        <v>2380</v>
      </c>
      <c r="R528" s="7" t="s">
        <v>2382</v>
      </c>
      <c r="S528" s="7" t="s">
        <v>2383</v>
      </c>
      <c r="T528" s="6">
        <v>0</v>
      </c>
      <c r="U528" s="6">
        <v>0</v>
      </c>
      <c r="V528" s="6">
        <v>0</v>
      </c>
      <c r="W528" s="6">
        <v>0</v>
      </c>
      <c r="X528" s="6" t="s">
        <v>169</v>
      </c>
      <c r="Z528" s="6" t="s">
        <v>170</v>
      </c>
      <c r="AA528" s="6" t="s">
        <v>171</v>
      </c>
      <c r="AB528" s="6">
        <v>0</v>
      </c>
      <c r="AC528" s="6" t="str">
        <f>""</f>
        <v/>
      </c>
      <c r="AS528" s="6">
        <v>0</v>
      </c>
      <c r="AT528" s="6">
        <v>0</v>
      </c>
    </row>
    <row r="529" spans="2:46">
      <c r="B529" s="6" t="s">
        <v>2294</v>
      </c>
      <c r="D529" s="6" t="s">
        <v>1561</v>
      </c>
      <c r="F529" s="6" t="s">
        <v>2384</v>
      </c>
      <c r="G529" s="6" t="str">
        <f>"VV16SMPT01BL"</f>
        <v>VV16SMPT01BL</v>
      </c>
      <c r="H529" s="6" t="s">
        <v>2385</v>
      </c>
      <c r="I529" s="6" t="s">
        <v>2386</v>
      </c>
      <c r="J529" s="6" t="str">
        <f>"WRAP DETAIL DENIM SHORTS"</f>
        <v>WRAP DETAIL DENIM SHORTS</v>
      </c>
      <c r="K529" s="6">
        <v>0</v>
      </c>
      <c r="L529" s="6">
        <v>0</v>
      </c>
      <c r="M529" s="6">
        <v>0</v>
      </c>
      <c r="N529" s="6" t="str">
        <f>""</f>
        <v/>
      </c>
      <c r="O529" s="6">
        <v>32927</v>
      </c>
      <c r="P529" s="6" t="s">
        <v>2385</v>
      </c>
      <c r="R529" s="6" t="s">
        <v>2175</v>
      </c>
      <c r="S529" s="6" t="s">
        <v>2387</v>
      </c>
      <c r="T529" s="6">
        <v>0</v>
      </c>
      <c r="U529" s="6">
        <v>0</v>
      </c>
      <c r="V529" s="6">
        <v>0</v>
      </c>
      <c r="W529" s="6">
        <v>0</v>
      </c>
      <c r="X529" s="6" t="s">
        <v>169</v>
      </c>
      <c r="Z529" s="6" t="s">
        <v>170</v>
      </c>
      <c r="AA529" s="6" t="s">
        <v>171</v>
      </c>
      <c r="AB529" s="6">
        <v>0</v>
      </c>
      <c r="AC529" s="6" t="str">
        <f>""</f>
        <v/>
      </c>
      <c r="AS529" s="6">
        <v>0</v>
      </c>
      <c r="AT529" s="6">
        <v>0</v>
      </c>
    </row>
    <row r="530" spans="2:46">
      <c r="B530" s="6" t="s">
        <v>2294</v>
      </c>
      <c r="D530" s="6" t="s">
        <v>1561</v>
      </c>
      <c r="F530" s="6" t="s">
        <v>2388</v>
      </c>
      <c r="G530" s="6" t="str">
        <f>"VV16SMPT01WH"</f>
        <v>VV16SMPT01WH</v>
      </c>
      <c r="H530" s="6" t="s">
        <v>2389</v>
      </c>
      <c r="I530" s="6" t="s">
        <v>2390</v>
      </c>
      <c r="J530" s="6" t="str">
        <f>"WRAP DETAIL STRIPE SHORTS"</f>
        <v>WRAP DETAIL STRIPE SHORTS</v>
      </c>
      <c r="K530" s="6">
        <v>0</v>
      </c>
      <c r="L530" s="6">
        <v>0</v>
      </c>
      <c r="M530" s="6">
        <v>0</v>
      </c>
      <c r="N530" s="6" t="str">
        <f>""</f>
        <v/>
      </c>
      <c r="O530" s="6">
        <v>32925</v>
      </c>
      <c r="P530" s="6" t="s">
        <v>2389</v>
      </c>
      <c r="R530" s="6" t="s">
        <v>2167</v>
      </c>
      <c r="S530" s="6" t="s">
        <v>2391</v>
      </c>
      <c r="T530" s="6">
        <v>0</v>
      </c>
      <c r="U530" s="6">
        <v>0</v>
      </c>
      <c r="V530" s="6">
        <v>0</v>
      </c>
      <c r="W530" s="6">
        <v>0</v>
      </c>
      <c r="X530" s="6" t="s">
        <v>169</v>
      </c>
      <c r="Z530" s="6" t="s">
        <v>170</v>
      </c>
      <c r="AA530" s="6" t="s">
        <v>171</v>
      </c>
      <c r="AB530" s="6">
        <v>0</v>
      </c>
      <c r="AC530" s="6" t="str">
        <f>""</f>
        <v/>
      </c>
      <c r="AS530" s="6">
        <v>0</v>
      </c>
      <c r="AT530" s="6">
        <v>0</v>
      </c>
    </row>
    <row r="531" spans="2:46">
      <c r="B531" s="6" t="s">
        <v>2294</v>
      </c>
      <c r="D531" s="6" t="s">
        <v>1561</v>
      </c>
      <c r="F531" s="6" t="s">
        <v>2392</v>
      </c>
      <c r="G531" s="6" t="str">
        <f>"VV16SMSK04BL"</f>
        <v>VV16SMSK04BL</v>
      </c>
      <c r="H531" s="6" t="s">
        <v>2393</v>
      </c>
      <c r="I531" s="6" t="s">
        <v>2394</v>
      </c>
      <c r="J531" s="6" t="str">
        <f>"UNBALANCE DENIM BLOCKING SKIRT"</f>
        <v>UNBALANCE DENIM BLOCKING SKIRT</v>
      </c>
      <c r="K531" s="6">
        <v>0</v>
      </c>
      <c r="L531" s="6">
        <v>0</v>
      </c>
      <c r="M531" s="6">
        <v>0</v>
      </c>
      <c r="N531" s="6" t="str">
        <f>""</f>
        <v/>
      </c>
      <c r="O531" s="6">
        <v>32923</v>
      </c>
      <c r="P531" s="6" t="s">
        <v>2393</v>
      </c>
      <c r="R531" s="6" t="s">
        <v>2175</v>
      </c>
      <c r="S531" s="6" t="s">
        <v>2395</v>
      </c>
      <c r="T531" s="6">
        <v>0</v>
      </c>
      <c r="U531" s="6">
        <v>0</v>
      </c>
      <c r="V531" s="6">
        <v>0</v>
      </c>
      <c r="W531" s="6">
        <v>0</v>
      </c>
      <c r="X531" s="6" t="s">
        <v>169</v>
      </c>
      <c r="Z531" s="6" t="s">
        <v>170</v>
      </c>
      <c r="AA531" s="6" t="s">
        <v>171</v>
      </c>
      <c r="AB531" s="6">
        <v>0</v>
      </c>
      <c r="AC531" s="6" t="str">
        <f>""</f>
        <v/>
      </c>
      <c r="AS531" s="6">
        <v>0</v>
      </c>
      <c r="AT531" s="6">
        <v>0</v>
      </c>
    </row>
    <row r="532" spans="2:46">
      <c r="B532" s="6" t="s">
        <v>2294</v>
      </c>
      <c r="D532" s="6" t="s">
        <v>1561</v>
      </c>
      <c r="F532" s="6" t="s">
        <v>2396</v>
      </c>
      <c r="G532" s="6" t="str">
        <f>"VV16SMOP05NA"</f>
        <v>VV16SMOP05NA</v>
      </c>
      <c r="H532" s="6" t="s">
        <v>2397</v>
      </c>
      <c r="I532" s="6" t="s">
        <v>2398</v>
      </c>
      <c r="J532" s="6" t="str">
        <f>"TIM LONG ONEPIECE"</f>
        <v>TIM LONG ONEPIECE</v>
      </c>
      <c r="K532" s="6">
        <v>0</v>
      </c>
      <c r="L532" s="6">
        <v>0</v>
      </c>
      <c r="M532" s="6">
        <v>0</v>
      </c>
      <c r="N532" s="6" t="str">
        <f>""</f>
        <v/>
      </c>
      <c r="O532" s="6">
        <v>32921</v>
      </c>
      <c r="P532" s="6" t="s">
        <v>2397</v>
      </c>
      <c r="R532" s="6" t="s">
        <v>2111</v>
      </c>
      <c r="S532" s="6" t="s">
        <v>2399</v>
      </c>
      <c r="T532" s="6">
        <v>0</v>
      </c>
      <c r="U532" s="6">
        <v>0</v>
      </c>
      <c r="V532" s="6">
        <v>0</v>
      </c>
      <c r="W532" s="6">
        <v>0</v>
      </c>
      <c r="X532" s="6" t="s">
        <v>169</v>
      </c>
      <c r="Z532" s="6" t="s">
        <v>170</v>
      </c>
      <c r="AA532" s="6" t="s">
        <v>171</v>
      </c>
      <c r="AB532" s="6">
        <v>0</v>
      </c>
      <c r="AC532" s="6" t="str">
        <f>""</f>
        <v/>
      </c>
      <c r="AS532" s="6">
        <v>0</v>
      </c>
      <c r="AT532" s="6">
        <v>0</v>
      </c>
    </row>
    <row r="533" spans="2:46">
      <c r="B533" s="6" t="s">
        <v>2294</v>
      </c>
      <c r="D533" s="6" t="s">
        <v>1561</v>
      </c>
      <c r="F533" s="6" t="s">
        <v>2400</v>
      </c>
      <c r="G533" s="6" t="str">
        <f>"VV16SMOP04BL"</f>
        <v>VV16SMOP04BL</v>
      </c>
      <c r="H533" s="6" t="s">
        <v>2401</v>
      </c>
      <c r="I533" s="6" t="s">
        <v>2402</v>
      </c>
      <c r="J533" s="6" t="str">
        <f>"UNBALANCE DENIM BLOCKING ONEPIECE"</f>
        <v>UNBALANCE DENIM BLOCKING ONEPIECE</v>
      </c>
      <c r="K533" s="6">
        <v>0</v>
      </c>
      <c r="L533" s="6">
        <v>0</v>
      </c>
      <c r="M533" s="6">
        <v>0</v>
      </c>
      <c r="N533" s="6" t="str">
        <f>""</f>
        <v/>
      </c>
      <c r="O533" s="6">
        <v>32919</v>
      </c>
      <c r="P533" s="6" t="s">
        <v>2401</v>
      </c>
      <c r="R533" s="6" t="s">
        <v>2175</v>
      </c>
      <c r="S533" s="6" t="s">
        <v>2403</v>
      </c>
      <c r="T533" s="6">
        <v>0</v>
      </c>
      <c r="U533" s="6">
        <v>0</v>
      </c>
      <c r="V533" s="6">
        <v>0</v>
      </c>
      <c r="W533" s="6">
        <v>0</v>
      </c>
      <c r="X533" s="6" t="s">
        <v>169</v>
      </c>
      <c r="Z533" s="6" t="s">
        <v>170</v>
      </c>
      <c r="AA533" s="6" t="s">
        <v>171</v>
      </c>
      <c r="AB533" s="6">
        <v>0</v>
      </c>
      <c r="AC533" s="6" t="str">
        <f>""</f>
        <v/>
      </c>
      <c r="AS533" s="6">
        <v>0</v>
      </c>
      <c r="AT533" s="6">
        <v>0</v>
      </c>
    </row>
    <row r="534" spans="2:46">
      <c r="B534" s="6" t="s">
        <v>2294</v>
      </c>
      <c r="D534" s="6" t="s">
        <v>1561</v>
      </c>
      <c r="F534" s="6" t="s">
        <v>2404</v>
      </c>
      <c r="G534" s="6" t="str">
        <f>"VV16SMOP03NA"</f>
        <v>VV16SMOP03NA</v>
      </c>
      <c r="H534" s="6" t="s">
        <v>2405</v>
      </c>
      <c r="I534" s="6" t="s">
        <v>2406</v>
      </c>
      <c r="J534" s="6" t="str">
        <f>"SHOULDER CUT ONEPIECE"</f>
        <v>SHOULDER CUT ONEPIECE</v>
      </c>
      <c r="K534" s="6">
        <v>0</v>
      </c>
      <c r="L534" s="6">
        <v>0</v>
      </c>
      <c r="M534" s="6">
        <v>0</v>
      </c>
      <c r="N534" s="6" t="str">
        <f>""</f>
        <v/>
      </c>
      <c r="O534" s="6">
        <v>32917</v>
      </c>
      <c r="P534" s="6" t="s">
        <v>2405</v>
      </c>
      <c r="R534" s="6" t="s">
        <v>2111</v>
      </c>
      <c r="S534" s="6" t="s">
        <v>2407</v>
      </c>
      <c r="T534" s="6">
        <v>0</v>
      </c>
      <c r="U534" s="6">
        <v>0</v>
      </c>
      <c r="V534" s="6">
        <v>0</v>
      </c>
      <c r="W534" s="6">
        <v>0</v>
      </c>
      <c r="X534" s="6" t="s">
        <v>169</v>
      </c>
      <c r="Z534" s="6" t="s">
        <v>170</v>
      </c>
      <c r="AA534" s="6" t="s">
        <v>171</v>
      </c>
      <c r="AB534" s="6">
        <v>0</v>
      </c>
      <c r="AC534" s="6" t="str">
        <f>""</f>
        <v/>
      </c>
      <c r="AS534" s="6">
        <v>0</v>
      </c>
      <c r="AT534" s="6">
        <v>0</v>
      </c>
    </row>
    <row r="535" spans="2:46">
      <c r="B535" s="6" t="s">
        <v>2294</v>
      </c>
      <c r="D535" s="6" t="s">
        <v>1561</v>
      </c>
      <c r="F535" s="6" t="s">
        <v>2408</v>
      </c>
      <c r="G535" s="6" t="str">
        <f>"VV16SMOP02WH"</f>
        <v>VV16SMOP02WH</v>
      </c>
      <c r="H535" s="6" t="s">
        <v>2409</v>
      </c>
      <c r="I535" s="6" t="s">
        <v>2410</v>
      </c>
      <c r="J535" s="6" t="str">
        <f>"SHIRRING STRIPE ONEPIECE"</f>
        <v>SHIRRING STRIPE ONEPIECE</v>
      </c>
      <c r="K535" s="6">
        <v>0</v>
      </c>
      <c r="L535" s="6">
        <v>0</v>
      </c>
      <c r="M535" s="6">
        <v>0</v>
      </c>
      <c r="N535" s="6" t="str">
        <f>""</f>
        <v/>
      </c>
      <c r="O535" s="6">
        <v>32915</v>
      </c>
      <c r="P535" s="6" t="s">
        <v>2409</v>
      </c>
      <c r="R535" s="6" t="s">
        <v>2167</v>
      </c>
      <c r="S535" s="6" t="s">
        <v>2411</v>
      </c>
      <c r="T535" s="6">
        <v>0</v>
      </c>
      <c r="U535" s="6">
        <v>0</v>
      </c>
      <c r="V535" s="6">
        <v>0</v>
      </c>
      <c r="W535" s="6">
        <v>0</v>
      </c>
      <c r="X535" s="6" t="s">
        <v>169</v>
      </c>
      <c r="Z535" s="6" t="s">
        <v>170</v>
      </c>
      <c r="AA535" s="6" t="s">
        <v>171</v>
      </c>
      <c r="AB535" s="6">
        <v>0</v>
      </c>
      <c r="AC535" s="6" t="str">
        <f>""</f>
        <v/>
      </c>
      <c r="AS535" s="6">
        <v>0</v>
      </c>
      <c r="AT535" s="6">
        <v>0</v>
      </c>
    </row>
    <row r="536" spans="2:46">
      <c r="B536" s="6" t="s">
        <v>2294</v>
      </c>
      <c r="D536" s="6" t="s">
        <v>1561</v>
      </c>
      <c r="F536" s="6" t="s">
        <v>2412</v>
      </c>
      <c r="G536" s="6" t="str">
        <f>"VV16SMOP01NA"</f>
        <v>VV16SMOP01NA</v>
      </c>
      <c r="H536" s="6" t="s">
        <v>2413</v>
      </c>
      <c r="I536" s="6" t="s">
        <v>2414</v>
      </c>
      <c r="J536" s="6" t="str">
        <f>"STRAP DETAIL STRIPE ONEPIECE"</f>
        <v>STRAP DETAIL STRIPE ONEPIECE</v>
      </c>
      <c r="K536" s="6">
        <v>0</v>
      </c>
      <c r="L536" s="6">
        <v>0</v>
      </c>
      <c r="M536" s="6">
        <v>0</v>
      </c>
      <c r="N536" s="6" t="str">
        <f>""</f>
        <v/>
      </c>
      <c r="O536" s="6">
        <v>32913</v>
      </c>
      <c r="P536" s="6" t="s">
        <v>2413</v>
      </c>
      <c r="R536" s="6" t="s">
        <v>2111</v>
      </c>
      <c r="S536" s="6" t="s">
        <v>2415</v>
      </c>
      <c r="T536" s="6">
        <v>0</v>
      </c>
      <c r="U536" s="6">
        <v>0</v>
      </c>
      <c r="V536" s="6">
        <v>0</v>
      </c>
      <c r="W536" s="6">
        <v>0</v>
      </c>
      <c r="X536" s="6" t="s">
        <v>169</v>
      </c>
      <c r="Z536" s="6" t="s">
        <v>170</v>
      </c>
      <c r="AA536" s="6" t="s">
        <v>171</v>
      </c>
      <c r="AB536" s="6">
        <v>0</v>
      </c>
      <c r="AC536" s="6" t="str">
        <f>""</f>
        <v/>
      </c>
      <c r="AS536" s="6">
        <v>0</v>
      </c>
      <c r="AT536" s="6">
        <v>0</v>
      </c>
    </row>
    <row r="537" spans="2:46">
      <c r="B537" s="6" t="s">
        <v>2294</v>
      </c>
      <c r="D537" s="6" t="s">
        <v>1561</v>
      </c>
      <c r="F537" s="6" t="s">
        <v>2416</v>
      </c>
      <c r="G537" s="6" t="str">
        <f>"VV16SMST02WH"</f>
        <v>VV16SMST02WH</v>
      </c>
      <c r="H537" s="6" t="s">
        <v>2417</v>
      </c>
      <c r="I537" s="6" t="s">
        <v>2418</v>
      </c>
      <c r="J537" s="6" t="str">
        <f>"SHOULDER TIM STRIPE BLOUSE"</f>
        <v>SHOULDER TIM STRIPE BLOUSE</v>
      </c>
      <c r="K537" s="6">
        <v>0</v>
      </c>
      <c r="L537" s="6">
        <v>0</v>
      </c>
      <c r="M537" s="6">
        <v>0</v>
      </c>
      <c r="N537" s="6" t="str">
        <f>""</f>
        <v/>
      </c>
      <c r="O537" s="6">
        <v>32911</v>
      </c>
      <c r="P537" s="6" t="s">
        <v>2417</v>
      </c>
      <c r="R537" s="6" t="s">
        <v>2167</v>
      </c>
      <c r="S537" s="6" t="s">
        <v>2419</v>
      </c>
      <c r="T537" s="6">
        <v>0</v>
      </c>
      <c r="U537" s="6">
        <v>0</v>
      </c>
      <c r="V537" s="6">
        <v>0</v>
      </c>
      <c r="W537" s="6">
        <v>0</v>
      </c>
      <c r="X537" s="6" t="s">
        <v>169</v>
      </c>
      <c r="Z537" s="6" t="s">
        <v>170</v>
      </c>
      <c r="AA537" s="6" t="s">
        <v>171</v>
      </c>
      <c r="AB537" s="6">
        <v>0</v>
      </c>
      <c r="AC537" s="6" t="str">
        <f>""</f>
        <v/>
      </c>
      <c r="AS537" s="6">
        <v>0</v>
      </c>
      <c r="AT537" s="6">
        <v>0</v>
      </c>
    </row>
    <row r="538" spans="2:46">
      <c r="B538" s="6" t="s">
        <v>2294</v>
      </c>
      <c r="D538" s="6" t="s">
        <v>1561</v>
      </c>
      <c r="F538" s="6" t="s">
        <v>2420</v>
      </c>
      <c r="G538" s="6" t="str">
        <f>"VV16SMST02BL"</f>
        <v>VV16SMST02BL</v>
      </c>
      <c r="H538" s="6" t="s">
        <v>2421</v>
      </c>
      <c r="I538" s="6" t="s">
        <v>2422</v>
      </c>
      <c r="J538" s="6" t="str">
        <f>"SHOULDER TIM BLOUSE"</f>
        <v>SHOULDER TIM BLOUSE</v>
      </c>
      <c r="K538" s="6">
        <v>0</v>
      </c>
      <c r="L538" s="6">
        <v>0</v>
      </c>
      <c r="M538" s="6">
        <v>0</v>
      </c>
      <c r="N538" s="6" t="str">
        <f>""</f>
        <v/>
      </c>
      <c r="O538" s="6">
        <v>32909</v>
      </c>
      <c r="P538" s="6" t="s">
        <v>2421</v>
      </c>
      <c r="R538" s="6" t="s">
        <v>2175</v>
      </c>
      <c r="S538" s="6" t="s">
        <v>2423</v>
      </c>
      <c r="T538" s="6">
        <v>0</v>
      </c>
      <c r="U538" s="6">
        <v>0</v>
      </c>
      <c r="V538" s="6">
        <v>0</v>
      </c>
      <c r="W538" s="6">
        <v>0</v>
      </c>
      <c r="X538" s="6" t="s">
        <v>169</v>
      </c>
      <c r="Z538" s="6" t="s">
        <v>170</v>
      </c>
      <c r="AA538" s="6" t="s">
        <v>171</v>
      </c>
      <c r="AB538" s="6">
        <v>0</v>
      </c>
      <c r="AC538" s="6" t="str">
        <f>""</f>
        <v/>
      </c>
      <c r="AS538" s="6">
        <v>0</v>
      </c>
      <c r="AT538" s="6">
        <v>0</v>
      </c>
    </row>
    <row r="539" spans="2:46">
      <c r="B539" s="6" t="s">
        <v>2294</v>
      </c>
      <c r="D539" s="6" t="s">
        <v>1561</v>
      </c>
      <c r="F539" s="6" t="s">
        <v>2424</v>
      </c>
      <c r="G539" s="6" t="str">
        <f>"VV16SMST01SB"</f>
        <v>VV16SMST01SB</v>
      </c>
      <c r="H539" s="6" t="s">
        <v>2425</v>
      </c>
      <c r="I539" s="6" t="s">
        <v>2426</v>
      </c>
      <c r="J539" s="6" t="str">
        <f>"UNBALANCE STRIPE BLOUSE"</f>
        <v>UNBALANCE STRIPE BLOUSE</v>
      </c>
      <c r="K539" s="6">
        <v>0</v>
      </c>
      <c r="L539" s="6">
        <v>0</v>
      </c>
      <c r="M539" s="6">
        <v>0</v>
      </c>
      <c r="N539" s="6" t="str">
        <f>""</f>
        <v/>
      </c>
      <c r="O539" s="6">
        <v>32907</v>
      </c>
      <c r="P539" s="6" t="s">
        <v>2425</v>
      </c>
      <c r="R539" s="6" t="s">
        <v>2335</v>
      </c>
      <c r="S539" s="6" t="s">
        <v>2427</v>
      </c>
      <c r="T539" s="6">
        <v>0</v>
      </c>
      <c r="U539" s="6">
        <v>0</v>
      </c>
      <c r="V539" s="6">
        <v>0</v>
      </c>
      <c r="W539" s="6">
        <v>0</v>
      </c>
      <c r="X539" s="6" t="s">
        <v>169</v>
      </c>
      <c r="Z539" s="6" t="s">
        <v>170</v>
      </c>
      <c r="AA539" s="6" t="s">
        <v>171</v>
      </c>
      <c r="AB539" s="6">
        <v>0</v>
      </c>
      <c r="AC539" s="6" t="str">
        <f>""</f>
        <v/>
      </c>
      <c r="AS539" s="6">
        <v>0</v>
      </c>
      <c r="AT539" s="6">
        <v>0</v>
      </c>
    </row>
    <row r="540" spans="2:46">
      <c r="B540" s="6" t="s">
        <v>2294</v>
      </c>
      <c r="D540" s="6" t="s">
        <v>1561</v>
      </c>
      <c r="F540" s="6" t="s">
        <v>2428</v>
      </c>
      <c r="G540" s="6" t="str">
        <f>"VV16SMTOP04WH"</f>
        <v>VV16SMTOP04WH</v>
      </c>
      <c r="H540" s="6" t="s">
        <v>2429</v>
      </c>
      <c r="I540" s="6" t="s">
        <v>2430</v>
      </c>
      <c r="J540" s="6" t="str">
        <f>"UNBALANCE LONG HALF SLEEVES"</f>
        <v>UNBALANCE LONG HALF SLEEVES</v>
      </c>
      <c r="K540" s="6">
        <v>0</v>
      </c>
      <c r="L540" s="6">
        <v>0</v>
      </c>
      <c r="M540" s="6">
        <v>0</v>
      </c>
      <c r="N540" s="6" t="str">
        <f>""</f>
        <v/>
      </c>
      <c r="O540" s="6">
        <v>32905</v>
      </c>
      <c r="P540" s="6" t="s">
        <v>2429</v>
      </c>
      <c r="R540" s="6" t="s">
        <v>2167</v>
      </c>
      <c r="S540" s="6" t="s">
        <v>2431</v>
      </c>
      <c r="T540" s="6">
        <v>0</v>
      </c>
      <c r="U540" s="6">
        <v>0</v>
      </c>
      <c r="V540" s="6">
        <v>0</v>
      </c>
      <c r="W540" s="6">
        <v>0</v>
      </c>
      <c r="X540" s="6" t="s">
        <v>169</v>
      </c>
      <c r="Z540" s="6" t="s">
        <v>170</v>
      </c>
      <c r="AA540" s="6" t="s">
        <v>171</v>
      </c>
      <c r="AB540" s="6">
        <v>0</v>
      </c>
      <c r="AC540" s="6" t="str">
        <f>""</f>
        <v/>
      </c>
      <c r="AS540" s="6">
        <v>0</v>
      </c>
      <c r="AT540" s="6">
        <v>0</v>
      </c>
    </row>
    <row r="541" spans="2:46">
      <c r="B541" s="6" t="s">
        <v>2294</v>
      </c>
      <c r="D541" s="6" t="s">
        <v>1561</v>
      </c>
      <c r="F541" s="6" t="s">
        <v>2432</v>
      </c>
      <c r="G541" s="6" t="str">
        <f>"VV16SMTOP03WH"</f>
        <v>VV16SMTOP03WH</v>
      </c>
      <c r="H541" s="6" t="s">
        <v>2433</v>
      </c>
      <c r="I541" s="6" t="s">
        <v>2434</v>
      </c>
      <c r="J541" s="6" t="str">
        <f>"UNBALANCE HALF SLEEVES"</f>
        <v>UNBALANCE HALF SLEEVES</v>
      </c>
      <c r="K541" s="6">
        <v>0</v>
      </c>
      <c r="L541" s="6">
        <v>0</v>
      </c>
      <c r="M541" s="6">
        <v>0</v>
      </c>
      <c r="N541" s="6" t="str">
        <f>""</f>
        <v/>
      </c>
      <c r="O541" s="6">
        <v>32903</v>
      </c>
      <c r="P541" s="6" t="s">
        <v>2433</v>
      </c>
      <c r="R541" s="6" t="s">
        <v>2167</v>
      </c>
      <c r="S541" s="6" t="s">
        <v>2435</v>
      </c>
      <c r="T541" s="6">
        <v>0</v>
      </c>
      <c r="U541" s="6">
        <v>0</v>
      </c>
      <c r="V541" s="6">
        <v>0</v>
      </c>
      <c r="W541" s="6">
        <v>0</v>
      </c>
      <c r="X541" s="6" t="s">
        <v>169</v>
      </c>
      <c r="Z541" s="6" t="s">
        <v>170</v>
      </c>
      <c r="AA541" s="6" t="s">
        <v>171</v>
      </c>
      <c r="AB541" s="6">
        <v>0</v>
      </c>
      <c r="AC541" s="6" t="str">
        <f>""</f>
        <v/>
      </c>
      <c r="AS541" s="6">
        <v>0</v>
      </c>
      <c r="AT541" s="6">
        <v>0</v>
      </c>
    </row>
    <row r="542" spans="2:46">
      <c r="B542" s="6" t="s">
        <v>2294</v>
      </c>
      <c r="D542" s="6" t="s">
        <v>1561</v>
      </c>
      <c r="F542" s="6" t="s">
        <v>2436</v>
      </c>
      <c r="G542" s="6" t="str">
        <f>"VV16SMTOP03BK"</f>
        <v>VV16SMTOP03BK</v>
      </c>
      <c r="H542" s="6" t="s">
        <v>2437</v>
      </c>
      <c r="I542" s="6" t="s">
        <v>2434</v>
      </c>
      <c r="J542" s="6" t="str">
        <f>"UNBALANCE HALF SLEEVES"</f>
        <v>UNBALANCE HALF SLEEVES</v>
      </c>
      <c r="K542" s="6">
        <v>0</v>
      </c>
      <c r="L542" s="6">
        <v>0</v>
      </c>
      <c r="M542" s="6">
        <v>0</v>
      </c>
      <c r="N542" s="6" t="str">
        <f>""</f>
        <v/>
      </c>
      <c r="O542" s="6">
        <v>32902</v>
      </c>
      <c r="P542" s="6" t="s">
        <v>2437</v>
      </c>
      <c r="R542" s="6" t="s">
        <v>2106</v>
      </c>
      <c r="S542" s="6" t="s">
        <v>2438</v>
      </c>
      <c r="T542" s="6">
        <v>0</v>
      </c>
      <c r="U542" s="6">
        <v>0</v>
      </c>
      <c r="V542" s="6">
        <v>0</v>
      </c>
      <c r="W542" s="6">
        <v>0</v>
      </c>
      <c r="X542" s="6" t="s">
        <v>169</v>
      </c>
      <c r="Z542" s="6" t="s">
        <v>170</v>
      </c>
      <c r="AA542" s="6" t="s">
        <v>171</v>
      </c>
      <c r="AB542" s="6">
        <v>0</v>
      </c>
      <c r="AC542" s="6" t="str">
        <f>""</f>
        <v/>
      </c>
      <c r="AS542" s="6">
        <v>0</v>
      </c>
      <c r="AT542" s="6">
        <v>0</v>
      </c>
    </row>
    <row r="543" spans="2:46">
      <c r="B543" s="6" t="s">
        <v>2294</v>
      </c>
      <c r="D543" s="6" t="s">
        <v>1561</v>
      </c>
      <c r="F543" s="6" t="s">
        <v>2439</v>
      </c>
      <c r="G543" s="6" t="str">
        <f>"VV16SMTOP02NA"</f>
        <v>VV16SMTOP02NA</v>
      </c>
      <c r="H543" s="6" t="s">
        <v>2440</v>
      </c>
      <c r="I543" s="6" t="s">
        <v>2441</v>
      </c>
      <c r="J543" s="6" t="str">
        <f>"SHOULDER CUT STRIPE TOP"</f>
        <v>SHOULDER CUT STRIPE TOP</v>
      </c>
      <c r="K543" s="6">
        <v>0</v>
      </c>
      <c r="L543" s="6">
        <v>0</v>
      </c>
      <c r="M543" s="6">
        <v>0</v>
      </c>
      <c r="N543" s="6" t="str">
        <f>""</f>
        <v/>
      </c>
      <c r="O543" s="6">
        <v>32900</v>
      </c>
      <c r="P543" s="6" t="s">
        <v>2440</v>
      </c>
      <c r="R543" s="6" t="s">
        <v>2111</v>
      </c>
      <c r="S543" s="6" t="s">
        <v>2442</v>
      </c>
      <c r="T543" s="6">
        <v>0</v>
      </c>
      <c r="U543" s="6">
        <v>0</v>
      </c>
      <c r="V543" s="6">
        <v>0</v>
      </c>
      <c r="W543" s="6">
        <v>0</v>
      </c>
      <c r="X543" s="6" t="s">
        <v>169</v>
      </c>
      <c r="Z543" s="6" t="s">
        <v>170</v>
      </c>
      <c r="AA543" s="6" t="s">
        <v>171</v>
      </c>
      <c r="AB543" s="6">
        <v>0</v>
      </c>
      <c r="AC543" s="6" t="str">
        <f>""</f>
        <v/>
      </c>
      <c r="AS543" s="6">
        <v>0</v>
      </c>
      <c r="AT543" s="6">
        <v>0</v>
      </c>
    </row>
    <row r="544" spans="2:46">
      <c r="B544" s="6" t="s">
        <v>2294</v>
      </c>
      <c r="D544" s="6" t="s">
        <v>1561</v>
      </c>
      <c r="F544" s="6" t="s">
        <v>2443</v>
      </c>
      <c r="G544" s="6" t="str">
        <f>"VV16SMTOP02PK"</f>
        <v>VV16SMTOP02PK</v>
      </c>
      <c r="H544" s="6" t="s">
        <v>2444</v>
      </c>
      <c r="I544" s="6" t="s">
        <v>2445</v>
      </c>
      <c r="J544" s="6" t="str">
        <f>"SHOULDER CUT TOP"</f>
        <v>SHOULDER CUT TOP</v>
      </c>
      <c r="K544" s="6">
        <v>0</v>
      </c>
      <c r="L544" s="6">
        <v>0</v>
      </c>
      <c r="M544" s="6">
        <v>0</v>
      </c>
      <c r="N544" s="6" t="str">
        <f>""</f>
        <v/>
      </c>
      <c r="O544" s="6">
        <v>32898</v>
      </c>
      <c r="P544" s="6" t="s">
        <v>2444</v>
      </c>
      <c r="R544" s="6" t="s">
        <v>2446</v>
      </c>
      <c r="S544" s="6" t="s">
        <v>2447</v>
      </c>
      <c r="T544" s="6">
        <v>0</v>
      </c>
      <c r="U544" s="6">
        <v>0</v>
      </c>
      <c r="V544" s="6">
        <v>0</v>
      </c>
      <c r="W544" s="6">
        <v>0</v>
      </c>
      <c r="X544" s="6" t="s">
        <v>169</v>
      </c>
      <c r="Z544" s="6" t="s">
        <v>170</v>
      </c>
      <c r="AA544" s="6" t="s">
        <v>171</v>
      </c>
      <c r="AB544" s="6">
        <v>0</v>
      </c>
      <c r="AC544" s="6" t="str">
        <f>""</f>
        <v/>
      </c>
      <c r="AS544" s="6">
        <v>0</v>
      </c>
      <c r="AT544" s="6">
        <v>0</v>
      </c>
    </row>
    <row r="545" spans="2:46">
      <c r="B545" s="6" t="s">
        <v>2294</v>
      </c>
      <c r="D545" s="6" t="s">
        <v>1561</v>
      </c>
      <c r="F545" s="6" t="s">
        <v>2448</v>
      </c>
      <c r="G545" s="6" t="str">
        <f>"VV16SMTOP01SB"</f>
        <v>VV16SMTOP01SB</v>
      </c>
      <c r="H545" s="6" t="s">
        <v>2449</v>
      </c>
      <c r="I545" s="6" t="s">
        <v>2450</v>
      </c>
      <c r="J545" s="6" t="str">
        <f>"BACK PLACKET HALF SLEEVES"</f>
        <v>BACK PLACKET HALF SLEEVES</v>
      </c>
      <c r="K545" s="6">
        <v>0</v>
      </c>
      <c r="L545" s="6">
        <v>0</v>
      </c>
      <c r="M545" s="6">
        <v>0</v>
      </c>
      <c r="N545" s="6" t="str">
        <f>""</f>
        <v/>
      </c>
      <c r="O545" s="6">
        <v>32896</v>
      </c>
      <c r="P545" s="6" t="s">
        <v>2449</v>
      </c>
      <c r="R545" s="6" t="s">
        <v>2175</v>
      </c>
      <c r="S545" s="6" t="s">
        <v>2451</v>
      </c>
      <c r="T545" s="6">
        <v>0</v>
      </c>
      <c r="U545" s="6">
        <v>0</v>
      </c>
      <c r="V545" s="6">
        <v>0</v>
      </c>
      <c r="W545" s="6">
        <v>0</v>
      </c>
      <c r="X545" s="6" t="s">
        <v>169</v>
      </c>
      <c r="Z545" s="6" t="s">
        <v>170</v>
      </c>
      <c r="AA545" s="6" t="s">
        <v>171</v>
      </c>
      <c r="AB545" s="6">
        <v>0</v>
      </c>
      <c r="AC545" s="6" t="str">
        <f>""</f>
        <v/>
      </c>
      <c r="AS545" s="6">
        <v>0</v>
      </c>
      <c r="AT545" s="6">
        <v>0</v>
      </c>
    </row>
    <row r="546" spans="2:46">
      <c r="B546" s="6" t="s">
        <v>2294</v>
      </c>
      <c r="D546" s="6" t="s">
        <v>1561</v>
      </c>
      <c r="F546" s="6" t="s">
        <v>2452</v>
      </c>
      <c r="G546" s="6" t="str">
        <f>"VV16SMTOP01PK"</f>
        <v>VV16SMTOP01PK</v>
      </c>
      <c r="H546" s="6" t="s">
        <v>2453</v>
      </c>
      <c r="I546" s="6" t="s">
        <v>2450</v>
      </c>
      <c r="J546" s="6" t="str">
        <f>"BACK PLACKET HALF SLEEVES"</f>
        <v>BACK PLACKET HALF SLEEVES</v>
      </c>
      <c r="K546" s="6">
        <v>0</v>
      </c>
      <c r="L546" s="6">
        <v>0</v>
      </c>
      <c r="M546" s="6">
        <v>0</v>
      </c>
      <c r="N546" s="6" t="str">
        <f>""</f>
        <v/>
      </c>
      <c r="O546" s="6">
        <v>32895</v>
      </c>
      <c r="P546" s="6" t="s">
        <v>2453</v>
      </c>
      <c r="R546" s="6" t="s">
        <v>2446</v>
      </c>
      <c r="S546" s="6" t="s">
        <v>2454</v>
      </c>
      <c r="T546" s="6">
        <v>0</v>
      </c>
      <c r="U546" s="6">
        <v>0</v>
      </c>
      <c r="V546" s="6">
        <v>0</v>
      </c>
      <c r="W546" s="6">
        <v>0</v>
      </c>
      <c r="X546" s="6" t="s">
        <v>169</v>
      </c>
      <c r="Z546" s="6" t="s">
        <v>170</v>
      </c>
      <c r="AA546" s="6" t="s">
        <v>171</v>
      </c>
      <c r="AB546" s="6">
        <v>0</v>
      </c>
      <c r="AC546" s="6" t="str">
        <f>""</f>
        <v/>
      </c>
      <c r="AS546" s="6">
        <v>0</v>
      </c>
      <c r="AT546" s="6">
        <v>0</v>
      </c>
    </row>
    <row r="547" spans="2:46">
      <c r="B547" s="6" t="s">
        <v>2294</v>
      </c>
      <c r="D547" s="6" t="s">
        <v>1561</v>
      </c>
      <c r="F547" s="6" t="s">
        <v>2455</v>
      </c>
      <c r="G547" s="6" t="str">
        <f>"VV16SSSK05BL"</f>
        <v>VV16SSSK05BL</v>
      </c>
      <c r="H547" s="6" t="s">
        <v>2456</v>
      </c>
      <c r="I547" s="6" t="s">
        <v>2457</v>
      </c>
      <c r="J547" s="6" t="str">
        <f>"UNBALANCE DENIM SKIRT"</f>
        <v>UNBALANCE DENIM SKIRT</v>
      </c>
      <c r="K547" s="6">
        <v>0</v>
      </c>
      <c r="L547" s="6">
        <v>0</v>
      </c>
      <c r="M547" s="6">
        <v>0</v>
      </c>
      <c r="N547" s="6" t="str">
        <f>""</f>
        <v/>
      </c>
      <c r="O547" s="6">
        <v>32893</v>
      </c>
      <c r="P547" s="6" t="s">
        <v>2456</v>
      </c>
      <c r="R547" s="6" t="s">
        <v>2175</v>
      </c>
      <c r="S547" s="6" t="s">
        <v>2458</v>
      </c>
      <c r="T547" s="6">
        <v>0</v>
      </c>
      <c r="U547" s="6">
        <v>0</v>
      </c>
      <c r="V547" s="6">
        <v>0</v>
      </c>
      <c r="W547" s="6">
        <v>0</v>
      </c>
      <c r="X547" s="6" t="s">
        <v>169</v>
      </c>
      <c r="Z547" s="6" t="s">
        <v>170</v>
      </c>
      <c r="AA547" s="6" t="s">
        <v>171</v>
      </c>
      <c r="AB547" s="6">
        <v>0</v>
      </c>
      <c r="AC547" s="6" t="str">
        <f>""</f>
        <v/>
      </c>
      <c r="AS547" s="6">
        <v>0</v>
      </c>
      <c r="AT547" s="6">
        <v>0</v>
      </c>
    </row>
    <row r="548" spans="2:46">
      <c r="B548" s="6" t="s">
        <v>2294</v>
      </c>
      <c r="D548" s="6" t="s">
        <v>1561</v>
      </c>
      <c r="F548" s="6" t="s">
        <v>2459</v>
      </c>
      <c r="G548" s="6" t="str">
        <f>"VV16SSSK04BK"</f>
        <v>VV16SSSK04BK</v>
      </c>
      <c r="H548" s="6" t="s">
        <v>2460</v>
      </c>
      <c r="I548" s="6" t="s">
        <v>2461</v>
      </c>
      <c r="J548" s="6" t="str">
        <f>"SLIT POINT SKIRT"</f>
        <v>SLIT POINT SKIRT</v>
      </c>
      <c r="K548" s="6">
        <v>0</v>
      </c>
      <c r="L548" s="6">
        <v>0</v>
      </c>
      <c r="M548" s="6">
        <v>0</v>
      </c>
      <c r="N548" s="6" t="str">
        <f>""</f>
        <v/>
      </c>
      <c r="O548" s="6">
        <v>32891</v>
      </c>
      <c r="P548" s="6" t="s">
        <v>2460</v>
      </c>
      <c r="R548" s="6" t="s">
        <v>2106</v>
      </c>
      <c r="S548" s="6" t="s">
        <v>2462</v>
      </c>
      <c r="T548" s="6">
        <v>0</v>
      </c>
      <c r="U548" s="6">
        <v>0</v>
      </c>
      <c r="V548" s="6">
        <v>0</v>
      </c>
      <c r="W548" s="6">
        <v>0</v>
      </c>
      <c r="X548" s="6" t="s">
        <v>169</v>
      </c>
      <c r="Z548" s="6" t="s">
        <v>170</v>
      </c>
      <c r="AA548" s="6" t="s">
        <v>171</v>
      </c>
      <c r="AB548" s="6">
        <v>0</v>
      </c>
      <c r="AC548" s="6" t="str">
        <f>""</f>
        <v/>
      </c>
      <c r="AS548" s="6">
        <v>0</v>
      </c>
      <c r="AT548" s="6">
        <v>0</v>
      </c>
    </row>
    <row r="549" spans="2:46">
      <c r="B549" s="6" t="s">
        <v>2294</v>
      </c>
      <c r="D549" s="6" t="s">
        <v>1561</v>
      </c>
      <c r="F549" s="6" t="s">
        <v>2463</v>
      </c>
      <c r="G549" s="6" t="str">
        <f>"VV16SSSK03BL"</f>
        <v>VV16SSSK03BL</v>
      </c>
      <c r="H549" s="6" t="s">
        <v>2464</v>
      </c>
      <c r="I549" s="6" t="s">
        <v>2465</v>
      </c>
      <c r="J549" s="6" t="str">
        <f>"FRONT SLIT DENIM MIDI SKIRT"</f>
        <v>FRONT SLIT DENIM MIDI SKIRT</v>
      </c>
      <c r="K549" s="6">
        <v>0</v>
      </c>
      <c r="L549" s="6">
        <v>0</v>
      </c>
      <c r="M549" s="6">
        <v>0</v>
      </c>
      <c r="N549" s="6" t="str">
        <f>""</f>
        <v/>
      </c>
      <c r="O549" s="6">
        <v>32889</v>
      </c>
      <c r="P549" s="6" t="s">
        <v>2464</v>
      </c>
      <c r="R549" s="6" t="s">
        <v>2175</v>
      </c>
      <c r="S549" s="6" t="s">
        <v>2466</v>
      </c>
      <c r="T549" s="6">
        <v>0</v>
      </c>
      <c r="U549" s="6">
        <v>0</v>
      </c>
      <c r="V549" s="6">
        <v>0</v>
      </c>
      <c r="W549" s="6">
        <v>0</v>
      </c>
      <c r="X549" s="6" t="s">
        <v>169</v>
      </c>
      <c r="Z549" s="6" t="s">
        <v>170</v>
      </c>
      <c r="AA549" s="6" t="s">
        <v>171</v>
      </c>
      <c r="AB549" s="6">
        <v>0</v>
      </c>
      <c r="AC549" s="6" t="str">
        <f>""</f>
        <v/>
      </c>
      <c r="AS549" s="6">
        <v>0</v>
      </c>
      <c r="AT549" s="6">
        <v>0</v>
      </c>
    </row>
    <row r="550" spans="2:46">
      <c r="B550" s="6" t="s">
        <v>2294</v>
      </c>
      <c r="D550" s="6" t="s">
        <v>1561</v>
      </c>
      <c r="F550" s="6" t="s">
        <v>2467</v>
      </c>
      <c r="G550" s="6" t="str">
        <f>"VV16SSSK01BK"</f>
        <v>VV16SSSK01BK</v>
      </c>
      <c r="H550" s="6" t="s">
        <v>2468</v>
      </c>
      <c r="I550" s="6" t="s">
        <v>2469</v>
      </c>
      <c r="J550" s="6" t="str">
        <f>"FRONT POINT STRIPE SKIRT"</f>
        <v>FRONT POINT STRIPE SKIRT</v>
      </c>
      <c r="K550" s="6">
        <v>0</v>
      </c>
      <c r="L550" s="6">
        <v>0</v>
      </c>
      <c r="M550" s="6">
        <v>0</v>
      </c>
      <c r="N550" s="6" t="str">
        <f>""</f>
        <v/>
      </c>
      <c r="O550" s="6">
        <v>32887</v>
      </c>
      <c r="P550" s="6" t="s">
        <v>2468</v>
      </c>
      <c r="R550" s="6" t="s">
        <v>2106</v>
      </c>
      <c r="S550" s="6" t="s">
        <v>2470</v>
      </c>
      <c r="T550" s="6">
        <v>0</v>
      </c>
      <c r="U550" s="6">
        <v>0</v>
      </c>
      <c r="V550" s="6">
        <v>0</v>
      </c>
      <c r="W550" s="6">
        <v>0</v>
      </c>
      <c r="X550" s="6" t="s">
        <v>169</v>
      </c>
      <c r="Z550" s="6" t="s">
        <v>170</v>
      </c>
      <c r="AA550" s="6" t="s">
        <v>171</v>
      </c>
      <c r="AB550" s="6">
        <v>0</v>
      </c>
      <c r="AC550" s="6" t="str">
        <f>""</f>
        <v/>
      </c>
      <c r="AS550" s="6">
        <v>0</v>
      </c>
      <c r="AT550" s="6">
        <v>0</v>
      </c>
    </row>
    <row r="551" spans="2:46">
      <c r="B551" s="6" t="s">
        <v>2294</v>
      </c>
      <c r="D551" s="6" t="s">
        <v>1561</v>
      </c>
      <c r="F551" s="6" t="s">
        <v>2471</v>
      </c>
      <c r="G551" s="6" t="str">
        <f>"VV16SSST01PK"</f>
        <v>VV16SSST01PK</v>
      </c>
      <c r="H551" s="6" t="s">
        <v>2472</v>
      </c>
      <c r="I551" s="6" t="s">
        <v>2473</v>
      </c>
      <c r="J551" s="6" t="str">
        <f>"PINK TWO WAY SHIRTS"</f>
        <v>PINK TWO WAY SHIRTS</v>
      </c>
      <c r="K551" s="6">
        <v>0</v>
      </c>
      <c r="L551" s="6">
        <v>0</v>
      </c>
      <c r="M551" s="6">
        <v>0</v>
      </c>
      <c r="N551" s="6" t="str">
        <f>""</f>
        <v/>
      </c>
      <c r="O551" s="6">
        <v>32885</v>
      </c>
      <c r="P551" s="6" t="s">
        <v>2472</v>
      </c>
      <c r="R551" s="6" t="s">
        <v>2446</v>
      </c>
      <c r="S551" s="6" t="s">
        <v>2474</v>
      </c>
      <c r="T551" s="6">
        <v>0</v>
      </c>
      <c r="U551" s="6">
        <v>0</v>
      </c>
      <c r="V551" s="6">
        <v>0</v>
      </c>
      <c r="W551" s="6">
        <v>0</v>
      </c>
      <c r="X551" s="6" t="s">
        <v>169</v>
      </c>
      <c r="Z551" s="6" t="s">
        <v>170</v>
      </c>
      <c r="AA551" s="6" t="s">
        <v>171</v>
      </c>
      <c r="AB551" s="6">
        <v>0</v>
      </c>
      <c r="AC551" s="6" t="str">
        <f>""</f>
        <v/>
      </c>
      <c r="AS551" s="6">
        <v>0</v>
      </c>
      <c r="AT551" s="6">
        <v>0</v>
      </c>
    </row>
    <row r="552" spans="2:46">
      <c r="B552" s="6" t="s">
        <v>2294</v>
      </c>
      <c r="D552" s="6" t="s">
        <v>1561</v>
      </c>
      <c r="F552" s="6" t="s">
        <v>2475</v>
      </c>
      <c r="G552" s="6" t="str">
        <f>"VV16SSOP01NAM"</f>
        <v>VV16SSOP01NAM</v>
      </c>
      <c r="H552" s="6" t="s">
        <v>2476</v>
      </c>
      <c r="I552" s="6" t="s">
        <v>2477</v>
      </c>
      <c r="J552" s="6" t="str">
        <f>"SLIT STRIPE ONE-PIECE"</f>
        <v>SLIT STRIPE ONE-PIECE</v>
      </c>
      <c r="K552" s="6">
        <v>0</v>
      </c>
      <c r="L552" s="6">
        <v>0</v>
      </c>
      <c r="M552" s="6">
        <v>0</v>
      </c>
      <c r="N552" s="6" t="str">
        <f>""</f>
        <v/>
      </c>
      <c r="O552" s="6">
        <v>32883</v>
      </c>
      <c r="P552" s="6" t="s">
        <v>2476</v>
      </c>
      <c r="R552" s="6" t="s">
        <v>571</v>
      </c>
      <c r="S552" s="6" t="s">
        <v>2478</v>
      </c>
      <c r="T552" s="6">
        <v>0</v>
      </c>
      <c r="U552" s="6">
        <v>0</v>
      </c>
      <c r="V552" s="6">
        <v>0</v>
      </c>
      <c r="W552" s="6">
        <v>0</v>
      </c>
      <c r="X552" s="6" t="s">
        <v>169</v>
      </c>
      <c r="Z552" s="6" t="s">
        <v>170</v>
      </c>
      <c r="AA552" s="6" t="s">
        <v>171</v>
      </c>
      <c r="AB552" s="6">
        <v>0</v>
      </c>
      <c r="AC552" s="6" t="str">
        <f>""</f>
        <v/>
      </c>
      <c r="AS552" s="6">
        <v>0</v>
      </c>
      <c r="AT552" s="6">
        <v>0</v>
      </c>
    </row>
    <row r="553" spans="2:46">
      <c r="B553" s="6" t="s">
        <v>2294</v>
      </c>
      <c r="D553" s="6" t="s">
        <v>1561</v>
      </c>
      <c r="F553" s="6" t="s">
        <v>2479</v>
      </c>
      <c r="G553" s="6" t="str">
        <f>"VV16SSOP01NAS"</f>
        <v>VV16SSOP01NAS</v>
      </c>
      <c r="H553" s="6" t="s">
        <v>2480</v>
      </c>
      <c r="I553" s="6" t="s">
        <v>2477</v>
      </c>
      <c r="J553" s="6" t="str">
        <f>"SLIT STRIPE ONE-PIECE"</f>
        <v>SLIT STRIPE ONE-PIECE</v>
      </c>
      <c r="K553" s="6">
        <v>0</v>
      </c>
      <c r="L553" s="6">
        <v>0</v>
      </c>
      <c r="M553" s="6">
        <v>0</v>
      </c>
      <c r="N553" s="6" t="str">
        <f>""</f>
        <v/>
      </c>
      <c r="O553" s="6">
        <v>32882</v>
      </c>
      <c r="P553" s="6" t="s">
        <v>2480</v>
      </c>
      <c r="R553" s="6" t="s">
        <v>566</v>
      </c>
      <c r="S553" s="6" t="s">
        <v>2481</v>
      </c>
      <c r="T553" s="6">
        <v>0</v>
      </c>
      <c r="U553" s="6">
        <v>0</v>
      </c>
      <c r="V553" s="6">
        <v>0</v>
      </c>
      <c r="W553" s="6">
        <v>0</v>
      </c>
      <c r="X553" s="6" t="s">
        <v>169</v>
      </c>
      <c r="Z553" s="6" t="s">
        <v>170</v>
      </c>
      <c r="AA553" s="6" t="s">
        <v>171</v>
      </c>
      <c r="AB553" s="6">
        <v>0</v>
      </c>
      <c r="AC553" s="6" t="str">
        <f>""</f>
        <v/>
      </c>
      <c r="AS553" s="6">
        <v>0</v>
      </c>
      <c r="AT553" s="6">
        <v>0</v>
      </c>
    </row>
    <row r="554" spans="2:46">
      <c r="B554" s="6" t="s">
        <v>2294</v>
      </c>
      <c r="D554" s="6" t="s">
        <v>1561</v>
      </c>
      <c r="F554" s="6" t="s">
        <v>2482</v>
      </c>
      <c r="G554" s="6" t="str">
        <f>"VV16SSTOP11PK"</f>
        <v>VV16SSTOP11PK</v>
      </c>
      <c r="H554" s="6" t="s">
        <v>2483</v>
      </c>
      <c r="I554" s="6" t="s">
        <v>2484</v>
      </c>
      <c r="J554" s="6" t="str">
        <f>"COOL KIDS HALF SLEEVES TOP"</f>
        <v>COOL KIDS HALF SLEEVES TOP</v>
      </c>
      <c r="K554" s="6">
        <v>0</v>
      </c>
      <c r="L554" s="6">
        <v>0</v>
      </c>
      <c r="M554" s="6">
        <v>0</v>
      </c>
      <c r="N554" s="6" t="str">
        <f>""</f>
        <v/>
      </c>
      <c r="O554" s="6">
        <v>32880</v>
      </c>
      <c r="P554" s="6" t="s">
        <v>2483</v>
      </c>
      <c r="R554" s="6" t="s">
        <v>2446</v>
      </c>
      <c r="S554" s="6" t="s">
        <v>2485</v>
      </c>
      <c r="T554" s="6">
        <v>0</v>
      </c>
      <c r="U554" s="6">
        <v>0</v>
      </c>
      <c r="V554" s="6">
        <v>0</v>
      </c>
      <c r="W554" s="6">
        <v>0</v>
      </c>
      <c r="X554" s="6" t="s">
        <v>169</v>
      </c>
      <c r="Z554" s="6" t="s">
        <v>170</v>
      </c>
      <c r="AA554" s="6" t="s">
        <v>171</v>
      </c>
      <c r="AB554" s="6">
        <v>0</v>
      </c>
      <c r="AC554" s="6" t="str">
        <f>""</f>
        <v/>
      </c>
      <c r="AS554" s="6">
        <v>0</v>
      </c>
      <c r="AT554" s="6">
        <v>0</v>
      </c>
    </row>
    <row r="555" spans="2:46">
      <c r="B555" s="6" t="s">
        <v>2294</v>
      </c>
      <c r="D555" s="6" t="s">
        <v>1561</v>
      </c>
      <c r="F555" s="6" t="s">
        <v>2486</v>
      </c>
      <c r="G555" s="6" t="str">
        <f>"VV16SSTOP11SB"</f>
        <v>VV16SSTOP11SB</v>
      </c>
      <c r="I555" s="6" t="s">
        <v>2484</v>
      </c>
      <c r="J555" s="6" t="str">
        <f>"COOL KIDS HALF SLEEVES TOP"</f>
        <v>COOL KIDS HALF SLEEVES TOP</v>
      </c>
      <c r="K555" s="6">
        <v>0</v>
      </c>
      <c r="L555" s="6">
        <v>0</v>
      </c>
      <c r="M555" s="6">
        <v>0</v>
      </c>
      <c r="N555" s="6" t="str">
        <f>""</f>
        <v/>
      </c>
      <c r="O555" s="6">
        <v>32879</v>
      </c>
      <c r="P555" s="6" t="s">
        <v>2487</v>
      </c>
      <c r="R555" s="6" t="s">
        <v>2335</v>
      </c>
      <c r="S555" s="6" t="s">
        <v>2488</v>
      </c>
      <c r="T555" s="6">
        <v>1</v>
      </c>
      <c r="U555" s="6">
        <v>0</v>
      </c>
      <c r="V555" s="6">
        <v>0</v>
      </c>
      <c r="W555" s="6">
        <v>0</v>
      </c>
      <c r="X555" s="6" t="s">
        <v>169</v>
      </c>
      <c r="Z555" s="6" t="s">
        <v>170</v>
      </c>
      <c r="AA555" s="6" t="s">
        <v>171</v>
      </c>
      <c r="AB555" s="6">
        <v>0</v>
      </c>
      <c r="AC555" s="6" t="str">
        <f>"KEY-053"</f>
        <v>KEY-053</v>
      </c>
      <c r="AQ555" s="6" t="str">
        <f>""</f>
        <v/>
      </c>
      <c r="AR555" s="6" t="s">
        <v>1567</v>
      </c>
      <c r="AS555" s="6">
        <v>0</v>
      </c>
      <c r="AT555" s="6">
        <v>1</v>
      </c>
    </row>
    <row r="556" spans="2:46">
      <c r="B556" s="6" t="s">
        <v>2294</v>
      </c>
      <c r="D556" s="6" t="s">
        <v>1561</v>
      </c>
      <c r="F556" s="6" t="s">
        <v>2489</v>
      </c>
      <c r="G556" s="6" t="str">
        <f>"VV16SSTOP11WH"</f>
        <v>VV16SSTOP11WH</v>
      </c>
      <c r="H556" s="6" t="s">
        <v>2490</v>
      </c>
      <c r="I556" s="6" t="s">
        <v>2484</v>
      </c>
      <c r="J556" s="6" t="str">
        <f>"COOL KIDS HALF SLEEVES TOP"</f>
        <v>COOL KIDS HALF SLEEVES TOP</v>
      </c>
      <c r="K556" s="6">
        <v>0</v>
      </c>
      <c r="L556" s="6">
        <v>0</v>
      </c>
      <c r="M556" s="6">
        <v>0</v>
      </c>
      <c r="N556" s="6" t="str">
        <f>""</f>
        <v/>
      </c>
      <c r="O556" s="6">
        <v>32878</v>
      </c>
      <c r="P556" s="6" t="s">
        <v>2490</v>
      </c>
      <c r="R556" s="6" t="s">
        <v>2167</v>
      </c>
      <c r="S556" s="6" t="s">
        <v>2491</v>
      </c>
      <c r="T556" s="6">
        <v>0</v>
      </c>
      <c r="U556" s="6">
        <v>0</v>
      </c>
      <c r="V556" s="6">
        <v>0</v>
      </c>
      <c r="W556" s="6">
        <v>0</v>
      </c>
      <c r="X556" s="6" t="s">
        <v>169</v>
      </c>
      <c r="Z556" s="6" t="s">
        <v>170</v>
      </c>
      <c r="AA556" s="6" t="s">
        <v>171</v>
      </c>
      <c r="AB556" s="6">
        <v>0</v>
      </c>
      <c r="AC556" s="6" t="str">
        <f>""</f>
        <v/>
      </c>
      <c r="AS556" s="6">
        <v>0</v>
      </c>
      <c r="AT556" s="6">
        <v>0</v>
      </c>
    </row>
    <row r="557" spans="2:46">
      <c r="B557" s="6" t="s">
        <v>2294</v>
      </c>
      <c r="D557" s="6" t="s">
        <v>1561</v>
      </c>
      <c r="F557" s="6" t="s">
        <v>2492</v>
      </c>
      <c r="G557" s="6" t="str">
        <f>"VV16SSTOP06WH"</f>
        <v>VV16SSTOP06WH</v>
      </c>
      <c r="H557" s="6" t="s">
        <v>2493</v>
      </c>
      <c r="I557" s="6" t="s">
        <v>2494</v>
      </c>
      <c r="J557" s="6" t="str">
        <f>"OVERSIZE RAGLAN TOP"</f>
        <v>OVERSIZE RAGLAN TOP</v>
      </c>
      <c r="K557" s="6">
        <v>0</v>
      </c>
      <c r="L557" s="6">
        <v>0</v>
      </c>
      <c r="M557" s="6">
        <v>0</v>
      </c>
      <c r="N557" s="6" t="str">
        <f>""</f>
        <v/>
      </c>
      <c r="O557" s="6">
        <v>32876</v>
      </c>
      <c r="P557" s="6" t="s">
        <v>2493</v>
      </c>
      <c r="R557" s="6" t="s">
        <v>2167</v>
      </c>
      <c r="S557" s="6" t="s">
        <v>2495</v>
      </c>
      <c r="T557" s="6">
        <v>0</v>
      </c>
      <c r="U557" s="6">
        <v>0</v>
      </c>
      <c r="V557" s="6">
        <v>0</v>
      </c>
      <c r="W557" s="6">
        <v>0</v>
      </c>
      <c r="X557" s="6" t="s">
        <v>169</v>
      </c>
      <c r="Z557" s="6" t="s">
        <v>170</v>
      </c>
      <c r="AA557" s="6" t="s">
        <v>171</v>
      </c>
      <c r="AB557" s="6">
        <v>0</v>
      </c>
      <c r="AC557" s="6" t="str">
        <f>""</f>
        <v/>
      </c>
      <c r="AS557" s="6">
        <v>0</v>
      </c>
      <c r="AT557" s="6">
        <v>0</v>
      </c>
    </row>
    <row r="558" spans="2:46">
      <c r="B558" s="6" t="s">
        <v>2294</v>
      </c>
      <c r="D558" s="6" t="s">
        <v>1561</v>
      </c>
      <c r="F558" s="6" t="s">
        <v>2496</v>
      </c>
      <c r="G558" s="6" t="str">
        <f>"VV17SPSK02BL"</f>
        <v>VV17SPSK02BL</v>
      </c>
      <c r="H558" s="6" t="s">
        <v>2497</v>
      </c>
      <c r="I558" s="6" t="s">
        <v>2498</v>
      </c>
      <c r="J558" s="6" t="str">
        <f>"BUTTON POINT DENIM MERMAID SKIRT"</f>
        <v>BUTTON POINT DENIM MERMAID SKIRT</v>
      </c>
      <c r="K558" s="6">
        <v>0</v>
      </c>
      <c r="L558" s="6">
        <v>0</v>
      </c>
      <c r="M558" s="6">
        <v>0</v>
      </c>
      <c r="N558" s="6" t="str">
        <f>""</f>
        <v/>
      </c>
      <c r="O558" s="6">
        <v>32874</v>
      </c>
      <c r="P558" s="6" t="s">
        <v>2497</v>
      </c>
      <c r="R558" s="6" t="s">
        <v>2175</v>
      </c>
      <c r="S558" s="6" t="s">
        <v>2499</v>
      </c>
      <c r="T558" s="6">
        <v>0</v>
      </c>
      <c r="U558" s="6">
        <v>0</v>
      </c>
      <c r="V558" s="6">
        <v>0</v>
      </c>
      <c r="W558" s="6">
        <v>0</v>
      </c>
      <c r="X558" s="6" t="s">
        <v>169</v>
      </c>
      <c r="Z558" s="6" t="s">
        <v>170</v>
      </c>
      <c r="AA558" s="6" t="s">
        <v>171</v>
      </c>
      <c r="AB558" s="6">
        <v>0</v>
      </c>
      <c r="AC558" s="6" t="str">
        <f>""</f>
        <v/>
      </c>
      <c r="AS558" s="6">
        <v>0</v>
      </c>
      <c r="AT558" s="6">
        <v>0</v>
      </c>
    </row>
    <row r="559" spans="2:46">
      <c r="B559" s="6" t="s">
        <v>2294</v>
      </c>
      <c r="D559" s="6" t="s">
        <v>1561</v>
      </c>
      <c r="F559" s="6" t="s">
        <v>2500</v>
      </c>
      <c r="G559" s="6" t="str">
        <f>"VV17SPSK02CA"</f>
        <v>VV17SPSK02CA</v>
      </c>
      <c r="H559" s="6" t="s">
        <v>2501</v>
      </c>
      <c r="I559" s="6" t="s">
        <v>2502</v>
      </c>
      <c r="J559" s="6" t="str">
        <f>"BUTTON POINT CHECK MERMAID SKIRT"</f>
        <v>BUTTON POINT CHECK MERMAID SKIRT</v>
      </c>
      <c r="K559" s="6">
        <v>0</v>
      </c>
      <c r="L559" s="6">
        <v>0</v>
      </c>
      <c r="M559" s="6">
        <v>0</v>
      </c>
      <c r="N559" s="6" t="str">
        <f>""</f>
        <v/>
      </c>
      <c r="O559" s="6">
        <v>32872</v>
      </c>
      <c r="P559" s="6" t="s">
        <v>2501</v>
      </c>
      <c r="R559" s="6" t="s">
        <v>2503</v>
      </c>
      <c r="S559" s="6" t="s">
        <v>2504</v>
      </c>
      <c r="T559" s="6">
        <v>0</v>
      </c>
      <c r="U559" s="6">
        <v>0</v>
      </c>
      <c r="V559" s="6">
        <v>0</v>
      </c>
      <c r="W559" s="6">
        <v>0</v>
      </c>
      <c r="X559" s="6" t="s">
        <v>169</v>
      </c>
      <c r="Z559" s="6" t="s">
        <v>170</v>
      </c>
      <c r="AA559" s="6" t="s">
        <v>171</v>
      </c>
      <c r="AB559" s="6">
        <v>0</v>
      </c>
      <c r="AC559" s="6" t="str">
        <f>""</f>
        <v/>
      </c>
      <c r="AS559" s="6">
        <v>0</v>
      </c>
      <c r="AT559" s="6">
        <v>0</v>
      </c>
    </row>
    <row r="560" spans="2:46">
      <c r="B560" s="6" t="s">
        <v>2294</v>
      </c>
      <c r="D560" s="6" t="s">
        <v>1561</v>
      </c>
      <c r="F560" s="6" t="s">
        <v>2505</v>
      </c>
      <c r="G560" s="6" t="str">
        <f>"VV17SPSK01BL"</f>
        <v>VV17SPSK01BL</v>
      </c>
      <c r="H560" s="6" t="s">
        <v>2506</v>
      </c>
      <c r="I560" s="6" t="s">
        <v>2507</v>
      </c>
      <c r="J560" s="6" t="str">
        <f>"BUTTON POINT DENIM WRAP MINI SKIRT"</f>
        <v>BUTTON POINT DENIM WRAP MINI SKIRT</v>
      </c>
      <c r="K560" s="6">
        <v>0</v>
      </c>
      <c r="L560" s="6">
        <v>0</v>
      </c>
      <c r="M560" s="6">
        <v>0</v>
      </c>
      <c r="N560" s="6" t="str">
        <f>""</f>
        <v/>
      </c>
      <c r="O560" s="6">
        <v>32870</v>
      </c>
      <c r="P560" s="6" t="s">
        <v>2506</v>
      </c>
      <c r="R560" s="6" t="s">
        <v>2175</v>
      </c>
      <c r="S560" s="6" t="s">
        <v>2508</v>
      </c>
      <c r="T560" s="6">
        <v>0</v>
      </c>
      <c r="U560" s="6">
        <v>0</v>
      </c>
      <c r="V560" s="6">
        <v>0</v>
      </c>
      <c r="W560" s="6">
        <v>0</v>
      </c>
      <c r="X560" s="6" t="s">
        <v>169</v>
      </c>
      <c r="Z560" s="6" t="s">
        <v>170</v>
      </c>
      <c r="AA560" s="6" t="s">
        <v>171</v>
      </c>
      <c r="AB560" s="6">
        <v>0</v>
      </c>
      <c r="AC560" s="6" t="str">
        <f>""</f>
        <v/>
      </c>
      <c r="AS560" s="6">
        <v>0</v>
      </c>
      <c r="AT560" s="6">
        <v>0</v>
      </c>
    </row>
    <row r="561" spans="2:46">
      <c r="B561" s="6" t="s">
        <v>2294</v>
      </c>
      <c r="D561" s="6" t="s">
        <v>1561</v>
      </c>
      <c r="F561" s="6" t="s">
        <v>2509</v>
      </c>
      <c r="G561" s="6" t="str">
        <f>"VV17SPSK01GN"</f>
        <v>VV17SPSK01GN</v>
      </c>
      <c r="H561" s="6" t="s">
        <v>2510</v>
      </c>
      <c r="I561" s="6" t="s">
        <v>2511</v>
      </c>
      <c r="J561" s="6" t="str">
        <f>"BUTTON POINT CHECK WRAP MINI SKIRT"</f>
        <v>BUTTON POINT CHECK WRAP MINI SKIRT</v>
      </c>
      <c r="K561" s="6">
        <v>0</v>
      </c>
      <c r="L561" s="6">
        <v>0</v>
      </c>
      <c r="M561" s="6">
        <v>0</v>
      </c>
      <c r="N561" s="6" t="str">
        <f>""</f>
        <v/>
      </c>
      <c r="O561" s="6">
        <v>32868</v>
      </c>
      <c r="P561" s="6" t="s">
        <v>2510</v>
      </c>
      <c r="R561" s="6" t="s">
        <v>2512</v>
      </c>
      <c r="S561" s="6" t="s">
        <v>2513</v>
      </c>
      <c r="T561" s="6">
        <v>0</v>
      </c>
      <c r="U561" s="6">
        <v>0</v>
      </c>
      <c r="V561" s="6">
        <v>0</v>
      </c>
      <c r="W561" s="6">
        <v>0</v>
      </c>
      <c r="X561" s="6" t="s">
        <v>169</v>
      </c>
      <c r="Z561" s="6" t="s">
        <v>170</v>
      </c>
      <c r="AA561" s="6" t="s">
        <v>171</v>
      </c>
      <c r="AB561" s="6">
        <v>0</v>
      </c>
      <c r="AC561" s="6" t="str">
        <f>""</f>
        <v/>
      </c>
      <c r="AS561" s="6">
        <v>0</v>
      </c>
      <c r="AT561" s="6">
        <v>0</v>
      </c>
    </row>
    <row r="562" spans="2:46">
      <c r="B562" s="6" t="s">
        <v>2294</v>
      </c>
      <c r="D562" s="6" t="s">
        <v>1561</v>
      </c>
      <c r="F562" s="6" t="s">
        <v>2514</v>
      </c>
      <c r="G562" s="6" t="str">
        <f>"VV17SPOP03BK"</f>
        <v>VV17SPOP03BK</v>
      </c>
      <c r="H562" s="6" t="s">
        <v>2515</v>
      </c>
      <c r="I562" s="6" t="s">
        <v>2516</v>
      </c>
      <c r="J562" s="6" t="str">
        <f>"RUFFLE POINT HALF SLEEVE ONEPIECE"</f>
        <v>RUFFLE POINT HALF SLEEVE ONEPIECE</v>
      </c>
      <c r="K562" s="6">
        <v>0</v>
      </c>
      <c r="L562" s="6">
        <v>0</v>
      </c>
      <c r="M562" s="6">
        <v>0</v>
      </c>
      <c r="N562" s="6" t="str">
        <f>""</f>
        <v/>
      </c>
      <c r="O562" s="6">
        <v>32866</v>
      </c>
      <c r="P562" s="6" t="s">
        <v>2515</v>
      </c>
      <c r="R562" s="6" t="s">
        <v>2106</v>
      </c>
      <c r="S562" s="6" t="s">
        <v>2517</v>
      </c>
      <c r="T562" s="6">
        <v>0</v>
      </c>
      <c r="U562" s="6">
        <v>0</v>
      </c>
      <c r="V562" s="6">
        <v>0</v>
      </c>
      <c r="W562" s="6">
        <v>0</v>
      </c>
      <c r="X562" s="6" t="s">
        <v>169</v>
      </c>
      <c r="Z562" s="6" t="s">
        <v>170</v>
      </c>
      <c r="AA562" s="6" t="s">
        <v>171</v>
      </c>
      <c r="AB562" s="6">
        <v>0</v>
      </c>
      <c r="AC562" s="6" t="str">
        <f>""</f>
        <v/>
      </c>
      <c r="AS562" s="6">
        <v>0</v>
      </c>
      <c r="AT562" s="6">
        <v>0</v>
      </c>
    </row>
    <row r="563" spans="2:46">
      <c r="B563" s="6" t="s">
        <v>2294</v>
      </c>
      <c r="D563" s="6" t="s">
        <v>1561</v>
      </c>
      <c r="F563" s="6" t="s">
        <v>2518</v>
      </c>
      <c r="G563" s="6" t="str">
        <f>"VV17SPOP02GR"</f>
        <v>VV17SPOP02GR</v>
      </c>
      <c r="H563" s="6" t="s">
        <v>2519</v>
      </c>
      <c r="I563" s="6" t="s">
        <v>2520</v>
      </c>
      <c r="J563" s="6" t="str">
        <f>"RUFFLE CHECK ONEPIECE"</f>
        <v>RUFFLE CHECK ONEPIECE</v>
      </c>
      <c r="K563" s="6">
        <v>0</v>
      </c>
      <c r="L563" s="6">
        <v>0</v>
      </c>
      <c r="M563" s="6">
        <v>0</v>
      </c>
      <c r="N563" s="6" t="str">
        <f>""</f>
        <v/>
      </c>
      <c r="O563" s="6">
        <v>32864</v>
      </c>
      <c r="P563" s="6" t="s">
        <v>2519</v>
      </c>
      <c r="R563" s="6" t="s">
        <v>2364</v>
      </c>
      <c r="S563" s="6" t="s">
        <v>2521</v>
      </c>
      <c r="T563" s="6">
        <v>0</v>
      </c>
      <c r="U563" s="6">
        <v>0</v>
      </c>
      <c r="V563" s="6">
        <v>0</v>
      </c>
      <c r="W563" s="6">
        <v>0</v>
      </c>
      <c r="X563" s="6" t="s">
        <v>169</v>
      </c>
      <c r="Z563" s="6" t="s">
        <v>170</v>
      </c>
      <c r="AA563" s="6" t="s">
        <v>171</v>
      </c>
      <c r="AB563" s="6">
        <v>0</v>
      </c>
      <c r="AC563" s="6" t="str">
        <f>""</f>
        <v/>
      </c>
      <c r="AS563" s="6">
        <v>0</v>
      </c>
      <c r="AT563" s="6">
        <v>0</v>
      </c>
    </row>
    <row r="564" spans="2:46">
      <c r="B564" s="6" t="s">
        <v>2294</v>
      </c>
      <c r="D564" s="6" t="s">
        <v>1561</v>
      </c>
      <c r="F564" s="6" t="s">
        <v>2522</v>
      </c>
      <c r="G564" s="6" t="str">
        <f>"VV17FWOP02ML"</f>
        <v>VV17FWOP02ML</v>
      </c>
      <c r="H564" s="6" t="s">
        <v>2523</v>
      </c>
      <c r="I564" s="6" t="s">
        <v>2524</v>
      </c>
      <c r="J564" s="6" t="str">
        <f>"NECK POINT BELL SLEEVE CHECK ONEPIECE"</f>
        <v>NECK POINT BELL SLEEVE CHECK ONEPIECE</v>
      </c>
      <c r="K564" s="6">
        <v>0</v>
      </c>
      <c r="L564" s="6">
        <v>0</v>
      </c>
      <c r="M564" s="6">
        <v>0</v>
      </c>
      <c r="N564" s="6" t="str">
        <f>""</f>
        <v/>
      </c>
      <c r="O564" s="6">
        <v>32958</v>
      </c>
      <c r="P564" s="6" t="s">
        <v>2523</v>
      </c>
      <c r="R564" s="6" t="s">
        <v>2525</v>
      </c>
      <c r="S564" s="6" t="s">
        <v>2526</v>
      </c>
      <c r="T564" s="6">
        <v>0</v>
      </c>
      <c r="U564" s="6">
        <v>0</v>
      </c>
      <c r="V564" s="6">
        <v>0</v>
      </c>
      <c r="W564" s="6">
        <v>0</v>
      </c>
      <c r="X564" s="6" t="s">
        <v>169</v>
      </c>
      <c r="Z564" s="6" t="s">
        <v>170</v>
      </c>
      <c r="AA564" s="6" t="s">
        <v>171</v>
      </c>
      <c r="AB564" s="6">
        <v>0</v>
      </c>
      <c r="AC564" s="6" t="str">
        <f>""</f>
        <v/>
      </c>
      <c r="AS564" s="6">
        <v>0</v>
      </c>
      <c r="AT564" s="6">
        <v>0</v>
      </c>
    </row>
    <row r="565" spans="2:46">
      <c r="B565" s="6" t="s">
        <v>2294</v>
      </c>
      <c r="D565" s="6" t="s">
        <v>1561</v>
      </c>
      <c r="F565" s="6" t="s">
        <v>2527</v>
      </c>
      <c r="G565" s="6" t="str">
        <f>"VV17FWOP02BL"</f>
        <v>VV17FWOP02BL</v>
      </c>
      <c r="H565" s="6" t="s">
        <v>2528</v>
      </c>
      <c r="I565" s="6" t="s">
        <v>2524</v>
      </c>
      <c r="J565" s="6" t="str">
        <f>"NECK POINT BELL SLEEVE CHECK ONEPIECE"</f>
        <v>NECK POINT BELL SLEEVE CHECK ONEPIECE</v>
      </c>
      <c r="K565" s="6">
        <v>0</v>
      </c>
      <c r="L565" s="6">
        <v>0</v>
      </c>
      <c r="M565" s="6">
        <v>0</v>
      </c>
      <c r="N565" s="6" t="str">
        <f>""</f>
        <v/>
      </c>
      <c r="O565" s="6">
        <v>32957</v>
      </c>
      <c r="P565" s="6" t="s">
        <v>2528</v>
      </c>
      <c r="R565" s="6" t="s">
        <v>2175</v>
      </c>
      <c r="S565" s="6" t="s">
        <v>2529</v>
      </c>
      <c r="T565" s="6">
        <v>0</v>
      </c>
      <c r="U565" s="6">
        <v>0</v>
      </c>
      <c r="V565" s="6">
        <v>0</v>
      </c>
      <c r="W565" s="6">
        <v>0</v>
      </c>
      <c r="X565" s="6" t="s">
        <v>169</v>
      </c>
      <c r="Z565" s="6" t="s">
        <v>170</v>
      </c>
      <c r="AA565" s="6" t="s">
        <v>171</v>
      </c>
      <c r="AB565" s="6">
        <v>0</v>
      </c>
      <c r="AC565" s="6" t="str">
        <f>""</f>
        <v/>
      </c>
      <c r="AS565" s="6">
        <v>0</v>
      </c>
      <c r="AT565" s="6">
        <v>0</v>
      </c>
    </row>
    <row r="566" spans="2:46">
      <c r="B566" s="6" t="s">
        <v>2294</v>
      </c>
      <c r="D566" s="6" t="s">
        <v>1561</v>
      </c>
      <c r="F566" s="6" t="s">
        <v>2530</v>
      </c>
      <c r="G566" s="6" t="str">
        <f>"VV17SPOP01GN"</f>
        <v>VV17SPOP01GN</v>
      </c>
      <c r="H566" s="6" t="s">
        <v>2531</v>
      </c>
      <c r="I566" s="6" t="s">
        <v>2524</v>
      </c>
      <c r="J566" s="6" t="str">
        <f>"NECK POINT BELL SLEEVE CHECK ONEPIECE"</f>
        <v>NECK POINT BELL SLEEVE CHECK ONEPIECE</v>
      </c>
      <c r="K566" s="6">
        <v>0</v>
      </c>
      <c r="L566" s="6">
        <v>0</v>
      </c>
      <c r="M566" s="6">
        <v>0</v>
      </c>
      <c r="N566" s="6" t="str">
        <f>""</f>
        <v/>
      </c>
      <c r="O566" s="6">
        <v>32862</v>
      </c>
      <c r="P566" s="6" t="s">
        <v>2531</v>
      </c>
      <c r="R566" s="6" t="s">
        <v>2512</v>
      </c>
      <c r="S566" s="6" t="s">
        <v>2532</v>
      </c>
      <c r="T566" s="6">
        <v>0</v>
      </c>
      <c r="U566" s="6">
        <v>0</v>
      </c>
      <c r="V566" s="6">
        <v>0</v>
      </c>
      <c r="W566" s="6">
        <v>0</v>
      </c>
      <c r="X566" s="6" t="s">
        <v>169</v>
      </c>
      <c r="Z566" s="6" t="s">
        <v>170</v>
      </c>
      <c r="AA566" s="6" t="s">
        <v>171</v>
      </c>
      <c r="AB566" s="6">
        <v>0</v>
      </c>
      <c r="AC566" s="6" t="str">
        <f>""</f>
        <v/>
      </c>
      <c r="AS566" s="6">
        <v>0</v>
      </c>
      <c r="AT566" s="6">
        <v>0</v>
      </c>
    </row>
    <row r="567" spans="2:46">
      <c r="B567" s="6" t="s">
        <v>2294</v>
      </c>
      <c r="D567" s="6" t="s">
        <v>1561</v>
      </c>
      <c r="F567" s="6" t="s">
        <v>2533</v>
      </c>
      <c r="G567" s="6" t="str">
        <f>"VV17SPST02SB"</f>
        <v>VV17SPST02SB</v>
      </c>
      <c r="H567" s="6" t="s">
        <v>2534</v>
      </c>
      <c r="I567" s="6" t="s">
        <v>2535</v>
      </c>
      <c r="J567" s="6" t="str">
        <f>"NOTCHED COLLAR BELL SLEEVE SHIRTS"</f>
        <v>NOTCHED COLLAR BELL SLEEVE SHIRTS</v>
      </c>
      <c r="K567" s="6">
        <v>0</v>
      </c>
      <c r="L567" s="6">
        <v>0</v>
      </c>
      <c r="M567" s="6">
        <v>0</v>
      </c>
      <c r="N567" s="6" t="str">
        <f>""</f>
        <v/>
      </c>
      <c r="O567" s="6">
        <v>32860</v>
      </c>
      <c r="P567" s="6" t="s">
        <v>2534</v>
      </c>
      <c r="R567" s="6" t="s">
        <v>2335</v>
      </c>
      <c r="S567" s="6" t="s">
        <v>2536</v>
      </c>
      <c r="T567" s="6">
        <v>0</v>
      </c>
      <c r="U567" s="6">
        <v>0</v>
      </c>
      <c r="V567" s="6">
        <v>0</v>
      </c>
      <c r="W567" s="6">
        <v>0</v>
      </c>
      <c r="X567" s="6" t="s">
        <v>169</v>
      </c>
      <c r="Z567" s="6" t="s">
        <v>170</v>
      </c>
      <c r="AA567" s="6" t="s">
        <v>171</v>
      </c>
      <c r="AB567" s="6">
        <v>0</v>
      </c>
      <c r="AC567" s="6" t="str">
        <f>""</f>
        <v/>
      </c>
      <c r="AS567" s="6">
        <v>0</v>
      </c>
      <c r="AT567" s="6">
        <v>0</v>
      </c>
    </row>
    <row r="568" spans="2:46">
      <c r="B568" s="6" t="s">
        <v>2294</v>
      </c>
      <c r="D568" s="6" t="s">
        <v>1561</v>
      </c>
      <c r="F568" s="6" t="s">
        <v>2537</v>
      </c>
      <c r="G568" s="6" t="str">
        <f>"VV17SPST01WH"</f>
        <v>VV17SPST01WH</v>
      </c>
      <c r="H568" s="6" t="s">
        <v>2538</v>
      </c>
      <c r="I568" s="6" t="s">
        <v>2539</v>
      </c>
      <c r="J568" s="6" t="str">
        <f>"BUTTON POINT WHTE SHIRTS"</f>
        <v>BUTTON POINT WHTE SHIRTS</v>
      </c>
      <c r="K568" s="6">
        <v>0</v>
      </c>
      <c r="L568" s="6">
        <v>0</v>
      </c>
      <c r="M568" s="6">
        <v>0</v>
      </c>
      <c r="N568" s="6" t="str">
        <f>""</f>
        <v/>
      </c>
      <c r="O568" s="6">
        <v>32858</v>
      </c>
      <c r="P568" s="6" t="s">
        <v>2538</v>
      </c>
      <c r="R568" s="6" t="s">
        <v>2167</v>
      </c>
      <c r="S568" s="6" t="s">
        <v>2540</v>
      </c>
      <c r="T568" s="6">
        <v>0</v>
      </c>
      <c r="U568" s="6">
        <v>0</v>
      </c>
      <c r="V568" s="6">
        <v>0</v>
      </c>
      <c r="W568" s="6">
        <v>0</v>
      </c>
      <c r="X568" s="6" t="s">
        <v>169</v>
      </c>
      <c r="Z568" s="6" t="s">
        <v>170</v>
      </c>
      <c r="AA568" s="6" t="s">
        <v>171</v>
      </c>
      <c r="AB568" s="6">
        <v>0</v>
      </c>
      <c r="AC568" s="6" t="str">
        <f>""</f>
        <v/>
      </c>
      <c r="AS568" s="6">
        <v>0</v>
      </c>
      <c r="AT568" s="6">
        <v>0</v>
      </c>
    </row>
    <row r="569" spans="2:46">
      <c r="B569" s="6" t="s">
        <v>2294</v>
      </c>
      <c r="D569" s="6" t="s">
        <v>1561</v>
      </c>
      <c r="F569" s="6" t="s">
        <v>2541</v>
      </c>
      <c r="G569" s="6" t="str">
        <f>"VV17SPST01SB"</f>
        <v>VV17SPST01SB</v>
      </c>
      <c r="H569" s="6" t="s">
        <v>2542</v>
      </c>
      <c r="I569" s="6" t="s">
        <v>2543</v>
      </c>
      <c r="J569" s="6" t="str">
        <f>"BUTTON POINT STRIPE SHIRTS"</f>
        <v>BUTTON POINT STRIPE SHIRTS</v>
      </c>
      <c r="K569" s="6">
        <v>0</v>
      </c>
      <c r="L569" s="6">
        <v>0</v>
      </c>
      <c r="M569" s="6">
        <v>0</v>
      </c>
      <c r="N569" s="6" t="str">
        <f>""</f>
        <v/>
      </c>
      <c r="O569" s="6">
        <v>32856</v>
      </c>
      <c r="P569" s="6" t="s">
        <v>2542</v>
      </c>
      <c r="R569" s="6" t="s">
        <v>2335</v>
      </c>
      <c r="S569" s="6" t="s">
        <v>2544</v>
      </c>
      <c r="T569" s="6">
        <v>0</v>
      </c>
      <c r="U569" s="6">
        <v>0</v>
      </c>
      <c r="V569" s="6">
        <v>0</v>
      </c>
      <c r="W569" s="6">
        <v>0</v>
      </c>
      <c r="X569" s="6" t="s">
        <v>169</v>
      </c>
      <c r="Z569" s="6" t="s">
        <v>170</v>
      </c>
      <c r="AA569" s="6" t="s">
        <v>171</v>
      </c>
      <c r="AB569" s="6">
        <v>0</v>
      </c>
      <c r="AC569" s="6" t="str">
        <f>""</f>
        <v/>
      </c>
      <c r="AS569" s="6">
        <v>0</v>
      </c>
      <c r="AT569" s="6">
        <v>0</v>
      </c>
    </row>
    <row r="570" spans="2:46">
      <c r="B570" s="6" t="s">
        <v>2294</v>
      </c>
      <c r="D570" s="6" t="s">
        <v>1561</v>
      </c>
      <c r="F570" s="6" t="s">
        <v>2545</v>
      </c>
      <c r="G570" s="6" t="str">
        <f>"VV17SPBL04NA"</f>
        <v>VV17SPBL04NA</v>
      </c>
      <c r="H570" s="6" t="s">
        <v>2546</v>
      </c>
      <c r="I570" s="6" t="s">
        <v>2547</v>
      </c>
      <c r="J570" s="6" t="str">
        <f>"V-NECK BLOUSE"</f>
        <v>V-NECK BLOUSE</v>
      </c>
      <c r="K570" s="6">
        <v>0</v>
      </c>
      <c r="L570" s="6">
        <v>0</v>
      </c>
      <c r="M570" s="6">
        <v>0</v>
      </c>
      <c r="N570" s="6" t="str">
        <f>""</f>
        <v/>
      </c>
      <c r="O570" s="6">
        <v>32854</v>
      </c>
      <c r="P570" s="6" t="s">
        <v>2546</v>
      </c>
      <c r="R570" s="6" t="s">
        <v>2111</v>
      </c>
      <c r="S570" s="6" t="s">
        <v>2548</v>
      </c>
      <c r="T570" s="6">
        <v>0</v>
      </c>
      <c r="U570" s="6">
        <v>0</v>
      </c>
      <c r="V570" s="6">
        <v>0</v>
      </c>
      <c r="W570" s="6">
        <v>0</v>
      </c>
      <c r="X570" s="6" t="s">
        <v>169</v>
      </c>
      <c r="Z570" s="6" t="s">
        <v>170</v>
      </c>
      <c r="AA570" s="6" t="s">
        <v>171</v>
      </c>
      <c r="AB570" s="6">
        <v>0</v>
      </c>
      <c r="AC570" s="6" t="str">
        <f>""</f>
        <v/>
      </c>
      <c r="AS570" s="6">
        <v>0</v>
      </c>
      <c r="AT570" s="6">
        <v>0</v>
      </c>
    </row>
    <row r="571" spans="2:46">
      <c r="B571" s="6" t="s">
        <v>2294</v>
      </c>
      <c r="D571" s="6" t="s">
        <v>1561</v>
      </c>
      <c r="F571" s="6" t="s">
        <v>2549</v>
      </c>
      <c r="G571" s="6" t="str">
        <f>"VV17SPBL03SB"</f>
        <v>VV17SPBL03SB</v>
      </c>
      <c r="H571" s="6" t="s">
        <v>2550</v>
      </c>
      <c r="I571" s="6" t="s">
        <v>2551</v>
      </c>
      <c r="J571" s="6" t="str">
        <f>"RUFFLE POINT SHOULDER TIM BLOUSE"</f>
        <v>RUFFLE POINT SHOULDER TIM BLOUSE</v>
      </c>
      <c r="K571" s="6">
        <v>0</v>
      </c>
      <c r="L571" s="6">
        <v>0</v>
      </c>
      <c r="M571" s="6">
        <v>0</v>
      </c>
      <c r="N571" s="6" t="str">
        <f>""</f>
        <v/>
      </c>
      <c r="O571" s="6">
        <v>32852</v>
      </c>
      <c r="P571" s="6" t="s">
        <v>2550</v>
      </c>
      <c r="R571" s="6" t="s">
        <v>2335</v>
      </c>
      <c r="S571" s="6" t="s">
        <v>2552</v>
      </c>
      <c r="T571" s="6">
        <v>0</v>
      </c>
      <c r="U571" s="6">
        <v>0</v>
      </c>
      <c r="V571" s="6">
        <v>0</v>
      </c>
      <c r="W571" s="6">
        <v>0</v>
      </c>
      <c r="X571" s="6" t="s">
        <v>169</v>
      </c>
      <c r="Z571" s="6" t="s">
        <v>170</v>
      </c>
      <c r="AA571" s="6" t="s">
        <v>171</v>
      </c>
      <c r="AB571" s="6">
        <v>0</v>
      </c>
      <c r="AC571" s="6" t="str">
        <f>""</f>
        <v/>
      </c>
      <c r="AS571" s="6">
        <v>0</v>
      </c>
      <c r="AT571" s="6">
        <v>0</v>
      </c>
    </row>
    <row r="572" spans="2:46">
      <c r="B572" s="6" t="s">
        <v>2294</v>
      </c>
      <c r="D572" s="6" t="s">
        <v>1561</v>
      </c>
      <c r="F572" s="6" t="s">
        <v>2553</v>
      </c>
      <c r="G572" s="6" t="str">
        <f>"VV17SPBL02WH"</f>
        <v>VV17SPBL02WH</v>
      </c>
      <c r="H572" s="6" t="s">
        <v>2554</v>
      </c>
      <c r="I572" s="6" t="s">
        <v>2555</v>
      </c>
      <c r="J572" s="6" t="str">
        <f>"RUFFLE POINT CHECK BLOUSE"</f>
        <v>RUFFLE POINT CHECK BLOUSE</v>
      </c>
      <c r="K572" s="6">
        <v>0</v>
      </c>
      <c r="L572" s="6">
        <v>0</v>
      </c>
      <c r="M572" s="6">
        <v>0</v>
      </c>
      <c r="N572" s="6" t="str">
        <f>""</f>
        <v/>
      </c>
      <c r="O572" s="6">
        <v>32850</v>
      </c>
      <c r="P572" s="6" t="s">
        <v>2554</v>
      </c>
      <c r="R572" s="6" t="s">
        <v>2167</v>
      </c>
      <c r="S572" s="6" t="s">
        <v>2556</v>
      </c>
      <c r="T572" s="6">
        <v>0</v>
      </c>
      <c r="U572" s="6">
        <v>0</v>
      </c>
      <c r="V572" s="6">
        <v>0</v>
      </c>
      <c r="W572" s="6">
        <v>0</v>
      </c>
      <c r="X572" s="6" t="s">
        <v>169</v>
      </c>
      <c r="Z572" s="6" t="s">
        <v>170</v>
      </c>
      <c r="AA572" s="6" t="s">
        <v>171</v>
      </c>
      <c r="AB572" s="6">
        <v>0</v>
      </c>
      <c r="AC572" s="6" t="str">
        <f>""</f>
        <v/>
      </c>
      <c r="AS572" s="6">
        <v>0</v>
      </c>
      <c r="AT572" s="6">
        <v>0</v>
      </c>
    </row>
    <row r="573" spans="2:46">
      <c r="B573" s="6" t="s">
        <v>2294</v>
      </c>
      <c r="D573" s="6" t="s">
        <v>1561</v>
      </c>
      <c r="F573" s="6" t="s">
        <v>2557</v>
      </c>
      <c r="G573" s="6" t="str">
        <f>"VV17SPBL02BL"</f>
        <v>VV17SPBL02BL</v>
      </c>
      <c r="H573" s="6" t="s">
        <v>2558</v>
      </c>
      <c r="I573" s="6" t="s">
        <v>2555</v>
      </c>
      <c r="J573" s="6" t="str">
        <f>"RUFFLE POINT CHECK BLOUSE"</f>
        <v>RUFFLE POINT CHECK BLOUSE</v>
      </c>
      <c r="K573" s="6">
        <v>0</v>
      </c>
      <c r="L573" s="6">
        <v>0</v>
      </c>
      <c r="M573" s="6">
        <v>0</v>
      </c>
      <c r="N573" s="6" t="str">
        <f>""</f>
        <v/>
      </c>
      <c r="O573" s="6">
        <v>32849</v>
      </c>
      <c r="P573" s="6" t="s">
        <v>2558</v>
      </c>
      <c r="R573" s="6" t="s">
        <v>2175</v>
      </c>
      <c r="S573" s="6" t="s">
        <v>2559</v>
      </c>
      <c r="T573" s="6">
        <v>0</v>
      </c>
      <c r="U573" s="6">
        <v>0</v>
      </c>
      <c r="V573" s="6">
        <v>0</v>
      </c>
      <c r="W573" s="6">
        <v>0</v>
      </c>
      <c r="X573" s="6" t="s">
        <v>169</v>
      </c>
      <c r="Z573" s="6" t="s">
        <v>170</v>
      </c>
      <c r="AA573" s="6" t="s">
        <v>171</v>
      </c>
      <c r="AB573" s="6">
        <v>0</v>
      </c>
      <c r="AC573" s="6" t="str">
        <f>""</f>
        <v/>
      </c>
      <c r="AS573" s="6">
        <v>0</v>
      </c>
      <c r="AT573" s="6">
        <v>0</v>
      </c>
    </row>
    <row r="574" spans="2:46">
      <c r="B574" s="6" t="s">
        <v>2294</v>
      </c>
      <c r="D574" s="6" t="s">
        <v>1561</v>
      </c>
      <c r="F574" s="6" t="s">
        <v>2560</v>
      </c>
      <c r="G574" s="6" t="str">
        <f>"VV17SPBL01PK"</f>
        <v>VV17SPBL01PK</v>
      </c>
      <c r="H574" s="6" t="s">
        <v>2561</v>
      </c>
      <c r="I574" s="6" t="s">
        <v>2562</v>
      </c>
      <c r="J574" s="6" t="str">
        <f>"NECK POINT HALF SLEEVE BLOUSE"</f>
        <v>NECK POINT HALF SLEEVE BLOUSE</v>
      </c>
      <c r="K574" s="6">
        <v>0</v>
      </c>
      <c r="L574" s="6">
        <v>0</v>
      </c>
      <c r="M574" s="6">
        <v>0</v>
      </c>
      <c r="N574" s="6" t="str">
        <f>""</f>
        <v/>
      </c>
      <c r="O574" s="6">
        <v>32847</v>
      </c>
      <c r="P574" s="6" t="s">
        <v>2561</v>
      </c>
      <c r="R574" s="6" t="s">
        <v>2446</v>
      </c>
      <c r="S574" s="6" t="s">
        <v>2563</v>
      </c>
      <c r="T574" s="6">
        <v>0</v>
      </c>
      <c r="U574" s="6">
        <v>0</v>
      </c>
      <c r="V574" s="6">
        <v>0</v>
      </c>
      <c r="W574" s="6">
        <v>0</v>
      </c>
      <c r="X574" s="6" t="s">
        <v>169</v>
      </c>
      <c r="Z574" s="6" t="s">
        <v>170</v>
      </c>
      <c r="AA574" s="6" t="s">
        <v>171</v>
      </c>
      <c r="AB574" s="6">
        <v>0</v>
      </c>
      <c r="AC574" s="6" t="str">
        <f>""</f>
        <v/>
      </c>
      <c r="AS574" s="6">
        <v>0</v>
      </c>
      <c r="AT574" s="6">
        <v>2</v>
      </c>
    </row>
    <row r="575" spans="2:46">
      <c r="B575" s="6" t="s">
        <v>2294</v>
      </c>
      <c r="D575" s="6" t="s">
        <v>1561</v>
      </c>
      <c r="F575" s="6" t="s">
        <v>2564</v>
      </c>
      <c r="G575" s="6" t="str">
        <f>"VV17SPBL01BK"</f>
        <v>VV17SPBL01BK</v>
      </c>
      <c r="H575" s="6" t="s">
        <v>2565</v>
      </c>
      <c r="I575" s="6" t="s">
        <v>2562</v>
      </c>
      <c r="J575" s="6" t="str">
        <f>"NECK POINT HALF SLEEVE BLOUSE"</f>
        <v>NECK POINT HALF SLEEVE BLOUSE</v>
      </c>
      <c r="K575" s="6">
        <v>0</v>
      </c>
      <c r="L575" s="6">
        <v>0</v>
      </c>
      <c r="M575" s="6">
        <v>0</v>
      </c>
      <c r="N575" s="6" t="str">
        <f>""</f>
        <v/>
      </c>
      <c r="O575" s="6">
        <v>32846</v>
      </c>
      <c r="P575" s="6" t="s">
        <v>2565</v>
      </c>
      <c r="R575" s="6" t="s">
        <v>2106</v>
      </c>
      <c r="S575" s="6" t="s">
        <v>2566</v>
      </c>
      <c r="T575" s="6">
        <v>0</v>
      </c>
      <c r="U575" s="6">
        <v>0</v>
      </c>
      <c r="V575" s="6">
        <v>0</v>
      </c>
      <c r="W575" s="6">
        <v>0</v>
      </c>
      <c r="X575" s="6" t="s">
        <v>169</v>
      </c>
      <c r="Z575" s="6" t="s">
        <v>170</v>
      </c>
      <c r="AA575" s="6" t="s">
        <v>171</v>
      </c>
      <c r="AB575" s="6">
        <v>0</v>
      </c>
      <c r="AC575" s="6" t="str">
        <f>""</f>
        <v/>
      </c>
      <c r="AS575" s="6">
        <v>0</v>
      </c>
      <c r="AT575" s="6">
        <v>0</v>
      </c>
    </row>
    <row r="576" spans="2:46">
      <c r="B576" s="6" t="s">
        <v>2294</v>
      </c>
      <c r="D576" s="6" t="s">
        <v>1561</v>
      </c>
      <c r="F576" s="6" t="s">
        <v>2567</v>
      </c>
      <c r="G576" s="6" t="str">
        <f>"VV17SPTOP07YL"</f>
        <v>VV17SPTOP07YL</v>
      </c>
      <c r="H576" s="6" t="s">
        <v>2568</v>
      </c>
      <c r="I576" s="6" t="s">
        <v>2569</v>
      </c>
      <c r="J576" s="6" t="str">
        <f>"RUFFLE V-NECK STRIPE T-SHIRTS"</f>
        <v>RUFFLE V-NECK STRIPE T-SHIRTS</v>
      </c>
      <c r="K576" s="6">
        <v>0</v>
      </c>
      <c r="L576" s="6">
        <v>0</v>
      </c>
      <c r="M576" s="6">
        <v>0</v>
      </c>
      <c r="N576" s="6" t="str">
        <f>""</f>
        <v/>
      </c>
      <c r="O576" s="6">
        <v>32844</v>
      </c>
      <c r="P576" s="6" t="s">
        <v>2568</v>
      </c>
      <c r="R576" s="6" t="s">
        <v>2570</v>
      </c>
      <c r="S576" s="6" t="s">
        <v>2571</v>
      </c>
      <c r="T576" s="6">
        <v>0</v>
      </c>
      <c r="U576" s="6">
        <v>0</v>
      </c>
      <c r="V576" s="6">
        <v>0</v>
      </c>
      <c r="W576" s="6">
        <v>0</v>
      </c>
      <c r="X576" s="6" t="s">
        <v>169</v>
      </c>
      <c r="Z576" s="6" t="s">
        <v>170</v>
      </c>
      <c r="AA576" s="6" t="s">
        <v>171</v>
      </c>
      <c r="AB576" s="6">
        <v>0</v>
      </c>
      <c r="AC576" s="6" t="str">
        <f>""</f>
        <v/>
      </c>
      <c r="AS576" s="6">
        <v>0</v>
      </c>
      <c r="AT576" s="6">
        <v>0</v>
      </c>
    </row>
    <row r="577" spans="2:46">
      <c r="B577" s="6" t="s">
        <v>2294</v>
      </c>
      <c r="D577" s="6" t="s">
        <v>1561</v>
      </c>
      <c r="F577" s="6" t="s">
        <v>2572</v>
      </c>
      <c r="G577" s="6" t="str">
        <f>"VV17SPTOP07NA"</f>
        <v>VV17SPTOP07NA</v>
      </c>
      <c r="H577" s="6" t="s">
        <v>2573</v>
      </c>
      <c r="I577" s="6" t="s">
        <v>2569</v>
      </c>
      <c r="J577" s="6" t="str">
        <f>"RUFFLE V-NECK STRIPE T-SHIRTS"</f>
        <v>RUFFLE V-NECK STRIPE T-SHIRTS</v>
      </c>
      <c r="K577" s="6">
        <v>0</v>
      </c>
      <c r="L577" s="6">
        <v>0</v>
      </c>
      <c r="M577" s="6">
        <v>0</v>
      </c>
      <c r="N577" s="6" t="str">
        <f>""</f>
        <v/>
      </c>
      <c r="O577" s="6">
        <v>32843</v>
      </c>
      <c r="P577" s="6" t="s">
        <v>2573</v>
      </c>
      <c r="R577" s="6" t="s">
        <v>2111</v>
      </c>
      <c r="S577" s="6" t="s">
        <v>2574</v>
      </c>
      <c r="T577" s="6">
        <v>0</v>
      </c>
      <c r="U577" s="6">
        <v>0</v>
      </c>
      <c r="V577" s="6">
        <v>0</v>
      </c>
      <c r="W577" s="6">
        <v>0</v>
      </c>
      <c r="X577" s="6" t="s">
        <v>169</v>
      </c>
      <c r="Z577" s="6" t="s">
        <v>170</v>
      </c>
      <c r="AA577" s="6" t="s">
        <v>171</v>
      </c>
      <c r="AB577" s="6">
        <v>0</v>
      </c>
      <c r="AC577" s="6" t="str">
        <f>""</f>
        <v/>
      </c>
      <c r="AS577" s="6">
        <v>0</v>
      </c>
      <c r="AT577" s="6">
        <v>0</v>
      </c>
    </row>
    <row r="578" spans="2:46">
      <c r="B578" s="6" t="s">
        <v>2294</v>
      </c>
      <c r="D578" s="6" t="s">
        <v>1561</v>
      </c>
      <c r="F578" s="6" t="s">
        <v>2575</v>
      </c>
      <c r="G578" s="6" t="str">
        <f>"VV17SPTOP06WH"</f>
        <v>VV17SPTOP06WH</v>
      </c>
      <c r="H578" s="6" t="s">
        <v>2576</v>
      </c>
      <c r="I578" s="6" t="s">
        <v>2577</v>
      </c>
      <c r="J578" s="6" t="str">
        <f>"RUFFLE POINT HALF SLEEVES"</f>
        <v>RUFFLE POINT HALF SLEEVES</v>
      </c>
      <c r="K578" s="6">
        <v>0</v>
      </c>
      <c r="L578" s="6">
        <v>0</v>
      </c>
      <c r="M578" s="6">
        <v>0</v>
      </c>
      <c r="N578" s="6" t="str">
        <f>""</f>
        <v/>
      </c>
      <c r="O578" s="6">
        <v>32841</v>
      </c>
      <c r="P578" s="6" t="s">
        <v>2576</v>
      </c>
      <c r="R578" s="6" t="s">
        <v>2167</v>
      </c>
      <c r="S578" s="6" t="s">
        <v>2578</v>
      </c>
      <c r="T578" s="6">
        <v>0</v>
      </c>
      <c r="U578" s="6">
        <v>0</v>
      </c>
      <c r="V578" s="6">
        <v>0</v>
      </c>
      <c r="W578" s="6">
        <v>0</v>
      </c>
      <c r="X578" s="6" t="s">
        <v>169</v>
      </c>
      <c r="Z578" s="6" t="s">
        <v>170</v>
      </c>
      <c r="AA578" s="6" t="s">
        <v>171</v>
      </c>
      <c r="AB578" s="6">
        <v>0</v>
      </c>
      <c r="AC578" s="6" t="str">
        <f>""</f>
        <v/>
      </c>
      <c r="AS578" s="6">
        <v>0</v>
      </c>
      <c r="AT578" s="6">
        <v>0</v>
      </c>
    </row>
    <row r="579" spans="2:46">
      <c r="B579" s="6" t="s">
        <v>2294</v>
      </c>
      <c r="D579" s="6" t="s">
        <v>1561</v>
      </c>
      <c r="F579" s="6" t="s">
        <v>2579</v>
      </c>
      <c r="G579" s="6" t="str">
        <f>"VV17SPTOP06BK"</f>
        <v>VV17SPTOP06BK</v>
      </c>
      <c r="H579" s="6" t="s">
        <v>2580</v>
      </c>
      <c r="I579" s="6" t="s">
        <v>2577</v>
      </c>
      <c r="J579" s="6" t="str">
        <f>"RUFFLE POINT HALF SLEEVES"</f>
        <v>RUFFLE POINT HALF SLEEVES</v>
      </c>
      <c r="K579" s="6">
        <v>0</v>
      </c>
      <c r="L579" s="6">
        <v>0</v>
      </c>
      <c r="M579" s="6">
        <v>0</v>
      </c>
      <c r="N579" s="6" t="str">
        <f>""</f>
        <v/>
      </c>
      <c r="O579" s="6">
        <v>32840</v>
      </c>
      <c r="P579" s="6" t="s">
        <v>2580</v>
      </c>
      <c r="R579" s="6" t="s">
        <v>2106</v>
      </c>
      <c r="S579" s="6" t="s">
        <v>2581</v>
      </c>
      <c r="T579" s="6">
        <v>0</v>
      </c>
      <c r="U579" s="6">
        <v>0</v>
      </c>
      <c r="V579" s="6">
        <v>0</v>
      </c>
      <c r="W579" s="6">
        <v>0</v>
      </c>
      <c r="X579" s="6" t="s">
        <v>169</v>
      </c>
      <c r="Z579" s="6" t="s">
        <v>170</v>
      </c>
      <c r="AA579" s="6" t="s">
        <v>171</v>
      </c>
      <c r="AB579" s="6">
        <v>0</v>
      </c>
      <c r="AC579" s="6" t="str">
        <f>""</f>
        <v/>
      </c>
      <c r="AS579" s="6">
        <v>0</v>
      </c>
      <c r="AT579" s="6">
        <v>0</v>
      </c>
    </row>
    <row r="580" spans="2:46">
      <c r="B580" s="6" t="s">
        <v>2294</v>
      </c>
      <c r="D580" s="6" t="s">
        <v>1561</v>
      </c>
      <c r="F580" s="6" t="s">
        <v>2582</v>
      </c>
      <c r="G580" s="6" t="str">
        <f>"VV17SPTOP05WH"</f>
        <v>VV17SPTOP05WH</v>
      </c>
      <c r="H580" s="6" t="s">
        <v>2583</v>
      </c>
      <c r="I580" s="6" t="s">
        <v>2584</v>
      </c>
      <c r="J580" s="6" t="str">
        <f>"RUFFLE NECK T-SHIRTS"</f>
        <v>RUFFLE NECK T-SHIRTS</v>
      </c>
      <c r="K580" s="6">
        <v>0</v>
      </c>
      <c r="L580" s="6">
        <v>0</v>
      </c>
      <c r="M580" s="6">
        <v>0</v>
      </c>
      <c r="N580" s="6" t="str">
        <f>""</f>
        <v/>
      </c>
      <c r="O580" s="6">
        <v>32838</v>
      </c>
      <c r="P580" s="6" t="s">
        <v>2583</v>
      </c>
      <c r="R580" s="6" t="s">
        <v>2167</v>
      </c>
      <c r="S580" s="6" t="s">
        <v>2585</v>
      </c>
      <c r="T580" s="6">
        <v>0</v>
      </c>
      <c r="U580" s="6">
        <v>0</v>
      </c>
      <c r="V580" s="6">
        <v>0</v>
      </c>
      <c r="W580" s="6">
        <v>0</v>
      </c>
      <c r="X580" s="6" t="s">
        <v>169</v>
      </c>
      <c r="Z580" s="6" t="s">
        <v>170</v>
      </c>
      <c r="AA580" s="6" t="s">
        <v>171</v>
      </c>
      <c r="AB580" s="6">
        <v>0</v>
      </c>
      <c r="AC580" s="6" t="str">
        <f>""</f>
        <v/>
      </c>
      <c r="AS580" s="6">
        <v>0</v>
      </c>
      <c r="AT580" s="6">
        <v>0</v>
      </c>
    </row>
    <row r="581" spans="2:46">
      <c r="B581" s="6" t="s">
        <v>2294</v>
      </c>
      <c r="D581" s="6" t="s">
        <v>1561</v>
      </c>
      <c r="F581" s="6" t="s">
        <v>2586</v>
      </c>
      <c r="G581" s="6" t="str">
        <f>"VV17SPTOP05BK"</f>
        <v>VV17SPTOP05BK</v>
      </c>
      <c r="H581" s="6" t="s">
        <v>2587</v>
      </c>
      <c r="I581" s="6" t="s">
        <v>2584</v>
      </c>
      <c r="J581" s="6" t="str">
        <f>"RUFFLE NECK T-SHIRTS"</f>
        <v>RUFFLE NECK T-SHIRTS</v>
      </c>
      <c r="K581" s="6">
        <v>0</v>
      </c>
      <c r="L581" s="6">
        <v>0</v>
      </c>
      <c r="M581" s="6">
        <v>0</v>
      </c>
      <c r="N581" s="6" t="str">
        <f>""</f>
        <v/>
      </c>
      <c r="O581" s="6">
        <v>32837</v>
      </c>
      <c r="P581" s="6" t="s">
        <v>2587</v>
      </c>
      <c r="R581" s="6" t="s">
        <v>2106</v>
      </c>
      <c r="S581" s="6" t="s">
        <v>2588</v>
      </c>
      <c r="T581" s="6">
        <v>0</v>
      </c>
      <c r="U581" s="6">
        <v>0</v>
      </c>
      <c r="V581" s="6">
        <v>0</v>
      </c>
      <c r="W581" s="6">
        <v>0</v>
      </c>
      <c r="X581" s="6" t="s">
        <v>169</v>
      </c>
      <c r="Z581" s="6" t="s">
        <v>170</v>
      </c>
      <c r="AA581" s="6" t="s">
        <v>171</v>
      </c>
      <c r="AB581" s="6">
        <v>0</v>
      </c>
      <c r="AC581" s="6" t="str">
        <f>""</f>
        <v/>
      </c>
      <c r="AS581" s="6">
        <v>0</v>
      </c>
      <c r="AT581" s="6">
        <v>0</v>
      </c>
    </row>
    <row r="582" spans="2:46">
      <c r="B582" s="6" t="s">
        <v>2294</v>
      </c>
      <c r="D582" s="6" t="s">
        <v>1561</v>
      </c>
      <c r="F582" s="6" t="s">
        <v>2589</v>
      </c>
      <c r="G582" s="6" t="str">
        <f>"VV17SPTOP04GR"</f>
        <v>VV17SPTOP04GR</v>
      </c>
      <c r="H582" s="6" t="s">
        <v>2590</v>
      </c>
      <c r="I582" s="6" t="s">
        <v>2591</v>
      </c>
      <c r="J582" s="6" t="str">
        <f>"RUFFLE NECK HALF SLEEVES"</f>
        <v>RUFFLE NECK HALF SLEEVES</v>
      </c>
      <c r="K582" s="6">
        <v>0</v>
      </c>
      <c r="L582" s="6">
        <v>0</v>
      </c>
      <c r="M582" s="6">
        <v>0</v>
      </c>
      <c r="N582" s="6" t="str">
        <f>""</f>
        <v/>
      </c>
      <c r="O582" s="6">
        <v>32835</v>
      </c>
      <c r="P582" s="6" t="s">
        <v>2590</v>
      </c>
      <c r="R582" s="6" t="s">
        <v>2364</v>
      </c>
      <c r="S582" s="6" t="s">
        <v>2592</v>
      </c>
      <c r="T582" s="6">
        <v>0</v>
      </c>
      <c r="U582" s="6">
        <v>0</v>
      </c>
      <c r="V582" s="6">
        <v>0</v>
      </c>
      <c r="W582" s="6">
        <v>0</v>
      </c>
      <c r="X582" s="6" t="s">
        <v>169</v>
      </c>
      <c r="Z582" s="6" t="s">
        <v>170</v>
      </c>
      <c r="AA582" s="6" t="s">
        <v>171</v>
      </c>
      <c r="AB582" s="6">
        <v>0</v>
      </c>
      <c r="AC582" s="6" t="str">
        <f>""</f>
        <v/>
      </c>
      <c r="AS582" s="6">
        <v>0</v>
      </c>
      <c r="AT582" s="6">
        <v>0</v>
      </c>
    </row>
    <row r="583" spans="2:46">
      <c r="B583" s="6" t="s">
        <v>2294</v>
      </c>
      <c r="D583" s="6" t="s">
        <v>1561</v>
      </c>
      <c r="F583" s="6" t="s">
        <v>2593</v>
      </c>
      <c r="G583" s="6" t="str">
        <f>"VV17SPTOP04CC"</f>
        <v>VV17SPTOP04CC</v>
      </c>
      <c r="H583" s="6" t="s">
        <v>2594</v>
      </c>
      <c r="I583" s="6" t="s">
        <v>2591</v>
      </c>
      <c r="J583" s="6" t="str">
        <f>"RUFFLE NECK HALF SLEEVES"</f>
        <v>RUFFLE NECK HALF SLEEVES</v>
      </c>
      <c r="K583" s="6">
        <v>0</v>
      </c>
      <c r="L583" s="6">
        <v>0</v>
      </c>
      <c r="M583" s="6">
        <v>0</v>
      </c>
      <c r="N583" s="6" t="str">
        <f>""</f>
        <v/>
      </c>
      <c r="O583" s="6">
        <v>32834</v>
      </c>
      <c r="P583" s="6" t="s">
        <v>2594</v>
      </c>
      <c r="R583" s="6" t="s">
        <v>2595</v>
      </c>
      <c r="S583" s="6" t="s">
        <v>2596</v>
      </c>
      <c r="T583" s="6">
        <v>0</v>
      </c>
      <c r="U583" s="6">
        <v>0</v>
      </c>
      <c r="V583" s="6">
        <v>0</v>
      </c>
      <c r="W583" s="6">
        <v>0</v>
      </c>
      <c r="X583" s="6" t="s">
        <v>169</v>
      </c>
      <c r="Z583" s="6" t="s">
        <v>170</v>
      </c>
      <c r="AA583" s="6" t="s">
        <v>171</v>
      </c>
      <c r="AB583" s="6">
        <v>0</v>
      </c>
      <c r="AC583" s="6" t="str">
        <f>""</f>
        <v/>
      </c>
      <c r="AS583" s="6">
        <v>0</v>
      </c>
      <c r="AT583" s="6">
        <v>0</v>
      </c>
    </row>
    <row r="584" spans="2:46">
      <c r="B584" s="6" t="s">
        <v>2294</v>
      </c>
      <c r="D584" s="6" t="s">
        <v>1561</v>
      </c>
      <c r="F584" s="6" t="s">
        <v>2597</v>
      </c>
      <c r="G584" s="6" t="str">
        <f>"VV17SPTOP03WH"</f>
        <v>VV17SPTOP03WH</v>
      </c>
      <c r="H584" s="6" t="s">
        <v>2598</v>
      </c>
      <c r="I584" s="6" t="s">
        <v>2599</v>
      </c>
      <c r="J584" s="6" t="str">
        <f>"LACE BLOCKING SWEATSHIRT"</f>
        <v>LACE BLOCKING SWEATSHIRT</v>
      </c>
      <c r="K584" s="6">
        <v>0</v>
      </c>
      <c r="L584" s="6">
        <v>0</v>
      </c>
      <c r="M584" s="6">
        <v>0</v>
      </c>
      <c r="N584" s="6" t="str">
        <f>""</f>
        <v/>
      </c>
      <c r="O584" s="6">
        <v>32832</v>
      </c>
      <c r="P584" s="6" t="s">
        <v>2598</v>
      </c>
      <c r="R584" s="6" t="s">
        <v>2167</v>
      </c>
      <c r="S584" s="6" t="s">
        <v>2600</v>
      </c>
      <c r="T584" s="6">
        <v>0</v>
      </c>
      <c r="U584" s="6">
        <v>0</v>
      </c>
      <c r="V584" s="6">
        <v>0</v>
      </c>
      <c r="W584" s="6">
        <v>0</v>
      </c>
      <c r="X584" s="6" t="s">
        <v>169</v>
      </c>
      <c r="Z584" s="6" t="s">
        <v>170</v>
      </c>
      <c r="AA584" s="6" t="s">
        <v>171</v>
      </c>
      <c r="AB584" s="6">
        <v>0</v>
      </c>
      <c r="AC584" s="6" t="str">
        <f>""</f>
        <v/>
      </c>
      <c r="AS584" s="6">
        <v>0</v>
      </c>
      <c r="AT584" s="6">
        <v>0</v>
      </c>
    </row>
    <row r="585" spans="2:46">
      <c r="B585" s="6" t="s">
        <v>2294</v>
      </c>
      <c r="D585" s="6" t="s">
        <v>1561</v>
      </c>
      <c r="F585" s="6" t="s">
        <v>2601</v>
      </c>
      <c r="G585" s="6" t="str">
        <f>"VV17SPTOP03BK"</f>
        <v>VV17SPTOP03BK</v>
      </c>
      <c r="H585" s="6" t="s">
        <v>2602</v>
      </c>
      <c r="I585" s="6" t="s">
        <v>2599</v>
      </c>
      <c r="J585" s="6" t="str">
        <f>"LACE BLOCKING SWEATSHIRT"</f>
        <v>LACE BLOCKING SWEATSHIRT</v>
      </c>
      <c r="K585" s="6">
        <v>0</v>
      </c>
      <c r="L585" s="6">
        <v>0</v>
      </c>
      <c r="M585" s="6">
        <v>0</v>
      </c>
      <c r="N585" s="6" t="str">
        <f>""</f>
        <v/>
      </c>
      <c r="O585" s="6">
        <v>32831</v>
      </c>
      <c r="P585" s="6" t="s">
        <v>2602</v>
      </c>
      <c r="R585" s="6" t="s">
        <v>2106</v>
      </c>
      <c r="S585" s="6" t="s">
        <v>2603</v>
      </c>
      <c r="T585" s="6">
        <v>0</v>
      </c>
      <c r="U585" s="6">
        <v>0</v>
      </c>
      <c r="V585" s="6">
        <v>0</v>
      </c>
      <c r="W585" s="6">
        <v>0</v>
      </c>
      <c r="X585" s="6" t="s">
        <v>169</v>
      </c>
      <c r="Z585" s="6" t="s">
        <v>170</v>
      </c>
      <c r="AA585" s="6" t="s">
        <v>171</v>
      </c>
      <c r="AB585" s="6">
        <v>0</v>
      </c>
      <c r="AC585" s="6" t="str">
        <f>""</f>
        <v/>
      </c>
      <c r="AS585" s="6">
        <v>0</v>
      </c>
      <c r="AT585" s="6">
        <v>0</v>
      </c>
    </row>
    <row r="586" spans="2:46">
      <c r="B586" s="6" t="s">
        <v>2294</v>
      </c>
      <c r="D586" s="6" t="s">
        <v>1561</v>
      </c>
      <c r="F586" s="6" t="s">
        <v>2604</v>
      </c>
      <c r="G586" s="6" t="str">
        <f>"VV17SPTOP02NA"</f>
        <v>VV17SPTOP02NA</v>
      </c>
      <c r="H586" s="6" t="s">
        <v>2605</v>
      </c>
      <c r="I586" s="6" t="s">
        <v>2606</v>
      </c>
      <c r="J586" s="6" t="str">
        <f>"EYELET POINT BELL SLEEVE T-SHIRTS"</f>
        <v>EYELET POINT BELL SLEEVE T-SHIRTS</v>
      </c>
      <c r="K586" s="6">
        <v>0</v>
      </c>
      <c r="L586" s="6">
        <v>0</v>
      </c>
      <c r="M586" s="6">
        <v>0</v>
      </c>
      <c r="N586" s="6" t="str">
        <f>""</f>
        <v/>
      </c>
      <c r="O586" s="6">
        <v>32829</v>
      </c>
      <c r="P586" s="6" t="s">
        <v>2605</v>
      </c>
      <c r="R586" s="6" t="s">
        <v>2111</v>
      </c>
      <c r="S586" s="6" t="s">
        <v>2607</v>
      </c>
      <c r="T586" s="6">
        <v>0</v>
      </c>
      <c r="U586" s="6">
        <v>0</v>
      </c>
      <c r="V586" s="6">
        <v>0</v>
      </c>
      <c r="W586" s="6">
        <v>0</v>
      </c>
      <c r="X586" s="6" t="s">
        <v>169</v>
      </c>
      <c r="Z586" s="6" t="s">
        <v>170</v>
      </c>
      <c r="AA586" s="6" t="s">
        <v>171</v>
      </c>
      <c r="AB586" s="6">
        <v>0</v>
      </c>
      <c r="AC586" s="6" t="str">
        <f>""</f>
        <v/>
      </c>
      <c r="AS586" s="6">
        <v>0</v>
      </c>
      <c r="AT586" s="6">
        <v>0</v>
      </c>
    </row>
    <row r="587" spans="2:46">
      <c r="B587" s="6" t="s">
        <v>2294</v>
      </c>
      <c r="D587" s="6" t="s">
        <v>1561</v>
      </c>
      <c r="F587" s="6" t="s">
        <v>2608</v>
      </c>
      <c r="G587" s="6" t="str">
        <f>"VV17SPTOP01NA"</f>
        <v>VV17SPTOP01NA</v>
      </c>
      <c r="H587" s="6" t="s">
        <v>2609</v>
      </c>
      <c r="I587" s="6" t="s">
        <v>2610</v>
      </c>
      <c r="J587" s="6" t="str">
        <f>"BELL SLEEVE STRIPE T-SHIRTS"</f>
        <v>BELL SLEEVE STRIPE T-SHIRTS</v>
      </c>
      <c r="K587" s="6">
        <v>0</v>
      </c>
      <c r="L587" s="6">
        <v>0</v>
      </c>
      <c r="M587" s="6">
        <v>0</v>
      </c>
      <c r="N587" s="6" t="str">
        <f>""</f>
        <v/>
      </c>
      <c r="O587" s="6">
        <v>32827</v>
      </c>
      <c r="P587" s="6" t="s">
        <v>2609</v>
      </c>
      <c r="R587" s="6" t="s">
        <v>2111</v>
      </c>
      <c r="S587" s="6" t="s">
        <v>2611</v>
      </c>
      <c r="T587" s="6">
        <v>0</v>
      </c>
      <c r="U587" s="6">
        <v>0</v>
      </c>
      <c r="V587" s="6">
        <v>0</v>
      </c>
      <c r="W587" s="6">
        <v>0</v>
      </c>
      <c r="X587" s="6" t="s">
        <v>169</v>
      </c>
      <c r="Z587" s="6" t="s">
        <v>170</v>
      </c>
      <c r="AA587" s="6" t="s">
        <v>171</v>
      </c>
      <c r="AB587" s="6">
        <v>0</v>
      </c>
      <c r="AC587" s="6" t="str">
        <f>""</f>
        <v/>
      </c>
      <c r="AS587" s="6">
        <v>0</v>
      </c>
      <c r="AT587" s="6">
        <v>0</v>
      </c>
    </row>
    <row r="588" spans="2:46">
      <c r="B588" s="6" t="s">
        <v>2294</v>
      </c>
      <c r="D588" s="6" t="s">
        <v>1561</v>
      </c>
      <c r="F588" s="6" t="s">
        <v>2612</v>
      </c>
      <c r="G588" s="6" t="str">
        <f>"VV16WTSK01NA"</f>
        <v>VV16WTSK01NA</v>
      </c>
      <c r="H588" s="6" t="s">
        <v>2613</v>
      </c>
      <c r="I588" s="6" t="s">
        <v>2614</v>
      </c>
      <c r="J588" s="6" t="str">
        <f>"WRAP DETAIL CHECK MINI SKIRT_NA"</f>
        <v>WRAP DETAIL CHECK MINI SKIRT_NA</v>
      </c>
      <c r="K588" s="6">
        <v>0</v>
      </c>
      <c r="L588" s="6">
        <v>0</v>
      </c>
      <c r="M588" s="6">
        <v>0</v>
      </c>
      <c r="N588" s="6" t="str">
        <f>""</f>
        <v/>
      </c>
      <c r="O588" s="6">
        <v>32825</v>
      </c>
      <c r="P588" s="6" t="s">
        <v>2613</v>
      </c>
      <c r="R588" s="6" t="s">
        <v>2111</v>
      </c>
      <c r="S588" s="6" t="s">
        <v>2615</v>
      </c>
      <c r="T588" s="6">
        <v>0</v>
      </c>
      <c r="U588" s="6">
        <v>0</v>
      </c>
      <c r="V588" s="6">
        <v>0</v>
      </c>
      <c r="W588" s="6">
        <v>0</v>
      </c>
      <c r="X588" s="6" t="s">
        <v>169</v>
      </c>
      <c r="Z588" s="6" t="s">
        <v>170</v>
      </c>
      <c r="AA588" s="6" t="s">
        <v>171</v>
      </c>
      <c r="AB588" s="6">
        <v>0</v>
      </c>
      <c r="AC588" s="6" t="str">
        <f>""</f>
        <v/>
      </c>
      <c r="AS588" s="6">
        <v>0</v>
      </c>
      <c r="AT588" s="6">
        <v>0</v>
      </c>
    </row>
    <row r="589" spans="2:46">
      <c r="B589" s="6" t="s">
        <v>2294</v>
      </c>
      <c r="D589" s="6" t="s">
        <v>1561</v>
      </c>
      <c r="F589" s="6" t="s">
        <v>2616</v>
      </c>
      <c r="G589" s="6" t="str">
        <f>"VV16WTSK01GR"</f>
        <v>VV16WTSK01GR</v>
      </c>
      <c r="H589" s="6" t="s">
        <v>2617</v>
      </c>
      <c r="I589" s="6" t="s">
        <v>2618</v>
      </c>
      <c r="J589" s="6" t="str">
        <f>"WRAP DETAIL CHECK MINI SKIRT_GR"</f>
        <v>WRAP DETAIL CHECK MINI SKIRT_GR</v>
      </c>
      <c r="K589" s="6">
        <v>0</v>
      </c>
      <c r="L589" s="6">
        <v>0</v>
      </c>
      <c r="M589" s="6">
        <v>0</v>
      </c>
      <c r="N589" s="6" t="str">
        <f>""</f>
        <v/>
      </c>
      <c r="O589" s="6">
        <v>32823</v>
      </c>
      <c r="P589" s="6" t="s">
        <v>2617</v>
      </c>
      <c r="R589" s="6" t="s">
        <v>2364</v>
      </c>
      <c r="S589" s="6" t="s">
        <v>2619</v>
      </c>
      <c r="T589" s="6">
        <v>0</v>
      </c>
      <c r="U589" s="6">
        <v>0</v>
      </c>
      <c r="V589" s="6">
        <v>0</v>
      </c>
      <c r="W589" s="6">
        <v>0</v>
      </c>
      <c r="X589" s="6" t="s">
        <v>169</v>
      </c>
      <c r="Z589" s="6" t="s">
        <v>170</v>
      </c>
      <c r="AA589" s="6" t="s">
        <v>171</v>
      </c>
      <c r="AB589" s="6">
        <v>0</v>
      </c>
      <c r="AC589" s="6" t="str">
        <f>""</f>
        <v/>
      </c>
      <c r="AS589" s="6">
        <v>0</v>
      </c>
      <c r="AT589" s="6">
        <v>0</v>
      </c>
    </row>
    <row r="590" spans="2:46">
      <c r="B590" s="6" t="s">
        <v>2294</v>
      </c>
      <c r="D590" s="6" t="s">
        <v>1561</v>
      </c>
      <c r="F590" s="6" t="s">
        <v>2620</v>
      </c>
      <c r="G590" s="6" t="str">
        <f>"VV16WTOP02GR"</f>
        <v>VV16WTOP02GR</v>
      </c>
      <c r="H590" s="6" t="s">
        <v>2621</v>
      </c>
      <c r="I590" s="6" t="s">
        <v>2622</v>
      </c>
      <c r="J590" s="6" t="str">
        <f>"WRAP DETAIL CHECK OVERALL_GR"</f>
        <v>WRAP DETAIL CHECK OVERALL_GR</v>
      </c>
      <c r="K590" s="6">
        <v>0</v>
      </c>
      <c r="L590" s="6">
        <v>0</v>
      </c>
      <c r="M590" s="6">
        <v>0</v>
      </c>
      <c r="N590" s="6" t="str">
        <f>""</f>
        <v/>
      </c>
      <c r="O590" s="6">
        <v>32821</v>
      </c>
      <c r="P590" s="6" t="s">
        <v>2621</v>
      </c>
      <c r="R590" s="6" t="s">
        <v>2364</v>
      </c>
      <c r="S590" s="6" t="s">
        <v>2623</v>
      </c>
      <c r="T590" s="6">
        <v>0</v>
      </c>
      <c r="U590" s="6">
        <v>0</v>
      </c>
      <c r="V590" s="6">
        <v>0</v>
      </c>
      <c r="W590" s="6">
        <v>0</v>
      </c>
      <c r="X590" s="6" t="s">
        <v>169</v>
      </c>
      <c r="Z590" s="6" t="s">
        <v>170</v>
      </c>
      <c r="AA590" s="6" t="s">
        <v>171</v>
      </c>
      <c r="AB590" s="6">
        <v>0</v>
      </c>
      <c r="AC590" s="6" t="str">
        <f>""</f>
        <v/>
      </c>
      <c r="AS590" s="6">
        <v>0</v>
      </c>
      <c r="AT590" s="6">
        <v>0</v>
      </c>
    </row>
    <row r="591" spans="2:46">
      <c r="B591" s="6" t="s">
        <v>2294</v>
      </c>
      <c r="D591" s="6" t="s">
        <v>1561</v>
      </c>
      <c r="F591" s="6" t="s">
        <v>2624</v>
      </c>
      <c r="G591" s="6" t="str">
        <f>"VV16WTOP01GR"</f>
        <v>VV16WTOP01GR</v>
      </c>
      <c r="H591" s="6" t="s">
        <v>2625</v>
      </c>
      <c r="I591" s="6" t="s">
        <v>2626</v>
      </c>
      <c r="J591" s="6" t="str">
        <f>"SPLIT DETAIL GLEN CHECK ONEPIECE_GR"</f>
        <v>SPLIT DETAIL GLEN CHECK ONEPIECE_GR</v>
      </c>
      <c r="K591" s="6">
        <v>0</v>
      </c>
      <c r="L591" s="6">
        <v>0</v>
      </c>
      <c r="M591" s="6">
        <v>0</v>
      </c>
      <c r="N591" s="6" t="str">
        <f>""</f>
        <v/>
      </c>
      <c r="O591" s="6">
        <v>32819</v>
      </c>
      <c r="P591" s="6" t="s">
        <v>2625</v>
      </c>
      <c r="R591" s="6" t="s">
        <v>2627</v>
      </c>
      <c r="S591" s="6" t="s">
        <v>2628</v>
      </c>
      <c r="T591" s="6">
        <v>0</v>
      </c>
      <c r="U591" s="6">
        <v>0</v>
      </c>
      <c r="V591" s="6">
        <v>0</v>
      </c>
      <c r="W591" s="6">
        <v>0</v>
      </c>
      <c r="X591" s="6" t="s">
        <v>169</v>
      </c>
      <c r="Z591" s="6" t="s">
        <v>170</v>
      </c>
      <c r="AA591" s="6" t="s">
        <v>171</v>
      </c>
      <c r="AB591" s="6">
        <v>0</v>
      </c>
      <c r="AC591" s="6" t="str">
        <f>""</f>
        <v/>
      </c>
      <c r="AS591" s="6">
        <v>0</v>
      </c>
      <c r="AT591" s="6">
        <v>0</v>
      </c>
    </row>
    <row r="592" spans="2:46">
      <c r="B592" s="6" t="s">
        <v>2294</v>
      </c>
      <c r="D592" s="6" t="s">
        <v>1561</v>
      </c>
      <c r="F592" s="6" t="s">
        <v>2629</v>
      </c>
      <c r="G592" s="6" t="str">
        <f>"VV16WTOP01BL"</f>
        <v>VV16WTOP01BL</v>
      </c>
      <c r="H592" s="6" t="s">
        <v>2630</v>
      </c>
      <c r="I592" s="6" t="s">
        <v>2631</v>
      </c>
      <c r="J592" s="6" t="str">
        <f>"SPLIT DETAIL GLEN CHECK ONEPIECE_BL"</f>
        <v>SPLIT DETAIL GLEN CHECK ONEPIECE_BL</v>
      </c>
      <c r="K592" s="6">
        <v>0</v>
      </c>
      <c r="L592" s="6">
        <v>0</v>
      </c>
      <c r="M592" s="6">
        <v>0</v>
      </c>
      <c r="N592" s="6" t="str">
        <f>""</f>
        <v/>
      </c>
      <c r="O592" s="6">
        <v>32817</v>
      </c>
      <c r="P592" s="6" t="s">
        <v>2630</v>
      </c>
      <c r="R592" s="6" t="s">
        <v>2632</v>
      </c>
      <c r="S592" s="6" t="s">
        <v>2633</v>
      </c>
      <c r="T592" s="6">
        <v>0</v>
      </c>
      <c r="U592" s="6">
        <v>0</v>
      </c>
      <c r="V592" s="6">
        <v>0</v>
      </c>
      <c r="W592" s="6">
        <v>0</v>
      </c>
      <c r="X592" s="6" t="s">
        <v>169</v>
      </c>
      <c r="Z592" s="6" t="s">
        <v>170</v>
      </c>
      <c r="AA592" s="6" t="s">
        <v>171</v>
      </c>
      <c r="AB592" s="6">
        <v>0</v>
      </c>
      <c r="AC592" s="6" t="str">
        <f>""</f>
        <v/>
      </c>
      <c r="AS592" s="6">
        <v>0</v>
      </c>
      <c r="AT592" s="6">
        <v>0</v>
      </c>
    </row>
    <row r="593" spans="2:46">
      <c r="B593" s="6" t="s">
        <v>2294</v>
      </c>
      <c r="D593" s="6" t="s">
        <v>1561</v>
      </c>
      <c r="F593" s="6" t="s">
        <v>2634</v>
      </c>
      <c r="G593" s="6" t="str">
        <f>"VV16WTTOP08BI"</f>
        <v>VV16WTTOP08BI</v>
      </c>
      <c r="I593" s="6" t="s">
        <v>2635</v>
      </c>
      <c r="J593" s="6" t="str">
        <f>"VELVET POINT SWEATSHIRTS_BI"</f>
        <v>VELVET POINT SWEATSHIRTS_BI</v>
      </c>
      <c r="K593" s="6">
        <v>0</v>
      </c>
      <c r="L593" s="6">
        <v>0</v>
      </c>
      <c r="M593" s="6">
        <v>0</v>
      </c>
      <c r="N593" s="6" t="str">
        <f>""</f>
        <v/>
      </c>
      <c r="O593" s="6">
        <v>32815</v>
      </c>
      <c r="P593" s="6" t="s">
        <v>2636</v>
      </c>
      <c r="R593" s="6" t="s">
        <v>2637</v>
      </c>
      <c r="S593" s="6" t="s">
        <v>2638</v>
      </c>
      <c r="T593" s="6">
        <v>1</v>
      </c>
      <c r="U593" s="6">
        <v>0</v>
      </c>
      <c r="V593" s="6">
        <v>0</v>
      </c>
      <c r="W593" s="6">
        <v>0</v>
      </c>
      <c r="X593" s="6" t="s">
        <v>169</v>
      </c>
      <c r="Z593" s="6" t="s">
        <v>170</v>
      </c>
      <c r="AA593" s="6" t="s">
        <v>171</v>
      </c>
      <c r="AB593" s="6">
        <v>0</v>
      </c>
      <c r="AC593" s="6" t="str">
        <f>"KEY-054"</f>
        <v>KEY-054</v>
      </c>
      <c r="AQ593" s="6" t="str">
        <f>""</f>
        <v/>
      </c>
      <c r="AR593" s="6" t="s">
        <v>1567</v>
      </c>
      <c r="AS593" s="6">
        <v>0</v>
      </c>
      <c r="AT593" s="6">
        <v>1</v>
      </c>
    </row>
    <row r="594" spans="2:46">
      <c r="B594" s="6" t="s">
        <v>2294</v>
      </c>
      <c r="D594" s="6" t="s">
        <v>1561</v>
      </c>
      <c r="F594" s="6" t="s">
        <v>2639</v>
      </c>
      <c r="G594" s="6" t="str">
        <f>"VV16WTTOP7IV"</f>
        <v>VV16WTTOP7IV</v>
      </c>
      <c r="H594" s="6" t="s">
        <v>2640</v>
      </c>
      <c r="I594" s="6" t="s">
        <v>2641</v>
      </c>
      <c r="J594" s="6" t="str">
        <f>"UNBALANCE MOCK NECK KNIT_IV"</f>
        <v>UNBALANCE MOCK NECK KNIT_IV</v>
      </c>
      <c r="K594" s="6">
        <v>0</v>
      </c>
      <c r="L594" s="6">
        <v>0</v>
      </c>
      <c r="M594" s="6">
        <v>0</v>
      </c>
      <c r="N594" s="6" t="str">
        <f>""</f>
        <v/>
      </c>
      <c r="O594" s="6">
        <v>32813</v>
      </c>
      <c r="P594" s="6" t="s">
        <v>2640</v>
      </c>
      <c r="R594" s="6" t="s">
        <v>2356</v>
      </c>
      <c r="S594" s="6" t="s">
        <v>2642</v>
      </c>
      <c r="T594" s="6">
        <v>0</v>
      </c>
      <c r="U594" s="6">
        <v>0</v>
      </c>
      <c r="V594" s="6">
        <v>0</v>
      </c>
      <c r="W594" s="6">
        <v>0</v>
      </c>
      <c r="X594" s="6" t="s">
        <v>169</v>
      </c>
      <c r="Z594" s="6" t="s">
        <v>170</v>
      </c>
      <c r="AA594" s="6" t="s">
        <v>171</v>
      </c>
      <c r="AB594" s="6">
        <v>0</v>
      </c>
      <c r="AC594" s="6" t="str">
        <f>""</f>
        <v/>
      </c>
      <c r="AS594" s="6">
        <v>0</v>
      </c>
      <c r="AT594" s="6">
        <v>0</v>
      </c>
    </row>
    <row r="595" spans="2:46">
      <c r="B595" s="6" t="s">
        <v>2294</v>
      </c>
      <c r="D595" s="6" t="s">
        <v>1561</v>
      </c>
      <c r="F595" s="6" t="s">
        <v>2643</v>
      </c>
      <c r="G595" s="6" t="str">
        <f>"VV16WTTOP07CC"</f>
        <v>VV16WTTOP07CC</v>
      </c>
      <c r="H595" s="6" t="s">
        <v>2644</v>
      </c>
      <c r="I595" s="6" t="s">
        <v>2645</v>
      </c>
      <c r="J595" s="6" t="str">
        <f>"UNBALANCE MOCK NECK KNIT_CC"</f>
        <v>UNBALANCE MOCK NECK KNIT_CC</v>
      </c>
      <c r="K595" s="6">
        <v>0</v>
      </c>
      <c r="L595" s="6">
        <v>0</v>
      </c>
      <c r="M595" s="6">
        <v>0</v>
      </c>
      <c r="N595" s="6" t="str">
        <f>""</f>
        <v/>
      </c>
      <c r="O595" s="6">
        <v>32811</v>
      </c>
      <c r="P595" s="6" t="s">
        <v>2644</v>
      </c>
      <c r="R595" s="6" t="s">
        <v>2595</v>
      </c>
      <c r="S595" s="6" t="s">
        <v>2646</v>
      </c>
      <c r="T595" s="6">
        <v>0</v>
      </c>
      <c r="U595" s="6">
        <v>0</v>
      </c>
      <c r="V595" s="6">
        <v>0</v>
      </c>
      <c r="W595" s="6">
        <v>0</v>
      </c>
      <c r="X595" s="6" t="s">
        <v>169</v>
      </c>
      <c r="Z595" s="6" t="s">
        <v>170</v>
      </c>
      <c r="AA595" s="6" t="s">
        <v>171</v>
      </c>
      <c r="AB595" s="6">
        <v>0</v>
      </c>
      <c r="AC595" s="6" t="str">
        <f>""</f>
        <v/>
      </c>
      <c r="AS595" s="6">
        <v>0</v>
      </c>
      <c r="AT595" s="6">
        <v>0</v>
      </c>
    </row>
    <row r="596" spans="2:46">
      <c r="B596" s="6" t="s">
        <v>2294</v>
      </c>
      <c r="D596" s="6" t="s">
        <v>1561</v>
      </c>
      <c r="F596" s="6" t="s">
        <v>2647</v>
      </c>
      <c r="G596" s="6" t="str">
        <f>"VV16WTTOP06PK"</f>
        <v>VV16WTTOP06PK</v>
      </c>
      <c r="H596" s="6" t="s">
        <v>2648</v>
      </c>
      <c r="I596" s="6" t="s">
        <v>2649</v>
      </c>
      <c r="J596" s="6" t="str">
        <f>"TWO TONE HALF TURTLE NECK KNIT_PK"</f>
        <v>TWO TONE HALF TURTLE NECK KNIT_PK</v>
      </c>
      <c r="K596" s="6">
        <v>0</v>
      </c>
      <c r="L596" s="6">
        <v>0</v>
      </c>
      <c r="M596" s="6">
        <v>0</v>
      </c>
      <c r="N596" s="6" t="str">
        <f>""</f>
        <v/>
      </c>
      <c r="O596" s="6">
        <v>32809</v>
      </c>
      <c r="P596" s="6" t="s">
        <v>2648</v>
      </c>
      <c r="R596" s="6" t="s">
        <v>2650</v>
      </c>
      <c r="S596" s="6" t="s">
        <v>2651</v>
      </c>
      <c r="T596" s="6">
        <v>0</v>
      </c>
      <c r="U596" s="6">
        <v>0</v>
      </c>
      <c r="V596" s="6">
        <v>0</v>
      </c>
      <c r="W596" s="6">
        <v>0</v>
      </c>
      <c r="X596" s="6" t="s">
        <v>169</v>
      </c>
      <c r="Z596" s="6" t="s">
        <v>170</v>
      </c>
      <c r="AA596" s="6" t="s">
        <v>171</v>
      </c>
      <c r="AB596" s="6">
        <v>0</v>
      </c>
      <c r="AC596" s="6" t="str">
        <f>""</f>
        <v/>
      </c>
      <c r="AS596" s="6">
        <v>0</v>
      </c>
      <c r="AT596" s="6">
        <v>0</v>
      </c>
    </row>
    <row r="597" spans="2:46">
      <c r="B597" s="6" t="s">
        <v>2294</v>
      </c>
      <c r="D597" s="6" t="s">
        <v>1561</v>
      </c>
      <c r="F597" s="6" t="s">
        <v>2652</v>
      </c>
      <c r="G597" s="6" t="str">
        <f>"VV16WTTOP06BK"</f>
        <v>VV16WTTOP06BK</v>
      </c>
      <c r="H597" s="6" t="s">
        <v>2653</v>
      </c>
      <c r="I597" s="6" t="s">
        <v>2654</v>
      </c>
      <c r="J597" s="6" t="str">
        <f>"TWO TONE HALF TURTLE NECK KNIT_BK"</f>
        <v>TWO TONE HALF TURTLE NECK KNIT_BK</v>
      </c>
      <c r="K597" s="6">
        <v>0</v>
      </c>
      <c r="L597" s="6">
        <v>0</v>
      </c>
      <c r="M597" s="6">
        <v>0</v>
      </c>
      <c r="N597" s="6" t="str">
        <f>""</f>
        <v/>
      </c>
      <c r="O597" s="6">
        <v>32807</v>
      </c>
      <c r="P597" s="6" t="s">
        <v>2653</v>
      </c>
      <c r="R597" s="6" t="s">
        <v>2655</v>
      </c>
      <c r="S597" s="6" t="s">
        <v>2656</v>
      </c>
      <c r="T597" s="6">
        <v>0</v>
      </c>
      <c r="U597" s="6">
        <v>0</v>
      </c>
      <c r="V597" s="6">
        <v>0</v>
      </c>
      <c r="W597" s="6">
        <v>0</v>
      </c>
      <c r="X597" s="6" t="s">
        <v>169</v>
      </c>
      <c r="Z597" s="6" t="s">
        <v>170</v>
      </c>
      <c r="AA597" s="6" t="s">
        <v>171</v>
      </c>
      <c r="AB597" s="6">
        <v>0</v>
      </c>
      <c r="AC597" s="6" t="str">
        <f>""</f>
        <v/>
      </c>
      <c r="AS597" s="6">
        <v>0</v>
      </c>
      <c r="AT597" s="6">
        <v>0</v>
      </c>
    </row>
    <row r="598" spans="2:46">
      <c r="B598" s="6" t="s">
        <v>2294</v>
      </c>
      <c r="D598" s="6" t="s">
        <v>1561</v>
      </c>
      <c r="F598" s="6" t="s">
        <v>2657</v>
      </c>
      <c r="G598" s="6" t="str">
        <f>"VV16WTTOP04CC"</f>
        <v>VV16WTTOP04CC</v>
      </c>
      <c r="H598" s="6" t="s">
        <v>2658</v>
      </c>
      <c r="I598" s="6" t="s">
        <v>2659</v>
      </c>
      <c r="J598" s="6" t="str">
        <f>"SIDE ZIP UP TURTLE NECK SWEATSHIRTS_CC"</f>
        <v>SIDE ZIP UP TURTLE NECK SWEATSHIRTS_CC</v>
      </c>
      <c r="K598" s="6">
        <v>0</v>
      </c>
      <c r="L598" s="6">
        <v>0</v>
      </c>
      <c r="M598" s="6">
        <v>0</v>
      </c>
      <c r="N598" s="6" t="str">
        <f>""</f>
        <v/>
      </c>
      <c r="O598" s="6">
        <v>32805</v>
      </c>
      <c r="P598" s="6" t="s">
        <v>2658</v>
      </c>
      <c r="R598" s="6" t="s">
        <v>2595</v>
      </c>
      <c r="S598" s="6" t="s">
        <v>2660</v>
      </c>
      <c r="T598" s="6">
        <v>0</v>
      </c>
      <c r="U598" s="6">
        <v>0</v>
      </c>
      <c r="V598" s="6">
        <v>0</v>
      </c>
      <c r="W598" s="6">
        <v>0</v>
      </c>
      <c r="X598" s="6" t="s">
        <v>169</v>
      </c>
      <c r="Z598" s="6" t="s">
        <v>170</v>
      </c>
      <c r="AA598" s="6" t="s">
        <v>171</v>
      </c>
      <c r="AB598" s="6">
        <v>0</v>
      </c>
      <c r="AC598" s="6" t="str">
        <f>""</f>
        <v/>
      </c>
      <c r="AS598" s="6">
        <v>0</v>
      </c>
      <c r="AT598" s="6">
        <v>0</v>
      </c>
    </row>
    <row r="599" spans="2:46">
      <c r="B599" s="6" t="s">
        <v>2294</v>
      </c>
      <c r="D599" s="6" t="s">
        <v>1561</v>
      </c>
      <c r="F599" s="6" t="s">
        <v>2661</v>
      </c>
      <c r="G599" s="6" t="str">
        <f>"VV16WTTOP04BK"</f>
        <v>VV16WTTOP04BK</v>
      </c>
      <c r="H599" s="6" t="s">
        <v>2662</v>
      </c>
      <c r="I599" s="6" t="s">
        <v>2663</v>
      </c>
      <c r="J599" s="6" t="str">
        <f>"SIDE ZIP UP TURTLE NECK SWEATSHIRTS_BK"</f>
        <v>SIDE ZIP UP TURTLE NECK SWEATSHIRTS_BK</v>
      </c>
      <c r="K599" s="6">
        <v>0</v>
      </c>
      <c r="L599" s="6">
        <v>0</v>
      </c>
      <c r="M599" s="6">
        <v>0</v>
      </c>
      <c r="N599" s="6" t="str">
        <f>""</f>
        <v/>
      </c>
      <c r="O599" s="6">
        <v>32803</v>
      </c>
      <c r="P599" s="6" t="s">
        <v>2662</v>
      </c>
      <c r="R599" s="6" t="s">
        <v>2106</v>
      </c>
      <c r="S599" s="6" t="s">
        <v>2664</v>
      </c>
      <c r="T599" s="6">
        <v>0</v>
      </c>
      <c r="U599" s="6">
        <v>0</v>
      </c>
      <c r="V599" s="6">
        <v>0</v>
      </c>
      <c r="W599" s="6">
        <v>0</v>
      </c>
      <c r="X599" s="6" t="s">
        <v>169</v>
      </c>
      <c r="Z599" s="6" t="s">
        <v>170</v>
      </c>
      <c r="AA599" s="6" t="s">
        <v>171</v>
      </c>
      <c r="AB599" s="6">
        <v>0</v>
      </c>
      <c r="AC599" s="6" t="str">
        <f>""</f>
        <v/>
      </c>
      <c r="AS599" s="6">
        <v>0</v>
      </c>
      <c r="AT599" s="6">
        <v>0</v>
      </c>
    </row>
    <row r="600" spans="2:46">
      <c r="B600" s="6" t="s">
        <v>2294</v>
      </c>
      <c r="D600" s="6" t="s">
        <v>1561</v>
      </c>
      <c r="F600" s="6" t="s">
        <v>2665</v>
      </c>
      <c r="G600" s="6" t="str">
        <f>"VV16WTTOP01NA"</f>
        <v>VV16WTTOP01NA</v>
      </c>
      <c r="H600" s="6" t="s">
        <v>2666</v>
      </c>
      <c r="I600" s="6" t="s">
        <v>2667</v>
      </c>
      <c r="J600" s="6" t="str">
        <f>"CHECK CROP TOP_NA"</f>
        <v>CHECK CROP TOP_NA</v>
      </c>
      <c r="K600" s="6">
        <v>0</v>
      </c>
      <c r="L600" s="6">
        <v>0</v>
      </c>
      <c r="M600" s="6">
        <v>0</v>
      </c>
      <c r="N600" s="6" t="str">
        <f>""</f>
        <v/>
      </c>
      <c r="O600" s="6">
        <v>32801</v>
      </c>
      <c r="P600" s="6" t="s">
        <v>2666</v>
      </c>
      <c r="R600" s="6" t="s">
        <v>2668</v>
      </c>
      <c r="S600" s="6" t="s">
        <v>2669</v>
      </c>
      <c r="T600" s="6">
        <v>0</v>
      </c>
      <c r="U600" s="6">
        <v>0</v>
      </c>
      <c r="V600" s="6">
        <v>0</v>
      </c>
      <c r="W600" s="6">
        <v>0</v>
      </c>
      <c r="X600" s="6" t="s">
        <v>169</v>
      </c>
      <c r="Z600" s="6" t="s">
        <v>170</v>
      </c>
      <c r="AA600" s="6" t="s">
        <v>171</v>
      </c>
      <c r="AB600" s="6">
        <v>0</v>
      </c>
      <c r="AC600" s="6" t="str">
        <f>""</f>
        <v/>
      </c>
      <c r="AS600" s="6">
        <v>0</v>
      </c>
      <c r="AT600" s="6">
        <v>0</v>
      </c>
    </row>
    <row r="601" spans="2:46">
      <c r="B601" s="6" t="s">
        <v>2294</v>
      </c>
      <c r="D601" s="6" t="s">
        <v>1561</v>
      </c>
      <c r="F601" s="6" t="s">
        <v>2670</v>
      </c>
      <c r="G601" s="6" t="str">
        <f>"VV16FWTOP01GR"</f>
        <v>VV16FWTOP01GR</v>
      </c>
      <c r="I601" s="6" t="s">
        <v>2671</v>
      </c>
      <c r="J601" s="6" t="str">
        <f>"BAND POINT TOP"</f>
        <v>BAND POINT TOP</v>
      </c>
      <c r="K601" s="6">
        <v>0</v>
      </c>
      <c r="L601" s="6">
        <v>0</v>
      </c>
      <c r="M601" s="6">
        <v>0</v>
      </c>
      <c r="N601" s="6" t="str">
        <f>""</f>
        <v/>
      </c>
      <c r="O601" s="6">
        <v>32799</v>
      </c>
      <c r="P601" s="6" t="s">
        <v>2672</v>
      </c>
      <c r="R601" s="6" t="s">
        <v>2673</v>
      </c>
      <c r="S601" s="6" t="s">
        <v>2674</v>
      </c>
      <c r="T601" s="6">
        <v>1</v>
      </c>
      <c r="U601" s="6">
        <v>0</v>
      </c>
      <c r="V601" s="6">
        <v>0</v>
      </c>
      <c r="W601" s="6">
        <v>0</v>
      </c>
      <c r="X601" s="6" t="s">
        <v>169</v>
      </c>
      <c r="Z601" s="6" t="s">
        <v>170</v>
      </c>
      <c r="AA601" s="6" t="s">
        <v>171</v>
      </c>
      <c r="AB601" s="6">
        <v>0</v>
      </c>
      <c r="AC601" s="6" t="str">
        <f>"KEY-054"</f>
        <v>KEY-054</v>
      </c>
      <c r="AQ601" s="6" t="str">
        <f>""</f>
        <v/>
      </c>
      <c r="AR601" s="6" t="s">
        <v>1567</v>
      </c>
      <c r="AS601" s="6">
        <v>0</v>
      </c>
      <c r="AT601" s="6">
        <v>1</v>
      </c>
    </row>
    <row r="602" spans="2:46">
      <c r="B602" s="6" t="s">
        <v>2294</v>
      </c>
      <c r="D602" s="6" t="s">
        <v>1561</v>
      </c>
      <c r="F602" s="6" t="s">
        <v>2675</v>
      </c>
      <c r="G602" s="6" t="str">
        <f>"VV16FWTOP01NA"</f>
        <v>VV16FWTOP01NA</v>
      </c>
      <c r="H602" s="6" t="s">
        <v>2676</v>
      </c>
      <c r="I602" s="6" t="s">
        <v>2671</v>
      </c>
      <c r="J602" s="6" t="str">
        <f>"BAND POINT TOP"</f>
        <v>BAND POINT TOP</v>
      </c>
      <c r="K602" s="6">
        <v>0</v>
      </c>
      <c r="L602" s="6">
        <v>0</v>
      </c>
      <c r="M602" s="6">
        <v>0</v>
      </c>
      <c r="N602" s="6" t="str">
        <f>""</f>
        <v/>
      </c>
      <c r="O602" s="6">
        <v>32798</v>
      </c>
      <c r="P602" s="6" t="s">
        <v>2676</v>
      </c>
      <c r="R602" s="6" t="s">
        <v>546</v>
      </c>
      <c r="S602" s="6" t="s">
        <v>2677</v>
      </c>
      <c r="T602" s="6">
        <v>0</v>
      </c>
      <c r="U602" s="6">
        <v>0</v>
      </c>
      <c r="V602" s="6">
        <v>0</v>
      </c>
      <c r="W602" s="6">
        <v>0</v>
      </c>
      <c r="X602" s="6" t="s">
        <v>169</v>
      </c>
      <c r="Z602" s="6" t="s">
        <v>170</v>
      </c>
      <c r="AA602" s="6" t="s">
        <v>171</v>
      </c>
      <c r="AB602" s="6">
        <v>0</v>
      </c>
      <c r="AC602" s="6" t="str">
        <f>""</f>
        <v/>
      </c>
      <c r="AS602" s="6">
        <v>0</v>
      </c>
      <c r="AT602" s="6">
        <v>0</v>
      </c>
    </row>
    <row r="603" spans="2:46">
      <c r="B603" s="6" t="s">
        <v>2294</v>
      </c>
      <c r="D603" s="6" t="s">
        <v>1561</v>
      </c>
      <c r="F603" s="6" t="s">
        <v>2678</v>
      </c>
      <c r="G603" s="6" t="str">
        <f>"VV16FWSK04NA"</f>
        <v>VV16FWSK04NA</v>
      </c>
      <c r="H603" s="6" t="s">
        <v>2679</v>
      </c>
      <c r="I603" s="6" t="s">
        <v>2680</v>
      </c>
      <c r="J603" s="6" t="str">
        <f>"CHECK PLEATS MIDI SKIRT"</f>
        <v>CHECK PLEATS MIDI SKIRT</v>
      </c>
      <c r="K603" s="6">
        <v>0</v>
      </c>
      <c r="L603" s="6">
        <v>0</v>
      </c>
      <c r="M603" s="6">
        <v>0</v>
      </c>
      <c r="N603" s="6" t="str">
        <f>""</f>
        <v/>
      </c>
      <c r="O603" s="6">
        <v>32796</v>
      </c>
      <c r="P603" s="6" t="s">
        <v>2679</v>
      </c>
      <c r="R603" s="6" t="s">
        <v>546</v>
      </c>
      <c r="S603" s="6" t="s">
        <v>2681</v>
      </c>
      <c r="T603" s="6">
        <v>0</v>
      </c>
      <c r="U603" s="6">
        <v>0</v>
      </c>
      <c r="V603" s="6">
        <v>0</v>
      </c>
      <c r="W603" s="6">
        <v>0</v>
      </c>
      <c r="X603" s="6" t="s">
        <v>169</v>
      </c>
      <c r="Z603" s="6" t="s">
        <v>170</v>
      </c>
      <c r="AA603" s="6" t="s">
        <v>171</v>
      </c>
      <c r="AB603" s="6">
        <v>0</v>
      </c>
      <c r="AC603" s="6" t="str">
        <f>""</f>
        <v/>
      </c>
      <c r="AS603" s="6">
        <v>0</v>
      </c>
      <c r="AT603" s="6">
        <v>0</v>
      </c>
    </row>
    <row r="604" spans="2:46">
      <c r="B604" s="6" t="s">
        <v>2294</v>
      </c>
      <c r="D604" s="6" t="s">
        <v>1561</v>
      </c>
      <c r="F604" s="6" t="s">
        <v>2682</v>
      </c>
      <c r="G604" s="6" t="str">
        <f>"VV16FWTOP05PK"</f>
        <v>VV16FWTOP05PK</v>
      </c>
      <c r="H604" s="6" t="s">
        <v>2683</v>
      </c>
      <c r="I604" s="6" t="s">
        <v>2684</v>
      </c>
      <c r="J604" s="6" t="str">
        <f>"VELVET BLOCKING SWEATSHIRT"</f>
        <v>VELVET BLOCKING SWEATSHIRT</v>
      </c>
      <c r="K604" s="6">
        <v>0</v>
      </c>
      <c r="L604" s="6">
        <v>0</v>
      </c>
      <c r="M604" s="6">
        <v>0</v>
      </c>
      <c r="N604" s="6" t="str">
        <f>""</f>
        <v/>
      </c>
      <c r="O604" s="6">
        <v>32794</v>
      </c>
      <c r="P604" s="6" t="s">
        <v>2683</v>
      </c>
      <c r="R604" s="6" t="s">
        <v>2685</v>
      </c>
      <c r="S604" s="6" t="s">
        <v>2686</v>
      </c>
      <c r="T604" s="6">
        <v>0</v>
      </c>
      <c r="U604" s="6">
        <v>0</v>
      </c>
      <c r="V604" s="6">
        <v>0</v>
      </c>
      <c r="W604" s="6">
        <v>0</v>
      </c>
      <c r="X604" s="6" t="s">
        <v>169</v>
      </c>
      <c r="Z604" s="6" t="s">
        <v>170</v>
      </c>
      <c r="AA604" s="6" t="s">
        <v>171</v>
      </c>
      <c r="AB604" s="6">
        <v>0</v>
      </c>
      <c r="AC604" s="6" t="str">
        <f>""</f>
        <v/>
      </c>
      <c r="AS604" s="6">
        <v>0</v>
      </c>
      <c r="AT604" s="6">
        <v>0</v>
      </c>
    </row>
    <row r="605" spans="2:46">
      <c r="B605" s="6" t="s">
        <v>2294</v>
      </c>
      <c r="D605" s="6" t="s">
        <v>1561</v>
      </c>
      <c r="F605" s="6" t="s">
        <v>2687</v>
      </c>
      <c r="G605" s="6" t="str">
        <f>"VV16FWTOP05SB"</f>
        <v>VV16FWTOP05SB</v>
      </c>
      <c r="H605" s="6" t="s">
        <v>2688</v>
      </c>
      <c r="I605" s="6" t="s">
        <v>2684</v>
      </c>
      <c r="J605" s="6" t="str">
        <f>"VELVET BLOCKING SWEATSHIRT"</f>
        <v>VELVET BLOCKING SWEATSHIRT</v>
      </c>
      <c r="K605" s="6">
        <v>0</v>
      </c>
      <c r="L605" s="6">
        <v>0</v>
      </c>
      <c r="M605" s="6">
        <v>0</v>
      </c>
      <c r="N605" s="6" t="str">
        <f>""</f>
        <v/>
      </c>
      <c r="O605" s="6">
        <v>32793</v>
      </c>
      <c r="P605" s="6" t="s">
        <v>2688</v>
      </c>
      <c r="R605" s="6" t="s">
        <v>523</v>
      </c>
      <c r="S605" s="6" t="s">
        <v>2689</v>
      </c>
      <c r="T605" s="6">
        <v>0</v>
      </c>
      <c r="U605" s="6">
        <v>0</v>
      </c>
      <c r="V605" s="6">
        <v>0</v>
      </c>
      <c r="W605" s="6">
        <v>0</v>
      </c>
      <c r="X605" s="6" t="s">
        <v>169</v>
      </c>
      <c r="Z605" s="6" t="s">
        <v>170</v>
      </c>
      <c r="AA605" s="6" t="s">
        <v>171</v>
      </c>
      <c r="AB605" s="6">
        <v>0</v>
      </c>
      <c r="AC605" s="6" t="str">
        <f>""</f>
        <v/>
      </c>
      <c r="AS605" s="6">
        <v>0</v>
      </c>
      <c r="AT605" s="6">
        <v>0</v>
      </c>
    </row>
    <row r="606" spans="2:46">
      <c r="B606" s="6" t="s">
        <v>2294</v>
      </c>
      <c r="D606" s="6" t="s">
        <v>1561</v>
      </c>
      <c r="F606" s="6" t="s">
        <v>2690</v>
      </c>
      <c r="G606" s="6" t="str">
        <f>"VV16FWTOP04NA"</f>
        <v>VV16FWTOP04NA</v>
      </c>
      <c r="I606" s="6" t="s">
        <v>2691</v>
      </c>
      <c r="J606" s="6" t="str">
        <f>"STUD POINT SWEATSHIRT"</f>
        <v>STUD POINT SWEATSHIRT</v>
      </c>
      <c r="K606" s="6">
        <v>0</v>
      </c>
      <c r="L606" s="6">
        <v>0</v>
      </c>
      <c r="M606" s="6">
        <v>0</v>
      </c>
      <c r="N606" s="6" t="str">
        <f>""</f>
        <v/>
      </c>
      <c r="O606" s="6">
        <v>32791</v>
      </c>
      <c r="P606" s="6" t="s">
        <v>2692</v>
      </c>
      <c r="R606" s="6" t="s">
        <v>546</v>
      </c>
      <c r="S606" s="6" t="s">
        <v>2693</v>
      </c>
      <c r="T606" s="6">
        <v>2</v>
      </c>
      <c r="U606" s="6">
        <v>0</v>
      </c>
      <c r="V606" s="6">
        <v>0</v>
      </c>
      <c r="W606" s="6">
        <v>0</v>
      </c>
      <c r="X606" s="6" t="s">
        <v>169</v>
      </c>
      <c r="Z606" s="6" t="s">
        <v>170</v>
      </c>
      <c r="AA606" s="6" t="s">
        <v>171</v>
      </c>
      <c r="AB606" s="6">
        <v>0</v>
      </c>
      <c r="AC606" s="6" t="str">
        <f>"KEY-054"</f>
        <v>KEY-054</v>
      </c>
      <c r="AQ606" s="6" t="str">
        <f>""</f>
        <v/>
      </c>
      <c r="AR606" s="6" t="s">
        <v>1567</v>
      </c>
      <c r="AS606" s="6">
        <v>0</v>
      </c>
      <c r="AT606" s="6">
        <v>2</v>
      </c>
    </row>
    <row r="607" spans="2:46">
      <c r="B607" s="6" t="s">
        <v>2294</v>
      </c>
      <c r="D607" s="6" t="s">
        <v>1561</v>
      </c>
      <c r="F607" s="6" t="s">
        <v>2694</v>
      </c>
      <c r="G607" s="6" t="str">
        <f>"VV16FWTOP04BK"</f>
        <v>VV16FWTOP04BK</v>
      </c>
      <c r="I607" s="6" t="s">
        <v>2691</v>
      </c>
      <c r="J607" s="6" t="str">
        <f>"STUD POINT SWEATSHIRT"</f>
        <v>STUD POINT SWEATSHIRT</v>
      </c>
      <c r="K607" s="6">
        <v>0</v>
      </c>
      <c r="L607" s="6">
        <v>0</v>
      </c>
      <c r="M607" s="6">
        <v>0</v>
      </c>
      <c r="N607" s="6" t="str">
        <f>""</f>
        <v/>
      </c>
      <c r="O607" s="6">
        <v>32790</v>
      </c>
      <c r="P607" s="6" t="s">
        <v>2695</v>
      </c>
      <c r="R607" s="6" t="s">
        <v>581</v>
      </c>
      <c r="S607" s="6" t="s">
        <v>2696</v>
      </c>
      <c r="T607" s="6">
        <v>3</v>
      </c>
      <c r="U607" s="6">
        <v>0</v>
      </c>
      <c r="V607" s="6">
        <v>0</v>
      </c>
      <c r="W607" s="6">
        <v>0</v>
      </c>
      <c r="X607" s="6" t="s">
        <v>169</v>
      </c>
      <c r="Z607" s="6" t="s">
        <v>170</v>
      </c>
      <c r="AA607" s="6" t="s">
        <v>171</v>
      </c>
      <c r="AB607" s="6">
        <v>0</v>
      </c>
      <c r="AC607" s="6" t="str">
        <f>"KEY-054"</f>
        <v>KEY-054</v>
      </c>
      <c r="AQ607" s="6" t="str">
        <f>""</f>
        <v/>
      </c>
      <c r="AR607" s="6" t="s">
        <v>1567</v>
      </c>
      <c r="AS607" s="6">
        <v>0</v>
      </c>
      <c r="AT607" s="6">
        <v>3</v>
      </c>
    </row>
    <row r="608" spans="2:46">
      <c r="B608" s="6" t="s">
        <v>2294</v>
      </c>
      <c r="D608" s="6" t="s">
        <v>1561</v>
      </c>
      <c r="F608" s="6" t="s">
        <v>2697</v>
      </c>
      <c r="G608" s="6" t="str">
        <f>"VV16FWSK03BL"</f>
        <v>VV16FWSK03BL</v>
      </c>
      <c r="I608" s="6" t="s">
        <v>2698</v>
      </c>
      <c r="J608" s="6" t="str">
        <f>"PLEATS FLARE DENIM SKIRT"</f>
        <v>PLEATS FLARE DENIM SKIRT</v>
      </c>
      <c r="K608" s="6">
        <v>0</v>
      </c>
      <c r="L608" s="6">
        <v>0</v>
      </c>
      <c r="M608" s="6">
        <v>0</v>
      </c>
      <c r="N608" s="6" t="str">
        <f>""</f>
        <v/>
      </c>
      <c r="O608" s="6">
        <v>32788</v>
      </c>
      <c r="P608" s="6" t="s">
        <v>2699</v>
      </c>
      <c r="R608" s="6" t="s">
        <v>963</v>
      </c>
      <c r="S608" s="6" t="s">
        <v>2700</v>
      </c>
      <c r="T608" s="6">
        <v>3</v>
      </c>
      <c r="U608" s="6">
        <v>0</v>
      </c>
      <c r="V608" s="6">
        <v>0</v>
      </c>
      <c r="W608" s="6">
        <v>0</v>
      </c>
      <c r="X608" s="6" t="s">
        <v>169</v>
      </c>
      <c r="Z608" s="6" t="s">
        <v>170</v>
      </c>
      <c r="AA608" s="6" t="s">
        <v>171</v>
      </c>
      <c r="AB608" s="6">
        <v>0</v>
      </c>
      <c r="AC608" s="6" t="str">
        <f>"KEY-054"</f>
        <v>KEY-054</v>
      </c>
      <c r="AQ608" s="6" t="str">
        <f>""</f>
        <v/>
      </c>
      <c r="AR608" s="6" t="s">
        <v>1567</v>
      </c>
      <c r="AS608" s="6">
        <v>0</v>
      </c>
      <c r="AT608" s="6">
        <v>3</v>
      </c>
    </row>
    <row r="609" spans="2:46">
      <c r="B609" s="6" t="s">
        <v>2294</v>
      </c>
      <c r="D609" s="6" t="s">
        <v>1561</v>
      </c>
      <c r="F609" s="6" t="s">
        <v>2701</v>
      </c>
      <c r="G609" s="6" t="str">
        <f>"VV16FWSK02NA"</f>
        <v>VV16FWSK02NA</v>
      </c>
      <c r="H609" s="6" t="s">
        <v>2702</v>
      </c>
      <c r="I609" s="6" t="s">
        <v>2703</v>
      </c>
      <c r="J609" s="6" t="str">
        <f>"STRIPE BLOCKING SKIRT_NA"</f>
        <v>STRIPE BLOCKING SKIRT_NA</v>
      </c>
      <c r="K609" s="6">
        <v>0</v>
      </c>
      <c r="L609" s="6">
        <v>0</v>
      </c>
      <c r="M609" s="6">
        <v>0</v>
      </c>
      <c r="N609" s="6" t="str">
        <f>""</f>
        <v/>
      </c>
      <c r="O609" s="6">
        <v>32786</v>
      </c>
      <c r="P609" s="6" t="s">
        <v>2702</v>
      </c>
      <c r="R609" s="6" t="s">
        <v>546</v>
      </c>
      <c r="S609" s="6" t="s">
        <v>2704</v>
      </c>
      <c r="T609" s="6">
        <v>0</v>
      </c>
      <c r="U609" s="6">
        <v>0</v>
      </c>
      <c r="V609" s="6">
        <v>0</v>
      </c>
      <c r="W609" s="6">
        <v>0</v>
      </c>
      <c r="X609" s="6" t="s">
        <v>169</v>
      </c>
      <c r="Z609" s="6" t="s">
        <v>170</v>
      </c>
      <c r="AA609" s="6" t="s">
        <v>171</v>
      </c>
      <c r="AB609" s="6">
        <v>0</v>
      </c>
      <c r="AC609" s="6" t="str">
        <f>""</f>
        <v/>
      </c>
      <c r="AS609" s="6">
        <v>0</v>
      </c>
      <c r="AT609" s="6">
        <v>0</v>
      </c>
    </row>
    <row r="610" spans="2:46">
      <c r="B610" s="6" t="s">
        <v>2294</v>
      </c>
      <c r="D610" s="6" t="s">
        <v>1561</v>
      </c>
      <c r="F610" s="6" t="s">
        <v>2705</v>
      </c>
      <c r="G610" s="6" t="str">
        <f>"VV16FWSK01NA"</f>
        <v>VV16FWSK01NA</v>
      </c>
      <c r="I610" s="6" t="s">
        <v>2706</v>
      </c>
      <c r="J610" s="6" t="str">
        <f>"TIM POINT CHECK SKIRT"</f>
        <v>TIM POINT CHECK SKIRT</v>
      </c>
      <c r="K610" s="6">
        <v>0</v>
      </c>
      <c r="L610" s="6">
        <v>0</v>
      </c>
      <c r="M610" s="6">
        <v>0</v>
      </c>
      <c r="N610" s="6" t="str">
        <f>""</f>
        <v/>
      </c>
      <c r="O610" s="6">
        <v>32784</v>
      </c>
      <c r="P610" s="6" t="s">
        <v>2707</v>
      </c>
      <c r="R610" s="6" t="s">
        <v>546</v>
      </c>
      <c r="S610" s="6" t="s">
        <v>2708</v>
      </c>
      <c r="T610" s="6">
        <v>1</v>
      </c>
      <c r="U610" s="6">
        <v>0</v>
      </c>
      <c r="V610" s="6">
        <v>0</v>
      </c>
      <c r="W610" s="6">
        <v>0</v>
      </c>
      <c r="X610" s="6" t="s">
        <v>169</v>
      </c>
      <c r="Z610" s="6" t="s">
        <v>170</v>
      </c>
      <c r="AA610" s="6" t="s">
        <v>171</v>
      </c>
      <c r="AB610" s="6">
        <v>0</v>
      </c>
      <c r="AC610" s="6" t="str">
        <f>"KEY-053"</f>
        <v>KEY-053</v>
      </c>
      <c r="AQ610" s="6" t="str">
        <f>""</f>
        <v/>
      </c>
      <c r="AR610" s="6" t="s">
        <v>1567</v>
      </c>
      <c r="AS610" s="6">
        <v>0</v>
      </c>
      <c r="AT610" s="6">
        <v>1</v>
      </c>
    </row>
    <row r="611" spans="2:46">
      <c r="B611" s="6" t="s">
        <v>2294</v>
      </c>
      <c r="D611" s="6" t="s">
        <v>1561</v>
      </c>
      <c r="F611" s="6" t="s">
        <v>2709</v>
      </c>
      <c r="G611" s="6" t="str">
        <f>"VV16FWOP02NA"</f>
        <v>VV16FWOP02NA</v>
      </c>
      <c r="H611" s="6" t="s">
        <v>2710</v>
      </c>
      <c r="I611" s="6" t="s">
        <v>2711</v>
      </c>
      <c r="J611" s="6" t="str">
        <f>"STRIPE BLOCKING ONEPIECE"</f>
        <v>STRIPE BLOCKING ONEPIECE</v>
      </c>
      <c r="K611" s="6">
        <v>0</v>
      </c>
      <c r="L611" s="6">
        <v>0</v>
      </c>
      <c r="M611" s="6">
        <v>0</v>
      </c>
      <c r="N611" s="6" t="str">
        <f>""</f>
        <v/>
      </c>
      <c r="O611" s="6">
        <v>32782</v>
      </c>
      <c r="P611" s="6" t="s">
        <v>2710</v>
      </c>
      <c r="R611" s="6" t="s">
        <v>546</v>
      </c>
      <c r="S611" s="6" t="s">
        <v>2712</v>
      </c>
      <c r="T611" s="6">
        <v>0</v>
      </c>
      <c r="U611" s="6">
        <v>0</v>
      </c>
      <c r="V611" s="6">
        <v>0</v>
      </c>
      <c r="W611" s="6">
        <v>0</v>
      </c>
      <c r="X611" s="6" t="s">
        <v>169</v>
      </c>
      <c r="Z611" s="6" t="s">
        <v>170</v>
      </c>
      <c r="AA611" s="6" t="s">
        <v>171</v>
      </c>
      <c r="AB611" s="6">
        <v>0</v>
      </c>
      <c r="AC611" s="6" t="str">
        <f>""</f>
        <v/>
      </c>
      <c r="AS611" s="6">
        <v>0</v>
      </c>
      <c r="AT611" s="6">
        <v>0</v>
      </c>
    </row>
    <row r="612" spans="2:46">
      <c r="B612" s="6" t="s">
        <v>2294</v>
      </c>
      <c r="D612" s="6" t="s">
        <v>1561</v>
      </c>
      <c r="F612" s="6" t="s">
        <v>2713</v>
      </c>
      <c r="G612" s="6" t="str">
        <f>"VV16FWOP01NA"</f>
        <v>VV16FWOP01NA</v>
      </c>
      <c r="I612" s="6" t="s">
        <v>2714</v>
      </c>
      <c r="J612" s="6" t="str">
        <f>"TIM POINT CHECK ONEPIECE"</f>
        <v>TIM POINT CHECK ONEPIECE</v>
      </c>
      <c r="K612" s="6">
        <v>0</v>
      </c>
      <c r="L612" s="6">
        <v>0</v>
      </c>
      <c r="M612" s="6">
        <v>0</v>
      </c>
      <c r="N612" s="6" t="str">
        <f>""</f>
        <v/>
      </c>
      <c r="O612" s="6">
        <v>32780</v>
      </c>
      <c r="P612" s="6" t="s">
        <v>2715</v>
      </c>
      <c r="R612" s="6" t="s">
        <v>546</v>
      </c>
      <c r="S612" s="6" t="s">
        <v>2716</v>
      </c>
      <c r="T612" s="6">
        <v>1</v>
      </c>
      <c r="U612" s="6">
        <v>0</v>
      </c>
      <c r="V612" s="6">
        <v>0</v>
      </c>
      <c r="W612" s="6">
        <v>0</v>
      </c>
      <c r="X612" s="6" t="s">
        <v>169</v>
      </c>
      <c r="Z612" s="6" t="s">
        <v>170</v>
      </c>
      <c r="AA612" s="6" t="s">
        <v>171</v>
      </c>
      <c r="AB612" s="6">
        <v>0</v>
      </c>
      <c r="AC612" s="6" t="str">
        <f>"KEY-053"</f>
        <v>KEY-053</v>
      </c>
      <c r="AQ612" s="6" t="str">
        <f>""</f>
        <v/>
      </c>
      <c r="AR612" s="6" t="s">
        <v>1567</v>
      </c>
      <c r="AS612" s="6">
        <v>0</v>
      </c>
      <c r="AT612" s="6">
        <v>1</v>
      </c>
    </row>
    <row r="613" spans="2:46">
      <c r="B613" s="6" t="s">
        <v>2294</v>
      </c>
      <c r="D613" s="6" t="s">
        <v>1561</v>
      </c>
      <c r="F613" s="6" t="s">
        <v>2717</v>
      </c>
      <c r="G613" s="6" t="str">
        <f>"VV16FWTOP02BK"</f>
        <v>VV16FWTOP02BK</v>
      </c>
      <c r="H613" s="6" t="s">
        <v>2718</v>
      </c>
      <c r="I613" s="6" t="s">
        <v>2719</v>
      </c>
      <c r="J613" s="6" t="str">
        <f>"CUFFS POINT TOP"</f>
        <v>CUFFS POINT TOP</v>
      </c>
      <c r="K613" s="6">
        <v>0</v>
      </c>
      <c r="L613" s="6">
        <v>0</v>
      </c>
      <c r="M613" s="6">
        <v>0</v>
      </c>
      <c r="N613" s="6" t="str">
        <f>""</f>
        <v/>
      </c>
      <c r="O613" s="6">
        <v>32778</v>
      </c>
      <c r="P613" s="6" t="s">
        <v>2718</v>
      </c>
      <c r="R613" s="6" t="s">
        <v>581</v>
      </c>
      <c r="S613" s="6" t="s">
        <v>2720</v>
      </c>
      <c r="T613" s="6">
        <v>0</v>
      </c>
      <c r="U613" s="6">
        <v>0</v>
      </c>
      <c r="V613" s="6">
        <v>0</v>
      </c>
      <c r="W613" s="6">
        <v>0</v>
      </c>
      <c r="X613" s="6" t="s">
        <v>169</v>
      </c>
      <c r="Z613" s="6" t="s">
        <v>170</v>
      </c>
      <c r="AA613" s="6" t="s">
        <v>171</v>
      </c>
      <c r="AB613" s="6">
        <v>0</v>
      </c>
      <c r="AC613" s="6" t="str">
        <f>""</f>
        <v/>
      </c>
      <c r="AS613" s="6">
        <v>0</v>
      </c>
      <c r="AT613" s="6">
        <v>0</v>
      </c>
    </row>
    <row r="614" spans="2:46">
      <c r="B614" s="6" t="s">
        <v>2294</v>
      </c>
      <c r="D614" s="6" t="s">
        <v>1561</v>
      </c>
      <c r="F614" s="6" t="s">
        <v>2721</v>
      </c>
      <c r="G614" s="6" t="str">
        <f>"VV16FWTOP02GR"</f>
        <v>VV16FWTOP02GR</v>
      </c>
      <c r="H614" s="6" t="s">
        <v>2722</v>
      </c>
      <c r="I614" s="6" t="s">
        <v>2719</v>
      </c>
      <c r="J614" s="6" t="str">
        <f>"CUFFS POINT TOP"</f>
        <v>CUFFS POINT TOP</v>
      </c>
      <c r="K614" s="6">
        <v>0</v>
      </c>
      <c r="L614" s="6">
        <v>0</v>
      </c>
      <c r="M614" s="6">
        <v>0</v>
      </c>
      <c r="N614" s="6" t="str">
        <f>""</f>
        <v/>
      </c>
      <c r="O614" s="6">
        <v>32777</v>
      </c>
      <c r="P614" s="6" t="s">
        <v>2722</v>
      </c>
      <c r="R614" s="6" t="s">
        <v>2673</v>
      </c>
      <c r="S614" s="6" t="s">
        <v>2723</v>
      </c>
      <c r="T614" s="6">
        <v>0</v>
      </c>
      <c r="U614" s="6">
        <v>0</v>
      </c>
      <c r="V614" s="6">
        <v>0</v>
      </c>
      <c r="W614" s="6">
        <v>0</v>
      </c>
      <c r="X614" s="6" t="s">
        <v>169</v>
      </c>
      <c r="Z614" s="6" t="s">
        <v>170</v>
      </c>
      <c r="AA614" s="6" t="s">
        <v>171</v>
      </c>
      <c r="AB614" s="6">
        <v>0</v>
      </c>
      <c r="AC614" s="6" t="str">
        <f>""</f>
        <v/>
      </c>
      <c r="AS614" s="6">
        <v>0</v>
      </c>
      <c r="AT614" s="6">
        <v>0</v>
      </c>
    </row>
    <row r="615" spans="2:46">
      <c r="B615" s="6" t="s">
        <v>2724</v>
      </c>
      <c r="D615" s="6" t="s">
        <v>1561</v>
      </c>
      <c r="F615" s="6" t="s">
        <v>2725</v>
      </c>
      <c r="G615" s="6" t="str">
        <f>"SDY16WT02NV"</f>
        <v>SDY16WT02NV</v>
      </c>
      <c r="H615" s="6" t="s">
        <v>2726</v>
      </c>
      <c r="I615" s="6" t="s">
        <v>2727</v>
      </c>
      <c r="J615" s="6" t="str">
        <f>"High Neck Stripe T_Navy"</f>
        <v>High Neck Stripe T_Navy</v>
      </c>
      <c r="K615" s="6">
        <v>0</v>
      </c>
      <c r="L615" s="6">
        <v>0</v>
      </c>
      <c r="M615" s="6">
        <v>0</v>
      </c>
      <c r="N615" s="6" t="str">
        <f>""</f>
        <v/>
      </c>
      <c r="O615" s="6">
        <v>32775</v>
      </c>
      <c r="P615" s="6" t="s">
        <v>2728</v>
      </c>
      <c r="R615" s="6" t="s">
        <v>2729</v>
      </c>
      <c r="S615" s="6" t="s">
        <v>2730</v>
      </c>
      <c r="T615" s="6">
        <v>0</v>
      </c>
      <c r="U615" s="6">
        <v>0</v>
      </c>
      <c r="V615" s="6">
        <v>0</v>
      </c>
      <c r="W615" s="6">
        <v>0</v>
      </c>
      <c r="X615" s="6" t="s">
        <v>169</v>
      </c>
      <c r="Z615" s="6" t="s">
        <v>170</v>
      </c>
      <c r="AA615" s="6" t="s">
        <v>171</v>
      </c>
      <c r="AB615" s="6">
        <v>0</v>
      </c>
      <c r="AC615" s="6" t="str">
        <f>""</f>
        <v/>
      </c>
      <c r="AS615" s="6">
        <v>0</v>
      </c>
      <c r="AT615" s="6">
        <v>0</v>
      </c>
    </row>
    <row r="616" spans="2:46">
      <c r="B616" s="6" t="s">
        <v>2724</v>
      </c>
      <c r="D616" s="6" t="s">
        <v>1561</v>
      </c>
      <c r="F616" s="6" t="s">
        <v>2731</v>
      </c>
      <c r="G616" s="6" t="str">
        <f>"SDY17VCPT01ST"</f>
        <v>SDY17VCPT01ST</v>
      </c>
      <c r="H616" s="6" t="s">
        <v>2732</v>
      </c>
      <c r="I616" s="6" t="s">
        <v>2733</v>
      </c>
      <c r="J616" s="6" t="str">
        <f>"Stripe Short Pants"</f>
        <v>Stripe Short Pants</v>
      </c>
      <c r="K616" s="6">
        <v>0</v>
      </c>
      <c r="L616" s="6">
        <v>0</v>
      </c>
      <c r="M616" s="6">
        <v>0</v>
      </c>
      <c r="N616" s="6" t="str">
        <f>""</f>
        <v/>
      </c>
      <c r="O616" s="6">
        <v>32773</v>
      </c>
      <c r="P616" s="6" t="s">
        <v>2734</v>
      </c>
      <c r="R616" s="6" t="s">
        <v>2735</v>
      </c>
      <c r="S616" s="6" t="s">
        <v>2736</v>
      </c>
      <c r="T616" s="6">
        <v>0</v>
      </c>
      <c r="U616" s="6">
        <v>0</v>
      </c>
      <c r="V616" s="6">
        <v>0</v>
      </c>
      <c r="W616" s="6">
        <v>0</v>
      </c>
      <c r="X616" s="6" t="s">
        <v>169</v>
      </c>
      <c r="Z616" s="6" t="s">
        <v>170</v>
      </c>
      <c r="AA616" s="6" t="s">
        <v>171</v>
      </c>
      <c r="AB616" s="6">
        <v>0</v>
      </c>
      <c r="AC616" s="6" t="str">
        <f>""</f>
        <v/>
      </c>
      <c r="AS616" s="6">
        <v>0</v>
      </c>
      <c r="AT616" s="6">
        <v>0</v>
      </c>
    </row>
    <row r="617" spans="2:46">
      <c r="B617" s="6" t="s">
        <v>2724</v>
      </c>
      <c r="D617" s="6" t="s">
        <v>1561</v>
      </c>
      <c r="F617" s="6" t="s">
        <v>2737</v>
      </c>
      <c r="G617" s="6" t="str">
        <f>"SDY17WACC06BK"</f>
        <v>SDY17WACC06BK</v>
      </c>
      <c r="H617" s="6" t="s">
        <v>2738</v>
      </c>
      <c r="I617" s="6" t="s">
        <v>2739</v>
      </c>
      <c r="J617" s="6" t="str">
        <f>"News Boy Hat"</f>
        <v>News Boy Hat</v>
      </c>
      <c r="K617" s="6">
        <v>0</v>
      </c>
      <c r="L617" s="6">
        <v>0</v>
      </c>
      <c r="M617" s="6">
        <v>0</v>
      </c>
      <c r="N617" s="6" t="str">
        <f>""</f>
        <v/>
      </c>
      <c r="O617" s="6">
        <v>32771</v>
      </c>
      <c r="P617" s="6" t="s">
        <v>2740</v>
      </c>
      <c r="R617" s="6" t="s">
        <v>2106</v>
      </c>
      <c r="S617" s="6" t="s">
        <v>2741</v>
      </c>
      <c r="T617" s="6">
        <v>0</v>
      </c>
      <c r="U617" s="6">
        <v>0</v>
      </c>
      <c r="V617" s="6">
        <v>0</v>
      </c>
      <c r="W617" s="6">
        <v>0</v>
      </c>
      <c r="X617" s="6" t="s">
        <v>169</v>
      </c>
      <c r="Z617" s="6" t="s">
        <v>170</v>
      </c>
      <c r="AA617" s="6" t="s">
        <v>171</v>
      </c>
      <c r="AB617" s="6">
        <v>0</v>
      </c>
      <c r="AC617" s="6" t="str">
        <f>""</f>
        <v/>
      </c>
      <c r="AS617" s="6">
        <v>0</v>
      </c>
      <c r="AT617" s="6">
        <v>0</v>
      </c>
    </row>
    <row r="618" spans="2:46">
      <c r="B618" s="6" t="s">
        <v>2724</v>
      </c>
      <c r="D618" s="6" t="s">
        <v>1561</v>
      </c>
      <c r="F618" s="6" t="s">
        <v>2742</v>
      </c>
      <c r="G618" s="6" t="str">
        <f>"SDY17WACC05DG"</f>
        <v>SDY17WACC05DG</v>
      </c>
      <c r="H618" s="6" t="s">
        <v>2743</v>
      </c>
      <c r="I618" s="6" t="s">
        <v>2744</v>
      </c>
      <c r="J618" s="6" t="str">
        <f>"Color Block Fox Fur Muffler"</f>
        <v>Color Block Fox Fur Muffler</v>
      </c>
      <c r="K618" s="6">
        <v>0</v>
      </c>
      <c r="L618" s="6">
        <v>0</v>
      </c>
      <c r="M618" s="6">
        <v>0</v>
      </c>
      <c r="N618" s="6" t="str">
        <f>""</f>
        <v/>
      </c>
      <c r="O618" s="6">
        <v>32769</v>
      </c>
      <c r="P618" s="6" t="s">
        <v>2745</v>
      </c>
      <c r="R618" s="6" t="s">
        <v>2145</v>
      </c>
      <c r="S618" s="6" t="s">
        <v>2746</v>
      </c>
      <c r="T618" s="6">
        <v>0</v>
      </c>
      <c r="U618" s="6">
        <v>0</v>
      </c>
      <c r="V618" s="6">
        <v>0</v>
      </c>
      <c r="W618" s="6">
        <v>0</v>
      </c>
      <c r="X618" s="6" t="s">
        <v>169</v>
      </c>
      <c r="Z618" s="6" t="s">
        <v>170</v>
      </c>
      <c r="AA618" s="6" t="s">
        <v>171</v>
      </c>
      <c r="AB618" s="6">
        <v>0</v>
      </c>
      <c r="AC618" s="6" t="str">
        <f>""</f>
        <v/>
      </c>
      <c r="AS618" s="6">
        <v>0</v>
      </c>
      <c r="AT618" s="6">
        <v>0</v>
      </c>
    </row>
    <row r="619" spans="2:46">
      <c r="B619" s="6" t="s">
        <v>2724</v>
      </c>
      <c r="D619" s="6" t="s">
        <v>1561</v>
      </c>
      <c r="F619" s="6" t="s">
        <v>2747</v>
      </c>
      <c r="G619" s="6" t="str">
        <f>"SDY17WACC05DN"</f>
        <v>SDY17WACC05DN</v>
      </c>
      <c r="H619" s="6" t="s">
        <v>2748</v>
      </c>
      <c r="I619" s="6" t="s">
        <v>2744</v>
      </c>
      <c r="J619" s="6" t="str">
        <f>"Color Block Fox Fur Muffler"</f>
        <v>Color Block Fox Fur Muffler</v>
      </c>
      <c r="K619" s="6">
        <v>0</v>
      </c>
      <c r="L619" s="6">
        <v>0</v>
      </c>
      <c r="M619" s="6">
        <v>0</v>
      </c>
      <c r="N619" s="6" t="str">
        <f>""</f>
        <v/>
      </c>
      <c r="O619" s="6">
        <v>32768</v>
      </c>
      <c r="P619" s="6" t="s">
        <v>2749</v>
      </c>
      <c r="R619" s="6" t="s">
        <v>2750</v>
      </c>
      <c r="S619" s="6" t="s">
        <v>2751</v>
      </c>
      <c r="T619" s="6">
        <v>0</v>
      </c>
      <c r="U619" s="6">
        <v>0</v>
      </c>
      <c r="V619" s="6">
        <v>0</v>
      </c>
      <c r="W619" s="6">
        <v>0</v>
      </c>
      <c r="X619" s="6" t="s">
        <v>169</v>
      </c>
      <c r="Z619" s="6" t="s">
        <v>170</v>
      </c>
      <c r="AA619" s="6" t="s">
        <v>171</v>
      </c>
      <c r="AB619" s="6">
        <v>0</v>
      </c>
      <c r="AC619" s="6" t="str">
        <f>""</f>
        <v/>
      </c>
      <c r="AS619" s="6">
        <v>0</v>
      </c>
      <c r="AT619" s="6">
        <v>0</v>
      </c>
    </row>
    <row r="620" spans="2:46">
      <c r="B620" s="6" t="s">
        <v>2724</v>
      </c>
      <c r="D620" s="6" t="s">
        <v>1561</v>
      </c>
      <c r="F620" s="6" t="s">
        <v>2752</v>
      </c>
      <c r="G620" s="6" t="str">
        <f>"SDY17WACC04DG"</f>
        <v>SDY17WACC04DG</v>
      </c>
      <c r="H620" s="6" t="s">
        <v>2753</v>
      </c>
      <c r="I620" s="6" t="s">
        <v>2754</v>
      </c>
      <c r="J620" s="6" t="str">
        <f>"Fox Fur Muffler"</f>
        <v>Fox Fur Muffler</v>
      </c>
      <c r="K620" s="6">
        <v>0</v>
      </c>
      <c r="L620" s="6">
        <v>0</v>
      </c>
      <c r="M620" s="6">
        <v>0</v>
      </c>
      <c r="N620" s="6" t="str">
        <f>""</f>
        <v/>
      </c>
      <c r="O620" s="6">
        <v>32766</v>
      </c>
      <c r="P620" s="6" t="s">
        <v>2755</v>
      </c>
      <c r="R620" s="6" t="s">
        <v>2145</v>
      </c>
      <c r="S620" s="6" t="s">
        <v>2756</v>
      </c>
      <c r="T620" s="6">
        <v>0</v>
      </c>
      <c r="U620" s="6">
        <v>0</v>
      </c>
      <c r="V620" s="6">
        <v>0</v>
      </c>
      <c r="W620" s="6">
        <v>0</v>
      </c>
      <c r="X620" s="6" t="s">
        <v>169</v>
      </c>
      <c r="Z620" s="6" t="s">
        <v>170</v>
      </c>
      <c r="AA620" s="6" t="s">
        <v>171</v>
      </c>
      <c r="AB620" s="6">
        <v>0</v>
      </c>
      <c r="AC620" s="6" t="str">
        <f>""</f>
        <v/>
      </c>
      <c r="AS620" s="6">
        <v>0</v>
      </c>
      <c r="AT620" s="6">
        <v>0</v>
      </c>
    </row>
    <row r="621" spans="2:46">
      <c r="B621" s="6" t="s">
        <v>2724</v>
      </c>
      <c r="D621" s="6" t="s">
        <v>1561</v>
      </c>
      <c r="F621" s="6" t="s">
        <v>2757</v>
      </c>
      <c r="G621" s="6" t="str">
        <f>"SDY17WACC04DN"</f>
        <v>SDY17WACC04DN</v>
      </c>
      <c r="H621" s="6" t="s">
        <v>2758</v>
      </c>
      <c r="I621" s="6" t="s">
        <v>2754</v>
      </c>
      <c r="J621" s="6" t="str">
        <f>"Fox Fur Muffler"</f>
        <v>Fox Fur Muffler</v>
      </c>
      <c r="K621" s="6">
        <v>0</v>
      </c>
      <c r="L621" s="6">
        <v>0</v>
      </c>
      <c r="M621" s="6">
        <v>0</v>
      </c>
      <c r="N621" s="6" t="str">
        <f>""</f>
        <v/>
      </c>
      <c r="O621" s="6">
        <v>32765</v>
      </c>
      <c r="P621" s="6" t="s">
        <v>2759</v>
      </c>
      <c r="R621" s="6" t="s">
        <v>2750</v>
      </c>
      <c r="S621" s="6" t="s">
        <v>2760</v>
      </c>
      <c r="T621" s="6">
        <v>0</v>
      </c>
      <c r="U621" s="6">
        <v>0</v>
      </c>
      <c r="V621" s="6">
        <v>0</v>
      </c>
      <c r="W621" s="6">
        <v>0</v>
      </c>
      <c r="X621" s="6" t="s">
        <v>169</v>
      </c>
      <c r="Z621" s="6" t="s">
        <v>170</v>
      </c>
      <c r="AA621" s="6" t="s">
        <v>171</v>
      </c>
      <c r="AB621" s="6">
        <v>0</v>
      </c>
      <c r="AC621" s="6" t="str">
        <f>""</f>
        <v/>
      </c>
      <c r="AS621" s="6">
        <v>0</v>
      </c>
      <c r="AT621" s="6">
        <v>0</v>
      </c>
    </row>
    <row r="622" spans="2:46">
      <c r="B622" s="6" t="s">
        <v>2724</v>
      </c>
      <c r="D622" s="6" t="s">
        <v>1561</v>
      </c>
      <c r="F622" s="6" t="s">
        <v>2761</v>
      </c>
      <c r="G622" s="6" t="str">
        <f>"SDY17WACC03BK"</f>
        <v>SDY17WACC03BK</v>
      </c>
      <c r="H622" s="6" t="s">
        <v>2762</v>
      </c>
      <c r="I622" s="6" t="s">
        <v>2763</v>
      </c>
      <c r="J622" s="6" t="str">
        <f>"Check Muffler"</f>
        <v>Check Muffler</v>
      </c>
      <c r="K622" s="6">
        <v>0</v>
      </c>
      <c r="L622" s="6">
        <v>0</v>
      </c>
      <c r="M622" s="6">
        <v>0</v>
      </c>
      <c r="N622" s="6" t="str">
        <f>""</f>
        <v/>
      </c>
      <c r="O622" s="6">
        <v>32763</v>
      </c>
      <c r="P622" s="6" t="s">
        <v>2764</v>
      </c>
      <c r="R622" s="6" t="s">
        <v>2106</v>
      </c>
      <c r="S622" s="6" t="s">
        <v>2765</v>
      </c>
      <c r="T622" s="6">
        <v>0</v>
      </c>
      <c r="U622" s="6">
        <v>0</v>
      </c>
      <c r="V622" s="6">
        <v>0</v>
      </c>
      <c r="W622" s="6">
        <v>0</v>
      </c>
      <c r="X622" s="6" t="s">
        <v>169</v>
      </c>
      <c r="Z622" s="6" t="s">
        <v>170</v>
      </c>
      <c r="AA622" s="6" t="s">
        <v>171</v>
      </c>
      <c r="AB622" s="6">
        <v>0</v>
      </c>
      <c r="AC622" s="6" t="str">
        <f>""</f>
        <v/>
      </c>
      <c r="AS622" s="6">
        <v>0</v>
      </c>
      <c r="AT622" s="6">
        <v>0</v>
      </c>
    </row>
    <row r="623" spans="2:46">
      <c r="B623" s="6" t="s">
        <v>2724</v>
      </c>
      <c r="D623" s="6" t="s">
        <v>1561</v>
      </c>
      <c r="F623" s="6" t="s">
        <v>2766</v>
      </c>
      <c r="G623" s="6" t="str">
        <f>"SDY17WACC03BR"</f>
        <v>SDY17WACC03BR</v>
      </c>
      <c r="H623" s="6" t="s">
        <v>2767</v>
      </c>
      <c r="I623" s="6" t="s">
        <v>2763</v>
      </c>
      <c r="J623" s="6" t="str">
        <f>"Check Muffler"</f>
        <v>Check Muffler</v>
      </c>
      <c r="K623" s="6">
        <v>0</v>
      </c>
      <c r="L623" s="6">
        <v>0</v>
      </c>
      <c r="M623" s="6">
        <v>0</v>
      </c>
      <c r="N623" s="6" t="str">
        <f>""</f>
        <v/>
      </c>
      <c r="O623" s="6">
        <v>32762</v>
      </c>
      <c r="P623" s="6" t="s">
        <v>2768</v>
      </c>
      <c r="R623" s="6" t="s">
        <v>2119</v>
      </c>
      <c r="S623" s="6" t="s">
        <v>2769</v>
      </c>
      <c r="T623" s="6">
        <v>0</v>
      </c>
      <c r="U623" s="6">
        <v>0</v>
      </c>
      <c r="V623" s="6">
        <v>0</v>
      </c>
      <c r="W623" s="6">
        <v>0</v>
      </c>
      <c r="X623" s="6" t="s">
        <v>169</v>
      </c>
      <c r="Z623" s="6" t="s">
        <v>170</v>
      </c>
      <c r="AA623" s="6" t="s">
        <v>171</v>
      </c>
      <c r="AB623" s="6">
        <v>0</v>
      </c>
      <c r="AC623" s="6" t="str">
        <f>""</f>
        <v/>
      </c>
      <c r="AS623" s="6">
        <v>0</v>
      </c>
      <c r="AT623" s="6">
        <v>0</v>
      </c>
    </row>
    <row r="624" spans="2:46">
      <c r="B624" s="6" t="s">
        <v>2724</v>
      </c>
      <c r="D624" s="6" t="s">
        <v>1561</v>
      </c>
      <c r="F624" s="6" t="s">
        <v>2770</v>
      </c>
      <c r="G624" s="6" t="str">
        <f>"SDY17WACC02PK"</f>
        <v>SDY17WACC02PK</v>
      </c>
      <c r="H624" s="6" t="s">
        <v>2771</v>
      </c>
      <c r="I624" s="6" t="s">
        <v>2772</v>
      </c>
      <c r="J624" s="6" t="str">
        <f>"Wool Muffler"</f>
        <v>Wool Muffler</v>
      </c>
      <c r="K624" s="6">
        <v>0</v>
      </c>
      <c r="L624" s="6">
        <v>0</v>
      </c>
      <c r="M624" s="6">
        <v>0</v>
      </c>
      <c r="N624" s="6" t="str">
        <f>""</f>
        <v/>
      </c>
      <c r="O624" s="6">
        <v>32760</v>
      </c>
      <c r="P624" s="6" t="s">
        <v>2773</v>
      </c>
      <c r="R624" s="6" t="s">
        <v>2503</v>
      </c>
      <c r="S624" s="6" t="s">
        <v>2774</v>
      </c>
      <c r="T624" s="6">
        <v>0</v>
      </c>
      <c r="U624" s="6">
        <v>0</v>
      </c>
      <c r="V624" s="6">
        <v>0</v>
      </c>
      <c r="W624" s="6">
        <v>0</v>
      </c>
      <c r="X624" s="6" t="s">
        <v>169</v>
      </c>
      <c r="Z624" s="6" t="s">
        <v>170</v>
      </c>
      <c r="AA624" s="6" t="s">
        <v>171</v>
      </c>
      <c r="AB624" s="6">
        <v>0</v>
      </c>
      <c r="AC624" s="6" t="str">
        <f>""</f>
        <v/>
      </c>
      <c r="AS624" s="6">
        <v>0</v>
      </c>
      <c r="AT624" s="6">
        <v>0</v>
      </c>
    </row>
    <row r="625" spans="2:46">
      <c r="B625" s="6" t="s">
        <v>2724</v>
      </c>
      <c r="D625" s="6" t="s">
        <v>1561</v>
      </c>
      <c r="F625" s="6" t="s">
        <v>2775</v>
      </c>
      <c r="G625" s="6" t="str">
        <f>"SDY17WACC02BL"</f>
        <v>SDY17WACC02BL</v>
      </c>
      <c r="H625" s="6" t="s">
        <v>2776</v>
      </c>
      <c r="I625" s="6" t="s">
        <v>2772</v>
      </c>
      <c r="J625" s="6" t="str">
        <f>"Wool Muffler"</f>
        <v>Wool Muffler</v>
      </c>
      <c r="K625" s="6">
        <v>0</v>
      </c>
      <c r="L625" s="6">
        <v>0</v>
      </c>
      <c r="M625" s="6">
        <v>0</v>
      </c>
      <c r="N625" s="6" t="str">
        <f>""</f>
        <v/>
      </c>
      <c r="O625" s="6">
        <v>32759</v>
      </c>
      <c r="P625" s="6" t="s">
        <v>2777</v>
      </c>
      <c r="R625" s="6" t="s">
        <v>2175</v>
      </c>
      <c r="S625" s="6" t="s">
        <v>2778</v>
      </c>
      <c r="T625" s="6">
        <v>0</v>
      </c>
      <c r="U625" s="6">
        <v>0</v>
      </c>
      <c r="V625" s="6">
        <v>0</v>
      </c>
      <c r="W625" s="6">
        <v>0</v>
      </c>
      <c r="X625" s="6" t="s">
        <v>169</v>
      </c>
      <c r="Z625" s="6" t="s">
        <v>170</v>
      </c>
      <c r="AA625" s="6" t="s">
        <v>171</v>
      </c>
      <c r="AB625" s="6">
        <v>0</v>
      </c>
      <c r="AC625" s="6" t="str">
        <f>""</f>
        <v/>
      </c>
      <c r="AS625" s="6">
        <v>0</v>
      </c>
      <c r="AT625" s="6">
        <v>0</v>
      </c>
    </row>
    <row r="626" spans="2:46">
      <c r="B626" s="6" t="s">
        <v>2724</v>
      </c>
      <c r="D626" s="6" t="s">
        <v>1561</v>
      </c>
      <c r="F626" s="6" t="s">
        <v>2779</v>
      </c>
      <c r="G626" s="6" t="str">
        <f>"SDY17WACC02CA"</f>
        <v>SDY17WACC02CA</v>
      </c>
      <c r="H626" s="6" t="s">
        <v>2780</v>
      </c>
      <c r="I626" s="6" t="s">
        <v>2772</v>
      </c>
      <c r="J626" s="6" t="str">
        <f>"Wool Muffler"</f>
        <v>Wool Muffler</v>
      </c>
      <c r="K626" s="6">
        <v>0</v>
      </c>
      <c r="L626" s="6">
        <v>0</v>
      </c>
      <c r="M626" s="6">
        <v>0</v>
      </c>
      <c r="N626" s="6" t="str">
        <f>""</f>
        <v/>
      </c>
      <c r="O626" s="6">
        <v>32758</v>
      </c>
      <c r="P626" s="6" t="s">
        <v>2781</v>
      </c>
      <c r="R626" s="6" t="s">
        <v>2446</v>
      </c>
      <c r="S626" s="6" t="s">
        <v>2782</v>
      </c>
      <c r="T626" s="6">
        <v>0</v>
      </c>
      <c r="U626" s="6">
        <v>0</v>
      </c>
      <c r="V626" s="6">
        <v>0</v>
      </c>
      <c r="W626" s="6">
        <v>0</v>
      </c>
      <c r="X626" s="6" t="s">
        <v>169</v>
      </c>
      <c r="Z626" s="6" t="s">
        <v>170</v>
      </c>
      <c r="AA626" s="6" t="s">
        <v>171</v>
      </c>
      <c r="AB626" s="6">
        <v>0</v>
      </c>
      <c r="AC626" s="6" t="str">
        <f>""</f>
        <v/>
      </c>
      <c r="AS626" s="6">
        <v>0</v>
      </c>
      <c r="AT626" s="6">
        <v>0</v>
      </c>
    </row>
    <row r="627" spans="2:46">
      <c r="B627" s="6" t="s">
        <v>2724</v>
      </c>
      <c r="D627" s="6" t="s">
        <v>1561</v>
      </c>
      <c r="F627" s="6" t="s">
        <v>2783</v>
      </c>
      <c r="G627" s="6" t="str">
        <f>"SDY17WACC01BK"</f>
        <v>SDY17WACC01BK</v>
      </c>
      <c r="H627" s="6" t="s">
        <v>2784</v>
      </c>
      <c r="I627" s="6" t="s">
        <v>2785</v>
      </c>
      <c r="J627" s="6" t="str">
        <f>"Basic Wool Muffler"</f>
        <v>Basic Wool Muffler</v>
      </c>
      <c r="K627" s="6">
        <v>0</v>
      </c>
      <c r="L627" s="6">
        <v>0</v>
      </c>
      <c r="M627" s="6">
        <v>0</v>
      </c>
      <c r="N627" s="6" t="str">
        <f>""</f>
        <v/>
      </c>
      <c r="O627" s="6">
        <v>32756</v>
      </c>
      <c r="P627" s="6" t="s">
        <v>2786</v>
      </c>
      <c r="R627" s="6" t="s">
        <v>2106</v>
      </c>
      <c r="S627" s="6" t="s">
        <v>2787</v>
      </c>
      <c r="T627" s="6">
        <v>0</v>
      </c>
      <c r="U627" s="6">
        <v>0</v>
      </c>
      <c r="V627" s="6">
        <v>0</v>
      </c>
      <c r="W627" s="6">
        <v>0</v>
      </c>
      <c r="X627" s="6" t="s">
        <v>169</v>
      </c>
      <c r="Z627" s="6" t="s">
        <v>170</v>
      </c>
      <c r="AA627" s="6" t="s">
        <v>171</v>
      </c>
      <c r="AB627" s="6">
        <v>0</v>
      </c>
      <c r="AC627" s="6" t="str">
        <f>""</f>
        <v/>
      </c>
      <c r="AS627" s="6">
        <v>0</v>
      </c>
      <c r="AT627" s="6">
        <v>0</v>
      </c>
    </row>
    <row r="628" spans="2:46">
      <c r="B628" s="6" t="s">
        <v>2724</v>
      </c>
      <c r="D628" s="6" t="s">
        <v>1561</v>
      </c>
      <c r="F628" s="6" t="s">
        <v>2788</v>
      </c>
      <c r="G628" s="6" t="str">
        <f>"SDY17WACC01GR"</f>
        <v>SDY17WACC01GR</v>
      </c>
      <c r="H628" s="6" t="s">
        <v>2789</v>
      </c>
      <c r="I628" s="6" t="s">
        <v>2785</v>
      </c>
      <c r="J628" s="6" t="str">
        <f>"Basic Wool Muffler"</f>
        <v>Basic Wool Muffler</v>
      </c>
      <c r="K628" s="6">
        <v>0</v>
      </c>
      <c r="L628" s="6">
        <v>0</v>
      </c>
      <c r="M628" s="6">
        <v>0</v>
      </c>
      <c r="N628" s="6" t="str">
        <f>""</f>
        <v/>
      </c>
      <c r="O628" s="6">
        <v>32755</v>
      </c>
      <c r="P628" s="6" t="s">
        <v>2790</v>
      </c>
      <c r="R628" s="6" t="s">
        <v>2750</v>
      </c>
      <c r="S628" s="6" t="s">
        <v>2791</v>
      </c>
      <c r="T628" s="6">
        <v>0</v>
      </c>
      <c r="U628" s="6">
        <v>0</v>
      </c>
      <c r="V628" s="6">
        <v>0</v>
      </c>
      <c r="W628" s="6">
        <v>0</v>
      </c>
      <c r="X628" s="6" t="s">
        <v>169</v>
      </c>
      <c r="Z628" s="6" t="s">
        <v>170</v>
      </c>
      <c r="AA628" s="6" t="s">
        <v>171</v>
      </c>
      <c r="AB628" s="6">
        <v>0</v>
      </c>
      <c r="AC628" s="6" t="str">
        <f>""</f>
        <v/>
      </c>
      <c r="AS628" s="6">
        <v>0</v>
      </c>
      <c r="AT628" s="6">
        <v>0</v>
      </c>
    </row>
    <row r="629" spans="2:46">
      <c r="B629" s="6" t="s">
        <v>2724</v>
      </c>
      <c r="D629" s="6" t="s">
        <v>1561</v>
      </c>
      <c r="F629" s="6" t="s">
        <v>2792</v>
      </c>
      <c r="G629" s="6" t="str">
        <f>"SDY17WACC01BG2"</f>
        <v>SDY17WACC01BG2</v>
      </c>
      <c r="H629" s="6" t="s">
        <v>2793</v>
      </c>
      <c r="I629" s="6" t="s">
        <v>2785</v>
      </c>
      <c r="J629" s="6" t="str">
        <f>"Basic Wool Muffler"</f>
        <v>Basic Wool Muffler</v>
      </c>
      <c r="K629" s="6">
        <v>0</v>
      </c>
      <c r="L629" s="6">
        <v>0</v>
      </c>
      <c r="M629" s="6">
        <v>0</v>
      </c>
      <c r="N629" s="6" t="str">
        <f>""</f>
        <v/>
      </c>
      <c r="O629" s="6">
        <v>32754</v>
      </c>
      <c r="P629" s="6" t="s">
        <v>2794</v>
      </c>
      <c r="R629" s="6" t="s">
        <v>2795</v>
      </c>
      <c r="S629" s="6" t="s">
        <v>2796</v>
      </c>
      <c r="T629" s="6">
        <v>0</v>
      </c>
      <c r="U629" s="6">
        <v>0</v>
      </c>
      <c r="V629" s="6">
        <v>0</v>
      </c>
      <c r="W629" s="6">
        <v>0</v>
      </c>
      <c r="X629" s="6" t="s">
        <v>169</v>
      </c>
      <c r="Z629" s="6" t="s">
        <v>170</v>
      </c>
      <c r="AA629" s="6" t="s">
        <v>171</v>
      </c>
      <c r="AB629" s="6">
        <v>0</v>
      </c>
      <c r="AC629" s="6" t="str">
        <f>""</f>
        <v/>
      </c>
      <c r="AS629" s="6">
        <v>0</v>
      </c>
      <c r="AT629" s="6">
        <v>0</v>
      </c>
    </row>
    <row r="630" spans="2:46">
      <c r="B630" s="6" t="s">
        <v>2724</v>
      </c>
      <c r="D630" s="6" t="s">
        <v>1561</v>
      </c>
      <c r="F630" s="6" t="s">
        <v>2797</v>
      </c>
      <c r="G630" s="6" t="str">
        <f>"SDY17WACC01BG"</f>
        <v>SDY17WACC01BG</v>
      </c>
      <c r="H630" s="6" t="s">
        <v>2798</v>
      </c>
      <c r="I630" s="6" t="s">
        <v>2785</v>
      </c>
      <c r="J630" s="6" t="str">
        <f>"Basic Wool Muffler"</f>
        <v>Basic Wool Muffler</v>
      </c>
      <c r="K630" s="6">
        <v>0</v>
      </c>
      <c r="L630" s="6">
        <v>0</v>
      </c>
      <c r="M630" s="6">
        <v>0</v>
      </c>
      <c r="N630" s="6" t="str">
        <f>""</f>
        <v/>
      </c>
      <c r="O630" s="6">
        <v>32753</v>
      </c>
      <c r="P630" s="6" t="s">
        <v>2799</v>
      </c>
      <c r="R630" s="6" t="s">
        <v>2102</v>
      </c>
      <c r="S630" s="6" t="s">
        <v>2800</v>
      </c>
      <c r="T630" s="6">
        <v>0</v>
      </c>
      <c r="U630" s="6">
        <v>0</v>
      </c>
      <c r="V630" s="6">
        <v>0</v>
      </c>
      <c r="W630" s="6">
        <v>0</v>
      </c>
      <c r="X630" s="6" t="s">
        <v>169</v>
      </c>
      <c r="Z630" s="6" t="s">
        <v>170</v>
      </c>
      <c r="AA630" s="6" t="s">
        <v>171</v>
      </c>
      <c r="AB630" s="6">
        <v>0</v>
      </c>
      <c r="AC630" s="6" t="str">
        <f>""</f>
        <v/>
      </c>
      <c r="AS630" s="6">
        <v>0</v>
      </c>
      <c r="AT630" s="6">
        <v>0</v>
      </c>
    </row>
    <row r="631" spans="2:46">
      <c r="B631" s="6" t="s">
        <v>2724</v>
      </c>
      <c r="D631" s="6" t="s">
        <v>1561</v>
      </c>
      <c r="F631" s="6" t="s">
        <v>2801</v>
      </c>
      <c r="G631" s="6" t="str">
        <f>"SDY17WCT03BR"</f>
        <v>SDY17WCT03BR</v>
      </c>
      <c r="H631" s="6" t="s">
        <v>2802</v>
      </c>
      <c r="I631" s="6" t="s">
        <v>2803</v>
      </c>
      <c r="J631" s="6" t="str">
        <f>"Check Double Wool Coat"</f>
        <v>Check Double Wool Coat</v>
      </c>
      <c r="K631" s="6">
        <v>0</v>
      </c>
      <c r="L631" s="6">
        <v>0</v>
      </c>
      <c r="M631" s="6">
        <v>0</v>
      </c>
      <c r="N631" s="6" t="str">
        <f>""</f>
        <v/>
      </c>
      <c r="O631" s="6">
        <v>32751</v>
      </c>
      <c r="P631" s="6" t="s">
        <v>2804</v>
      </c>
      <c r="R631" s="6" t="s">
        <v>2119</v>
      </c>
      <c r="S631" s="6" t="s">
        <v>2805</v>
      </c>
      <c r="T631" s="6">
        <v>0</v>
      </c>
      <c r="U631" s="6">
        <v>0</v>
      </c>
      <c r="V631" s="6">
        <v>0</v>
      </c>
      <c r="W631" s="6">
        <v>0</v>
      </c>
      <c r="X631" s="6" t="s">
        <v>169</v>
      </c>
      <c r="Z631" s="6" t="s">
        <v>170</v>
      </c>
      <c r="AA631" s="6" t="s">
        <v>171</v>
      </c>
      <c r="AB631" s="6">
        <v>0</v>
      </c>
      <c r="AC631" s="6" t="str">
        <f>""</f>
        <v/>
      </c>
      <c r="AS631" s="6">
        <v>0</v>
      </c>
      <c r="AT631" s="6">
        <v>0</v>
      </c>
    </row>
    <row r="632" spans="2:46">
      <c r="B632" s="6" t="s">
        <v>2724</v>
      </c>
      <c r="D632" s="6" t="s">
        <v>1561</v>
      </c>
      <c r="F632" s="6" t="s">
        <v>2806</v>
      </c>
      <c r="G632" s="6" t="str">
        <f>"SDY17WCT02NV"</f>
        <v>SDY17WCT02NV</v>
      </c>
      <c r="I632" s="6" t="s">
        <v>2807</v>
      </c>
      <c r="J632" s="6" t="str">
        <f>"Navy Double Wool Coat"</f>
        <v>Navy Double Wool Coat</v>
      </c>
      <c r="K632" s="6">
        <v>0</v>
      </c>
      <c r="L632" s="6">
        <v>0</v>
      </c>
      <c r="M632" s="6">
        <v>0</v>
      </c>
      <c r="N632" s="6" t="str">
        <f>""</f>
        <v/>
      </c>
      <c r="O632" s="6">
        <v>32749</v>
      </c>
      <c r="P632" s="6" t="s">
        <v>2808</v>
      </c>
      <c r="R632" s="6" t="s">
        <v>2111</v>
      </c>
      <c r="S632" s="6" t="s">
        <v>2809</v>
      </c>
      <c r="T632" s="6">
        <v>1</v>
      </c>
      <c r="U632" s="6">
        <v>0</v>
      </c>
      <c r="V632" s="6">
        <v>0</v>
      </c>
      <c r="W632" s="6">
        <v>0</v>
      </c>
      <c r="X632" s="6" t="s">
        <v>169</v>
      </c>
      <c r="Z632" s="6" t="s">
        <v>170</v>
      </c>
      <c r="AA632" s="6" t="s">
        <v>171</v>
      </c>
      <c r="AB632" s="6">
        <v>0</v>
      </c>
      <c r="AC632" s="6" t="str">
        <f>"KEY-026"</f>
        <v>KEY-026</v>
      </c>
      <c r="AQ632" s="6" t="str">
        <f>""</f>
        <v/>
      </c>
      <c r="AR632" s="6" t="s">
        <v>1567</v>
      </c>
      <c r="AS632" s="6">
        <v>0</v>
      </c>
      <c r="AT632" s="6">
        <v>1</v>
      </c>
    </row>
    <row r="633" spans="2:46">
      <c r="B633" s="6" t="s">
        <v>2724</v>
      </c>
      <c r="D633" s="6" t="s">
        <v>1561</v>
      </c>
      <c r="F633" s="6" t="s">
        <v>2810</v>
      </c>
      <c r="G633" s="6" t="str">
        <f>"SDY17WCT01BK"</f>
        <v>SDY17WCT01BK</v>
      </c>
      <c r="H633" s="6" t="s">
        <v>2811</v>
      </c>
      <c r="I633" s="6" t="s">
        <v>2812</v>
      </c>
      <c r="J633" s="6" t="str">
        <f>"High Neck Wool Coat"</f>
        <v>High Neck Wool Coat</v>
      </c>
      <c r="K633" s="6">
        <v>0</v>
      </c>
      <c r="L633" s="6">
        <v>0</v>
      </c>
      <c r="M633" s="6">
        <v>0</v>
      </c>
      <c r="N633" s="6" t="str">
        <f>""</f>
        <v/>
      </c>
      <c r="O633" s="6">
        <v>32747</v>
      </c>
      <c r="P633" s="6" t="s">
        <v>2813</v>
      </c>
      <c r="R633" s="6" t="s">
        <v>2106</v>
      </c>
      <c r="S633" s="6" t="s">
        <v>2814</v>
      </c>
      <c r="T633" s="6">
        <v>0</v>
      </c>
      <c r="U633" s="6">
        <v>0</v>
      </c>
      <c r="V633" s="6">
        <v>0</v>
      </c>
      <c r="W633" s="6">
        <v>0</v>
      </c>
      <c r="X633" s="6" t="s">
        <v>169</v>
      </c>
      <c r="Z633" s="6" t="s">
        <v>170</v>
      </c>
      <c r="AA633" s="6" t="s">
        <v>171</v>
      </c>
      <c r="AB633" s="6">
        <v>0</v>
      </c>
      <c r="AC633" s="6" t="str">
        <f>""</f>
        <v/>
      </c>
      <c r="AS633" s="6">
        <v>0</v>
      </c>
      <c r="AT633" s="6">
        <v>0</v>
      </c>
    </row>
    <row r="634" spans="2:46">
      <c r="B634" s="6" t="s">
        <v>2724</v>
      </c>
      <c r="D634" s="6" t="s">
        <v>1561</v>
      </c>
      <c r="F634" s="6" t="s">
        <v>2815</v>
      </c>
      <c r="G634" s="6" t="str">
        <f>"SDY17WSK03BK"</f>
        <v>SDY17WSK03BK</v>
      </c>
      <c r="H634" s="6" t="s">
        <v>2816</v>
      </c>
      <c r="I634" s="6" t="s">
        <v>2817</v>
      </c>
      <c r="J634" s="6" t="str">
        <f>"Buntto Stitching Skirt"</f>
        <v>Buntto Stitching Skirt</v>
      </c>
      <c r="K634" s="6">
        <v>0</v>
      </c>
      <c r="L634" s="6">
        <v>0</v>
      </c>
      <c r="M634" s="6">
        <v>0</v>
      </c>
      <c r="N634" s="6" t="str">
        <f>""</f>
        <v/>
      </c>
      <c r="O634" s="6">
        <v>32745</v>
      </c>
      <c r="P634" s="6" t="s">
        <v>2818</v>
      </c>
      <c r="R634" s="6" t="s">
        <v>2106</v>
      </c>
      <c r="S634" s="6" t="s">
        <v>2819</v>
      </c>
      <c r="T634" s="6">
        <v>0</v>
      </c>
      <c r="U634" s="6">
        <v>0</v>
      </c>
      <c r="V634" s="6">
        <v>0</v>
      </c>
      <c r="W634" s="6">
        <v>0</v>
      </c>
      <c r="X634" s="6" t="s">
        <v>169</v>
      </c>
      <c r="Z634" s="6" t="s">
        <v>170</v>
      </c>
      <c r="AA634" s="6" t="s">
        <v>171</v>
      </c>
      <c r="AB634" s="6">
        <v>0</v>
      </c>
      <c r="AC634" s="6" t="str">
        <f>""</f>
        <v/>
      </c>
      <c r="AS634" s="6">
        <v>0</v>
      </c>
      <c r="AT634" s="6">
        <v>0</v>
      </c>
    </row>
    <row r="635" spans="2:46">
      <c r="B635" s="6" t="s">
        <v>2724</v>
      </c>
      <c r="D635" s="6" t="s">
        <v>1561</v>
      </c>
      <c r="F635" s="6" t="s">
        <v>2820</v>
      </c>
      <c r="G635" s="6" t="str">
        <f>"SDY17WSK03NV"</f>
        <v>SDY17WSK03NV</v>
      </c>
      <c r="H635" s="6" t="s">
        <v>2821</v>
      </c>
      <c r="I635" s="6" t="s">
        <v>2817</v>
      </c>
      <c r="J635" s="6" t="str">
        <f>"Buntto Stitching Skirt"</f>
        <v>Buntto Stitching Skirt</v>
      </c>
      <c r="K635" s="6">
        <v>0</v>
      </c>
      <c r="L635" s="6">
        <v>0</v>
      </c>
      <c r="M635" s="6">
        <v>0</v>
      </c>
      <c r="N635" s="6" t="str">
        <f>""</f>
        <v/>
      </c>
      <c r="O635" s="6">
        <v>32744</v>
      </c>
      <c r="P635" s="6" t="s">
        <v>2822</v>
      </c>
      <c r="R635" s="6" t="s">
        <v>2111</v>
      </c>
      <c r="S635" s="6" t="s">
        <v>2823</v>
      </c>
      <c r="T635" s="6">
        <v>0</v>
      </c>
      <c r="U635" s="6">
        <v>0</v>
      </c>
      <c r="V635" s="6">
        <v>0</v>
      </c>
      <c r="W635" s="6">
        <v>0</v>
      </c>
      <c r="X635" s="6" t="s">
        <v>169</v>
      </c>
      <c r="Z635" s="6" t="s">
        <v>170</v>
      </c>
      <c r="AA635" s="6" t="s">
        <v>171</v>
      </c>
      <c r="AB635" s="6">
        <v>0</v>
      </c>
      <c r="AC635" s="6" t="str">
        <f>""</f>
        <v/>
      </c>
      <c r="AS635" s="6">
        <v>0</v>
      </c>
      <c r="AT635" s="6">
        <v>0</v>
      </c>
    </row>
    <row r="636" spans="2:46">
      <c r="B636" s="6" t="s">
        <v>2724</v>
      </c>
      <c r="D636" s="6" t="s">
        <v>1561</v>
      </c>
      <c r="F636" s="6" t="s">
        <v>2824</v>
      </c>
      <c r="G636" s="6" t="str">
        <f>"SDY17WSK03KB"</f>
        <v>SDY17WSK03KB</v>
      </c>
      <c r="H636" s="6" t="s">
        <v>2825</v>
      </c>
      <c r="I636" s="6" t="s">
        <v>2817</v>
      </c>
      <c r="J636" s="6" t="str">
        <f>"Buntto Stitching Skirt"</f>
        <v>Buntto Stitching Skirt</v>
      </c>
      <c r="K636" s="6">
        <v>0</v>
      </c>
      <c r="L636" s="6">
        <v>0</v>
      </c>
      <c r="M636" s="6">
        <v>0</v>
      </c>
      <c r="N636" s="6" t="str">
        <f>""</f>
        <v/>
      </c>
      <c r="O636" s="6">
        <v>32743</v>
      </c>
      <c r="P636" s="6" t="s">
        <v>2826</v>
      </c>
      <c r="R636" s="6" t="s">
        <v>2827</v>
      </c>
      <c r="S636" s="6" t="s">
        <v>2828</v>
      </c>
      <c r="T636" s="6">
        <v>0</v>
      </c>
      <c r="U636" s="6">
        <v>0</v>
      </c>
      <c r="V636" s="6">
        <v>0</v>
      </c>
      <c r="W636" s="6">
        <v>0</v>
      </c>
      <c r="X636" s="6" t="s">
        <v>169</v>
      </c>
      <c r="Z636" s="6" t="s">
        <v>170</v>
      </c>
      <c r="AA636" s="6" t="s">
        <v>171</v>
      </c>
      <c r="AB636" s="6">
        <v>0</v>
      </c>
      <c r="AC636" s="6" t="str">
        <f>""</f>
        <v/>
      </c>
      <c r="AS636" s="6">
        <v>0</v>
      </c>
      <c r="AT636" s="6">
        <v>0</v>
      </c>
    </row>
    <row r="637" spans="2:46">
      <c r="B637" s="6" t="s">
        <v>2724</v>
      </c>
      <c r="D637" s="6" t="s">
        <v>1561</v>
      </c>
      <c r="F637" s="6" t="s">
        <v>2829</v>
      </c>
      <c r="G637" s="6" t="str">
        <f>"SDY17WSK03IV"</f>
        <v>SDY17WSK03IV</v>
      </c>
      <c r="H637" s="6" t="s">
        <v>2830</v>
      </c>
      <c r="I637" s="6" t="s">
        <v>2817</v>
      </c>
      <c r="J637" s="6" t="str">
        <f>"Buntto Stitching Skirt"</f>
        <v>Buntto Stitching Skirt</v>
      </c>
      <c r="K637" s="6">
        <v>0</v>
      </c>
      <c r="L637" s="6">
        <v>0</v>
      </c>
      <c r="M637" s="6">
        <v>0</v>
      </c>
      <c r="N637" s="6" t="str">
        <f>""</f>
        <v/>
      </c>
      <c r="O637" s="6">
        <v>32742</v>
      </c>
      <c r="P637" s="6" t="s">
        <v>2831</v>
      </c>
      <c r="R637" s="6" t="s">
        <v>2356</v>
      </c>
      <c r="S637" s="6" t="s">
        <v>2832</v>
      </c>
      <c r="T637" s="6">
        <v>0</v>
      </c>
      <c r="U637" s="6">
        <v>0</v>
      </c>
      <c r="V637" s="6">
        <v>0</v>
      </c>
      <c r="W637" s="6">
        <v>0</v>
      </c>
      <c r="X637" s="6" t="s">
        <v>169</v>
      </c>
      <c r="Z637" s="6" t="s">
        <v>170</v>
      </c>
      <c r="AA637" s="6" t="s">
        <v>171</v>
      </c>
      <c r="AB637" s="6">
        <v>0</v>
      </c>
      <c r="AC637" s="6" t="str">
        <f>""</f>
        <v/>
      </c>
      <c r="AS637" s="6">
        <v>0</v>
      </c>
      <c r="AT637" s="6">
        <v>0</v>
      </c>
    </row>
    <row r="638" spans="2:46">
      <c r="B638" s="6" t="s">
        <v>2724</v>
      </c>
      <c r="D638" s="6" t="s">
        <v>1561</v>
      </c>
      <c r="F638" s="6" t="s">
        <v>2833</v>
      </c>
      <c r="G638" s="6" t="str">
        <f>"SDY17WSK01BK"</f>
        <v>SDY17WSK01BK</v>
      </c>
      <c r="H638" s="6" t="s">
        <v>2834</v>
      </c>
      <c r="I638" s="6" t="s">
        <v>2835</v>
      </c>
      <c r="J638" s="6" t="str">
        <f>"Belted Check Wrap Skirt"</f>
        <v>Belted Check Wrap Skirt</v>
      </c>
      <c r="K638" s="6">
        <v>0</v>
      </c>
      <c r="L638" s="6">
        <v>0</v>
      </c>
      <c r="M638" s="6">
        <v>0</v>
      </c>
      <c r="N638" s="6" t="str">
        <f>""</f>
        <v/>
      </c>
      <c r="O638" s="6">
        <v>32740</v>
      </c>
      <c r="P638" s="6" t="s">
        <v>2836</v>
      </c>
      <c r="R638" s="6" t="s">
        <v>2106</v>
      </c>
      <c r="S638" s="6" t="s">
        <v>2837</v>
      </c>
      <c r="T638" s="6">
        <v>0</v>
      </c>
      <c r="U638" s="6">
        <v>0</v>
      </c>
      <c r="V638" s="6">
        <v>0</v>
      </c>
      <c r="W638" s="6">
        <v>0</v>
      </c>
      <c r="X638" s="6" t="s">
        <v>169</v>
      </c>
      <c r="Z638" s="6" t="s">
        <v>170</v>
      </c>
      <c r="AA638" s="6" t="s">
        <v>171</v>
      </c>
      <c r="AB638" s="6">
        <v>0</v>
      </c>
      <c r="AC638" s="6" t="str">
        <f>""</f>
        <v/>
      </c>
      <c r="AS638" s="6">
        <v>0</v>
      </c>
      <c r="AT638" s="6">
        <v>0</v>
      </c>
    </row>
    <row r="639" spans="2:46">
      <c r="B639" s="6" t="s">
        <v>2724</v>
      </c>
      <c r="D639" s="6" t="s">
        <v>1561</v>
      </c>
      <c r="F639" s="6" t="s">
        <v>2838</v>
      </c>
      <c r="G639" s="6" t="str">
        <f>"SDY17WSK01BR"</f>
        <v>SDY17WSK01BR</v>
      </c>
      <c r="I639" s="6" t="s">
        <v>2835</v>
      </c>
      <c r="J639" s="6" t="str">
        <f>"Belted Check Wrap Skirt"</f>
        <v>Belted Check Wrap Skirt</v>
      </c>
      <c r="K639" s="6">
        <v>0</v>
      </c>
      <c r="L639" s="6">
        <v>0</v>
      </c>
      <c r="M639" s="6">
        <v>0</v>
      </c>
      <c r="N639" s="6" t="str">
        <f>""</f>
        <v/>
      </c>
      <c r="O639" s="6">
        <v>32739</v>
      </c>
      <c r="P639" s="6" t="s">
        <v>2839</v>
      </c>
      <c r="R639" s="6" t="s">
        <v>2119</v>
      </c>
      <c r="S639" s="6" t="s">
        <v>2840</v>
      </c>
      <c r="T639" s="6">
        <v>1</v>
      </c>
      <c r="U639" s="6">
        <v>0</v>
      </c>
      <c r="V639" s="6">
        <v>0</v>
      </c>
      <c r="W639" s="6">
        <v>0</v>
      </c>
      <c r="X639" s="6" t="s">
        <v>169</v>
      </c>
      <c r="Z639" s="6" t="s">
        <v>170</v>
      </c>
      <c r="AA639" s="6" t="s">
        <v>171</v>
      </c>
      <c r="AB639" s="6">
        <v>0</v>
      </c>
      <c r="AC639" s="6" t="str">
        <f>"KEY-025"</f>
        <v>KEY-025</v>
      </c>
      <c r="AQ639" s="6" t="str">
        <f>""</f>
        <v/>
      </c>
      <c r="AR639" s="6" t="s">
        <v>1567</v>
      </c>
      <c r="AS639" s="6">
        <v>0</v>
      </c>
      <c r="AT639" s="6">
        <v>1</v>
      </c>
    </row>
    <row r="640" spans="2:46">
      <c r="B640" s="6" t="s">
        <v>2724</v>
      </c>
      <c r="D640" s="6" t="s">
        <v>1561</v>
      </c>
      <c r="F640" s="6" t="s">
        <v>2841</v>
      </c>
      <c r="G640" s="6" t="str">
        <f>"SDY17WDR04BR"</f>
        <v>SDY17WDR04BR</v>
      </c>
      <c r="H640" s="6" t="s">
        <v>2842</v>
      </c>
      <c r="I640" s="6" t="s">
        <v>2843</v>
      </c>
      <c r="J640" s="6" t="str">
        <f>"Belted Check Dress"</f>
        <v>Belted Check Dress</v>
      </c>
      <c r="K640" s="6">
        <v>0</v>
      </c>
      <c r="L640" s="6">
        <v>0</v>
      </c>
      <c r="M640" s="6">
        <v>0</v>
      </c>
      <c r="N640" s="6" t="str">
        <f>""</f>
        <v/>
      </c>
      <c r="O640" s="6">
        <v>32737</v>
      </c>
      <c r="P640" s="6" t="s">
        <v>2844</v>
      </c>
      <c r="R640" s="6" t="s">
        <v>2119</v>
      </c>
      <c r="S640" s="6" t="s">
        <v>2845</v>
      </c>
      <c r="T640" s="6">
        <v>0</v>
      </c>
      <c r="U640" s="6">
        <v>0</v>
      </c>
      <c r="V640" s="6">
        <v>0</v>
      </c>
      <c r="W640" s="6">
        <v>0</v>
      </c>
      <c r="X640" s="6" t="s">
        <v>169</v>
      </c>
      <c r="Z640" s="6" t="s">
        <v>170</v>
      </c>
      <c r="AA640" s="6" t="s">
        <v>171</v>
      </c>
      <c r="AB640" s="6">
        <v>0</v>
      </c>
      <c r="AC640" s="6" t="str">
        <f>""</f>
        <v/>
      </c>
      <c r="AS640" s="6">
        <v>0</v>
      </c>
      <c r="AT640" s="6">
        <v>0</v>
      </c>
    </row>
    <row r="641" spans="2:46">
      <c r="B641" s="6" t="s">
        <v>2724</v>
      </c>
      <c r="D641" s="6" t="s">
        <v>1561</v>
      </c>
      <c r="F641" s="6" t="s">
        <v>2846</v>
      </c>
      <c r="G641" s="6" t="str">
        <f>"SDY17WDR03BK"</f>
        <v>SDY17WDR03BK</v>
      </c>
      <c r="H641" s="6" t="s">
        <v>2847</v>
      </c>
      <c r="I641" s="6" t="s">
        <v>2848</v>
      </c>
      <c r="J641" s="6" t="str">
        <f>"Long Wrap Dress"</f>
        <v>Long Wrap Dress</v>
      </c>
      <c r="K641" s="6">
        <v>0</v>
      </c>
      <c r="L641" s="6">
        <v>0</v>
      </c>
      <c r="M641" s="6">
        <v>0</v>
      </c>
      <c r="N641" s="6" t="str">
        <f>""</f>
        <v/>
      </c>
      <c r="O641" s="6">
        <v>32735</v>
      </c>
      <c r="P641" s="6" t="s">
        <v>2849</v>
      </c>
      <c r="R641" s="6" t="s">
        <v>2106</v>
      </c>
      <c r="S641" s="6" t="s">
        <v>2850</v>
      </c>
      <c r="T641" s="6">
        <v>0</v>
      </c>
      <c r="U641" s="6">
        <v>0</v>
      </c>
      <c r="V641" s="6">
        <v>0</v>
      </c>
      <c r="W641" s="6">
        <v>0</v>
      </c>
      <c r="X641" s="6" t="s">
        <v>169</v>
      </c>
      <c r="Z641" s="6" t="s">
        <v>170</v>
      </c>
      <c r="AA641" s="6" t="s">
        <v>171</v>
      </c>
      <c r="AB641" s="6">
        <v>0</v>
      </c>
      <c r="AC641" s="6" t="str">
        <f>""</f>
        <v/>
      </c>
      <c r="AS641" s="6">
        <v>0</v>
      </c>
      <c r="AT641" s="6">
        <v>0</v>
      </c>
    </row>
    <row r="642" spans="2:46">
      <c r="B642" s="6" t="s">
        <v>2724</v>
      </c>
      <c r="D642" s="6" t="s">
        <v>1561</v>
      </c>
      <c r="F642" s="6" t="s">
        <v>2851</v>
      </c>
      <c r="G642" s="6" t="str">
        <f>"SDY17WDR03NV"</f>
        <v>SDY17WDR03NV</v>
      </c>
      <c r="H642" s="6" t="s">
        <v>2852</v>
      </c>
      <c r="I642" s="6" t="s">
        <v>2848</v>
      </c>
      <c r="J642" s="6" t="str">
        <f>"Long Wrap Dress"</f>
        <v>Long Wrap Dress</v>
      </c>
      <c r="K642" s="6">
        <v>0</v>
      </c>
      <c r="L642" s="6">
        <v>0</v>
      </c>
      <c r="M642" s="6">
        <v>0</v>
      </c>
      <c r="N642" s="6" t="str">
        <f>""</f>
        <v/>
      </c>
      <c r="O642" s="6">
        <v>32734</v>
      </c>
      <c r="P642" s="6" t="s">
        <v>2853</v>
      </c>
      <c r="R642" s="6" t="s">
        <v>2111</v>
      </c>
      <c r="S642" s="6" t="s">
        <v>2854</v>
      </c>
      <c r="T642" s="6">
        <v>0</v>
      </c>
      <c r="U642" s="6">
        <v>0</v>
      </c>
      <c r="V642" s="6">
        <v>0</v>
      </c>
      <c r="W642" s="6">
        <v>0</v>
      </c>
      <c r="X642" s="6" t="s">
        <v>169</v>
      </c>
      <c r="Z642" s="6" t="s">
        <v>170</v>
      </c>
      <c r="AA642" s="6" t="s">
        <v>171</v>
      </c>
      <c r="AB642" s="6">
        <v>0</v>
      </c>
      <c r="AC642" s="6" t="str">
        <f>""</f>
        <v/>
      </c>
      <c r="AS642" s="6">
        <v>0</v>
      </c>
      <c r="AT642" s="6">
        <v>0</v>
      </c>
    </row>
    <row r="643" spans="2:46">
      <c r="B643" s="6" t="s">
        <v>2724</v>
      </c>
      <c r="D643" s="6" t="s">
        <v>1561</v>
      </c>
      <c r="F643" s="6" t="s">
        <v>2855</v>
      </c>
      <c r="G643" s="6" t="str">
        <f>"SDY17WDR02BR"</f>
        <v>SDY17WDR02BR</v>
      </c>
      <c r="H643" s="6" t="s">
        <v>2856</v>
      </c>
      <c r="I643" s="6" t="s">
        <v>2857</v>
      </c>
      <c r="J643" s="6" t="str">
        <f>"Shirring Dress_Brown"</f>
        <v>Shirring Dress_Brown</v>
      </c>
      <c r="K643" s="6">
        <v>0</v>
      </c>
      <c r="L643" s="6">
        <v>0</v>
      </c>
      <c r="M643" s="6">
        <v>0</v>
      </c>
      <c r="N643" s="6" t="str">
        <f>""</f>
        <v/>
      </c>
      <c r="O643" s="6">
        <v>32732</v>
      </c>
      <c r="P643" s="6" t="s">
        <v>2858</v>
      </c>
      <c r="R643" s="6" t="s">
        <v>2119</v>
      </c>
      <c r="S643" s="6" t="s">
        <v>2859</v>
      </c>
      <c r="T643" s="6">
        <v>0</v>
      </c>
      <c r="U643" s="6">
        <v>0</v>
      </c>
      <c r="V643" s="6">
        <v>0</v>
      </c>
      <c r="W643" s="6">
        <v>0</v>
      </c>
      <c r="X643" s="6" t="s">
        <v>169</v>
      </c>
      <c r="Z643" s="6" t="s">
        <v>170</v>
      </c>
      <c r="AA643" s="6" t="s">
        <v>171</v>
      </c>
      <c r="AB643" s="6">
        <v>0</v>
      </c>
      <c r="AC643" s="6" t="str">
        <f>""</f>
        <v/>
      </c>
      <c r="AS643" s="6">
        <v>0</v>
      </c>
      <c r="AT643" s="6">
        <v>0</v>
      </c>
    </row>
    <row r="644" spans="2:46">
      <c r="B644" s="6" t="s">
        <v>2724</v>
      </c>
      <c r="D644" s="6" t="s">
        <v>1561</v>
      </c>
      <c r="F644" s="6" t="s">
        <v>2860</v>
      </c>
      <c r="G644" s="6" t="str">
        <f>"SDY17WDR01NV"</f>
        <v>SDY17WDR01NV</v>
      </c>
      <c r="H644" s="6" t="s">
        <v>2861</v>
      </c>
      <c r="I644" s="6" t="s">
        <v>2862</v>
      </c>
      <c r="J644" s="6" t="str">
        <f>"Shirring Dress_Dots"</f>
        <v>Shirring Dress_Dots</v>
      </c>
      <c r="K644" s="6">
        <v>0</v>
      </c>
      <c r="L644" s="6">
        <v>0</v>
      </c>
      <c r="M644" s="6">
        <v>0</v>
      </c>
      <c r="N644" s="6" t="str">
        <f>""</f>
        <v/>
      </c>
      <c r="O644" s="6">
        <v>32730</v>
      </c>
      <c r="P644" s="6" t="s">
        <v>2863</v>
      </c>
      <c r="R644" s="6" t="s">
        <v>2111</v>
      </c>
      <c r="S644" s="6" t="s">
        <v>2864</v>
      </c>
      <c r="T644" s="6">
        <v>0</v>
      </c>
      <c r="U644" s="6">
        <v>0</v>
      </c>
      <c r="V644" s="6">
        <v>0</v>
      </c>
      <c r="W644" s="6">
        <v>0</v>
      </c>
      <c r="X644" s="6" t="s">
        <v>169</v>
      </c>
      <c r="Z644" s="6" t="s">
        <v>170</v>
      </c>
      <c r="AA644" s="6" t="s">
        <v>171</v>
      </c>
      <c r="AB644" s="6">
        <v>0</v>
      </c>
      <c r="AC644" s="6" t="str">
        <f>""</f>
        <v/>
      </c>
      <c r="AS644" s="6">
        <v>0</v>
      </c>
      <c r="AT644" s="6">
        <v>0</v>
      </c>
    </row>
    <row r="645" spans="2:46">
      <c r="B645" s="6" t="s">
        <v>2724</v>
      </c>
      <c r="D645" s="6" t="s">
        <v>1561</v>
      </c>
      <c r="F645" s="6" t="s">
        <v>2865</v>
      </c>
      <c r="G645" s="6" t="str">
        <f>"SDY17WT08RD"</f>
        <v>SDY17WT08RD</v>
      </c>
      <c r="H645" s="6" t="s">
        <v>2866</v>
      </c>
      <c r="I645" s="6" t="s">
        <v>2867</v>
      </c>
      <c r="J645" s="6" t="str">
        <f>"Check Shirt"</f>
        <v>Check Shirt</v>
      </c>
      <c r="K645" s="6">
        <v>0</v>
      </c>
      <c r="L645" s="6">
        <v>0</v>
      </c>
      <c r="M645" s="6">
        <v>0</v>
      </c>
      <c r="N645" s="6" t="str">
        <f>""</f>
        <v/>
      </c>
      <c r="O645" s="6">
        <v>32728</v>
      </c>
      <c r="P645" s="6" t="s">
        <v>2868</v>
      </c>
      <c r="R645" s="6" t="s">
        <v>2309</v>
      </c>
      <c r="S645" s="6" t="s">
        <v>2869</v>
      </c>
      <c r="T645" s="6">
        <v>0</v>
      </c>
      <c r="U645" s="6">
        <v>0</v>
      </c>
      <c r="V645" s="6">
        <v>0</v>
      </c>
      <c r="W645" s="6">
        <v>0</v>
      </c>
      <c r="X645" s="6" t="s">
        <v>169</v>
      </c>
      <c r="Z645" s="6" t="s">
        <v>170</v>
      </c>
      <c r="AA645" s="6" t="s">
        <v>171</v>
      </c>
      <c r="AB645" s="6">
        <v>0</v>
      </c>
      <c r="AC645" s="6" t="str">
        <f>""</f>
        <v/>
      </c>
      <c r="AS645" s="6">
        <v>0</v>
      </c>
      <c r="AT645" s="6">
        <v>0</v>
      </c>
    </row>
    <row r="646" spans="2:46">
      <c r="B646" s="6" t="s">
        <v>2724</v>
      </c>
      <c r="D646" s="6" t="s">
        <v>1561</v>
      </c>
      <c r="F646" s="6" t="s">
        <v>2870</v>
      </c>
      <c r="G646" s="6" t="str">
        <f>"SDY17WT08WH"</f>
        <v>SDY17WT08WH</v>
      </c>
      <c r="H646" s="6" t="s">
        <v>2871</v>
      </c>
      <c r="I646" s="6" t="s">
        <v>2867</v>
      </c>
      <c r="J646" s="6" t="str">
        <f>"Check Shirt"</f>
        <v>Check Shirt</v>
      </c>
      <c r="K646" s="6">
        <v>0</v>
      </c>
      <c r="L646" s="6">
        <v>0</v>
      </c>
      <c r="M646" s="6">
        <v>0</v>
      </c>
      <c r="N646" s="6" t="str">
        <f>""</f>
        <v/>
      </c>
      <c r="O646" s="6">
        <v>32727</v>
      </c>
      <c r="P646" s="6" t="s">
        <v>2872</v>
      </c>
      <c r="R646" s="6" t="s">
        <v>2167</v>
      </c>
      <c r="S646" s="6" t="s">
        <v>2873</v>
      </c>
      <c r="T646" s="6">
        <v>0</v>
      </c>
      <c r="U646" s="6">
        <v>0</v>
      </c>
      <c r="V646" s="6">
        <v>0</v>
      </c>
      <c r="W646" s="6">
        <v>0</v>
      </c>
      <c r="X646" s="6" t="s">
        <v>169</v>
      </c>
      <c r="Z646" s="6" t="s">
        <v>170</v>
      </c>
      <c r="AA646" s="6" t="s">
        <v>171</v>
      </c>
      <c r="AB646" s="6">
        <v>0</v>
      </c>
      <c r="AC646" s="6" t="str">
        <f>""</f>
        <v/>
      </c>
      <c r="AS646" s="6">
        <v>0</v>
      </c>
      <c r="AT646" s="6">
        <v>0</v>
      </c>
    </row>
    <row r="647" spans="2:46">
      <c r="B647" s="6" t="s">
        <v>2724</v>
      </c>
      <c r="D647" s="6" t="s">
        <v>1561</v>
      </c>
      <c r="F647" s="6" t="s">
        <v>2874</v>
      </c>
      <c r="G647" s="6" t="str">
        <f>"SDY17WT06BR"</f>
        <v>SDY17WT06BR</v>
      </c>
      <c r="H647" s="6" t="s">
        <v>2875</v>
      </c>
      <c r="I647" s="6" t="s">
        <v>2876</v>
      </c>
      <c r="J647" s="6" t="str">
        <f>"Do Not Disturb MTM (기모)_Brown"</f>
        <v>Do Not Disturb MTM (기모)_Brown</v>
      </c>
      <c r="K647" s="6">
        <v>0</v>
      </c>
      <c r="L647" s="6">
        <v>0</v>
      </c>
      <c r="M647" s="6">
        <v>0</v>
      </c>
      <c r="N647" s="6" t="str">
        <f>""</f>
        <v/>
      </c>
      <c r="O647" s="6">
        <v>32725</v>
      </c>
      <c r="P647" s="6" t="s">
        <v>2877</v>
      </c>
      <c r="R647" s="6" t="s">
        <v>2119</v>
      </c>
      <c r="S647" s="6" t="s">
        <v>2878</v>
      </c>
      <c r="T647" s="6">
        <v>0</v>
      </c>
      <c r="U647" s="6">
        <v>0</v>
      </c>
      <c r="V647" s="6">
        <v>0</v>
      </c>
      <c r="W647" s="6">
        <v>0</v>
      </c>
      <c r="X647" s="6" t="s">
        <v>169</v>
      </c>
      <c r="Z647" s="6" t="s">
        <v>170</v>
      </c>
      <c r="AA647" s="6" t="s">
        <v>171</v>
      </c>
      <c r="AB647" s="6">
        <v>0</v>
      </c>
      <c r="AC647" s="6" t="str">
        <f>""</f>
        <v/>
      </c>
      <c r="AS647" s="6">
        <v>0</v>
      </c>
      <c r="AT647" s="6">
        <v>0</v>
      </c>
    </row>
    <row r="648" spans="2:46">
      <c r="B648" s="6" t="s">
        <v>2724</v>
      </c>
      <c r="D648" s="6" t="s">
        <v>1561</v>
      </c>
      <c r="F648" s="6" t="s">
        <v>2879</v>
      </c>
      <c r="G648" s="6" t="str">
        <f>"SDY17WT06PK"</f>
        <v>SDY17WT06PK</v>
      </c>
      <c r="H648" s="6" t="s">
        <v>2880</v>
      </c>
      <c r="I648" s="6" t="s">
        <v>2881</v>
      </c>
      <c r="J648" s="6" t="str">
        <f>"Do Not Disturb MTM (기모)_Pink"</f>
        <v>Do Not Disturb MTM (기모)_Pink</v>
      </c>
      <c r="K648" s="6">
        <v>0</v>
      </c>
      <c r="L648" s="6">
        <v>0</v>
      </c>
      <c r="M648" s="6">
        <v>0</v>
      </c>
      <c r="N648" s="6" t="str">
        <f>""</f>
        <v/>
      </c>
      <c r="O648" s="6">
        <v>32723</v>
      </c>
      <c r="P648" s="6" t="s">
        <v>2882</v>
      </c>
      <c r="R648" s="6" t="s">
        <v>2446</v>
      </c>
      <c r="S648" s="6" t="s">
        <v>2883</v>
      </c>
      <c r="T648" s="6">
        <v>0</v>
      </c>
      <c r="U648" s="6">
        <v>0</v>
      </c>
      <c r="V648" s="6">
        <v>0</v>
      </c>
      <c r="W648" s="6">
        <v>0</v>
      </c>
      <c r="X648" s="6" t="s">
        <v>169</v>
      </c>
      <c r="Z648" s="6" t="s">
        <v>170</v>
      </c>
      <c r="AA648" s="6" t="s">
        <v>171</v>
      </c>
      <c r="AB648" s="6">
        <v>0</v>
      </c>
      <c r="AC648" s="6" t="str">
        <f>""</f>
        <v/>
      </c>
      <c r="AS648" s="6">
        <v>0</v>
      </c>
      <c r="AT648" s="6">
        <v>0</v>
      </c>
    </row>
    <row r="649" spans="2:46">
      <c r="B649" s="6" t="s">
        <v>2724</v>
      </c>
      <c r="D649" s="6" t="s">
        <v>1561</v>
      </c>
      <c r="F649" s="6" t="s">
        <v>2884</v>
      </c>
      <c r="G649" s="6" t="str">
        <f>"SDY17WT05GR"</f>
        <v>SDY17WT05GR</v>
      </c>
      <c r="H649" s="6" t="s">
        <v>2885</v>
      </c>
      <c r="I649" s="6" t="s">
        <v>2886</v>
      </c>
      <c r="J649" s="6" t="str">
        <f>"Room Service MTM (기모)_Grey"</f>
        <v>Room Service MTM (기모)_Grey</v>
      </c>
      <c r="K649" s="6">
        <v>0</v>
      </c>
      <c r="L649" s="6">
        <v>0</v>
      </c>
      <c r="M649" s="6">
        <v>0</v>
      </c>
      <c r="N649" s="6" t="str">
        <f>""</f>
        <v/>
      </c>
      <c r="O649" s="6">
        <v>32721</v>
      </c>
      <c r="P649" s="6" t="s">
        <v>2887</v>
      </c>
      <c r="R649" s="6" t="s">
        <v>2187</v>
      </c>
      <c r="S649" s="6" t="s">
        <v>2888</v>
      </c>
      <c r="T649" s="6">
        <v>0</v>
      </c>
      <c r="U649" s="6">
        <v>0</v>
      </c>
      <c r="V649" s="6">
        <v>0</v>
      </c>
      <c r="W649" s="6">
        <v>0</v>
      </c>
      <c r="X649" s="6" t="s">
        <v>169</v>
      </c>
      <c r="Z649" s="6" t="s">
        <v>170</v>
      </c>
      <c r="AA649" s="6" t="s">
        <v>171</v>
      </c>
      <c r="AB649" s="6">
        <v>0</v>
      </c>
      <c r="AC649" s="6" t="str">
        <f>""</f>
        <v/>
      </c>
      <c r="AS649" s="6">
        <v>0</v>
      </c>
      <c r="AT649" s="6">
        <v>0</v>
      </c>
    </row>
    <row r="650" spans="2:46">
      <c r="B650" s="6" t="s">
        <v>2724</v>
      </c>
      <c r="D650" s="6" t="s">
        <v>1561</v>
      </c>
      <c r="F650" s="6" t="s">
        <v>2889</v>
      </c>
      <c r="G650" s="6" t="str">
        <f>"SDY17WT05BG"</f>
        <v>SDY17WT05BG</v>
      </c>
      <c r="H650" s="6" t="s">
        <v>2890</v>
      </c>
      <c r="I650" s="6" t="s">
        <v>2891</v>
      </c>
      <c r="J650" s="6" t="str">
        <f>"Room Service MTM (기모)_Beige"</f>
        <v>Room Service MTM (기모)_Beige</v>
      </c>
      <c r="K650" s="6">
        <v>0</v>
      </c>
      <c r="L650" s="6">
        <v>0</v>
      </c>
      <c r="M650" s="6">
        <v>0</v>
      </c>
      <c r="N650" s="6" t="str">
        <f>""</f>
        <v/>
      </c>
      <c r="O650" s="6">
        <v>32719</v>
      </c>
      <c r="P650" s="6" t="s">
        <v>2892</v>
      </c>
      <c r="R650" s="6" t="s">
        <v>2102</v>
      </c>
      <c r="S650" s="6" t="s">
        <v>2893</v>
      </c>
      <c r="T650" s="6">
        <v>0</v>
      </c>
      <c r="U650" s="6">
        <v>0</v>
      </c>
      <c r="V650" s="6">
        <v>0</v>
      </c>
      <c r="W650" s="6">
        <v>0</v>
      </c>
      <c r="X650" s="6" t="s">
        <v>169</v>
      </c>
      <c r="Z650" s="6" t="s">
        <v>170</v>
      </c>
      <c r="AA650" s="6" t="s">
        <v>171</v>
      </c>
      <c r="AB650" s="6">
        <v>0</v>
      </c>
      <c r="AC650" s="6" t="str">
        <f>""</f>
        <v/>
      </c>
      <c r="AS650" s="6">
        <v>0</v>
      </c>
      <c r="AT650" s="6">
        <v>0</v>
      </c>
    </row>
    <row r="651" spans="2:46">
      <c r="B651" s="6" t="s">
        <v>2724</v>
      </c>
      <c r="D651" s="6" t="s">
        <v>1561</v>
      </c>
      <c r="F651" s="6" t="s">
        <v>2894</v>
      </c>
      <c r="G651" s="6" t="str">
        <f>"SDY17WT05OR"</f>
        <v>SDY17WT05OR</v>
      </c>
      <c r="H651" s="6" t="s">
        <v>2895</v>
      </c>
      <c r="I651" s="6" t="s">
        <v>2896</v>
      </c>
      <c r="J651" s="6" t="str">
        <f>"Room Service MTM (기모)_Orange"</f>
        <v>Room Service MTM (기모)_Orange</v>
      </c>
      <c r="K651" s="6">
        <v>0</v>
      </c>
      <c r="L651" s="6">
        <v>0</v>
      </c>
      <c r="M651" s="6">
        <v>0</v>
      </c>
      <c r="N651" s="6" t="str">
        <f>""</f>
        <v/>
      </c>
      <c r="O651" s="6">
        <v>32717</v>
      </c>
      <c r="P651" s="6" t="s">
        <v>2897</v>
      </c>
      <c r="R651" s="6" t="s">
        <v>2898</v>
      </c>
      <c r="S651" s="6" t="s">
        <v>2899</v>
      </c>
      <c r="T651" s="6">
        <v>0</v>
      </c>
      <c r="U651" s="6">
        <v>0</v>
      </c>
      <c r="V651" s="6">
        <v>0</v>
      </c>
      <c r="W651" s="6">
        <v>0</v>
      </c>
      <c r="X651" s="6" t="s">
        <v>169</v>
      </c>
      <c r="Z651" s="6" t="s">
        <v>170</v>
      </c>
      <c r="AA651" s="6" t="s">
        <v>171</v>
      </c>
      <c r="AB651" s="6">
        <v>0</v>
      </c>
      <c r="AC651" s="6" t="str">
        <f>""</f>
        <v/>
      </c>
      <c r="AS651" s="6">
        <v>0</v>
      </c>
      <c r="AT651" s="6">
        <v>0</v>
      </c>
    </row>
    <row r="652" spans="2:46">
      <c r="B652" s="6" t="s">
        <v>2724</v>
      </c>
      <c r="D652" s="6" t="s">
        <v>1561</v>
      </c>
      <c r="F652" s="6" t="s">
        <v>2900</v>
      </c>
      <c r="G652" s="6" t="str">
        <f>"SDY17WT04WH"</f>
        <v>SDY17WT04WH</v>
      </c>
      <c r="H652" s="6" t="s">
        <v>2901</v>
      </c>
      <c r="I652" s="6" t="s">
        <v>2902</v>
      </c>
      <c r="J652" s="6" t="str">
        <f>"Basic Boxy T"</f>
        <v>Basic Boxy T</v>
      </c>
      <c r="K652" s="6">
        <v>0</v>
      </c>
      <c r="L652" s="6">
        <v>0</v>
      </c>
      <c r="M652" s="6">
        <v>0</v>
      </c>
      <c r="N652" s="6" t="str">
        <f>""</f>
        <v/>
      </c>
      <c r="O652" s="6">
        <v>32715</v>
      </c>
      <c r="P652" s="6" t="s">
        <v>2903</v>
      </c>
      <c r="R652" s="6" t="s">
        <v>2167</v>
      </c>
      <c r="S652" s="6" t="s">
        <v>2904</v>
      </c>
      <c r="T652" s="6">
        <v>0</v>
      </c>
      <c r="U652" s="6">
        <v>0</v>
      </c>
      <c r="V652" s="6">
        <v>0</v>
      </c>
      <c r="W652" s="6">
        <v>0</v>
      </c>
      <c r="X652" s="6" t="s">
        <v>169</v>
      </c>
      <c r="Z652" s="6" t="s">
        <v>170</v>
      </c>
      <c r="AA652" s="6" t="s">
        <v>171</v>
      </c>
      <c r="AB652" s="6">
        <v>0</v>
      </c>
      <c r="AC652" s="6" t="str">
        <f>""</f>
        <v/>
      </c>
      <c r="AS652" s="6">
        <v>0</v>
      </c>
      <c r="AT652" s="6">
        <v>0</v>
      </c>
    </row>
    <row r="653" spans="2:46">
      <c r="B653" s="6" t="s">
        <v>2724</v>
      </c>
      <c r="D653" s="6" t="s">
        <v>1561</v>
      </c>
      <c r="F653" s="6" t="s">
        <v>2905</v>
      </c>
      <c r="G653" s="6" t="str">
        <f>"SDY17WT02BK"</f>
        <v>SDY17WT02BK</v>
      </c>
      <c r="H653" s="6" t="s">
        <v>2906</v>
      </c>
      <c r="I653" s="6" t="s">
        <v>2907</v>
      </c>
      <c r="J653" s="6" t="str">
        <f>"Basic Polar Knit"</f>
        <v>Basic Polar Knit</v>
      </c>
      <c r="K653" s="6">
        <v>0</v>
      </c>
      <c r="L653" s="6">
        <v>0</v>
      </c>
      <c r="M653" s="6">
        <v>0</v>
      </c>
      <c r="N653" s="6" t="str">
        <f>""</f>
        <v/>
      </c>
      <c r="O653" s="6">
        <v>32713</v>
      </c>
      <c r="P653" s="6" t="s">
        <v>2908</v>
      </c>
      <c r="R653" s="6" t="s">
        <v>2106</v>
      </c>
      <c r="S653" s="6" t="s">
        <v>2909</v>
      </c>
      <c r="T653" s="6">
        <v>0</v>
      </c>
      <c r="U653" s="6">
        <v>0</v>
      </c>
      <c r="V653" s="6">
        <v>0</v>
      </c>
      <c r="W653" s="6">
        <v>0</v>
      </c>
      <c r="X653" s="6" t="s">
        <v>169</v>
      </c>
      <c r="Z653" s="6" t="s">
        <v>170</v>
      </c>
      <c r="AA653" s="6" t="s">
        <v>171</v>
      </c>
      <c r="AB653" s="6">
        <v>0</v>
      </c>
      <c r="AC653" s="6" t="str">
        <f>""</f>
        <v/>
      </c>
      <c r="AS653" s="6">
        <v>0</v>
      </c>
      <c r="AT653" s="6">
        <v>0</v>
      </c>
    </row>
    <row r="654" spans="2:46">
      <c r="B654" s="6" t="s">
        <v>2724</v>
      </c>
      <c r="D654" s="6" t="s">
        <v>1561</v>
      </c>
      <c r="F654" s="6" t="s">
        <v>2910</v>
      </c>
      <c r="G654" s="6" t="str">
        <f>"SDY17WT02PP"</f>
        <v>SDY17WT02PP</v>
      </c>
      <c r="H654" s="6" t="s">
        <v>2911</v>
      </c>
      <c r="I654" s="6" t="s">
        <v>2907</v>
      </c>
      <c r="J654" s="6" t="str">
        <f>"Basic Polar Knit"</f>
        <v>Basic Polar Knit</v>
      </c>
      <c r="K654" s="6">
        <v>0</v>
      </c>
      <c r="L654" s="6">
        <v>0</v>
      </c>
      <c r="M654" s="6">
        <v>0</v>
      </c>
      <c r="N654" s="6" t="str">
        <f>""</f>
        <v/>
      </c>
      <c r="O654" s="6">
        <v>32712</v>
      </c>
      <c r="P654" s="6" t="s">
        <v>2912</v>
      </c>
      <c r="R654" s="6" t="s">
        <v>2913</v>
      </c>
      <c r="S654" s="6" t="s">
        <v>2914</v>
      </c>
      <c r="T654" s="6">
        <v>0</v>
      </c>
      <c r="U654" s="6">
        <v>0</v>
      </c>
      <c r="V654" s="6">
        <v>0</v>
      </c>
      <c r="W654" s="6">
        <v>0</v>
      </c>
      <c r="X654" s="6" t="s">
        <v>169</v>
      </c>
      <c r="Z654" s="6" t="s">
        <v>170</v>
      </c>
      <c r="AA654" s="6" t="s">
        <v>171</v>
      </c>
      <c r="AB654" s="6">
        <v>0</v>
      </c>
      <c r="AC654" s="6" t="str">
        <f>""</f>
        <v/>
      </c>
      <c r="AS654" s="6">
        <v>0</v>
      </c>
      <c r="AT654" s="6">
        <v>0</v>
      </c>
    </row>
    <row r="655" spans="2:46">
      <c r="B655" s="6" t="s">
        <v>2724</v>
      </c>
      <c r="D655" s="6" t="s">
        <v>1561</v>
      </c>
      <c r="F655" s="6" t="s">
        <v>2915</v>
      </c>
      <c r="G655" s="6" t="str">
        <f>"SDY17WT02IV"</f>
        <v>SDY17WT02IV</v>
      </c>
      <c r="H655" s="6" t="s">
        <v>2916</v>
      </c>
      <c r="I655" s="6" t="s">
        <v>2907</v>
      </c>
      <c r="J655" s="6" t="str">
        <f>"Basic Polar Knit"</f>
        <v>Basic Polar Knit</v>
      </c>
      <c r="K655" s="6">
        <v>0</v>
      </c>
      <c r="L655" s="6">
        <v>0</v>
      </c>
      <c r="M655" s="6">
        <v>0</v>
      </c>
      <c r="N655" s="6" t="str">
        <f>""</f>
        <v/>
      </c>
      <c r="O655" s="6">
        <v>32711</v>
      </c>
      <c r="P655" s="6" t="s">
        <v>2917</v>
      </c>
      <c r="R655" s="6" t="s">
        <v>2356</v>
      </c>
      <c r="S655" s="6" t="s">
        <v>2918</v>
      </c>
      <c r="T655" s="6">
        <v>0</v>
      </c>
      <c r="U655" s="6">
        <v>0</v>
      </c>
      <c r="V655" s="6">
        <v>0</v>
      </c>
      <c r="W655" s="6">
        <v>0</v>
      </c>
      <c r="X655" s="6" t="s">
        <v>169</v>
      </c>
      <c r="Z655" s="6" t="s">
        <v>170</v>
      </c>
      <c r="AA655" s="6" t="s">
        <v>171</v>
      </c>
      <c r="AB655" s="6">
        <v>0</v>
      </c>
      <c r="AC655" s="6" t="str">
        <f>""</f>
        <v/>
      </c>
      <c r="AS655" s="6">
        <v>0</v>
      </c>
      <c r="AT655" s="6">
        <v>0</v>
      </c>
    </row>
    <row r="656" spans="2:46">
      <c r="B656" s="6" t="s">
        <v>2724</v>
      </c>
      <c r="D656" s="6" t="s">
        <v>1561</v>
      </c>
      <c r="F656" s="6" t="s">
        <v>2919</v>
      </c>
      <c r="G656" s="6" t="str">
        <f>"SDY17WT01GR"</f>
        <v>SDY17WT01GR</v>
      </c>
      <c r="H656" s="6" t="s">
        <v>2920</v>
      </c>
      <c r="I656" s="6" t="s">
        <v>2921</v>
      </c>
      <c r="J656" s="6" t="str">
        <f>"  Basic T (기모)"</f>
        <v xml:space="preserve">  Basic T (기모)</v>
      </c>
      <c r="K656" s="6">
        <v>0</v>
      </c>
      <c r="L656" s="6">
        <v>0</v>
      </c>
      <c r="M656" s="6">
        <v>0</v>
      </c>
      <c r="N656" s="6" t="str">
        <f>""</f>
        <v/>
      </c>
      <c r="O656" s="6">
        <v>32709</v>
      </c>
      <c r="P656" s="6" t="s">
        <v>2922</v>
      </c>
      <c r="R656" s="6" t="s">
        <v>2187</v>
      </c>
      <c r="S656" s="6" t="s">
        <v>2923</v>
      </c>
      <c r="T656" s="6">
        <v>0</v>
      </c>
      <c r="U656" s="6">
        <v>0</v>
      </c>
      <c r="V656" s="6">
        <v>0</v>
      </c>
      <c r="W656" s="6">
        <v>0</v>
      </c>
      <c r="X656" s="6" t="s">
        <v>169</v>
      </c>
      <c r="Z656" s="6" t="s">
        <v>170</v>
      </c>
      <c r="AA656" s="6" t="s">
        <v>171</v>
      </c>
      <c r="AB656" s="6">
        <v>0</v>
      </c>
      <c r="AC656" s="6" t="str">
        <f>""</f>
        <v/>
      </c>
      <c r="AS656" s="6">
        <v>0</v>
      </c>
      <c r="AT656" s="6">
        <v>0</v>
      </c>
    </row>
    <row r="657" spans="2:46">
      <c r="B657" s="6" t="s">
        <v>2724</v>
      </c>
      <c r="D657" s="6" t="s">
        <v>1561</v>
      </c>
      <c r="F657" s="6" t="s">
        <v>2924</v>
      </c>
      <c r="G657" s="6" t="str">
        <f>"SDY17WT01BG"</f>
        <v>SDY17WT01BG</v>
      </c>
      <c r="H657" s="6" t="s">
        <v>2925</v>
      </c>
      <c r="I657" s="6" t="s">
        <v>2921</v>
      </c>
      <c r="J657" s="6" t="str">
        <f>"  Basic T (기모)"</f>
        <v xml:space="preserve">  Basic T (기모)</v>
      </c>
      <c r="K657" s="6">
        <v>0</v>
      </c>
      <c r="L657" s="6">
        <v>0</v>
      </c>
      <c r="M657" s="6">
        <v>0</v>
      </c>
      <c r="N657" s="6" t="str">
        <f>""</f>
        <v/>
      </c>
      <c r="O657" s="6">
        <v>32708</v>
      </c>
      <c r="P657" s="6" t="s">
        <v>2926</v>
      </c>
      <c r="R657" s="6" t="s">
        <v>2102</v>
      </c>
      <c r="S657" s="6" t="s">
        <v>2927</v>
      </c>
      <c r="T657" s="6">
        <v>0</v>
      </c>
      <c r="U657" s="6">
        <v>0</v>
      </c>
      <c r="V657" s="6">
        <v>0</v>
      </c>
      <c r="W657" s="6">
        <v>0</v>
      </c>
      <c r="X657" s="6" t="s">
        <v>169</v>
      </c>
      <c r="Z657" s="6" t="s">
        <v>170</v>
      </c>
      <c r="AA657" s="6" t="s">
        <v>171</v>
      </c>
      <c r="AB657" s="6">
        <v>0</v>
      </c>
      <c r="AC657" s="6" t="str">
        <f>""</f>
        <v/>
      </c>
      <c r="AS657" s="6">
        <v>0</v>
      </c>
      <c r="AT657" s="6">
        <v>0</v>
      </c>
    </row>
    <row r="658" spans="2:46">
      <c r="B658" s="6" t="s">
        <v>2724</v>
      </c>
      <c r="D658" s="6" t="s">
        <v>1561</v>
      </c>
      <c r="F658" s="6" t="s">
        <v>2928</v>
      </c>
      <c r="G658" s="6" t="str">
        <f>"SDY17WT01RB"</f>
        <v>SDY17WT01RB</v>
      </c>
      <c r="H658" s="6" t="s">
        <v>2929</v>
      </c>
      <c r="I658" s="6" t="s">
        <v>2921</v>
      </c>
      <c r="J658" s="6" t="str">
        <f>"  Basic T (기모)"</f>
        <v xml:space="preserve">  Basic T (기모)</v>
      </c>
      <c r="K658" s="6">
        <v>0</v>
      </c>
      <c r="L658" s="6">
        <v>0</v>
      </c>
      <c r="M658" s="6">
        <v>0</v>
      </c>
      <c r="N658" s="6" t="str">
        <f>""</f>
        <v/>
      </c>
      <c r="O658" s="6">
        <v>32707</v>
      </c>
      <c r="P658" s="6" t="s">
        <v>2930</v>
      </c>
      <c r="R658" s="6" t="s">
        <v>2931</v>
      </c>
      <c r="S658" s="6" t="s">
        <v>2932</v>
      </c>
      <c r="T658" s="6">
        <v>0</v>
      </c>
      <c r="U658" s="6">
        <v>0</v>
      </c>
      <c r="V658" s="6">
        <v>0</v>
      </c>
      <c r="W658" s="6">
        <v>0</v>
      </c>
      <c r="X658" s="6" t="s">
        <v>169</v>
      </c>
      <c r="Z658" s="6" t="s">
        <v>170</v>
      </c>
      <c r="AA658" s="6" t="s">
        <v>171</v>
      </c>
      <c r="AB658" s="6">
        <v>0</v>
      </c>
      <c r="AC658" s="6" t="str">
        <f>""</f>
        <v/>
      </c>
      <c r="AS658" s="6">
        <v>0</v>
      </c>
      <c r="AT658" s="6">
        <v>0</v>
      </c>
    </row>
    <row r="659" spans="2:46">
      <c r="B659" s="6" t="s">
        <v>2724</v>
      </c>
      <c r="D659" s="6" t="s">
        <v>1561</v>
      </c>
      <c r="F659" s="6" t="s">
        <v>2933</v>
      </c>
      <c r="G659" s="6" t="str">
        <f>"SDY17VCTO06NV"</f>
        <v>SDY17VCTO06NV</v>
      </c>
      <c r="H659" s="6" t="s">
        <v>2934</v>
      </c>
      <c r="I659" s="6" t="s">
        <v>2935</v>
      </c>
      <c r="J659" s="6" t="str">
        <f>"Back Slit T-Shirt"</f>
        <v>Back Slit T-Shirt</v>
      </c>
      <c r="K659" s="6">
        <v>0</v>
      </c>
      <c r="L659" s="6">
        <v>0</v>
      </c>
      <c r="M659" s="6">
        <v>0</v>
      </c>
      <c r="N659" s="6" t="str">
        <f>""</f>
        <v/>
      </c>
      <c r="O659" s="6">
        <v>32705</v>
      </c>
      <c r="P659" s="6" t="s">
        <v>2936</v>
      </c>
      <c r="R659" s="6" t="s">
        <v>2937</v>
      </c>
      <c r="S659" s="6" t="s">
        <v>2938</v>
      </c>
      <c r="T659" s="6">
        <v>0</v>
      </c>
      <c r="U659" s="6">
        <v>0</v>
      </c>
      <c r="V659" s="6">
        <v>0</v>
      </c>
      <c r="W659" s="6">
        <v>0</v>
      </c>
      <c r="X659" s="6" t="s">
        <v>169</v>
      </c>
      <c r="Z659" s="6" t="s">
        <v>170</v>
      </c>
      <c r="AA659" s="6" t="s">
        <v>171</v>
      </c>
      <c r="AB659" s="6">
        <v>0</v>
      </c>
      <c r="AC659" s="6" t="str">
        <f>""</f>
        <v/>
      </c>
      <c r="AS659" s="6">
        <v>0</v>
      </c>
      <c r="AT659" s="6">
        <v>0</v>
      </c>
    </row>
    <row r="660" spans="2:46">
      <c r="B660" s="6" t="s">
        <v>2724</v>
      </c>
      <c r="D660" s="6" t="s">
        <v>1561</v>
      </c>
      <c r="F660" s="6" t="s">
        <v>2939</v>
      </c>
      <c r="G660" s="6" t="str">
        <f>"SDY17FW020NV"</f>
        <v>SDY17FW020NV</v>
      </c>
      <c r="H660" s="6" t="s">
        <v>2940</v>
      </c>
      <c r="I660" s="6" t="s">
        <v>2941</v>
      </c>
      <c r="J660" s="6" t="str">
        <f>"Boucle Jacket"</f>
        <v>Boucle Jacket</v>
      </c>
      <c r="K660" s="6">
        <v>0</v>
      </c>
      <c r="L660" s="6">
        <v>0</v>
      </c>
      <c r="M660" s="6">
        <v>0</v>
      </c>
      <c r="N660" s="6" t="str">
        <f>""</f>
        <v/>
      </c>
      <c r="O660" s="6">
        <v>32703</v>
      </c>
      <c r="P660" s="6" t="s">
        <v>2942</v>
      </c>
      <c r="R660" s="6" t="s">
        <v>2943</v>
      </c>
      <c r="S660" s="6" t="s">
        <v>2944</v>
      </c>
      <c r="T660" s="6">
        <v>0</v>
      </c>
      <c r="U660" s="6">
        <v>0</v>
      </c>
      <c r="V660" s="6">
        <v>0</v>
      </c>
      <c r="W660" s="6">
        <v>0</v>
      </c>
      <c r="X660" s="6" t="s">
        <v>169</v>
      </c>
      <c r="Z660" s="6" t="s">
        <v>170</v>
      </c>
      <c r="AA660" s="6" t="s">
        <v>171</v>
      </c>
      <c r="AB660" s="6">
        <v>0</v>
      </c>
      <c r="AC660" s="6" t="str">
        <f>""</f>
        <v/>
      </c>
      <c r="AS660" s="6">
        <v>0</v>
      </c>
      <c r="AT660" s="6">
        <v>0</v>
      </c>
    </row>
    <row r="661" spans="2:46">
      <c r="B661" s="6" t="s">
        <v>2724</v>
      </c>
      <c r="D661" s="6" t="s">
        <v>1561</v>
      </c>
      <c r="F661" s="6" t="s">
        <v>2945</v>
      </c>
      <c r="G661" s="6" t="str">
        <f>"SDY17FW019OR"</f>
        <v>SDY17FW019OR</v>
      </c>
      <c r="H661" s="6" t="s">
        <v>2946</v>
      </c>
      <c r="I661" s="6" t="s">
        <v>2947</v>
      </c>
      <c r="J661" s="6" t="str">
        <f>"Glen Check Jacket"</f>
        <v>Glen Check Jacket</v>
      </c>
      <c r="K661" s="6">
        <v>0</v>
      </c>
      <c r="L661" s="6">
        <v>0</v>
      </c>
      <c r="M661" s="6">
        <v>0</v>
      </c>
      <c r="N661" s="6" t="str">
        <f>""</f>
        <v/>
      </c>
      <c r="O661" s="6">
        <v>32701</v>
      </c>
      <c r="P661" s="6" t="s">
        <v>2948</v>
      </c>
      <c r="R661" s="6" t="s">
        <v>2949</v>
      </c>
      <c r="S661" s="6" t="s">
        <v>2950</v>
      </c>
      <c r="T661" s="6">
        <v>0</v>
      </c>
      <c r="U661" s="6">
        <v>0</v>
      </c>
      <c r="V661" s="6">
        <v>0</v>
      </c>
      <c r="W661" s="6">
        <v>0</v>
      </c>
      <c r="X661" s="6" t="s">
        <v>169</v>
      </c>
      <c r="Z661" s="6" t="s">
        <v>170</v>
      </c>
      <c r="AA661" s="6" t="s">
        <v>171</v>
      </c>
      <c r="AB661" s="6">
        <v>0</v>
      </c>
      <c r="AC661" s="6" t="str">
        <f>""</f>
        <v/>
      </c>
      <c r="AS661" s="6">
        <v>0</v>
      </c>
      <c r="AT661" s="6">
        <v>0</v>
      </c>
    </row>
    <row r="662" spans="2:46">
      <c r="B662" s="6" t="s">
        <v>2724</v>
      </c>
      <c r="D662" s="6" t="s">
        <v>1561</v>
      </c>
      <c r="F662" s="6" t="s">
        <v>2951</v>
      </c>
      <c r="G662" s="6" t="str">
        <f>"SDY17FW019RD"</f>
        <v>SDY17FW019RD</v>
      </c>
      <c r="H662" s="6" t="s">
        <v>2952</v>
      </c>
      <c r="I662" s="6" t="s">
        <v>2947</v>
      </c>
      <c r="J662" s="6" t="str">
        <f>"Glen Check Jacket"</f>
        <v>Glen Check Jacket</v>
      </c>
      <c r="K662" s="6">
        <v>0</v>
      </c>
      <c r="L662" s="6">
        <v>0</v>
      </c>
      <c r="M662" s="6">
        <v>0</v>
      </c>
      <c r="N662" s="6" t="str">
        <f>""</f>
        <v/>
      </c>
      <c r="O662" s="6">
        <v>32700</v>
      </c>
      <c r="P662" s="6" t="s">
        <v>2953</v>
      </c>
      <c r="R662" s="6" t="s">
        <v>2954</v>
      </c>
      <c r="S662" s="6" t="s">
        <v>2955</v>
      </c>
      <c r="T662" s="6">
        <v>0</v>
      </c>
      <c r="U662" s="6">
        <v>0</v>
      </c>
      <c r="V662" s="6">
        <v>0</v>
      </c>
      <c r="W662" s="6">
        <v>0</v>
      </c>
      <c r="X662" s="6" t="s">
        <v>169</v>
      </c>
      <c r="Z662" s="6" t="s">
        <v>170</v>
      </c>
      <c r="AA662" s="6" t="s">
        <v>171</v>
      </c>
      <c r="AB662" s="6">
        <v>0</v>
      </c>
      <c r="AC662" s="6" t="str">
        <f>""</f>
        <v/>
      </c>
      <c r="AS662" s="6">
        <v>0</v>
      </c>
      <c r="AT662" s="6">
        <v>0</v>
      </c>
    </row>
    <row r="663" spans="2:46">
      <c r="B663" s="6" t="s">
        <v>2724</v>
      </c>
      <c r="D663" s="6" t="s">
        <v>1561</v>
      </c>
      <c r="F663" s="6" t="s">
        <v>2956</v>
      </c>
      <c r="G663" s="6" t="str">
        <f>"SDY17FW018BKM"</f>
        <v>SDY17FW018BKM</v>
      </c>
      <c r="H663" s="6" t="s">
        <v>2957</v>
      </c>
      <c r="I663" s="6" t="s">
        <v>2958</v>
      </c>
      <c r="J663" s="6" t="str">
        <f>"Spangle Mermaid Skirt"</f>
        <v>Spangle Mermaid Skirt</v>
      </c>
      <c r="K663" s="6">
        <v>0</v>
      </c>
      <c r="L663" s="6">
        <v>0</v>
      </c>
      <c r="M663" s="6">
        <v>0</v>
      </c>
      <c r="N663" s="6" t="str">
        <f>""</f>
        <v/>
      </c>
      <c r="O663" s="6">
        <v>32698</v>
      </c>
      <c r="P663" s="6" t="s">
        <v>2959</v>
      </c>
      <c r="R663" s="6" t="s">
        <v>1551</v>
      </c>
      <c r="S663" s="6" t="s">
        <v>2960</v>
      </c>
      <c r="T663" s="6">
        <v>0</v>
      </c>
      <c r="U663" s="6">
        <v>0</v>
      </c>
      <c r="V663" s="6">
        <v>0</v>
      </c>
      <c r="W663" s="6">
        <v>0</v>
      </c>
      <c r="X663" s="6" t="s">
        <v>169</v>
      </c>
      <c r="Z663" s="6" t="s">
        <v>170</v>
      </c>
      <c r="AA663" s="6" t="s">
        <v>171</v>
      </c>
      <c r="AB663" s="6">
        <v>0</v>
      </c>
      <c r="AC663" s="6" t="str">
        <f>""</f>
        <v/>
      </c>
      <c r="AS663" s="6">
        <v>0</v>
      </c>
      <c r="AT663" s="6">
        <v>0</v>
      </c>
    </row>
    <row r="664" spans="2:46">
      <c r="B664" s="6" t="s">
        <v>2724</v>
      </c>
      <c r="D664" s="6" t="s">
        <v>1561</v>
      </c>
      <c r="F664" s="6" t="s">
        <v>2961</v>
      </c>
      <c r="G664" s="6" t="str">
        <f>"SDY17FW018BKS"</f>
        <v>SDY17FW018BKS</v>
      </c>
      <c r="H664" s="6" t="s">
        <v>2962</v>
      </c>
      <c r="I664" s="6" t="s">
        <v>2958</v>
      </c>
      <c r="J664" s="6" t="str">
        <f>"Spangle Mermaid Skirt"</f>
        <v>Spangle Mermaid Skirt</v>
      </c>
      <c r="K664" s="6">
        <v>0</v>
      </c>
      <c r="L664" s="6">
        <v>0</v>
      </c>
      <c r="M664" s="6">
        <v>0</v>
      </c>
      <c r="N664" s="6" t="str">
        <f>""</f>
        <v/>
      </c>
      <c r="O664" s="6">
        <v>32697</v>
      </c>
      <c r="P664" s="6" t="s">
        <v>2963</v>
      </c>
      <c r="R664" s="6" t="s">
        <v>1555</v>
      </c>
      <c r="S664" s="6" t="s">
        <v>2964</v>
      </c>
      <c r="T664" s="6">
        <v>0</v>
      </c>
      <c r="U664" s="6">
        <v>0</v>
      </c>
      <c r="V664" s="6">
        <v>0</v>
      </c>
      <c r="W664" s="6">
        <v>0</v>
      </c>
      <c r="X664" s="6" t="s">
        <v>169</v>
      </c>
      <c r="Z664" s="6" t="s">
        <v>170</v>
      </c>
      <c r="AA664" s="6" t="s">
        <v>171</v>
      </c>
      <c r="AB664" s="6">
        <v>0</v>
      </c>
      <c r="AC664" s="6" t="str">
        <f>""</f>
        <v/>
      </c>
      <c r="AS664" s="6">
        <v>0</v>
      </c>
      <c r="AT664" s="6">
        <v>0</v>
      </c>
    </row>
    <row r="665" spans="2:46">
      <c r="B665" s="6" t="s">
        <v>2724</v>
      </c>
      <c r="D665" s="6" t="s">
        <v>1561</v>
      </c>
      <c r="F665" s="6" t="s">
        <v>2965</v>
      </c>
      <c r="G665" s="6" t="str">
        <f>"SDY17FW017NV"</f>
        <v>SDY17FW017NV</v>
      </c>
      <c r="H665" s="6" t="s">
        <v>2966</v>
      </c>
      <c r="I665" s="6" t="s">
        <v>2967</v>
      </c>
      <c r="J665" s="6" t="str">
        <f>"Boucle Skirt"</f>
        <v>Boucle Skirt</v>
      </c>
      <c r="K665" s="6">
        <v>0</v>
      </c>
      <c r="L665" s="6">
        <v>0</v>
      </c>
      <c r="M665" s="6">
        <v>0</v>
      </c>
      <c r="N665" s="6" t="str">
        <f>""</f>
        <v/>
      </c>
      <c r="O665" s="6">
        <v>32695</v>
      </c>
      <c r="P665" s="6" t="s">
        <v>2968</v>
      </c>
      <c r="R665" s="6" t="s">
        <v>2943</v>
      </c>
      <c r="S665" s="6" t="s">
        <v>2969</v>
      </c>
      <c r="T665" s="6">
        <v>0</v>
      </c>
      <c r="U665" s="6">
        <v>0</v>
      </c>
      <c r="V665" s="6">
        <v>0</v>
      </c>
      <c r="W665" s="6">
        <v>0</v>
      </c>
      <c r="X665" s="6" t="s">
        <v>169</v>
      </c>
      <c r="Z665" s="6" t="s">
        <v>170</v>
      </c>
      <c r="AA665" s="6" t="s">
        <v>171</v>
      </c>
      <c r="AB665" s="6">
        <v>0</v>
      </c>
      <c r="AC665" s="6" t="str">
        <f>""</f>
        <v/>
      </c>
      <c r="AS665" s="6">
        <v>0</v>
      </c>
      <c r="AT665" s="6">
        <v>0</v>
      </c>
    </row>
    <row r="666" spans="2:46">
      <c r="B666" s="6" t="s">
        <v>2724</v>
      </c>
      <c r="D666" s="6" t="s">
        <v>1561</v>
      </c>
      <c r="F666" s="6" t="s">
        <v>2970</v>
      </c>
      <c r="G666" s="6" t="str">
        <f>"SDY17FW016OR"</f>
        <v>SDY17FW016OR</v>
      </c>
      <c r="H666" s="6" t="s">
        <v>2971</v>
      </c>
      <c r="I666" s="6" t="s">
        <v>2972</v>
      </c>
      <c r="J666" s="6" t="str">
        <f>"Glen Check Skirt"</f>
        <v>Glen Check Skirt</v>
      </c>
      <c r="K666" s="6">
        <v>0</v>
      </c>
      <c r="L666" s="6">
        <v>0</v>
      </c>
      <c r="M666" s="6">
        <v>0</v>
      </c>
      <c r="N666" s="6" t="str">
        <f>""</f>
        <v/>
      </c>
      <c r="O666" s="6">
        <v>32693</v>
      </c>
      <c r="P666" s="6" t="s">
        <v>2973</v>
      </c>
      <c r="R666" s="6" t="s">
        <v>2949</v>
      </c>
      <c r="S666" s="6" t="s">
        <v>2974</v>
      </c>
      <c r="T666" s="6">
        <v>0</v>
      </c>
      <c r="U666" s="6">
        <v>0</v>
      </c>
      <c r="V666" s="6">
        <v>0</v>
      </c>
      <c r="W666" s="6">
        <v>0</v>
      </c>
      <c r="X666" s="6" t="s">
        <v>169</v>
      </c>
      <c r="Z666" s="6" t="s">
        <v>170</v>
      </c>
      <c r="AA666" s="6" t="s">
        <v>171</v>
      </c>
      <c r="AB666" s="6">
        <v>0</v>
      </c>
      <c r="AC666" s="6" t="str">
        <f>""</f>
        <v/>
      </c>
      <c r="AS666" s="6">
        <v>0</v>
      </c>
      <c r="AT666" s="6">
        <v>0</v>
      </c>
    </row>
    <row r="667" spans="2:46">
      <c r="B667" s="6" t="s">
        <v>2724</v>
      </c>
      <c r="D667" s="6" t="s">
        <v>1561</v>
      </c>
      <c r="F667" s="6" t="s">
        <v>2975</v>
      </c>
      <c r="G667" s="6" t="str">
        <f>"SDY17FW016RD"</f>
        <v>SDY17FW016RD</v>
      </c>
      <c r="H667" s="6" t="s">
        <v>2976</v>
      </c>
      <c r="I667" s="6" t="s">
        <v>2972</v>
      </c>
      <c r="J667" s="6" t="str">
        <f>"Glen Check Skirt"</f>
        <v>Glen Check Skirt</v>
      </c>
      <c r="K667" s="6">
        <v>0</v>
      </c>
      <c r="L667" s="6">
        <v>0</v>
      </c>
      <c r="M667" s="6">
        <v>0</v>
      </c>
      <c r="N667" s="6" t="str">
        <f>""</f>
        <v/>
      </c>
      <c r="O667" s="6">
        <v>32692</v>
      </c>
      <c r="P667" s="6" t="s">
        <v>2977</v>
      </c>
      <c r="R667" s="6" t="s">
        <v>2954</v>
      </c>
      <c r="S667" s="6" t="s">
        <v>2978</v>
      </c>
      <c r="T667" s="6">
        <v>0</v>
      </c>
      <c r="U667" s="6">
        <v>0</v>
      </c>
      <c r="V667" s="6">
        <v>0</v>
      </c>
      <c r="W667" s="6">
        <v>0</v>
      </c>
      <c r="X667" s="6" t="s">
        <v>169</v>
      </c>
      <c r="Z667" s="6" t="s">
        <v>170</v>
      </c>
      <c r="AA667" s="6" t="s">
        <v>171</v>
      </c>
      <c r="AB667" s="6">
        <v>0</v>
      </c>
      <c r="AC667" s="6" t="str">
        <f>""</f>
        <v/>
      </c>
      <c r="AS667" s="6">
        <v>0</v>
      </c>
      <c r="AT667" s="6">
        <v>0</v>
      </c>
    </row>
    <row r="668" spans="2:46">
      <c r="B668" s="6" t="s">
        <v>2724</v>
      </c>
      <c r="D668" s="6" t="s">
        <v>1561</v>
      </c>
      <c r="F668" s="6" t="s">
        <v>2979</v>
      </c>
      <c r="G668" s="6" t="str">
        <f>"SDY17FW015GR"</f>
        <v>SDY17FW015GR</v>
      </c>
      <c r="H668" s="6" t="s">
        <v>2980</v>
      </c>
      <c r="I668" s="6" t="s">
        <v>2981</v>
      </c>
      <c r="J668" s="6" t="str">
        <f>"Check Dress"</f>
        <v>Check Dress</v>
      </c>
      <c r="K668" s="6">
        <v>0</v>
      </c>
      <c r="L668" s="6">
        <v>0</v>
      </c>
      <c r="M668" s="6">
        <v>0</v>
      </c>
      <c r="N668" s="6" t="str">
        <f>""</f>
        <v/>
      </c>
      <c r="O668" s="6">
        <v>32690</v>
      </c>
      <c r="P668" s="6" t="s">
        <v>2982</v>
      </c>
      <c r="R668" s="6" t="s">
        <v>2983</v>
      </c>
      <c r="S668" s="6" t="s">
        <v>2984</v>
      </c>
      <c r="T668" s="6">
        <v>0</v>
      </c>
      <c r="U668" s="6">
        <v>0</v>
      </c>
      <c r="V668" s="6">
        <v>0</v>
      </c>
      <c r="W668" s="6">
        <v>0</v>
      </c>
      <c r="X668" s="6" t="s">
        <v>169</v>
      </c>
      <c r="Z668" s="6" t="s">
        <v>170</v>
      </c>
      <c r="AA668" s="6" t="s">
        <v>171</v>
      </c>
      <c r="AB668" s="6">
        <v>0</v>
      </c>
      <c r="AC668" s="6" t="str">
        <f>""</f>
        <v/>
      </c>
      <c r="AS668" s="6">
        <v>0</v>
      </c>
      <c r="AT668" s="6">
        <v>0</v>
      </c>
    </row>
    <row r="669" spans="2:46">
      <c r="B669" s="6" t="s">
        <v>2724</v>
      </c>
      <c r="D669" s="6" t="s">
        <v>1561</v>
      </c>
      <c r="F669" s="6" t="s">
        <v>2985</v>
      </c>
      <c r="G669" s="6" t="str">
        <f>"SDY17FW014BK"</f>
        <v>SDY17FW014BK</v>
      </c>
      <c r="H669" s="6" t="s">
        <v>2986</v>
      </c>
      <c r="I669" s="6" t="s">
        <v>2987</v>
      </c>
      <c r="J669" s="6" t="str">
        <f>"Gold Star Velvet Dress"</f>
        <v>Gold Star Velvet Dress</v>
      </c>
      <c r="K669" s="6">
        <v>0</v>
      </c>
      <c r="L669" s="6">
        <v>0</v>
      </c>
      <c r="M669" s="6">
        <v>0</v>
      </c>
      <c r="N669" s="6" t="str">
        <f>""</f>
        <v/>
      </c>
      <c r="O669" s="6">
        <v>32688</v>
      </c>
      <c r="P669" s="6" t="s">
        <v>2988</v>
      </c>
      <c r="R669" s="6" t="s">
        <v>2989</v>
      </c>
      <c r="S669" s="6" t="s">
        <v>2990</v>
      </c>
      <c r="T669" s="6">
        <v>0</v>
      </c>
      <c r="U669" s="6">
        <v>0</v>
      </c>
      <c r="V669" s="6">
        <v>0</v>
      </c>
      <c r="W669" s="6">
        <v>0</v>
      </c>
      <c r="X669" s="6" t="s">
        <v>169</v>
      </c>
      <c r="Z669" s="6" t="s">
        <v>170</v>
      </c>
      <c r="AA669" s="6" t="s">
        <v>171</v>
      </c>
      <c r="AB669" s="6">
        <v>0</v>
      </c>
      <c r="AC669" s="6" t="str">
        <f>""</f>
        <v/>
      </c>
      <c r="AS669" s="6">
        <v>0</v>
      </c>
      <c r="AT669" s="6">
        <v>0</v>
      </c>
    </row>
    <row r="670" spans="2:46">
      <c r="B670" s="6" t="s">
        <v>2724</v>
      </c>
      <c r="D670" s="6" t="s">
        <v>1561</v>
      </c>
      <c r="F670" s="6" t="s">
        <v>2991</v>
      </c>
      <c r="G670" s="6" t="str">
        <f>"SDY17FW013NV"</f>
        <v>SDY17FW013NV</v>
      </c>
      <c r="H670" s="6" t="s">
        <v>2992</v>
      </c>
      <c r="I670" s="6" t="s">
        <v>2993</v>
      </c>
      <c r="J670" s="6" t="str">
        <f>"Wrap Shirt Dress"</f>
        <v>Wrap Shirt Dress</v>
      </c>
      <c r="K670" s="6">
        <v>0</v>
      </c>
      <c r="L670" s="6">
        <v>0</v>
      </c>
      <c r="M670" s="6">
        <v>0</v>
      </c>
      <c r="N670" s="6" t="str">
        <f>""</f>
        <v/>
      </c>
      <c r="O670" s="6">
        <v>32686</v>
      </c>
      <c r="P670" s="6" t="s">
        <v>2994</v>
      </c>
      <c r="R670" s="6" t="s">
        <v>2943</v>
      </c>
      <c r="S670" s="6" t="s">
        <v>2995</v>
      </c>
      <c r="T670" s="6">
        <v>0</v>
      </c>
      <c r="U670" s="6">
        <v>0</v>
      </c>
      <c r="V670" s="6">
        <v>0</v>
      </c>
      <c r="W670" s="6">
        <v>0</v>
      </c>
      <c r="X670" s="6" t="s">
        <v>169</v>
      </c>
      <c r="Z670" s="6" t="s">
        <v>170</v>
      </c>
      <c r="AA670" s="6" t="s">
        <v>171</v>
      </c>
      <c r="AB670" s="6">
        <v>0</v>
      </c>
      <c r="AC670" s="6" t="str">
        <f>""</f>
        <v/>
      </c>
      <c r="AS670" s="6">
        <v>0</v>
      </c>
      <c r="AT670" s="6">
        <v>0</v>
      </c>
    </row>
    <row r="671" spans="2:46">
      <c r="B671" s="6" t="s">
        <v>2724</v>
      </c>
      <c r="D671" s="6" t="s">
        <v>1561</v>
      </c>
      <c r="F671" s="6" t="s">
        <v>2996</v>
      </c>
      <c r="G671" s="6" t="str">
        <f>"SDY17FW013WT"</f>
        <v>SDY17FW013WT</v>
      </c>
      <c r="H671" s="6" t="s">
        <v>2997</v>
      </c>
      <c r="I671" s="6" t="s">
        <v>2993</v>
      </c>
      <c r="J671" s="6" t="str">
        <f>"Wrap Shirt Dress"</f>
        <v>Wrap Shirt Dress</v>
      </c>
      <c r="K671" s="6">
        <v>0</v>
      </c>
      <c r="L671" s="6">
        <v>0</v>
      </c>
      <c r="M671" s="6">
        <v>0</v>
      </c>
      <c r="N671" s="6" t="str">
        <f>""</f>
        <v/>
      </c>
      <c r="O671" s="6">
        <v>32685</v>
      </c>
      <c r="P671" s="6" t="s">
        <v>2998</v>
      </c>
      <c r="R671" s="6" t="s">
        <v>2999</v>
      </c>
      <c r="S671" s="6" t="s">
        <v>3000</v>
      </c>
      <c r="T671" s="6">
        <v>0</v>
      </c>
      <c r="U671" s="6">
        <v>0</v>
      </c>
      <c r="V671" s="6">
        <v>0</v>
      </c>
      <c r="W671" s="6">
        <v>0</v>
      </c>
      <c r="X671" s="6" t="s">
        <v>169</v>
      </c>
      <c r="Z671" s="6" t="s">
        <v>170</v>
      </c>
      <c r="AA671" s="6" t="s">
        <v>171</v>
      </c>
      <c r="AB671" s="6">
        <v>0</v>
      </c>
      <c r="AC671" s="6" t="str">
        <f>""</f>
        <v/>
      </c>
      <c r="AS671" s="6">
        <v>0</v>
      </c>
      <c r="AT671" s="6">
        <v>0</v>
      </c>
    </row>
    <row r="672" spans="2:46">
      <c r="B672" s="6" t="s">
        <v>2724</v>
      </c>
      <c r="D672" s="6" t="s">
        <v>1561</v>
      </c>
      <c r="F672" s="6" t="s">
        <v>3001</v>
      </c>
      <c r="G672" s="6" t="str">
        <f>"SDY17FW012NV"</f>
        <v>SDY17FW012NV</v>
      </c>
      <c r="H672" s="6" t="s">
        <v>3002</v>
      </c>
      <c r="I672" s="6" t="s">
        <v>3003</v>
      </c>
      <c r="J672" s="6" t="str">
        <f>"Navy Wrap Shirt"</f>
        <v>Navy Wrap Shirt</v>
      </c>
      <c r="K672" s="6">
        <v>0</v>
      </c>
      <c r="L672" s="6">
        <v>0</v>
      </c>
      <c r="M672" s="6">
        <v>0</v>
      </c>
      <c r="N672" s="6" t="str">
        <f>""</f>
        <v/>
      </c>
      <c r="O672" s="6">
        <v>32683</v>
      </c>
      <c r="P672" s="6" t="s">
        <v>3004</v>
      </c>
      <c r="R672" s="6" t="s">
        <v>2943</v>
      </c>
      <c r="S672" s="6" t="s">
        <v>3005</v>
      </c>
      <c r="T672" s="6">
        <v>0</v>
      </c>
      <c r="U672" s="6">
        <v>0</v>
      </c>
      <c r="V672" s="6">
        <v>0</v>
      </c>
      <c r="W672" s="6">
        <v>0</v>
      </c>
      <c r="X672" s="6" t="s">
        <v>169</v>
      </c>
      <c r="Z672" s="6" t="s">
        <v>170</v>
      </c>
      <c r="AA672" s="6" t="s">
        <v>171</v>
      </c>
      <c r="AB672" s="6">
        <v>0</v>
      </c>
      <c r="AC672" s="6" t="str">
        <f>""</f>
        <v/>
      </c>
      <c r="AS672" s="6">
        <v>0</v>
      </c>
      <c r="AT672" s="6">
        <v>0</v>
      </c>
    </row>
    <row r="673" spans="2:46">
      <c r="B673" s="6" t="s">
        <v>2724</v>
      </c>
      <c r="D673" s="6" t="s">
        <v>1561</v>
      </c>
      <c r="F673" s="6" t="s">
        <v>3006</v>
      </c>
      <c r="G673" s="6" t="str">
        <f>"SDY17FW011ST"</f>
        <v>SDY17FW011ST</v>
      </c>
      <c r="H673" s="6" t="s">
        <v>3007</v>
      </c>
      <c r="I673" s="6" t="s">
        <v>3008</v>
      </c>
      <c r="J673" s="6" t="str">
        <f>"Stripe Wrap Shirt"</f>
        <v>Stripe Wrap Shirt</v>
      </c>
      <c r="K673" s="6">
        <v>0</v>
      </c>
      <c r="L673" s="6">
        <v>0</v>
      </c>
      <c r="M673" s="6">
        <v>0</v>
      </c>
      <c r="N673" s="6" t="str">
        <f>""</f>
        <v/>
      </c>
      <c r="O673" s="6">
        <v>32681</v>
      </c>
      <c r="P673" s="6" t="s">
        <v>3009</v>
      </c>
      <c r="R673" s="6" t="s">
        <v>3010</v>
      </c>
      <c r="S673" s="6" t="s">
        <v>3011</v>
      </c>
      <c r="T673" s="6">
        <v>0</v>
      </c>
      <c r="U673" s="6">
        <v>0</v>
      </c>
      <c r="V673" s="6">
        <v>0</v>
      </c>
      <c r="W673" s="6">
        <v>0</v>
      </c>
      <c r="X673" s="6" t="s">
        <v>169</v>
      </c>
      <c r="Z673" s="6" t="s">
        <v>170</v>
      </c>
      <c r="AA673" s="6" t="s">
        <v>171</v>
      </c>
      <c r="AB673" s="6">
        <v>0</v>
      </c>
      <c r="AC673" s="6" t="str">
        <f>""</f>
        <v/>
      </c>
      <c r="AS673" s="6">
        <v>0</v>
      </c>
      <c r="AT673" s="6">
        <v>0</v>
      </c>
    </row>
    <row r="674" spans="2:46">
      <c r="B674" s="6" t="s">
        <v>2724</v>
      </c>
      <c r="D674" s="6" t="s">
        <v>1561</v>
      </c>
      <c r="F674" s="6" t="s">
        <v>3012</v>
      </c>
      <c r="G674" s="6" t="str">
        <f>"SDY17FW010WT"</f>
        <v>SDY17FW010WT</v>
      </c>
      <c r="H674" s="6" t="s">
        <v>3013</v>
      </c>
      <c r="I674" s="6" t="s">
        <v>3014</v>
      </c>
      <c r="J674" s="6" t="str">
        <f>"White Wrap Shirt"</f>
        <v>White Wrap Shirt</v>
      </c>
      <c r="K674" s="6">
        <v>0</v>
      </c>
      <c r="L674" s="6">
        <v>0</v>
      </c>
      <c r="M674" s="6">
        <v>0</v>
      </c>
      <c r="N674" s="6" t="str">
        <f>""</f>
        <v/>
      </c>
      <c r="O674" s="6">
        <v>32679</v>
      </c>
      <c r="P674" s="6" t="s">
        <v>3015</v>
      </c>
      <c r="R674" s="6" t="s">
        <v>2999</v>
      </c>
      <c r="S674" s="6" t="s">
        <v>3016</v>
      </c>
      <c r="T674" s="6">
        <v>0</v>
      </c>
      <c r="U674" s="6">
        <v>0</v>
      </c>
      <c r="V674" s="6">
        <v>0</v>
      </c>
      <c r="W674" s="6">
        <v>0</v>
      </c>
      <c r="X674" s="6" t="s">
        <v>169</v>
      </c>
      <c r="Z674" s="6" t="s">
        <v>170</v>
      </c>
      <c r="AA674" s="6" t="s">
        <v>171</v>
      </c>
      <c r="AB674" s="6">
        <v>0</v>
      </c>
      <c r="AC674" s="6" t="str">
        <f>""</f>
        <v/>
      </c>
      <c r="AS674" s="6">
        <v>0</v>
      </c>
      <c r="AT674" s="6">
        <v>0</v>
      </c>
    </row>
    <row r="675" spans="2:46">
      <c r="B675" s="6" t="s">
        <v>2724</v>
      </c>
      <c r="D675" s="6" t="s">
        <v>1561</v>
      </c>
      <c r="F675" s="6" t="s">
        <v>3017</v>
      </c>
      <c r="G675" s="6" t="str">
        <f>"SDY17FW009RD"</f>
        <v>SDY17FW009RD</v>
      </c>
      <c r="H675" s="6" t="s">
        <v>3018</v>
      </c>
      <c r="I675" s="6" t="s">
        <v>3019</v>
      </c>
      <c r="J675" s="6" t="str">
        <f>"Check Ruffle Blouse"</f>
        <v>Check Ruffle Blouse</v>
      </c>
      <c r="K675" s="6">
        <v>0</v>
      </c>
      <c r="L675" s="6">
        <v>0</v>
      </c>
      <c r="M675" s="6">
        <v>0</v>
      </c>
      <c r="N675" s="6" t="str">
        <f>""</f>
        <v/>
      </c>
      <c r="O675" s="6">
        <v>32677</v>
      </c>
      <c r="P675" s="6" t="s">
        <v>3020</v>
      </c>
      <c r="R675" s="6" t="s">
        <v>2954</v>
      </c>
      <c r="S675" s="6" t="s">
        <v>3021</v>
      </c>
      <c r="T675" s="6">
        <v>0</v>
      </c>
      <c r="U675" s="6">
        <v>0</v>
      </c>
      <c r="V675" s="6">
        <v>0</v>
      </c>
      <c r="W675" s="6">
        <v>0</v>
      </c>
      <c r="X675" s="6" t="s">
        <v>169</v>
      </c>
      <c r="Z675" s="6" t="s">
        <v>170</v>
      </c>
      <c r="AA675" s="6" t="s">
        <v>171</v>
      </c>
      <c r="AB675" s="6">
        <v>0</v>
      </c>
      <c r="AC675" s="6" t="str">
        <f>""</f>
        <v/>
      </c>
      <c r="AS675" s="6">
        <v>0</v>
      </c>
      <c r="AT675" s="6">
        <v>0</v>
      </c>
    </row>
    <row r="676" spans="2:46">
      <c r="B676" s="6" t="s">
        <v>2724</v>
      </c>
      <c r="D676" s="6" t="s">
        <v>1561</v>
      </c>
      <c r="F676" s="6" t="s">
        <v>3022</v>
      </c>
      <c r="G676" s="6" t="str">
        <f>"SDY17FW008BK"</f>
        <v>SDY17FW008BK</v>
      </c>
      <c r="H676" s="6" t="s">
        <v>3023</v>
      </c>
      <c r="I676" s="6" t="s">
        <v>3024</v>
      </c>
      <c r="J676" s="6" t="str">
        <f>"Star Sign Ruffle Blouse"</f>
        <v>Star Sign Ruffle Blouse</v>
      </c>
      <c r="K676" s="6">
        <v>0</v>
      </c>
      <c r="L676" s="6">
        <v>0</v>
      </c>
      <c r="M676" s="6">
        <v>0</v>
      </c>
      <c r="N676" s="6" t="str">
        <f>""</f>
        <v/>
      </c>
      <c r="O676" s="6">
        <v>32675</v>
      </c>
      <c r="P676" s="6" t="s">
        <v>3025</v>
      </c>
      <c r="R676" s="6" t="s">
        <v>2989</v>
      </c>
      <c r="S676" s="6" t="s">
        <v>3026</v>
      </c>
      <c r="T676" s="6">
        <v>0</v>
      </c>
      <c r="U676" s="6">
        <v>0</v>
      </c>
      <c r="V676" s="6">
        <v>0</v>
      </c>
      <c r="W676" s="6">
        <v>0</v>
      </c>
      <c r="X676" s="6" t="s">
        <v>169</v>
      </c>
      <c r="Z676" s="6" t="s">
        <v>170</v>
      </c>
      <c r="AA676" s="6" t="s">
        <v>171</v>
      </c>
      <c r="AB676" s="6">
        <v>0</v>
      </c>
      <c r="AC676" s="6" t="str">
        <f>""</f>
        <v/>
      </c>
      <c r="AS676" s="6">
        <v>0</v>
      </c>
      <c r="AT676" s="6">
        <v>0</v>
      </c>
    </row>
    <row r="677" spans="2:46">
      <c r="B677" s="6" t="s">
        <v>2724</v>
      </c>
      <c r="D677" s="6" t="s">
        <v>1561</v>
      </c>
      <c r="F677" s="6" t="s">
        <v>3027</v>
      </c>
      <c r="G677" s="6" t="str">
        <f>"SDY17FW006BGD"</f>
        <v>SDY17FW006BGD</v>
      </c>
      <c r="H677" s="6" t="s">
        <v>3028</v>
      </c>
      <c r="I677" s="6" t="s">
        <v>3029</v>
      </c>
      <c r="J677" s="6" t="str">
        <f>"Etoiles Hoodie_Burgundy"</f>
        <v>Etoiles Hoodie_Burgundy</v>
      </c>
      <c r="K677" s="6">
        <v>0</v>
      </c>
      <c r="L677" s="6">
        <v>0</v>
      </c>
      <c r="M677" s="6">
        <v>0</v>
      </c>
      <c r="N677" s="6" t="str">
        <f>""</f>
        <v/>
      </c>
      <c r="O677" s="6">
        <v>32673</v>
      </c>
      <c r="P677" s="6" t="s">
        <v>3030</v>
      </c>
      <c r="R677" s="6" t="s">
        <v>3031</v>
      </c>
      <c r="S677" s="6" t="s">
        <v>3032</v>
      </c>
      <c r="T677" s="6">
        <v>0</v>
      </c>
      <c r="U677" s="6">
        <v>0</v>
      </c>
      <c r="V677" s="6">
        <v>0</v>
      </c>
      <c r="W677" s="6">
        <v>0</v>
      </c>
      <c r="X677" s="6" t="s">
        <v>169</v>
      </c>
      <c r="Z677" s="6" t="s">
        <v>170</v>
      </c>
      <c r="AA677" s="6" t="s">
        <v>171</v>
      </c>
      <c r="AB677" s="6">
        <v>0</v>
      </c>
      <c r="AC677" s="6" t="str">
        <f>""</f>
        <v/>
      </c>
      <c r="AS677" s="6">
        <v>0</v>
      </c>
      <c r="AT677" s="6">
        <v>0</v>
      </c>
    </row>
    <row r="678" spans="2:46">
      <c r="B678" s="6" t="s">
        <v>2724</v>
      </c>
      <c r="D678" s="6" t="s">
        <v>1561</v>
      </c>
      <c r="F678" s="6" t="s">
        <v>3033</v>
      </c>
      <c r="G678" s="6" t="str">
        <f>"SDY17FW006BL"</f>
        <v>SDY17FW006BL</v>
      </c>
      <c r="H678" s="6" t="s">
        <v>3034</v>
      </c>
      <c r="I678" s="6" t="s">
        <v>3035</v>
      </c>
      <c r="J678" s="6" t="str">
        <f>"Etoiles Hoodie_Blue"</f>
        <v>Etoiles Hoodie_Blue</v>
      </c>
      <c r="K678" s="6">
        <v>0</v>
      </c>
      <c r="L678" s="6">
        <v>0</v>
      </c>
      <c r="M678" s="6">
        <v>0</v>
      </c>
      <c r="N678" s="6" t="str">
        <f>""</f>
        <v/>
      </c>
      <c r="O678" s="6">
        <v>32671</v>
      </c>
      <c r="P678" s="6" t="s">
        <v>3036</v>
      </c>
      <c r="R678" s="6" t="s">
        <v>3037</v>
      </c>
      <c r="S678" s="6" t="s">
        <v>3038</v>
      </c>
      <c r="T678" s="6">
        <v>0</v>
      </c>
      <c r="U678" s="6">
        <v>0</v>
      </c>
      <c r="V678" s="6">
        <v>0</v>
      </c>
      <c r="W678" s="6">
        <v>0</v>
      </c>
      <c r="X678" s="6" t="s">
        <v>169</v>
      </c>
      <c r="Z678" s="6" t="s">
        <v>170</v>
      </c>
      <c r="AA678" s="6" t="s">
        <v>171</v>
      </c>
      <c r="AB678" s="6">
        <v>0</v>
      </c>
      <c r="AC678" s="6" t="str">
        <f>""</f>
        <v/>
      </c>
      <c r="AS678" s="6">
        <v>0</v>
      </c>
      <c r="AT678" s="6">
        <v>0</v>
      </c>
    </row>
    <row r="679" spans="2:46">
      <c r="B679" s="6" t="s">
        <v>2724</v>
      </c>
      <c r="D679" s="6" t="s">
        <v>1561</v>
      </c>
      <c r="F679" s="6" t="s">
        <v>3039</v>
      </c>
      <c r="G679" s="6" t="str">
        <f>"SDY17FW005NV"</f>
        <v>SDY17FW005NV</v>
      </c>
      <c r="H679" s="6" t="s">
        <v>3040</v>
      </c>
      <c r="I679" s="6" t="s">
        <v>3041</v>
      </c>
      <c r="J679" s="6" t="str">
        <f>"Cuffs Long Sweatshirt"</f>
        <v>Cuffs Long Sweatshirt</v>
      </c>
      <c r="K679" s="6">
        <v>0</v>
      </c>
      <c r="L679" s="6">
        <v>0</v>
      </c>
      <c r="M679" s="6">
        <v>0</v>
      </c>
      <c r="N679" s="6" t="str">
        <f>""</f>
        <v/>
      </c>
      <c r="O679" s="6">
        <v>32669</v>
      </c>
      <c r="P679" s="6" t="s">
        <v>3042</v>
      </c>
      <c r="R679" s="6" t="s">
        <v>2943</v>
      </c>
      <c r="S679" s="6" t="s">
        <v>3043</v>
      </c>
      <c r="T679" s="6">
        <v>0</v>
      </c>
      <c r="U679" s="6">
        <v>0</v>
      </c>
      <c r="V679" s="6">
        <v>0</v>
      </c>
      <c r="W679" s="6">
        <v>0</v>
      </c>
      <c r="X679" s="6" t="s">
        <v>169</v>
      </c>
      <c r="Z679" s="6" t="s">
        <v>170</v>
      </c>
      <c r="AA679" s="6" t="s">
        <v>171</v>
      </c>
      <c r="AB679" s="6">
        <v>0</v>
      </c>
      <c r="AC679" s="6" t="str">
        <f>""</f>
        <v/>
      </c>
      <c r="AS679" s="6">
        <v>0</v>
      </c>
      <c r="AT679" s="6">
        <v>0</v>
      </c>
    </row>
    <row r="680" spans="2:46">
      <c r="B680" s="6" t="s">
        <v>2724</v>
      </c>
      <c r="D680" s="6" t="s">
        <v>1561</v>
      </c>
      <c r="F680" s="6" t="s">
        <v>3044</v>
      </c>
      <c r="G680" s="6" t="str">
        <f>"SDY17FW004BK"</f>
        <v>SDY17FW004BK</v>
      </c>
      <c r="H680" s="6" t="s">
        <v>3045</v>
      </c>
      <c r="I680" s="6" t="s">
        <v>3046</v>
      </c>
      <c r="J680" s="6" t="str">
        <f>"Off Sholder Knit Top"</f>
        <v>Off Sholder Knit Top</v>
      </c>
      <c r="K680" s="6">
        <v>0</v>
      </c>
      <c r="L680" s="6">
        <v>0</v>
      </c>
      <c r="M680" s="6">
        <v>0</v>
      </c>
      <c r="N680" s="6" t="str">
        <f>""</f>
        <v/>
      </c>
      <c r="O680" s="6">
        <v>32667</v>
      </c>
      <c r="P680" s="6" t="s">
        <v>3047</v>
      </c>
      <c r="R680" s="6" t="s">
        <v>2989</v>
      </c>
      <c r="S680" s="6" t="s">
        <v>3048</v>
      </c>
      <c r="T680" s="6">
        <v>0</v>
      </c>
      <c r="U680" s="6">
        <v>0</v>
      </c>
      <c r="V680" s="6">
        <v>0</v>
      </c>
      <c r="W680" s="6">
        <v>0</v>
      </c>
      <c r="X680" s="6" t="s">
        <v>169</v>
      </c>
      <c r="Z680" s="6" t="s">
        <v>170</v>
      </c>
      <c r="AA680" s="6" t="s">
        <v>171</v>
      </c>
      <c r="AB680" s="6">
        <v>0</v>
      </c>
      <c r="AC680" s="6" t="str">
        <f>""</f>
        <v/>
      </c>
      <c r="AS680" s="6">
        <v>0</v>
      </c>
      <c r="AT680" s="6">
        <v>0</v>
      </c>
    </row>
    <row r="681" spans="2:46">
      <c r="B681" s="6" t="s">
        <v>2724</v>
      </c>
      <c r="D681" s="6" t="s">
        <v>1561</v>
      </c>
      <c r="F681" s="6" t="s">
        <v>3049</v>
      </c>
      <c r="G681" s="6" t="str">
        <f>"SDY17FW021GR"</f>
        <v>SDY17FW021GR</v>
      </c>
      <c r="H681" s="6" t="s">
        <v>3050</v>
      </c>
      <c r="I681" s="6" t="s">
        <v>3051</v>
      </c>
      <c r="J681" s="6" t="str">
        <f>"Stripe Cuffs T"</f>
        <v>Stripe Cuffs T</v>
      </c>
      <c r="K681" s="6">
        <v>0</v>
      </c>
      <c r="L681" s="6">
        <v>0</v>
      </c>
      <c r="M681" s="6">
        <v>0</v>
      </c>
      <c r="N681" s="6" t="str">
        <f>""</f>
        <v/>
      </c>
      <c r="O681" s="6">
        <v>32665</v>
      </c>
      <c r="P681" s="6" t="s">
        <v>3052</v>
      </c>
      <c r="R681" s="6" t="s">
        <v>2983</v>
      </c>
      <c r="S681" s="6" t="s">
        <v>3053</v>
      </c>
      <c r="T681" s="6">
        <v>0</v>
      </c>
      <c r="U681" s="6">
        <v>0</v>
      </c>
      <c r="V681" s="6">
        <v>0</v>
      </c>
      <c r="W681" s="6">
        <v>0</v>
      </c>
      <c r="X681" s="6" t="s">
        <v>169</v>
      </c>
      <c r="Z681" s="6" t="s">
        <v>170</v>
      </c>
      <c r="AA681" s="6" t="s">
        <v>171</v>
      </c>
      <c r="AB681" s="6">
        <v>0</v>
      </c>
      <c r="AC681" s="6" t="str">
        <f>""</f>
        <v/>
      </c>
      <c r="AS681" s="6">
        <v>0</v>
      </c>
      <c r="AT681" s="6">
        <v>0</v>
      </c>
    </row>
    <row r="682" spans="2:46">
      <c r="B682" s="6" t="s">
        <v>2724</v>
      </c>
      <c r="D682" s="6" t="s">
        <v>1561</v>
      </c>
      <c r="F682" s="6" t="s">
        <v>3054</v>
      </c>
      <c r="G682" s="6" t="str">
        <f>"SDY17FW021NV"</f>
        <v>SDY17FW021NV</v>
      </c>
      <c r="H682" s="6" t="s">
        <v>3055</v>
      </c>
      <c r="I682" s="6" t="s">
        <v>3051</v>
      </c>
      <c r="J682" s="6" t="str">
        <f>"Stripe Cuffs T"</f>
        <v>Stripe Cuffs T</v>
      </c>
      <c r="K682" s="6">
        <v>0</v>
      </c>
      <c r="L682" s="6">
        <v>0</v>
      </c>
      <c r="M682" s="6">
        <v>0</v>
      </c>
      <c r="N682" s="6" t="str">
        <f>""</f>
        <v/>
      </c>
      <c r="O682" s="6">
        <v>32664</v>
      </c>
      <c r="P682" s="6" t="s">
        <v>3056</v>
      </c>
      <c r="R682" s="6" t="s">
        <v>2943</v>
      </c>
      <c r="S682" s="6" t="s">
        <v>3057</v>
      </c>
      <c r="T682" s="6">
        <v>0</v>
      </c>
      <c r="U682" s="6">
        <v>0</v>
      </c>
      <c r="V682" s="6">
        <v>0</v>
      </c>
      <c r="W682" s="6">
        <v>0</v>
      </c>
      <c r="X682" s="6" t="s">
        <v>169</v>
      </c>
      <c r="Z682" s="6" t="s">
        <v>170</v>
      </c>
      <c r="AA682" s="6" t="s">
        <v>171</v>
      </c>
      <c r="AB682" s="6">
        <v>0</v>
      </c>
      <c r="AC682" s="6" t="str">
        <f>""</f>
        <v/>
      </c>
      <c r="AS682" s="6">
        <v>0</v>
      </c>
      <c r="AT682" s="6">
        <v>0</v>
      </c>
    </row>
    <row r="683" spans="2:46">
      <c r="B683" s="6" t="s">
        <v>2724</v>
      </c>
      <c r="D683" s="6" t="s">
        <v>1561</v>
      </c>
      <c r="F683" s="6" t="s">
        <v>3058</v>
      </c>
      <c r="G683" s="6" t="str">
        <f>"SDY17FW003BK"</f>
        <v>SDY17FW003BK</v>
      </c>
      <c r="H683" s="6" t="s">
        <v>3059</v>
      </c>
      <c r="I683" s="6" t="s">
        <v>3060</v>
      </c>
      <c r="J683" s="6" t="str">
        <f>"Basic Cuffs T"</f>
        <v>Basic Cuffs T</v>
      </c>
      <c r="K683" s="6">
        <v>0</v>
      </c>
      <c r="L683" s="6">
        <v>0</v>
      </c>
      <c r="M683" s="6">
        <v>0</v>
      </c>
      <c r="N683" s="6" t="str">
        <f>""</f>
        <v/>
      </c>
      <c r="O683" s="6">
        <v>32662</v>
      </c>
      <c r="P683" s="6" t="s">
        <v>3061</v>
      </c>
      <c r="R683" s="6" t="s">
        <v>2989</v>
      </c>
      <c r="S683" s="6" t="s">
        <v>3062</v>
      </c>
      <c r="T683" s="6">
        <v>0</v>
      </c>
      <c r="U683" s="6">
        <v>0</v>
      </c>
      <c r="V683" s="6">
        <v>0</v>
      </c>
      <c r="W683" s="6">
        <v>0</v>
      </c>
      <c r="X683" s="6" t="s">
        <v>169</v>
      </c>
      <c r="Z683" s="6" t="s">
        <v>170</v>
      </c>
      <c r="AA683" s="6" t="s">
        <v>171</v>
      </c>
      <c r="AB683" s="6">
        <v>0</v>
      </c>
      <c r="AC683" s="6" t="str">
        <f>""</f>
        <v/>
      </c>
      <c r="AS683" s="6">
        <v>0</v>
      </c>
      <c r="AT683" s="6">
        <v>0</v>
      </c>
    </row>
    <row r="684" spans="2:46">
      <c r="B684" s="6" t="s">
        <v>2724</v>
      </c>
      <c r="D684" s="6" t="s">
        <v>1561</v>
      </c>
      <c r="F684" s="6" t="s">
        <v>3063</v>
      </c>
      <c r="G684" s="6" t="str">
        <f>"SDY17FW003BE"</f>
        <v>SDY17FW003BE</v>
      </c>
      <c r="H684" s="6" t="s">
        <v>3064</v>
      </c>
      <c r="I684" s="6" t="s">
        <v>3060</v>
      </c>
      <c r="J684" s="6" t="str">
        <f>"Basic Cuffs T"</f>
        <v>Basic Cuffs T</v>
      </c>
      <c r="K684" s="6">
        <v>0</v>
      </c>
      <c r="L684" s="6">
        <v>0</v>
      </c>
      <c r="M684" s="6">
        <v>0</v>
      </c>
      <c r="N684" s="6" t="str">
        <f>""</f>
        <v/>
      </c>
      <c r="O684" s="6">
        <v>32661</v>
      </c>
      <c r="P684" s="6" t="s">
        <v>3065</v>
      </c>
      <c r="R684" s="6" t="s">
        <v>3066</v>
      </c>
      <c r="S684" s="6" t="s">
        <v>3067</v>
      </c>
      <c r="T684" s="6">
        <v>0</v>
      </c>
      <c r="U684" s="6">
        <v>0</v>
      </c>
      <c r="V684" s="6">
        <v>0</v>
      </c>
      <c r="W684" s="6">
        <v>0</v>
      </c>
      <c r="X684" s="6" t="s">
        <v>169</v>
      </c>
      <c r="Z684" s="6" t="s">
        <v>170</v>
      </c>
      <c r="AA684" s="6" t="s">
        <v>171</v>
      </c>
      <c r="AB684" s="6">
        <v>0</v>
      </c>
      <c r="AC684" s="6" t="str">
        <f>""</f>
        <v/>
      </c>
      <c r="AS684" s="6">
        <v>0</v>
      </c>
      <c r="AT684" s="6">
        <v>0</v>
      </c>
    </row>
    <row r="685" spans="2:46">
      <c r="B685" s="6" t="s">
        <v>2724</v>
      </c>
      <c r="D685" s="6" t="s">
        <v>1561</v>
      </c>
      <c r="F685" s="6" t="s">
        <v>3068</v>
      </c>
      <c r="G685" s="6" t="str">
        <f>"SDY17FW002NV"</f>
        <v>SDY17FW002NV</v>
      </c>
      <c r="H685" s="6" t="s">
        <v>3069</v>
      </c>
      <c r="I685" s="6" t="s">
        <v>3070</v>
      </c>
      <c r="J685" s="6" t="str">
        <f>"Basic Knit Top"</f>
        <v>Basic Knit Top</v>
      </c>
      <c r="K685" s="6">
        <v>0</v>
      </c>
      <c r="L685" s="6">
        <v>0</v>
      </c>
      <c r="M685" s="6">
        <v>0</v>
      </c>
      <c r="N685" s="6" t="str">
        <f>""</f>
        <v/>
      </c>
      <c r="O685" s="6">
        <v>32659</v>
      </c>
      <c r="P685" s="6" t="s">
        <v>3071</v>
      </c>
      <c r="R685" s="6" t="s">
        <v>2943</v>
      </c>
      <c r="S685" s="6" t="s">
        <v>3072</v>
      </c>
      <c r="T685" s="6">
        <v>0</v>
      </c>
      <c r="U685" s="6">
        <v>0</v>
      </c>
      <c r="V685" s="6">
        <v>0</v>
      </c>
      <c r="W685" s="6">
        <v>0</v>
      </c>
      <c r="X685" s="6" t="s">
        <v>169</v>
      </c>
      <c r="Z685" s="6" t="s">
        <v>170</v>
      </c>
      <c r="AA685" s="6" t="s">
        <v>171</v>
      </c>
      <c r="AB685" s="6">
        <v>0</v>
      </c>
      <c r="AC685" s="6" t="str">
        <f>""</f>
        <v/>
      </c>
      <c r="AS685" s="6">
        <v>0</v>
      </c>
      <c r="AT685" s="6">
        <v>0</v>
      </c>
    </row>
    <row r="686" spans="2:46">
      <c r="B686" s="6" t="s">
        <v>2724</v>
      </c>
      <c r="D686" s="6" t="s">
        <v>1561</v>
      </c>
      <c r="F686" s="6" t="s">
        <v>3073</v>
      </c>
      <c r="G686" s="6" t="str">
        <f>"SDY17FW002CA"</f>
        <v>SDY17FW002CA</v>
      </c>
      <c r="H686" s="6" t="s">
        <v>3074</v>
      </c>
      <c r="I686" s="6" t="s">
        <v>3070</v>
      </c>
      <c r="J686" s="6" t="str">
        <f>"Basic Knit Top"</f>
        <v>Basic Knit Top</v>
      </c>
      <c r="K686" s="6">
        <v>0</v>
      </c>
      <c r="L686" s="6">
        <v>0</v>
      </c>
      <c r="M686" s="6">
        <v>0</v>
      </c>
      <c r="N686" s="6" t="str">
        <f>""</f>
        <v/>
      </c>
      <c r="O686" s="6">
        <v>32658</v>
      </c>
      <c r="P686" s="6" t="s">
        <v>3075</v>
      </c>
      <c r="R686" s="6" t="s">
        <v>3076</v>
      </c>
      <c r="S686" s="6" t="s">
        <v>3077</v>
      </c>
      <c r="T686" s="6">
        <v>0</v>
      </c>
      <c r="U686" s="6">
        <v>0</v>
      </c>
      <c r="V686" s="6">
        <v>0</v>
      </c>
      <c r="W686" s="6">
        <v>0</v>
      </c>
      <c r="X686" s="6" t="s">
        <v>169</v>
      </c>
      <c r="Z686" s="6" t="s">
        <v>170</v>
      </c>
      <c r="AA686" s="6" t="s">
        <v>171</v>
      </c>
      <c r="AB686" s="6">
        <v>0</v>
      </c>
      <c r="AC686" s="6" t="str">
        <f>""</f>
        <v/>
      </c>
      <c r="AS686" s="6">
        <v>0</v>
      </c>
      <c r="AT686" s="6">
        <v>0</v>
      </c>
    </row>
    <row r="687" spans="2:46">
      <c r="B687" s="6" t="s">
        <v>2724</v>
      </c>
      <c r="D687" s="6" t="s">
        <v>1561</v>
      </c>
      <c r="F687" s="6" t="s">
        <v>3078</v>
      </c>
      <c r="G687" s="6" t="str">
        <f>"SDY17FW002IV"</f>
        <v>SDY17FW002IV</v>
      </c>
      <c r="H687" s="6" t="s">
        <v>3079</v>
      </c>
      <c r="I687" s="6" t="s">
        <v>3070</v>
      </c>
      <c r="J687" s="6" t="str">
        <f>"Basic Knit Top"</f>
        <v>Basic Knit Top</v>
      </c>
      <c r="K687" s="6">
        <v>0</v>
      </c>
      <c r="L687" s="6">
        <v>0</v>
      </c>
      <c r="M687" s="6">
        <v>0</v>
      </c>
      <c r="N687" s="6" t="str">
        <f>""</f>
        <v/>
      </c>
      <c r="O687" s="6">
        <v>32657</v>
      </c>
      <c r="P687" s="6" t="s">
        <v>3080</v>
      </c>
      <c r="R687" s="6" t="s">
        <v>3081</v>
      </c>
      <c r="S687" s="6" t="s">
        <v>3082</v>
      </c>
      <c r="T687" s="6">
        <v>0</v>
      </c>
      <c r="U687" s="6">
        <v>0</v>
      </c>
      <c r="V687" s="6">
        <v>0</v>
      </c>
      <c r="W687" s="6">
        <v>0</v>
      </c>
      <c r="X687" s="6" t="s">
        <v>169</v>
      </c>
      <c r="Z687" s="6" t="s">
        <v>170</v>
      </c>
      <c r="AA687" s="6" t="s">
        <v>171</v>
      </c>
      <c r="AB687" s="6">
        <v>0</v>
      </c>
      <c r="AC687" s="6" t="str">
        <f>""</f>
        <v/>
      </c>
      <c r="AS687" s="6">
        <v>0</v>
      </c>
      <c r="AT687" s="6">
        <v>0</v>
      </c>
    </row>
    <row r="688" spans="2:46">
      <c r="B688" s="6" t="s">
        <v>2724</v>
      </c>
      <c r="D688" s="6" t="s">
        <v>1561</v>
      </c>
      <c r="F688" s="6" t="s">
        <v>3083</v>
      </c>
      <c r="G688" s="6" t="str">
        <f>"SDY17FW001IV"</f>
        <v>SDY17FW001IV</v>
      </c>
      <c r="H688" s="6" t="s">
        <v>3084</v>
      </c>
      <c r="I688" s="6" t="s">
        <v>3085</v>
      </c>
      <c r="J688" s="6" t="str">
        <f>"Romantic Lace T"</f>
        <v>Romantic Lace T</v>
      </c>
      <c r="K688" s="6">
        <v>0</v>
      </c>
      <c r="L688" s="6">
        <v>0</v>
      </c>
      <c r="M688" s="6">
        <v>0</v>
      </c>
      <c r="N688" s="6" t="str">
        <f>""</f>
        <v/>
      </c>
      <c r="O688" s="6">
        <v>32655</v>
      </c>
      <c r="P688" s="6" t="s">
        <v>3086</v>
      </c>
      <c r="R688" s="6" t="s">
        <v>3081</v>
      </c>
      <c r="S688" s="6" t="s">
        <v>3087</v>
      </c>
      <c r="T688" s="6">
        <v>0</v>
      </c>
      <c r="U688" s="6">
        <v>0</v>
      </c>
      <c r="V688" s="6">
        <v>0</v>
      </c>
      <c r="W688" s="6">
        <v>0</v>
      </c>
      <c r="X688" s="6" t="s">
        <v>169</v>
      </c>
      <c r="Z688" s="6" t="s">
        <v>170</v>
      </c>
      <c r="AA688" s="6" t="s">
        <v>171</v>
      </c>
      <c r="AB688" s="6">
        <v>0</v>
      </c>
      <c r="AC688" s="6" t="str">
        <f>""</f>
        <v/>
      </c>
      <c r="AS688" s="6">
        <v>0</v>
      </c>
      <c r="AT688" s="6">
        <v>0</v>
      </c>
    </row>
    <row r="689" spans="2:46">
      <c r="B689" s="6" t="s">
        <v>2724</v>
      </c>
      <c r="D689" s="6" t="s">
        <v>1561</v>
      </c>
      <c r="F689" s="6" t="s">
        <v>3088</v>
      </c>
      <c r="G689" s="6" t="str">
        <f>"SDY16WT03BK"</f>
        <v>SDY16WT03BK</v>
      </c>
      <c r="H689" s="6" t="s">
        <v>3089</v>
      </c>
      <c r="I689" s="6" t="s">
        <v>3090</v>
      </c>
      <c r="J689" s="6" t="str">
        <f>"Velvet Scarf Knit Vest_Black"</f>
        <v>Velvet Scarf Knit Vest_Black</v>
      </c>
      <c r="K689" s="6">
        <v>0</v>
      </c>
      <c r="L689" s="6">
        <v>0</v>
      </c>
      <c r="M689" s="6">
        <v>0</v>
      </c>
      <c r="N689" s="6" t="str">
        <f>""</f>
        <v/>
      </c>
      <c r="O689" s="6">
        <v>32653</v>
      </c>
      <c r="P689" s="6" t="s">
        <v>3091</v>
      </c>
      <c r="R689" s="6" t="s">
        <v>2989</v>
      </c>
      <c r="S689" s="6" t="s">
        <v>3092</v>
      </c>
      <c r="T689" s="6">
        <v>0</v>
      </c>
      <c r="U689" s="6">
        <v>0</v>
      </c>
      <c r="V689" s="6">
        <v>0</v>
      </c>
      <c r="W689" s="6">
        <v>0</v>
      </c>
      <c r="X689" s="6" t="s">
        <v>169</v>
      </c>
      <c r="Z689" s="6" t="s">
        <v>170</v>
      </c>
      <c r="AA689" s="6" t="s">
        <v>171</v>
      </c>
      <c r="AB689" s="6">
        <v>0</v>
      </c>
      <c r="AC689" s="6" t="str">
        <f>""</f>
        <v/>
      </c>
      <c r="AS689" s="6">
        <v>0</v>
      </c>
      <c r="AT689" s="6">
        <v>0</v>
      </c>
    </row>
    <row r="690" spans="2:46">
      <c r="B690" s="6" t="s">
        <v>2724</v>
      </c>
      <c r="D690" s="6" t="s">
        <v>1561</v>
      </c>
      <c r="F690" s="6" t="s">
        <v>3093</v>
      </c>
      <c r="G690" s="6" t="str">
        <f>"SDY17VCDR04WH"</f>
        <v>SDY17VCDR04WH</v>
      </c>
      <c r="H690" s="6" t="s">
        <v>3094</v>
      </c>
      <c r="I690" s="6" t="s">
        <v>3095</v>
      </c>
      <c r="J690" s="6" t="str">
        <f>"Sleeveless Dress_White"</f>
        <v>Sleeveless Dress_White</v>
      </c>
      <c r="K690" s="6">
        <v>0</v>
      </c>
      <c r="L690" s="6">
        <v>0</v>
      </c>
      <c r="M690" s="6">
        <v>0</v>
      </c>
      <c r="N690" s="6" t="str">
        <f>""</f>
        <v/>
      </c>
      <c r="O690" s="6">
        <v>32649</v>
      </c>
      <c r="P690" s="6" t="s">
        <v>3096</v>
      </c>
      <c r="R690" s="6" t="s">
        <v>3097</v>
      </c>
      <c r="S690" s="6" t="s">
        <v>3098</v>
      </c>
      <c r="T690" s="6">
        <v>0</v>
      </c>
      <c r="U690" s="6">
        <v>0</v>
      </c>
      <c r="V690" s="6">
        <v>0</v>
      </c>
      <c r="W690" s="6">
        <v>0</v>
      </c>
      <c r="X690" s="6" t="s">
        <v>169</v>
      </c>
      <c r="Z690" s="6" t="s">
        <v>170</v>
      </c>
      <c r="AA690" s="6" t="s">
        <v>171</v>
      </c>
      <c r="AB690" s="6">
        <v>0</v>
      </c>
      <c r="AC690" s="6" t="str">
        <f>""</f>
        <v/>
      </c>
      <c r="AS690" s="6">
        <v>0</v>
      </c>
      <c r="AT690" s="6">
        <v>0</v>
      </c>
    </row>
    <row r="691" spans="2:46">
      <c r="B691" s="6" t="s">
        <v>2724</v>
      </c>
      <c r="D691" s="6" t="s">
        <v>1561</v>
      </c>
      <c r="F691" s="6" t="s">
        <v>3099</v>
      </c>
      <c r="G691" s="6" t="str">
        <f>"SDY16WT04BK"</f>
        <v>SDY16WT04BK</v>
      </c>
      <c r="H691" s="6" t="s">
        <v>3100</v>
      </c>
      <c r="I691" s="6" t="s">
        <v>3101</v>
      </c>
      <c r="J691" s="6" t="str">
        <f>"Velvet Scarf V-neck Top"</f>
        <v>Velvet Scarf V-neck Top</v>
      </c>
      <c r="K691" s="6">
        <v>0</v>
      </c>
      <c r="L691" s="6">
        <v>0</v>
      </c>
      <c r="M691" s="6">
        <v>0</v>
      </c>
      <c r="N691" s="6" t="str">
        <f>""</f>
        <v/>
      </c>
      <c r="O691" s="6">
        <v>32650</v>
      </c>
      <c r="P691" s="6" t="s">
        <v>3102</v>
      </c>
      <c r="R691" s="6" t="s">
        <v>1511</v>
      </c>
      <c r="S691" s="6" t="s">
        <v>3103</v>
      </c>
      <c r="T691" s="6">
        <v>0</v>
      </c>
      <c r="U691" s="6">
        <v>0</v>
      </c>
      <c r="V691" s="6">
        <v>0</v>
      </c>
      <c r="W691" s="6">
        <v>0</v>
      </c>
      <c r="X691" s="6" t="s">
        <v>169</v>
      </c>
      <c r="Z691" s="6" t="s">
        <v>170</v>
      </c>
      <c r="AA691" s="6" t="s">
        <v>171</v>
      </c>
      <c r="AB691" s="6">
        <v>0</v>
      </c>
      <c r="AC691" s="6" t="str">
        <f>""</f>
        <v/>
      </c>
      <c r="AS691" s="6">
        <v>0</v>
      </c>
      <c r="AT691" s="6">
        <v>1</v>
      </c>
    </row>
    <row r="692" spans="2:46">
      <c r="B692" s="6" t="s">
        <v>2724</v>
      </c>
      <c r="D692" s="6" t="s">
        <v>1561</v>
      </c>
      <c r="F692" s="6" t="s">
        <v>3104</v>
      </c>
      <c r="G692" s="6" t="str">
        <f>"SDY16WT04PK"</f>
        <v>SDY16WT04PK</v>
      </c>
      <c r="H692" s="6" t="s">
        <v>3105</v>
      </c>
      <c r="I692" s="6" t="s">
        <v>3101</v>
      </c>
      <c r="J692" s="6" t="str">
        <f>"Velvet Scarf V-neck Top"</f>
        <v>Velvet Scarf V-neck Top</v>
      </c>
      <c r="K692" s="6">
        <v>0</v>
      </c>
      <c r="L692" s="6">
        <v>0</v>
      </c>
      <c r="M692" s="6">
        <v>0</v>
      </c>
      <c r="N692" s="6" t="str">
        <f>""</f>
        <v/>
      </c>
      <c r="O692" s="6">
        <v>32647</v>
      </c>
      <c r="P692" s="6" t="s">
        <v>3106</v>
      </c>
      <c r="R692" s="6" t="s">
        <v>3107</v>
      </c>
      <c r="S692" s="6" t="s">
        <v>3108</v>
      </c>
      <c r="T692" s="6">
        <v>0</v>
      </c>
      <c r="U692" s="6">
        <v>0</v>
      </c>
      <c r="V692" s="6">
        <v>0</v>
      </c>
      <c r="W692" s="6">
        <v>0</v>
      </c>
      <c r="X692" s="6" t="s">
        <v>169</v>
      </c>
      <c r="Z692" s="6" t="s">
        <v>170</v>
      </c>
      <c r="AA692" s="6" t="s">
        <v>171</v>
      </c>
      <c r="AB692" s="6">
        <v>0</v>
      </c>
      <c r="AC692" s="6" t="str">
        <f>""</f>
        <v/>
      </c>
      <c r="AS692" s="6">
        <v>0</v>
      </c>
      <c r="AT692" s="6">
        <v>0</v>
      </c>
    </row>
    <row r="693" spans="2:46">
      <c r="B693" s="6" t="s">
        <v>2724</v>
      </c>
      <c r="D693" s="6" t="s">
        <v>1561</v>
      </c>
      <c r="F693" s="6" t="s">
        <v>3109</v>
      </c>
      <c r="G693" s="6" t="str">
        <f>"SDY16WT02BK"</f>
        <v>SDY16WT02BK</v>
      </c>
      <c r="H693" s="6" t="s">
        <v>3110</v>
      </c>
      <c r="I693" s="6" t="s">
        <v>3111</v>
      </c>
      <c r="J693" s="6" t="str">
        <f>"High Neck Stripe T_Black"</f>
        <v>High Neck Stripe T_Black</v>
      </c>
      <c r="K693" s="6">
        <v>0</v>
      </c>
      <c r="L693" s="6">
        <v>0</v>
      </c>
      <c r="M693" s="6">
        <v>0</v>
      </c>
      <c r="N693" s="6" t="str">
        <f>""</f>
        <v/>
      </c>
      <c r="O693" s="6">
        <v>32645</v>
      </c>
      <c r="P693" s="6" t="s">
        <v>3112</v>
      </c>
      <c r="R693" s="6" t="s">
        <v>2989</v>
      </c>
      <c r="S693" s="6" t="s">
        <v>3113</v>
      </c>
      <c r="T693" s="6">
        <v>0</v>
      </c>
      <c r="U693" s="6">
        <v>0</v>
      </c>
      <c r="V693" s="6">
        <v>0</v>
      </c>
      <c r="W693" s="6">
        <v>0</v>
      </c>
      <c r="X693" s="6" t="s">
        <v>169</v>
      </c>
      <c r="Z693" s="6" t="s">
        <v>170</v>
      </c>
      <c r="AA693" s="6" t="s">
        <v>171</v>
      </c>
      <c r="AB693" s="6">
        <v>0</v>
      </c>
      <c r="AC693" s="6" t="str">
        <f>""</f>
        <v/>
      </c>
      <c r="AS693" s="6">
        <v>0</v>
      </c>
      <c r="AT693" s="6">
        <v>0</v>
      </c>
    </row>
    <row r="694" spans="2:46">
      <c r="B694" s="6" t="s">
        <v>2724</v>
      </c>
      <c r="D694" s="6" t="s">
        <v>1561</v>
      </c>
      <c r="F694" s="6" t="s">
        <v>3114</v>
      </c>
      <c r="G694" s="6" t="str">
        <f>"SDY16WT05BK"</f>
        <v>SDY16WT05BK</v>
      </c>
      <c r="H694" s="6" t="s">
        <v>3115</v>
      </c>
      <c r="I694" s="6" t="s">
        <v>3116</v>
      </c>
      <c r="J694" s="6" t="str">
        <f>"Gold Star Embroidery Top"</f>
        <v>Gold Star Embroidery Top</v>
      </c>
      <c r="K694" s="6">
        <v>0</v>
      </c>
      <c r="L694" s="6">
        <v>0</v>
      </c>
      <c r="M694" s="6">
        <v>0</v>
      </c>
      <c r="N694" s="6" t="str">
        <f>""</f>
        <v/>
      </c>
      <c r="O694" s="6">
        <v>32643</v>
      </c>
      <c r="P694" s="6" t="s">
        <v>3117</v>
      </c>
      <c r="R694" s="6" t="s">
        <v>2989</v>
      </c>
      <c r="S694" s="6" t="s">
        <v>3118</v>
      </c>
      <c r="T694" s="6">
        <v>0</v>
      </c>
      <c r="U694" s="6">
        <v>0</v>
      </c>
      <c r="V694" s="6">
        <v>0</v>
      </c>
      <c r="W694" s="6">
        <v>0</v>
      </c>
      <c r="X694" s="6" t="s">
        <v>169</v>
      </c>
      <c r="Z694" s="6" t="s">
        <v>170</v>
      </c>
      <c r="AA694" s="6" t="s">
        <v>171</v>
      </c>
      <c r="AB694" s="6">
        <v>0</v>
      </c>
      <c r="AC694" s="6" t="str">
        <f>""</f>
        <v/>
      </c>
      <c r="AS694" s="6">
        <v>0</v>
      </c>
      <c r="AT694" s="6">
        <v>0</v>
      </c>
    </row>
    <row r="695" spans="2:46">
      <c r="B695" s="6" t="s">
        <v>2724</v>
      </c>
      <c r="D695" s="6" t="s">
        <v>1561</v>
      </c>
      <c r="F695" s="6" t="s">
        <v>3119</v>
      </c>
      <c r="G695" s="6" t="str">
        <f>"SDY16WSS01BK"</f>
        <v>SDY16WSS01BK</v>
      </c>
      <c r="H695" s="6" t="s">
        <v>3120</v>
      </c>
      <c r="I695" s="6" t="s">
        <v>3121</v>
      </c>
      <c r="J695" s="6" t="str">
        <f>"High Neck Sweatshirt"</f>
        <v>High Neck Sweatshirt</v>
      </c>
      <c r="K695" s="6">
        <v>0</v>
      </c>
      <c r="L695" s="6">
        <v>0</v>
      </c>
      <c r="M695" s="6">
        <v>0</v>
      </c>
      <c r="N695" s="6" t="str">
        <f>""</f>
        <v/>
      </c>
      <c r="O695" s="6">
        <v>32651</v>
      </c>
      <c r="P695" s="6" t="s">
        <v>3122</v>
      </c>
      <c r="R695" s="6" t="s">
        <v>2989</v>
      </c>
      <c r="S695" s="6" t="s">
        <v>3123</v>
      </c>
      <c r="T695" s="6">
        <v>0</v>
      </c>
      <c r="U695" s="6">
        <v>0</v>
      </c>
      <c r="V695" s="6">
        <v>0</v>
      </c>
      <c r="W695" s="6">
        <v>0</v>
      </c>
      <c r="X695" s="6" t="s">
        <v>169</v>
      </c>
      <c r="Z695" s="6" t="s">
        <v>170</v>
      </c>
      <c r="AA695" s="6" t="s">
        <v>171</v>
      </c>
      <c r="AB695" s="6">
        <v>0</v>
      </c>
      <c r="AC695" s="6" t="str">
        <f>""</f>
        <v/>
      </c>
      <c r="AS695" s="6">
        <v>0</v>
      </c>
      <c r="AT695" s="6">
        <v>0</v>
      </c>
    </row>
    <row r="696" spans="2:46">
      <c r="B696" s="6" t="s">
        <v>2724</v>
      </c>
      <c r="D696" s="6" t="s">
        <v>1561</v>
      </c>
      <c r="F696" s="6" t="s">
        <v>3124</v>
      </c>
      <c r="G696" s="6" t="str">
        <f>"SDY16WSS01NV"</f>
        <v>SDY16WSS01NV</v>
      </c>
      <c r="H696" s="6" t="s">
        <v>3125</v>
      </c>
      <c r="I696" s="6" t="s">
        <v>3121</v>
      </c>
      <c r="J696" s="6" t="str">
        <f>"High Neck Sweatshirt"</f>
        <v>High Neck Sweatshirt</v>
      </c>
      <c r="K696" s="6">
        <v>0</v>
      </c>
      <c r="L696" s="6">
        <v>0</v>
      </c>
      <c r="M696" s="6">
        <v>0</v>
      </c>
      <c r="N696" s="6" t="str">
        <f>""</f>
        <v/>
      </c>
      <c r="O696" s="6">
        <v>32641</v>
      </c>
      <c r="P696" s="6" t="s">
        <v>3126</v>
      </c>
      <c r="R696" s="6" t="s">
        <v>2943</v>
      </c>
      <c r="S696" s="6" t="s">
        <v>3127</v>
      </c>
      <c r="T696" s="6">
        <v>0</v>
      </c>
      <c r="U696" s="6">
        <v>0</v>
      </c>
      <c r="V696" s="6">
        <v>0</v>
      </c>
      <c r="W696" s="6">
        <v>0</v>
      </c>
      <c r="X696" s="6" t="s">
        <v>169</v>
      </c>
      <c r="Z696" s="6" t="s">
        <v>170</v>
      </c>
      <c r="AA696" s="6" t="s">
        <v>171</v>
      </c>
      <c r="AB696" s="6">
        <v>0</v>
      </c>
      <c r="AC696" s="6" t="str">
        <f>""</f>
        <v/>
      </c>
      <c r="AS696" s="6">
        <v>0</v>
      </c>
      <c r="AT696" s="6">
        <v>0</v>
      </c>
    </row>
    <row r="697" spans="2:46">
      <c r="B697" s="6" t="s">
        <v>2724</v>
      </c>
      <c r="D697" s="6" t="s">
        <v>1561</v>
      </c>
      <c r="F697" s="6" t="s">
        <v>3128</v>
      </c>
      <c r="G697" s="6" t="str">
        <f>"SDY17VCTO05WH"</f>
        <v>SDY17VCTO05WH</v>
      </c>
      <c r="H697" s="6" t="s">
        <v>3129</v>
      </c>
      <c r="I697" s="6" t="s">
        <v>3130</v>
      </c>
      <c r="J697" s="6" t="str">
        <f>"Slogan Sleeveless_White"</f>
        <v>Slogan Sleeveless_White</v>
      </c>
      <c r="K697" s="6">
        <v>0</v>
      </c>
      <c r="L697" s="6">
        <v>0</v>
      </c>
      <c r="M697" s="6">
        <v>0</v>
      </c>
      <c r="N697" s="6" t="str">
        <f>""</f>
        <v/>
      </c>
      <c r="O697" s="6">
        <v>32639</v>
      </c>
      <c r="P697" s="6" t="s">
        <v>3131</v>
      </c>
      <c r="R697" s="6" t="s">
        <v>2999</v>
      </c>
      <c r="S697" s="6" t="s">
        <v>3132</v>
      </c>
      <c r="T697" s="6">
        <v>0</v>
      </c>
      <c r="U697" s="6">
        <v>0</v>
      </c>
      <c r="V697" s="6">
        <v>0</v>
      </c>
      <c r="W697" s="6">
        <v>0</v>
      </c>
      <c r="X697" s="6" t="s">
        <v>169</v>
      </c>
      <c r="Z697" s="6" t="s">
        <v>170</v>
      </c>
      <c r="AA697" s="6" t="s">
        <v>171</v>
      </c>
      <c r="AB697" s="6">
        <v>0</v>
      </c>
      <c r="AC697" s="6" t="str">
        <f>""</f>
        <v/>
      </c>
      <c r="AS697" s="6">
        <v>0</v>
      </c>
      <c r="AT697" s="6">
        <v>0</v>
      </c>
    </row>
    <row r="698" spans="2:46">
      <c r="B698" s="6" t="s">
        <v>2724</v>
      </c>
      <c r="D698" s="6" t="s">
        <v>1561</v>
      </c>
      <c r="F698" s="6" t="s">
        <v>3133</v>
      </c>
      <c r="G698" s="6" t="str">
        <f>"SDY17VCTO03BL"</f>
        <v>SDY17VCTO03BL</v>
      </c>
      <c r="H698" s="6" t="s">
        <v>3134</v>
      </c>
      <c r="I698" s="6" t="s">
        <v>3135</v>
      </c>
      <c r="J698" s="6" t="str">
        <f>"Slogan T-Shirt_Blue"</f>
        <v>Slogan T-Shirt_Blue</v>
      </c>
      <c r="K698" s="6">
        <v>0</v>
      </c>
      <c r="L698" s="6">
        <v>0</v>
      </c>
      <c r="M698" s="6">
        <v>0</v>
      </c>
      <c r="N698" s="6" t="str">
        <f>""</f>
        <v/>
      </c>
      <c r="O698" s="6">
        <v>32637</v>
      </c>
      <c r="P698" s="6" t="s">
        <v>3136</v>
      </c>
      <c r="R698" s="6" t="s">
        <v>3137</v>
      </c>
      <c r="S698" s="6" t="s">
        <v>3138</v>
      </c>
      <c r="T698" s="6">
        <v>0</v>
      </c>
      <c r="U698" s="6">
        <v>0</v>
      </c>
      <c r="V698" s="6">
        <v>0</v>
      </c>
      <c r="W698" s="6">
        <v>0</v>
      </c>
      <c r="X698" s="6" t="s">
        <v>169</v>
      </c>
      <c r="Z698" s="6" t="s">
        <v>170</v>
      </c>
      <c r="AA698" s="6" t="s">
        <v>171</v>
      </c>
      <c r="AB698" s="6">
        <v>0</v>
      </c>
      <c r="AC698" s="6" t="str">
        <f>""</f>
        <v/>
      </c>
      <c r="AS698" s="6">
        <v>0</v>
      </c>
      <c r="AT698" s="6">
        <v>0</v>
      </c>
    </row>
    <row r="699" spans="2:46">
      <c r="B699" s="6" t="s">
        <v>2724</v>
      </c>
      <c r="D699" s="6" t="s">
        <v>1561</v>
      </c>
      <c r="F699" s="6" t="s">
        <v>3139</v>
      </c>
      <c r="G699" s="6" t="str">
        <f>"SDY17VCDR03BL"</f>
        <v>SDY17VCDR03BL</v>
      </c>
      <c r="H699" s="6" t="s">
        <v>3140</v>
      </c>
      <c r="I699" s="6" t="s">
        <v>3141</v>
      </c>
      <c r="J699" s="6" t="str">
        <f>"Wrap Dress_Blue"</f>
        <v>Wrap Dress_Blue</v>
      </c>
      <c r="K699" s="6">
        <v>0</v>
      </c>
      <c r="L699" s="6">
        <v>0</v>
      </c>
      <c r="M699" s="6">
        <v>0</v>
      </c>
      <c r="N699" s="6" t="str">
        <f>""</f>
        <v/>
      </c>
      <c r="O699" s="6">
        <v>32635</v>
      </c>
      <c r="P699" s="6" t="s">
        <v>3142</v>
      </c>
      <c r="R699" s="6" t="s">
        <v>3037</v>
      </c>
      <c r="S699" s="6" t="s">
        <v>3143</v>
      </c>
      <c r="T699" s="6">
        <v>0</v>
      </c>
      <c r="U699" s="6">
        <v>0</v>
      </c>
      <c r="V699" s="6">
        <v>0</v>
      </c>
      <c r="W699" s="6">
        <v>0</v>
      </c>
      <c r="X699" s="6" t="s">
        <v>169</v>
      </c>
      <c r="Z699" s="6" t="s">
        <v>170</v>
      </c>
      <c r="AA699" s="6" t="s">
        <v>171</v>
      </c>
      <c r="AB699" s="6">
        <v>0</v>
      </c>
      <c r="AC699" s="6" t="str">
        <f>""</f>
        <v/>
      </c>
      <c r="AS699" s="6">
        <v>0</v>
      </c>
      <c r="AT699" s="6">
        <v>0</v>
      </c>
    </row>
    <row r="700" spans="2:46">
      <c r="B700" s="6" t="s">
        <v>2724</v>
      </c>
      <c r="D700" s="6" t="s">
        <v>1561</v>
      </c>
      <c r="F700" s="6" t="s">
        <v>3144</v>
      </c>
      <c r="G700" s="6" t="str">
        <f>"SDY17VCTO04WH"</f>
        <v>SDY17VCTO04WH</v>
      </c>
      <c r="H700" s="6" t="s">
        <v>3145</v>
      </c>
      <c r="I700" s="6" t="s">
        <v>3146</v>
      </c>
      <c r="J700" s="6" t="str">
        <f>"Heart Logo T-Shirt"</f>
        <v>Heart Logo T-Shirt</v>
      </c>
      <c r="K700" s="6">
        <v>0</v>
      </c>
      <c r="L700" s="6">
        <v>0</v>
      </c>
      <c r="M700" s="6">
        <v>0</v>
      </c>
      <c r="N700" s="6" t="str">
        <f>""</f>
        <v/>
      </c>
      <c r="O700" s="6">
        <v>32633</v>
      </c>
      <c r="P700" s="6" t="s">
        <v>3147</v>
      </c>
      <c r="R700" s="6" t="s">
        <v>3148</v>
      </c>
      <c r="S700" s="6" t="s">
        <v>3149</v>
      </c>
      <c r="T700" s="6">
        <v>0</v>
      </c>
      <c r="U700" s="6">
        <v>0</v>
      </c>
      <c r="V700" s="6">
        <v>0</v>
      </c>
      <c r="W700" s="6">
        <v>0</v>
      </c>
      <c r="X700" s="6" t="s">
        <v>169</v>
      </c>
      <c r="Z700" s="6" t="s">
        <v>170</v>
      </c>
      <c r="AA700" s="6" t="s">
        <v>171</v>
      </c>
      <c r="AB700" s="6">
        <v>0</v>
      </c>
      <c r="AC700" s="6" t="str">
        <f>""</f>
        <v/>
      </c>
      <c r="AS700" s="6">
        <v>0</v>
      </c>
      <c r="AT700" s="6">
        <v>0</v>
      </c>
    </row>
    <row r="701" spans="2:46">
      <c r="B701" s="6" t="s">
        <v>2724</v>
      </c>
      <c r="D701" s="6" t="s">
        <v>1561</v>
      </c>
      <c r="F701" s="6" t="s">
        <v>3150</v>
      </c>
      <c r="G701" s="6" t="str">
        <f>"SDY16SST03BK"</f>
        <v>SDY16SST03BK</v>
      </c>
      <c r="H701" s="6" t="s">
        <v>3151</v>
      </c>
      <c r="I701" s="6" t="s">
        <v>3152</v>
      </c>
      <c r="J701" s="6" t="str">
        <f>"Lace Stripe T"</f>
        <v>Lace Stripe T</v>
      </c>
      <c r="K701" s="6">
        <v>0</v>
      </c>
      <c r="L701" s="6">
        <v>0</v>
      </c>
      <c r="M701" s="6">
        <v>0</v>
      </c>
      <c r="N701" s="6" t="str">
        <f>""</f>
        <v/>
      </c>
      <c r="O701" s="6">
        <v>32630</v>
      </c>
      <c r="P701" s="6" t="s">
        <v>3153</v>
      </c>
      <c r="R701" s="6" t="s">
        <v>2989</v>
      </c>
      <c r="S701" s="6" t="s">
        <v>3154</v>
      </c>
      <c r="T701" s="6">
        <v>0</v>
      </c>
      <c r="U701" s="6">
        <v>0</v>
      </c>
      <c r="V701" s="6">
        <v>0</v>
      </c>
      <c r="W701" s="6">
        <v>0</v>
      </c>
      <c r="X701" s="6" t="s">
        <v>169</v>
      </c>
      <c r="Z701" s="6" t="s">
        <v>170</v>
      </c>
      <c r="AA701" s="6" t="s">
        <v>171</v>
      </c>
      <c r="AB701" s="6">
        <v>0</v>
      </c>
      <c r="AC701" s="6" t="str">
        <f>""</f>
        <v/>
      </c>
      <c r="AS701" s="6">
        <v>0</v>
      </c>
      <c r="AT701" s="6">
        <v>1</v>
      </c>
    </row>
    <row r="702" spans="2:46">
      <c r="B702" s="6" t="s">
        <v>2724</v>
      </c>
      <c r="D702" s="6" t="s">
        <v>1561</v>
      </c>
      <c r="F702" s="6" t="s">
        <v>3155</v>
      </c>
      <c r="G702" s="6" t="str">
        <f>"SDY16SST03IV"</f>
        <v>SDY16SST03IV</v>
      </c>
      <c r="H702" s="6" t="s">
        <v>3156</v>
      </c>
      <c r="I702" s="6" t="s">
        <v>3152</v>
      </c>
      <c r="J702" s="6" t="str">
        <f>"Lace Stripe T"</f>
        <v>Lace Stripe T</v>
      </c>
      <c r="K702" s="6">
        <v>0</v>
      </c>
      <c r="L702" s="6">
        <v>0</v>
      </c>
      <c r="M702" s="6">
        <v>0</v>
      </c>
      <c r="N702" s="6" t="str">
        <f>""</f>
        <v/>
      </c>
      <c r="O702" s="6">
        <v>32629</v>
      </c>
      <c r="P702" s="6" t="s">
        <v>3157</v>
      </c>
      <c r="R702" s="6" t="s">
        <v>3081</v>
      </c>
      <c r="S702" s="6" t="s">
        <v>3158</v>
      </c>
      <c r="T702" s="6">
        <v>0</v>
      </c>
      <c r="U702" s="6">
        <v>0</v>
      </c>
      <c r="V702" s="6">
        <v>0</v>
      </c>
      <c r="W702" s="6">
        <v>0</v>
      </c>
      <c r="X702" s="6" t="s">
        <v>169</v>
      </c>
      <c r="Z702" s="6" t="s">
        <v>170</v>
      </c>
      <c r="AA702" s="6" t="s">
        <v>171</v>
      </c>
      <c r="AB702" s="6">
        <v>0</v>
      </c>
      <c r="AC702" s="6" t="str">
        <f>""</f>
        <v/>
      </c>
      <c r="AS702" s="6">
        <v>0</v>
      </c>
      <c r="AT702" s="6">
        <v>2</v>
      </c>
    </row>
    <row r="703" spans="2:46">
      <c r="B703" s="6" t="s">
        <v>2724</v>
      </c>
      <c r="D703" s="6" t="s">
        <v>1561</v>
      </c>
      <c r="F703" s="6" t="s">
        <v>3159</v>
      </c>
      <c r="G703" s="6" t="str">
        <f>"SDY16SST01BK"</f>
        <v>SDY16SST01BK</v>
      </c>
      <c r="H703" s="6" t="s">
        <v>3160</v>
      </c>
      <c r="I703" s="6" t="s">
        <v>52</v>
      </c>
      <c r="J703" s="6" t="str">
        <f>"Salon T"</f>
        <v>Salon T</v>
      </c>
      <c r="K703" s="6">
        <v>0</v>
      </c>
      <c r="L703" s="6">
        <v>0</v>
      </c>
      <c r="M703" s="6">
        <v>0</v>
      </c>
      <c r="N703" s="6" t="str">
        <f>""</f>
        <v/>
      </c>
      <c r="O703" s="6">
        <v>32627</v>
      </c>
      <c r="P703" s="6" t="s">
        <v>3161</v>
      </c>
      <c r="R703" s="6" t="s">
        <v>2989</v>
      </c>
      <c r="S703" s="6" t="s">
        <v>3162</v>
      </c>
      <c r="T703" s="6">
        <v>0</v>
      </c>
      <c r="U703" s="6">
        <v>0</v>
      </c>
      <c r="V703" s="6">
        <v>0</v>
      </c>
      <c r="W703" s="6">
        <v>0</v>
      </c>
      <c r="X703" s="6" t="s">
        <v>169</v>
      </c>
      <c r="Z703" s="6" t="s">
        <v>170</v>
      </c>
      <c r="AA703" s="6" t="s">
        <v>171</v>
      </c>
      <c r="AB703" s="6">
        <v>0</v>
      </c>
      <c r="AC703" s="6" t="str">
        <f>""</f>
        <v/>
      </c>
      <c r="AS703" s="6">
        <v>0</v>
      </c>
      <c r="AT703" s="6">
        <v>2</v>
      </c>
    </row>
    <row r="704" spans="2:46">
      <c r="B704" s="6" t="s">
        <v>2724</v>
      </c>
      <c r="D704" s="6" t="s">
        <v>1561</v>
      </c>
      <c r="F704" s="6" t="s">
        <v>3163</v>
      </c>
      <c r="G704" s="6" t="str">
        <f>"SDY16SST01PK"</f>
        <v>SDY16SST01PK</v>
      </c>
      <c r="H704" s="6" t="s">
        <v>3164</v>
      </c>
      <c r="I704" s="6" t="s">
        <v>52</v>
      </c>
      <c r="J704" s="6" t="str">
        <f>"Salon T"</f>
        <v>Salon T</v>
      </c>
      <c r="K704" s="6">
        <v>0</v>
      </c>
      <c r="L704" s="6">
        <v>0</v>
      </c>
      <c r="M704" s="6">
        <v>0</v>
      </c>
      <c r="N704" s="6" t="str">
        <f>""</f>
        <v/>
      </c>
      <c r="O704" s="6">
        <v>32626</v>
      </c>
      <c r="P704" s="6" t="s">
        <v>51</v>
      </c>
      <c r="R704" s="6" t="s">
        <v>3165</v>
      </c>
      <c r="S704" s="6" t="s">
        <v>3166</v>
      </c>
      <c r="T704" s="6">
        <v>0</v>
      </c>
      <c r="U704" s="6">
        <v>0</v>
      </c>
      <c r="V704" s="6">
        <v>0</v>
      </c>
      <c r="W704" s="6">
        <v>0</v>
      </c>
      <c r="X704" s="6" t="s">
        <v>169</v>
      </c>
      <c r="Z704" s="6" t="s">
        <v>170</v>
      </c>
      <c r="AA704" s="6" t="s">
        <v>171</v>
      </c>
      <c r="AB704" s="6">
        <v>0</v>
      </c>
      <c r="AC704" s="6" t="str">
        <f>"KEY-018"</f>
        <v>KEY-018</v>
      </c>
      <c r="AS704" s="6">
        <v>0</v>
      </c>
      <c r="AT704" s="6">
        <v>0</v>
      </c>
    </row>
    <row r="705" spans="2:46">
      <c r="B705" s="6" t="s">
        <v>2724</v>
      </c>
      <c r="D705" s="6" t="s">
        <v>1561</v>
      </c>
      <c r="F705" s="6" t="s">
        <v>3167</v>
      </c>
      <c r="G705" s="6" t="str">
        <f>"SDY16HSPT01BL"</f>
        <v>SDY16HSPT01BL</v>
      </c>
      <c r="H705" s="6" t="s">
        <v>3168</v>
      </c>
      <c r="I705" s="6" t="s">
        <v>3169</v>
      </c>
      <c r="J705" s="6" t="str">
        <f>"Denim Pantskirt"</f>
        <v>Denim Pantskirt</v>
      </c>
      <c r="K705" s="6">
        <v>0</v>
      </c>
      <c r="L705" s="6">
        <v>0</v>
      </c>
      <c r="M705" s="6">
        <v>0</v>
      </c>
      <c r="N705" s="6" t="str">
        <f>""</f>
        <v/>
      </c>
      <c r="O705" s="6">
        <v>32624</v>
      </c>
      <c r="P705" s="6" t="s">
        <v>3170</v>
      </c>
      <c r="R705" s="6" t="s">
        <v>3171</v>
      </c>
      <c r="S705" s="6" t="s">
        <v>3172</v>
      </c>
      <c r="T705" s="6">
        <v>0</v>
      </c>
      <c r="U705" s="6">
        <v>0</v>
      </c>
      <c r="V705" s="6">
        <v>0</v>
      </c>
      <c r="W705" s="6">
        <v>0</v>
      </c>
      <c r="X705" s="6" t="s">
        <v>169</v>
      </c>
      <c r="Z705" s="6" t="s">
        <v>170</v>
      </c>
      <c r="AA705" s="6" t="s">
        <v>171</v>
      </c>
      <c r="AB705" s="6">
        <v>0</v>
      </c>
      <c r="AC705" s="6" t="str">
        <f>""</f>
        <v/>
      </c>
      <c r="AS705" s="6">
        <v>0</v>
      </c>
      <c r="AT705" s="6">
        <v>2</v>
      </c>
    </row>
    <row r="706" spans="2:46">
      <c r="B706" s="6" t="s">
        <v>2724</v>
      </c>
      <c r="D706" s="6" t="s">
        <v>1561</v>
      </c>
      <c r="F706" s="6" t="s">
        <v>3173</v>
      </c>
      <c r="G706" s="6" t="str">
        <f>"SDY16HSSK02BL"</f>
        <v>SDY16HSSK02BL</v>
      </c>
      <c r="H706" s="6" t="s">
        <v>3174</v>
      </c>
      <c r="I706" s="6" t="s">
        <v>3175</v>
      </c>
      <c r="J706" s="6" t="str">
        <f>"Denim Wrap Skirt"</f>
        <v>Denim Wrap Skirt</v>
      </c>
      <c r="K706" s="6">
        <v>0</v>
      </c>
      <c r="L706" s="6">
        <v>0</v>
      </c>
      <c r="M706" s="6">
        <v>0</v>
      </c>
      <c r="N706" s="6" t="str">
        <f>""</f>
        <v/>
      </c>
      <c r="O706" s="6">
        <v>32622</v>
      </c>
      <c r="P706" s="6" t="s">
        <v>3176</v>
      </c>
      <c r="R706" s="6" t="s">
        <v>3171</v>
      </c>
      <c r="S706" s="6" t="s">
        <v>3177</v>
      </c>
      <c r="T706" s="6">
        <v>0</v>
      </c>
      <c r="U706" s="6">
        <v>0</v>
      </c>
      <c r="V706" s="6">
        <v>0</v>
      </c>
      <c r="W706" s="6">
        <v>0</v>
      </c>
      <c r="X706" s="6" t="s">
        <v>169</v>
      </c>
      <c r="Z706" s="6" t="s">
        <v>170</v>
      </c>
      <c r="AA706" s="6" t="s">
        <v>171</v>
      </c>
      <c r="AB706" s="6">
        <v>0</v>
      </c>
      <c r="AC706" s="6" t="str">
        <f>""</f>
        <v/>
      </c>
      <c r="AS706" s="6">
        <v>0</v>
      </c>
      <c r="AT706" s="6">
        <v>1</v>
      </c>
    </row>
    <row r="707" spans="2:46">
      <c r="B707" s="6" t="s">
        <v>2724</v>
      </c>
      <c r="D707" s="6" t="s">
        <v>1561</v>
      </c>
      <c r="F707" s="6" t="s">
        <v>3178</v>
      </c>
      <c r="G707" s="6" t="str">
        <f>"SDY16HSSH02WH"</f>
        <v>SDY16HSSH02WH</v>
      </c>
      <c r="H707" s="6" t="s">
        <v>3179</v>
      </c>
      <c r="I707" s="6" t="s">
        <v>3180</v>
      </c>
      <c r="J707" s="6" t="str">
        <f>"Long Cuffs Shirt"</f>
        <v>Long Cuffs Shirt</v>
      </c>
      <c r="K707" s="6">
        <v>0</v>
      </c>
      <c r="L707" s="6">
        <v>0</v>
      </c>
      <c r="M707" s="6">
        <v>0</v>
      </c>
      <c r="N707" s="6" t="str">
        <f>""</f>
        <v/>
      </c>
      <c r="O707" s="6">
        <v>32631</v>
      </c>
      <c r="P707" s="6" t="s">
        <v>3181</v>
      </c>
      <c r="R707" s="6" t="s">
        <v>3182</v>
      </c>
      <c r="S707" s="6" t="s">
        <v>3183</v>
      </c>
      <c r="T707" s="6">
        <v>0</v>
      </c>
      <c r="U707" s="6">
        <v>0</v>
      </c>
      <c r="V707" s="6">
        <v>0</v>
      </c>
      <c r="W707" s="6">
        <v>0</v>
      </c>
      <c r="X707" s="6" t="s">
        <v>169</v>
      </c>
      <c r="Z707" s="6" t="s">
        <v>170</v>
      </c>
      <c r="AA707" s="6" t="s">
        <v>171</v>
      </c>
      <c r="AB707" s="6">
        <v>0</v>
      </c>
      <c r="AC707" s="6" t="str">
        <f>""</f>
        <v/>
      </c>
      <c r="AS707" s="6">
        <v>0</v>
      </c>
      <c r="AT707" s="6">
        <v>2</v>
      </c>
    </row>
    <row r="708" spans="2:46">
      <c r="B708" s="6" t="s">
        <v>2724</v>
      </c>
      <c r="D708" s="6" t="s">
        <v>1561</v>
      </c>
      <c r="F708" s="6" t="s">
        <v>3184</v>
      </c>
      <c r="G708" s="6" t="str">
        <f>"SDY16HSSH02BL"</f>
        <v>SDY16HSSH02BL</v>
      </c>
      <c r="H708" s="6" t="s">
        <v>3185</v>
      </c>
      <c r="I708" s="6" t="s">
        <v>3180</v>
      </c>
      <c r="J708" s="6" t="str">
        <f>"Long Cuffs Shirt"</f>
        <v>Long Cuffs Shirt</v>
      </c>
      <c r="K708" s="6">
        <v>0</v>
      </c>
      <c r="L708" s="6">
        <v>0</v>
      </c>
      <c r="M708" s="6">
        <v>0</v>
      </c>
      <c r="N708" s="6" t="str">
        <f>""</f>
        <v/>
      </c>
      <c r="O708" s="6">
        <v>32620</v>
      </c>
      <c r="P708" s="6" t="s">
        <v>3186</v>
      </c>
      <c r="R708" s="6" t="s">
        <v>3187</v>
      </c>
      <c r="S708" s="6" t="s">
        <v>3188</v>
      </c>
      <c r="T708" s="6">
        <v>0</v>
      </c>
      <c r="U708" s="6">
        <v>0</v>
      </c>
      <c r="V708" s="6">
        <v>0</v>
      </c>
      <c r="W708" s="6">
        <v>0</v>
      </c>
      <c r="X708" s="6" t="s">
        <v>169</v>
      </c>
      <c r="Z708" s="6" t="s">
        <v>170</v>
      </c>
      <c r="AA708" s="6" t="s">
        <v>171</v>
      </c>
      <c r="AB708" s="6">
        <v>0</v>
      </c>
      <c r="AC708" s="6" t="str">
        <f>""</f>
        <v/>
      </c>
      <c r="AS708" s="6">
        <v>0</v>
      </c>
      <c r="AT708" s="6">
        <v>0</v>
      </c>
    </row>
    <row r="709" spans="2:46">
      <c r="B709" s="6" t="s">
        <v>2724</v>
      </c>
      <c r="D709" s="6" t="s">
        <v>1561</v>
      </c>
      <c r="F709" s="6" t="s">
        <v>3189</v>
      </c>
      <c r="G709" s="6" t="str">
        <f>"SDY16HSSH01WH"</f>
        <v>SDY16HSSH01WH</v>
      </c>
      <c r="H709" s="6" t="s">
        <v>3190</v>
      </c>
      <c r="I709" s="6" t="s">
        <v>3180</v>
      </c>
      <c r="J709" s="6" t="str">
        <f>"Long Cuffs Shirt"</f>
        <v>Long Cuffs Shirt</v>
      </c>
      <c r="K709" s="6">
        <v>0</v>
      </c>
      <c r="L709" s="6">
        <v>0</v>
      </c>
      <c r="M709" s="6">
        <v>0</v>
      </c>
      <c r="N709" s="6" t="str">
        <f>""</f>
        <v/>
      </c>
      <c r="O709" s="6">
        <v>32619</v>
      </c>
      <c r="P709" s="6" t="s">
        <v>3191</v>
      </c>
      <c r="R709" s="6" t="s">
        <v>3192</v>
      </c>
      <c r="S709" s="6" t="s">
        <v>3193</v>
      </c>
      <c r="T709" s="6">
        <v>0</v>
      </c>
      <c r="U709" s="6">
        <v>0</v>
      </c>
      <c r="V709" s="6">
        <v>0</v>
      </c>
      <c r="W709" s="6">
        <v>0</v>
      </c>
      <c r="X709" s="6" t="s">
        <v>169</v>
      </c>
      <c r="Z709" s="6" t="s">
        <v>170</v>
      </c>
      <c r="AA709" s="6" t="s">
        <v>171</v>
      </c>
      <c r="AB709" s="6">
        <v>0</v>
      </c>
      <c r="AC709" s="6" t="str">
        <f>""</f>
        <v/>
      </c>
      <c r="AS709" s="6">
        <v>0</v>
      </c>
      <c r="AT709" s="6">
        <v>1</v>
      </c>
    </row>
    <row r="710" spans="2:46">
      <c r="B710" s="6" t="s">
        <v>2724</v>
      </c>
      <c r="D710" s="6" t="s">
        <v>1561</v>
      </c>
      <c r="F710" s="6" t="s">
        <v>3194</v>
      </c>
      <c r="G710" s="6" t="str">
        <f>"SDY16HSDR02BL"</f>
        <v>SDY16HSDR02BL</v>
      </c>
      <c r="H710" s="6" t="s">
        <v>3195</v>
      </c>
      <c r="I710" s="6" t="s">
        <v>3196</v>
      </c>
      <c r="J710" s="6" t="str">
        <f>"Stripe Sleeveless Dress"</f>
        <v>Stripe Sleeveless Dress</v>
      </c>
      <c r="K710" s="6">
        <v>0</v>
      </c>
      <c r="L710" s="6">
        <v>0</v>
      </c>
      <c r="M710" s="6">
        <v>0</v>
      </c>
      <c r="N710" s="6" t="str">
        <f>""</f>
        <v/>
      </c>
      <c r="O710" s="6">
        <v>32617</v>
      </c>
      <c r="P710" s="6" t="s">
        <v>3197</v>
      </c>
      <c r="R710" s="6" t="s">
        <v>3187</v>
      </c>
      <c r="S710" s="6" t="s">
        <v>3198</v>
      </c>
      <c r="T710" s="6">
        <v>0</v>
      </c>
      <c r="U710" s="6">
        <v>0</v>
      </c>
      <c r="V710" s="6">
        <v>0</v>
      </c>
      <c r="W710" s="6">
        <v>0</v>
      </c>
      <c r="X710" s="6" t="s">
        <v>169</v>
      </c>
      <c r="Z710" s="6" t="s">
        <v>170</v>
      </c>
      <c r="AA710" s="6" t="s">
        <v>171</v>
      </c>
      <c r="AB710" s="6">
        <v>0</v>
      </c>
      <c r="AC710" s="6" t="str">
        <f>""</f>
        <v/>
      </c>
      <c r="AS710" s="6">
        <v>0</v>
      </c>
      <c r="AT710" s="6">
        <v>2</v>
      </c>
    </row>
    <row r="711" spans="2:46">
      <c r="B711" s="6" t="s">
        <v>2724</v>
      </c>
      <c r="D711" s="6" t="s">
        <v>1561</v>
      </c>
      <c r="F711" s="6" t="s">
        <v>3199</v>
      </c>
      <c r="G711" s="6" t="str">
        <f>"SDY16HSDR01BL"</f>
        <v>SDY16HSDR01BL</v>
      </c>
      <c r="H711" s="6" t="s">
        <v>3200</v>
      </c>
      <c r="I711" s="6" t="s">
        <v>3201</v>
      </c>
      <c r="J711" s="6" t="str">
        <f>"Stripe Off-shoulder Dress"</f>
        <v>Stripe Off-shoulder Dress</v>
      </c>
      <c r="K711" s="6">
        <v>0</v>
      </c>
      <c r="L711" s="6">
        <v>0</v>
      </c>
      <c r="M711" s="6">
        <v>0</v>
      </c>
      <c r="N711" s="6" t="str">
        <f>""</f>
        <v/>
      </c>
      <c r="O711" s="6">
        <v>32615</v>
      </c>
      <c r="P711" s="6" t="s">
        <v>3202</v>
      </c>
      <c r="R711" s="6" t="s">
        <v>3037</v>
      </c>
      <c r="S711" s="6" t="s">
        <v>3203</v>
      </c>
      <c r="T711" s="6">
        <v>0</v>
      </c>
      <c r="U711" s="6">
        <v>0</v>
      </c>
      <c r="V711" s="6">
        <v>0</v>
      </c>
      <c r="W711" s="6">
        <v>0</v>
      </c>
      <c r="X711" s="6" t="s">
        <v>169</v>
      </c>
      <c r="Z711" s="6" t="s">
        <v>170</v>
      </c>
      <c r="AA711" s="6" t="s">
        <v>171</v>
      </c>
      <c r="AB711" s="6">
        <v>0</v>
      </c>
      <c r="AC711" s="6" t="str">
        <f>""</f>
        <v/>
      </c>
      <c r="AS711" s="6">
        <v>0</v>
      </c>
      <c r="AT711" s="6">
        <v>1</v>
      </c>
    </row>
    <row r="712" spans="2:46">
      <c r="B712" s="6" t="s">
        <v>2724</v>
      </c>
      <c r="D712" s="6" t="s">
        <v>1561</v>
      </c>
      <c r="F712" s="6" t="s">
        <v>3204</v>
      </c>
      <c r="G712" s="6" t="str">
        <f>"SDY16HST07BL"</f>
        <v>SDY16HST07BL</v>
      </c>
      <c r="H712" s="6" t="s">
        <v>3205</v>
      </c>
      <c r="I712" s="6" t="s">
        <v>3206</v>
      </c>
      <c r="J712" s="6" t="str">
        <f>"Stripe Off-shoulder Top"</f>
        <v>Stripe Off-shoulder Top</v>
      </c>
      <c r="K712" s="6">
        <v>0</v>
      </c>
      <c r="L712" s="6">
        <v>0</v>
      </c>
      <c r="M712" s="6">
        <v>0</v>
      </c>
      <c r="N712" s="6" t="str">
        <f>""</f>
        <v/>
      </c>
      <c r="O712" s="6">
        <v>32613</v>
      </c>
      <c r="P712" s="6" t="s">
        <v>3207</v>
      </c>
      <c r="R712" s="6" t="s">
        <v>3037</v>
      </c>
      <c r="S712" s="6" t="s">
        <v>3208</v>
      </c>
      <c r="T712" s="6">
        <v>0</v>
      </c>
      <c r="U712" s="6">
        <v>0</v>
      </c>
      <c r="V712" s="6">
        <v>0</v>
      </c>
      <c r="W712" s="6">
        <v>0</v>
      </c>
      <c r="X712" s="6" t="s">
        <v>169</v>
      </c>
      <c r="Z712" s="6" t="s">
        <v>170</v>
      </c>
      <c r="AA712" s="6" t="s">
        <v>171</v>
      </c>
      <c r="AB712" s="6">
        <v>0</v>
      </c>
      <c r="AC712" s="6" t="str">
        <f>""</f>
        <v/>
      </c>
      <c r="AS712" s="6">
        <v>0</v>
      </c>
      <c r="AT712" s="6">
        <v>1</v>
      </c>
    </row>
    <row r="713" spans="2:46">
      <c r="B713" s="6" t="s">
        <v>2724</v>
      </c>
      <c r="D713" s="6" t="s">
        <v>1561</v>
      </c>
      <c r="F713" s="6" t="s">
        <v>3209</v>
      </c>
      <c r="G713" s="6" t="str">
        <f>"SDY16HST05BK"</f>
        <v>SDY16HST05BK</v>
      </c>
      <c r="H713" s="6" t="s">
        <v>3210</v>
      </c>
      <c r="I713" s="6" t="s">
        <v>3211</v>
      </c>
      <c r="J713" s="6" t="str">
        <f>"Tropical Velvet T"</f>
        <v>Tropical Velvet T</v>
      </c>
      <c r="K713" s="6">
        <v>0</v>
      </c>
      <c r="L713" s="6">
        <v>0</v>
      </c>
      <c r="M713" s="6">
        <v>0</v>
      </c>
      <c r="N713" s="6" t="str">
        <f>""</f>
        <v/>
      </c>
      <c r="O713" s="6">
        <v>32611</v>
      </c>
      <c r="P713" s="6" t="s">
        <v>3212</v>
      </c>
      <c r="R713" s="6" t="s">
        <v>2989</v>
      </c>
      <c r="S713" s="6" t="s">
        <v>3213</v>
      </c>
      <c r="T713" s="6">
        <v>0</v>
      </c>
      <c r="U713" s="6">
        <v>0</v>
      </c>
      <c r="V713" s="6">
        <v>0</v>
      </c>
      <c r="W713" s="6">
        <v>0</v>
      </c>
      <c r="X713" s="6" t="s">
        <v>169</v>
      </c>
      <c r="Z713" s="6" t="s">
        <v>170</v>
      </c>
      <c r="AA713" s="6" t="s">
        <v>171</v>
      </c>
      <c r="AB713" s="6">
        <v>0</v>
      </c>
      <c r="AC713" s="6" t="str">
        <f>""</f>
        <v/>
      </c>
      <c r="AS713" s="6">
        <v>0</v>
      </c>
      <c r="AT713" s="6">
        <v>1</v>
      </c>
    </row>
    <row r="714" spans="2:46">
      <c r="B714" s="6" t="s">
        <v>2724</v>
      </c>
      <c r="D714" s="6" t="s">
        <v>1561</v>
      </c>
      <c r="F714" s="6" t="s">
        <v>3214</v>
      </c>
      <c r="G714" s="6" t="str">
        <f>"SDY16HST05WH"</f>
        <v>SDY16HST05WH</v>
      </c>
      <c r="H714" s="6" t="s">
        <v>3215</v>
      </c>
      <c r="I714" s="6" t="s">
        <v>3211</v>
      </c>
      <c r="J714" s="6" t="str">
        <f>"Tropical Velvet T"</f>
        <v>Tropical Velvet T</v>
      </c>
      <c r="K714" s="6">
        <v>0</v>
      </c>
      <c r="L714" s="6">
        <v>0</v>
      </c>
      <c r="M714" s="6">
        <v>0</v>
      </c>
      <c r="N714" s="6" t="str">
        <f>""</f>
        <v/>
      </c>
      <c r="O714" s="6">
        <v>32610</v>
      </c>
      <c r="P714" s="6" t="s">
        <v>3216</v>
      </c>
      <c r="R714" s="6" t="s">
        <v>2999</v>
      </c>
      <c r="S714" s="6" t="s">
        <v>3217</v>
      </c>
      <c r="T714" s="6">
        <v>0</v>
      </c>
      <c r="U714" s="6">
        <v>0</v>
      </c>
      <c r="V714" s="6">
        <v>0</v>
      </c>
      <c r="W714" s="6">
        <v>0</v>
      </c>
      <c r="X714" s="6" t="s">
        <v>169</v>
      </c>
      <c r="Z714" s="6" t="s">
        <v>170</v>
      </c>
      <c r="AA714" s="6" t="s">
        <v>171</v>
      </c>
      <c r="AB714" s="6">
        <v>0</v>
      </c>
      <c r="AC714" s="6" t="str">
        <f>""</f>
        <v/>
      </c>
      <c r="AS714" s="6">
        <v>0</v>
      </c>
      <c r="AT714" s="6">
        <v>0</v>
      </c>
    </row>
    <row r="715" spans="2:46">
      <c r="B715" s="6" t="s">
        <v>2724</v>
      </c>
      <c r="D715" s="6" t="s">
        <v>1561</v>
      </c>
      <c r="F715" s="6" t="s">
        <v>3218</v>
      </c>
      <c r="G715" s="6" t="str">
        <f>"SDY16HST04BK"</f>
        <v>SDY16HST04BK</v>
      </c>
      <c r="H715" s="6" t="s">
        <v>3219</v>
      </c>
      <c r="I715" s="6" t="s">
        <v>3220</v>
      </c>
      <c r="J715" s="6" t="str">
        <f>"Fool For You T"</f>
        <v>Fool For You T</v>
      </c>
      <c r="K715" s="6">
        <v>0</v>
      </c>
      <c r="L715" s="6">
        <v>0</v>
      </c>
      <c r="M715" s="6">
        <v>0</v>
      </c>
      <c r="N715" s="6" t="str">
        <f>""</f>
        <v/>
      </c>
      <c r="O715" s="6">
        <v>32608</v>
      </c>
      <c r="P715" s="6" t="s">
        <v>3221</v>
      </c>
      <c r="R715" s="6" t="s">
        <v>2989</v>
      </c>
      <c r="S715" s="6" t="s">
        <v>3222</v>
      </c>
      <c r="T715" s="6">
        <v>0</v>
      </c>
      <c r="U715" s="6">
        <v>0</v>
      </c>
      <c r="V715" s="6">
        <v>0</v>
      </c>
      <c r="W715" s="6">
        <v>0</v>
      </c>
      <c r="X715" s="6" t="s">
        <v>169</v>
      </c>
      <c r="Z715" s="6" t="s">
        <v>170</v>
      </c>
      <c r="AA715" s="6" t="s">
        <v>171</v>
      </c>
      <c r="AB715" s="6">
        <v>0</v>
      </c>
      <c r="AC715" s="6" t="str">
        <f>""</f>
        <v/>
      </c>
      <c r="AS715" s="6">
        <v>0</v>
      </c>
      <c r="AT715" s="6">
        <v>1</v>
      </c>
    </row>
    <row r="716" spans="2:46">
      <c r="B716" s="6" t="s">
        <v>2724</v>
      </c>
      <c r="D716" s="6" t="s">
        <v>1561</v>
      </c>
      <c r="F716" s="6" t="s">
        <v>3223</v>
      </c>
      <c r="G716" s="6" t="str">
        <f>"SDY16HST04BG"</f>
        <v>SDY16HST04BG</v>
      </c>
      <c r="H716" s="6" t="s">
        <v>3224</v>
      </c>
      <c r="I716" s="6" t="s">
        <v>3220</v>
      </c>
      <c r="J716" s="6" t="str">
        <f>"Fool For You T"</f>
        <v>Fool For You T</v>
      </c>
      <c r="K716" s="6">
        <v>0</v>
      </c>
      <c r="L716" s="6">
        <v>0</v>
      </c>
      <c r="M716" s="6">
        <v>0</v>
      </c>
      <c r="N716" s="6" t="str">
        <f>""</f>
        <v/>
      </c>
      <c r="O716" s="6">
        <v>32607</v>
      </c>
      <c r="P716" s="6" t="s">
        <v>3225</v>
      </c>
      <c r="R716" s="6" t="s">
        <v>3066</v>
      </c>
      <c r="S716" s="6" t="s">
        <v>3226</v>
      </c>
      <c r="T716" s="6">
        <v>0</v>
      </c>
      <c r="U716" s="6">
        <v>0</v>
      </c>
      <c r="V716" s="6">
        <v>0</v>
      </c>
      <c r="W716" s="6">
        <v>0</v>
      </c>
      <c r="X716" s="6" t="s">
        <v>169</v>
      </c>
      <c r="Z716" s="6" t="s">
        <v>170</v>
      </c>
      <c r="AA716" s="6" t="s">
        <v>171</v>
      </c>
      <c r="AB716" s="6">
        <v>0</v>
      </c>
      <c r="AC716" s="6" t="str">
        <f>""</f>
        <v/>
      </c>
      <c r="AS716" s="6">
        <v>0</v>
      </c>
      <c r="AT716" s="6">
        <v>0</v>
      </c>
    </row>
    <row r="717" spans="2:46">
      <c r="B717" s="6" t="s">
        <v>2724</v>
      </c>
      <c r="D717" s="6" t="s">
        <v>1561</v>
      </c>
      <c r="F717" s="6" t="s">
        <v>3227</v>
      </c>
      <c r="G717" s="6" t="str">
        <f>"SDY16HST04WH"</f>
        <v>SDY16HST04WH</v>
      </c>
      <c r="H717" s="6" t="s">
        <v>3228</v>
      </c>
      <c r="I717" s="6" t="s">
        <v>3220</v>
      </c>
      <c r="J717" s="6" t="str">
        <f>"Fool For You T"</f>
        <v>Fool For You T</v>
      </c>
      <c r="K717" s="6">
        <v>0</v>
      </c>
      <c r="L717" s="6">
        <v>0</v>
      </c>
      <c r="M717" s="6">
        <v>0</v>
      </c>
      <c r="N717" s="6" t="str">
        <f>""</f>
        <v/>
      </c>
      <c r="O717" s="6">
        <v>32606</v>
      </c>
      <c r="P717" s="6" t="s">
        <v>3229</v>
      </c>
      <c r="R717" s="6" t="s">
        <v>2999</v>
      </c>
      <c r="S717" s="6" t="s">
        <v>3230</v>
      </c>
      <c r="T717" s="6">
        <v>0</v>
      </c>
      <c r="U717" s="6">
        <v>0</v>
      </c>
      <c r="V717" s="6">
        <v>0</v>
      </c>
      <c r="W717" s="6">
        <v>0</v>
      </c>
      <c r="X717" s="6" t="s">
        <v>169</v>
      </c>
      <c r="Z717" s="6" t="s">
        <v>170</v>
      </c>
      <c r="AA717" s="6" t="s">
        <v>171</v>
      </c>
      <c r="AB717" s="6">
        <v>0</v>
      </c>
      <c r="AC717" s="6" t="str">
        <f>""</f>
        <v/>
      </c>
      <c r="AS717" s="6">
        <v>0</v>
      </c>
      <c r="AT717" s="6">
        <v>1</v>
      </c>
    </row>
    <row r="718" spans="2:46">
      <c r="B718" s="6" t="s">
        <v>2724</v>
      </c>
      <c r="D718" s="6" t="s">
        <v>1561</v>
      </c>
      <c r="F718" s="6" t="s">
        <v>3231</v>
      </c>
      <c r="G718" s="6" t="str">
        <f>"SDY16HST03NV"</f>
        <v>SDY16HST03NV</v>
      </c>
      <c r="H718" s="6" t="s">
        <v>3232</v>
      </c>
      <c r="I718" s="6" t="s">
        <v>3233</v>
      </c>
      <c r="J718" s="6" t="str">
        <f>"Velvet Logo T"</f>
        <v>Velvet Logo T</v>
      </c>
      <c r="K718" s="6">
        <v>0</v>
      </c>
      <c r="L718" s="6">
        <v>0</v>
      </c>
      <c r="M718" s="6">
        <v>0</v>
      </c>
      <c r="N718" s="6" t="str">
        <f>""</f>
        <v/>
      </c>
      <c r="O718" s="6">
        <v>32604</v>
      </c>
      <c r="P718" s="6" t="s">
        <v>3234</v>
      </c>
      <c r="R718" s="6" t="s">
        <v>2943</v>
      </c>
      <c r="S718" s="6" t="s">
        <v>3235</v>
      </c>
      <c r="T718" s="6">
        <v>0</v>
      </c>
      <c r="U718" s="6">
        <v>0</v>
      </c>
      <c r="V718" s="6">
        <v>0</v>
      </c>
      <c r="W718" s="6">
        <v>0</v>
      </c>
      <c r="X718" s="6" t="s">
        <v>169</v>
      </c>
      <c r="Z718" s="6" t="s">
        <v>170</v>
      </c>
      <c r="AA718" s="6" t="s">
        <v>171</v>
      </c>
      <c r="AB718" s="6">
        <v>0</v>
      </c>
      <c r="AC718" s="6" t="str">
        <f>""</f>
        <v/>
      </c>
      <c r="AS718" s="6">
        <v>0</v>
      </c>
      <c r="AT718" s="6">
        <v>0</v>
      </c>
    </row>
    <row r="719" spans="2:46">
      <c r="B719" s="6" t="s">
        <v>2724</v>
      </c>
      <c r="D719" s="6" t="s">
        <v>1561</v>
      </c>
      <c r="F719" s="6" t="s">
        <v>3236</v>
      </c>
      <c r="G719" s="6" t="str">
        <f>"SDY16HST02BL"</f>
        <v>SDY16HST02BL</v>
      </c>
      <c r="H719" s="6" t="s">
        <v>3237</v>
      </c>
      <c r="I719" s="6" t="s">
        <v>3238</v>
      </c>
      <c r="J719" s="6" t="str">
        <f>"stripe Sleeveless Top"</f>
        <v>stripe Sleeveless Top</v>
      </c>
      <c r="K719" s="6">
        <v>0</v>
      </c>
      <c r="L719" s="6">
        <v>0</v>
      </c>
      <c r="M719" s="6">
        <v>0</v>
      </c>
      <c r="N719" s="6" t="str">
        <f>""</f>
        <v/>
      </c>
      <c r="O719" s="6">
        <v>32602</v>
      </c>
      <c r="P719" s="6" t="s">
        <v>3239</v>
      </c>
      <c r="R719" s="6" t="s">
        <v>3187</v>
      </c>
      <c r="S719" s="6" t="s">
        <v>3240</v>
      </c>
      <c r="T719" s="6">
        <v>0</v>
      </c>
      <c r="U719" s="6">
        <v>0</v>
      </c>
      <c r="V719" s="6">
        <v>0</v>
      </c>
      <c r="W719" s="6">
        <v>0</v>
      </c>
      <c r="X719" s="6" t="s">
        <v>169</v>
      </c>
      <c r="Z719" s="6" t="s">
        <v>170</v>
      </c>
      <c r="AA719" s="6" t="s">
        <v>171</v>
      </c>
      <c r="AB719" s="6">
        <v>0</v>
      </c>
      <c r="AC719" s="6" t="str">
        <f>""</f>
        <v/>
      </c>
      <c r="AS719" s="6">
        <v>0</v>
      </c>
      <c r="AT719" s="6">
        <v>2</v>
      </c>
    </row>
    <row r="720" spans="2:46">
      <c r="B720" s="6" t="s">
        <v>2724</v>
      </c>
      <c r="D720" s="6" t="s">
        <v>1561</v>
      </c>
      <c r="F720" s="6" t="s">
        <v>3241</v>
      </c>
      <c r="G720" s="6" t="str">
        <f>"SDY16HST06GR"</f>
        <v>SDY16HST06GR</v>
      </c>
      <c r="H720" s="6" t="s">
        <v>3242</v>
      </c>
      <c r="I720" s="6" t="s">
        <v>3243</v>
      </c>
      <c r="J720" s="6" t="str">
        <f>" Silky Sleeveless Top"</f>
        <v xml:space="preserve"> Silky Sleeveless Top</v>
      </c>
      <c r="K720" s="6">
        <v>0</v>
      </c>
      <c r="L720" s="6">
        <v>0</v>
      </c>
      <c r="M720" s="6">
        <v>0</v>
      </c>
      <c r="N720" s="6" t="str">
        <f>""</f>
        <v/>
      </c>
      <c r="O720" s="6">
        <v>32600</v>
      </c>
      <c r="P720" s="6" t="s">
        <v>3244</v>
      </c>
      <c r="R720" s="6" t="s">
        <v>3245</v>
      </c>
      <c r="S720" s="6" t="s">
        <v>3246</v>
      </c>
      <c r="T720" s="6">
        <v>0</v>
      </c>
      <c r="U720" s="6">
        <v>0</v>
      </c>
      <c r="V720" s="6">
        <v>0</v>
      </c>
      <c r="W720" s="6">
        <v>0</v>
      </c>
      <c r="X720" s="6" t="s">
        <v>169</v>
      </c>
      <c r="Z720" s="6" t="s">
        <v>170</v>
      </c>
      <c r="AA720" s="6" t="s">
        <v>171</v>
      </c>
      <c r="AB720" s="6">
        <v>0</v>
      </c>
      <c r="AC720" s="6" t="str">
        <f>""</f>
        <v/>
      </c>
      <c r="AS720" s="6">
        <v>0</v>
      </c>
      <c r="AT720" s="6">
        <v>2</v>
      </c>
    </row>
    <row r="721" spans="2:46">
      <c r="B721" s="6" t="s">
        <v>2724</v>
      </c>
      <c r="D721" s="6" t="s">
        <v>1561</v>
      </c>
      <c r="F721" s="6" t="s">
        <v>3247</v>
      </c>
      <c r="G721" s="6" t="str">
        <f>"SDY16HST06BK"</f>
        <v>SDY16HST06BK</v>
      </c>
      <c r="H721" s="6" t="s">
        <v>3248</v>
      </c>
      <c r="I721" s="6" t="s">
        <v>3243</v>
      </c>
      <c r="J721" s="6" t="str">
        <f>" Silky Sleeveless Top"</f>
        <v xml:space="preserve"> Silky Sleeveless Top</v>
      </c>
      <c r="K721" s="6">
        <v>0</v>
      </c>
      <c r="L721" s="6">
        <v>0</v>
      </c>
      <c r="M721" s="6">
        <v>0</v>
      </c>
      <c r="N721" s="6" t="str">
        <f>""</f>
        <v/>
      </c>
      <c r="O721" s="6">
        <v>32599</v>
      </c>
      <c r="P721" s="6" t="s">
        <v>3249</v>
      </c>
      <c r="R721" s="6" t="s">
        <v>2989</v>
      </c>
      <c r="S721" s="6" t="s">
        <v>3250</v>
      </c>
      <c r="T721" s="6">
        <v>0</v>
      </c>
      <c r="U721" s="6">
        <v>0</v>
      </c>
      <c r="V721" s="6">
        <v>0</v>
      </c>
      <c r="W721" s="6">
        <v>0</v>
      </c>
      <c r="X721" s="6" t="s">
        <v>169</v>
      </c>
      <c r="Z721" s="6" t="s">
        <v>170</v>
      </c>
      <c r="AA721" s="6" t="s">
        <v>171</v>
      </c>
      <c r="AB721" s="6">
        <v>0</v>
      </c>
      <c r="AC721" s="6" t="str">
        <f>""</f>
        <v/>
      </c>
      <c r="AS721" s="6">
        <v>0</v>
      </c>
      <c r="AT721" s="6">
        <v>2</v>
      </c>
    </row>
    <row r="722" spans="2:46">
      <c r="B722" s="6" t="s">
        <v>2724</v>
      </c>
      <c r="D722" s="6" t="s">
        <v>1561</v>
      </c>
      <c r="F722" s="6" t="s">
        <v>3251</v>
      </c>
      <c r="G722" s="6" t="str">
        <f>"SDY16HST01NV"</f>
        <v>SDY16HST01NV</v>
      </c>
      <c r="H722" s="6" t="s">
        <v>3252</v>
      </c>
      <c r="I722" s="6" t="s">
        <v>3243</v>
      </c>
      <c r="J722" s="6" t="str">
        <f>" Silky Sleeveless Top"</f>
        <v xml:space="preserve"> Silky Sleeveless Top</v>
      </c>
      <c r="K722" s="6">
        <v>0</v>
      </c>
      <c r="L722" s="6">
        <v>0</v>
      </c>
      <c r="M722" s="6">
        <v>0</v>
      </c>
      <c r="N722" s="6" t="str">
        <f>""</f>
        <v/>
      </c>
      <c r="O722" s="6">
        <v>32598</v>
      </c>
      <c r="P722" s="6" t="s">
        <v>3253</v>
      </c>
      <c r="R722" s="6" t="s">
        <v>2943</v>
      </c>
      <c r="S722" s="6" t="s">
        <v>3254</v>
      </c>
      <c r="T722" s="6">
        <v>0</v>
      </c>
      <c r="U722" s="6">
        <v>0</v>
      </c>
      <c r="V722" s="6">
        <v>0</v>
      </c>
      <c r="W722" s="6">
        <v>0</v>
      </c>
      <c r="X722" s="6" t="s">
        <v>169</v>
      </c>
      <c r="Z722" s="6" t="s">
        <v>170</v>
      </c>
      <c r="AA722" s="6" t="s">
        <v>171</v>
      </c>
      <c r="AB722" s="6">
        <v>0</v>
      </c>
      <c r="AC722" s="6" t="str">
        <f>""</f>
        <v/>
      </c>
      <c r="AS722" s="6">
        <v>0</v>
      </c>
      <c r="AT722" s="6">
        <v>2</v>
      </c>
    </row>
    <row r="723" spans="2:46">
      <c r="B723" s="6" t="s">
        <v>2724</v>
      </c>
      <c r="D723" s="6" t="s">
        <v>1561</v>
      </c>
      <c r="F723" s="6" t="s">
        <v>3255</v>
      </c>
      <c r="G723" s="6" t="str">
        <f>"SDY16HST01BR"</f>
        <v>SDY16HST01BR</v>
      </c>
      <c r="H723" s="6" t="s">
        <v>3256</v>
      </c>
      <c r="I723" s="6" t="s">
        <v>3243</v>
      </c>
      <c r="J723" s="6" t="str">
        <f>" Silky Sleeveless Top"</f>
        <v xml:space="preserve"> Silky Sleeveless Top</v>
      </c>
      <c r="K723" s="6">
        <v>0</v>
      </c>
      <c r="L723" s="6">
        <v>0</v>
      </c>
      <c r="M723" s="6">
        <v>0</v>
      </c>
      <c r="N723" s="6" t="str">
        <f>""</f>
        <v/>
      </c>
      <c r="O723" s="6">
        <v>32597</v>
      </c>
      <c r="P723" s="6" t="s">
        <v>3257</v>
      </c>
      <c r="R723" s="6" t="s">
        <v>3258</v>
      </c>
      <c r="S723" s="6" t="s">
        <v>3259</v>
      </c>
      <c r="T723" s="6">
        <v>0</v>
      </c>
      <c r="U723" s="6">
        <v>0</v>
      </c>
      <c r="V723" s="6">
        <v>0</v>
      </c>
      <c r="W723" s="6">
        <v>0</v>
      </c>
      <c r="X723" s="6" t="s">
        <v>169</v>
      </c>
      <c r="Z723" s="6" t="s">
        <v>170</v>
      </c>
      <c r="AA723" s="6" t="s">
        <v>171</v>
      </c>
      <c r="AB723" s="6">
        <v>0</v>
      </c>
      <c r="AC723" s="6" t="str">
        <f>""</f>
        <v/>
      </c>
      <c r="AS723" s="6">
        <v>0</v>
      </c>
      <c r="AT723" s="6">
        <v>0</v>
      </c>
    </row>
    <row r="724" spans="2:46">
      <c r="B724" s="6" t="s">
        <v>2724</v>
      </c>
      <c r="D724" s="6" t="s">
        <v>1561</v>
      </c>
      <c r="F724" s="6" t="s">
        <v>3260</v>
      </c>
      <c r="G724" s="6" t="str">
        <f>"SDY17SSACC01KH"</f>
        <v>SDY17SSACC01KH</v>
      </c>
      <c r="H724" s="6" t="s">
        <v>3261</v>
      </c>
      <c r="I724" s="6" t="s">
        <v>3262</v>
      </c>
      <c r="J724" s="6" t="str">
        <f>"Silky Scarf"</f>
        <v>Silky Scarf</v>
      </c>
      <c r="K724" s="6">
        <v>0</v>
      </c>
      <c r="L724" s="6">
        <v>0</v>
      </c>
      <c r="M724" s="6">
        <v>0</v>
      </c>
      <c r="N724" s="6" t="str">
        <f>""</f>
        <v/>
      </c>
      <c r="O724" s="6">
        <v>32595</v>
      </c>
      <c r="P724" s="6" t="s">
        <v>3263</v>
      </c>
      <c r="R724" s="6" t="s">
        <v>1703</v>
      </c>
      <c r="S724" s="6" t="s">
        <v>3264</v>
      </c>
      <c r="T724" s="6">
        <v>0</v>
      </c>
      <c r="U724" s="6">
        <v>0</v>
      </c>
      <c r="V724" s="6">
        <v>0</v>
      </c>
      <c r="W724" s="6">
        <v>0</v>
      </c>
      <c r="X724" s="6" t="s">
        <v>169</v>
      </c>
      <c r="Z724" s="6" t="s">
        <v>170</v>
      </c>
      <c r="AA724" s="6" t="s">
        <v>171</v>
      </c>
      <c r="AB724" s="6">
        <v>0</v>
      </c>
      <c r="AC724" s="6" t="str">
        <f>""</f>
        <v/>
      </c>
      <c r="AS724" s="6">
        <v>0</v>
      </c>
      <c r="AT724" s="6">
        <v>2</v>
      </c>
    </row>
    <row r="725" spans="2:46">
      <c r="B725" s="6" t="s">
        <v>2724</v>
      </c>
      <c r="D725" s="6" t="s">
        <v>1561</v>
      </c>
      <c r="F725" s="6" t="s">
        <v>3265</v>
      </c>
      <c r="G725" s="6" t="str">
        <f>"SDY17SSACC01BG"</f>
        <v>SDY17SSACC01BG</v>
      </c>
      <c r="H725" s="6" t="s">
        <v>3266</v>
      </c>
      <c r="I725" s="6" t="s">
        <v>3262</v>
      </c>
      <c r="J725" s="6" t="str">
        <f>"Silky Scarf"</f>
        <v>Silky Scarf</v>
      </c>
      <c r="K725" s="6">
        <v>0</v>
      </c>
      <c r="L725" s="6">
        <v>0</v>
      </c>
      <c r="M725" s="6">
        <v>0</v>
      </c>
      <c r="N725" s="6" t="str">
        <f>""</f>
        <v/>
      </c>
      <c r="O725" s="6">
        <v>32594</v>
      </c>
      <c r="P725" s="6" t="s">
        <v>3267</v>
      </c>
      <c r="R725" s="6" t="s">
        <v>3268</v>
      </c>
      <c r="S725" s="6" t="s">
        <v>3269</v>
      </c>
      <c r="T725" s="6">
        <v>0</v>
      </c>
      <c r="U725" s="6">
        <v>0</v>
      </c>
      <c r="V725" s="6">
        <v>0</v>
      </c>
      <c r="W725" s="6">
        <v>0</v>
      </c>
      <c r="X725" s="6" t="s">
        <v>169</v>
      </c>
      <c r="Z725" s="6" t="s">
        <v>170</v>
      </c>
      <c r="AA725" s="6" t="s">
        <v>171</v>
      </c>
      <c r="AB725" s="6">
        <v>0</v>
      </c>
      <c r="AC725" s="6" t="str">
        <f>""</f>
        <v/>
      </c>
      <c r="AS725" s="6">
        <v>0</v>
      </c>
      <c r="AT725" s="6">
        <v>2</v>
      </c>
    </row>
    <row r="726" spans="2:46">
      <c r="B726" s="6" t="s">
        <v>2724</v>
      </c>
      <c r="D726" s="6" t="s">
        <v>1561</v>
      </c>
      <c r="F726" s="6" t="s">
        <v>3270</v>
      </c>
      <c r="G726" s="6" t="str">
        <f>"SDY17SSACC01NV"</f>
        <v>SDY17SSACC01NV</v>
      </c>
      <c r="H726" s="6" t="s">
        <v>3271</v>
      </c>
      <c r="I726" s="6" t="s">
        <v>3262</v>
      </c>
      <c r="J726" s="6" t="str">
        <f>"Silky Scarf"</f>
        <v>Silky Scarf</v>
      </c>
      <c r="K726" s="6">
        <v>0</v>
      </c>
      <c r="L726" s="6">
        <v>0</v>
      </c>
      <c r="M726" s="6">
        <v>0</v>
      </c>
      <c r="N726" s="6" t="str">
        <f>""</f>
        <v/>
      </c>
      <c r="O726" s="6">
        <v>32593</v>
      </c>
      <c r="P726" s="6" t="s">
        <v>3272</v>
      </c>
      <c r="R726" s="6" t="s">
        <v>1630</v>
      </c>
      <c r="S726" s="6" t="s">
        <v>3273</v>
      </c>
      <c r="T726" s="6">
        <v>0</v>
      </c>
      <c r="U726" s="6">
        <v>0</v>
      </c>
      <c r="V726" s="6">
        <v>0</v>
      </c>
      <c r="W726" s="6">
        <v>0</v>
      </c>
      <c r="X726" s="6" t="s">
        <v>169</v>
      </c>
      <c r="Z726" s="6" t="s">
        <v>170</v>
      </c>
      <c r="AA726" s="6" t="s">
        <v>171</v>
      </c>
      <c r="AB726" s="6">
        <v>0</v>
      </c>
      <c r="AC726" s="6" t="str">
        <f>""</f>
        <v/>
      </c>
      <c r="AS726" s="6">
        <v>0</v>
      </c>
      <c r="AT726" s="6">
        <v>2</v>
      </c>
    </row>
    <row r="727" spans="2:46">
      <c r="B727" s="6" t="s">
        <v>2724</v>
      </c>
      <c r="D727" s="6" t="s">
        <v>1561</v>
      </c>
      <c r="F727" s="6" t="s">
        <v>3274</v>
      </c>
      <c r="G727" s="6" t="str">
        <f>"SDY17SSACC01PK"</f>
        <v>SDY17SSACC01PK</v>
      </c>
      <c r="H727" s="6" t="s">
        <v>3275</v>
      </c>
      <c r="I727" s="6" t="s">
        <v>3262</v>
      </c>
      <c r="J727" s="6" t="str">
        <f>"Silky Scarf"</f>
        <v>Silky Scarf</v>
      </c>
      <c r="K727" s="6">
        <v>0</v>
      </c>
      <c r="L727" s="6">
        <v>0</v>
      </c>
      <c r="M727" s="6">
        <v>0</v>
      </c>
      <c r="N727" s="6" t="str">
        <f>""</f>
        <v/>
      </c>
      <c r="O727" s="6">
        <v>32592</v>
      </c>
      <c r="P727" s="6" t="s">
        <v>3276</v>
      </c>
      <c r="R727" s="6" t="s">
        <v>1619</v>
      </c>
      <c r="S727" s="6" t="s">
        <v>3277</v>
      </c>
      <c r="T727" s="6">
        <v>0</v>
      </c>
      <c r="U727" s="6">
        <v>0</v>
      </c>
      <c r="V727" s="6">
        <v>0</v>
      </c>
      <c r="W727" s="6">
        <v>0</v>
      </c>
      <c r="X727" s="6" t="s">
        <v>169</v>
      </c>
      <c r="Z727" s="6" t="s">
        <v>170</v>
      </c>
      <c r="AA727" s="6" t="s">
        <v>171</v>
      </c>
      <c r="AB727" s="6">
        <v>0</v>
      </c>
      <c r="AC727" s="6" t="str">
        <f>""</f>
        <v/>
      </c>
      <c r="AS727" s="6">
        <v>0</v>
      </c>
      <c r="AT727" s="6">
        <v>2</v>
      </c>
    </row>
    <row r="728" spans="2:46">
      <c r="B728" s="6" t="s">
        <v>2724</v>
      </c>
      <c r="D728" s="6" t="s">
        <v>1561</v>
      </c>
      <c r="F728" s="6" t="s">
        <v>3278</v>
      </c>
      <c r="G728" s="6" t="str">
        <f>"SDY17SSCT01BG"</f>
        <v>SDY17SSCT01BG</v>
      </c>
      <c r="H728" s="6" t="s">
        <v>3279</v>
      </c>
      <c r="I728" s="6" t="s">
        <v>3280</v>
      </c>
      <c r="J728" s="6" t="str">
        <f>"High Neck Long Trench Coat"</f>
        <v>High Neck Long Trench Coat</v>
      </c>
      <c r="K728" s="6">
        <v>0</v>
      </c>
      <c r="L728" s="6">
        <v>0</v>
      </c>
      <c r="M728" s="6">
        <v>0</v>
      </c>
      <c r="N728" s="6" t="str">
        <f>""</f>
        <v/>
      </c>
      <c r="O728" s="6">
        <v>32590</v>
      </c>
      <c r="P728" s="6" t="s">
        <v>3281</v>
      </c>
      <c r="R728" s="6" t="s">
        <v>3268</v>
      </c>
      <c r="S728" s="6" t="s">
        <v>3282</v>
      </c>
      <c r="T728" s="6">
        <v>0</v>
      </c>
      <c r="U728" s="6">
        <v>0</v>
      </c>
      <c r="V728" s="6">
        <v>0</v>
      </c>
      <c r="W728" s="6">
        <v>0</v>
      </c>
      <c r="X728" s="6" t="s">
        <v>169</v>
      </c>
      <c r="Z728" s="6" t="s">
        <v>170</v>
      </c>
      <c r="AA728" s="6" t="s">
        <v>171</v>
      </c>
      <c r="AB728" s="6">
        <v>0</v>
      </c>
      <c r="AC728" s="6" t="str">
        <f>""</f>
        <v/>
      </c>
      <c r="AS728" s="6">
        <v>0</v>
      </c>
      <c r="AT728" s="6">
        <v>2</v>
      </c>
    </row>
    <row r="729" spans="2:46">
      <c r="B729" s="6" t="s">
        <v>2724</v>
      </c>
      <c r="D729" s="6" t="s">
        <v>1561</v>
      </c>
      <c r="F729" s="6" t="s">
        <v>3283</v>
      </c>
      <c r="G729" s="6" t="str">
        <f>"SDY17SSSK02BK"</f>
        <v>SDY17SSSK02BK</v>
      </c>
      <c r="H729" s="6" t="s">
        <v>3284</v>
      </c>
      <c r="I729" s="6" t="s">
        <v>3285</v>
      </c>
      <c r="J729" s="6" t="str">
        <f>"Glossy Pleats Skirt_Black"</f>
        <v>Glossy Pleats Skirt_Black</v>
      </c>
      <c r="K729" s="6">
        <v>0</v>
      </c>
      <c r="L729" s="6">
        <v>0</v>
      </c>
      <c r="M729" s="6">
        <v>0</v>
      </c>
      <c r="N729" s="6" t="str">
        <f>""</f>
        <v/>
      </c>
      <c r="O729" s="6">
        <v>32588</v>
      </c>
      <c r="P729" s="6" t="s">
        <v>3286</v>
      </c>
      <c r="R729" s="6" t="s">
        <v>1565</v>
      </c>
      <c r="S729" s="6" t="s">
        <v>3287</v>
      </c>
      <c r="T729" s="6">
        <v>0</v>
      </c>
      <c r="U729" s="6">
        <v>0</v>
      </c>
      <c r="V729" s="6">
        <v>0</v>
      </c>
      <c r="W729" s="6">
        <v>0</v>
      </c>
      <c r="X729" s="6" t="s">
        <v>169</v>
      </c>
      <c r="Z729" s="6" t="s">
        <v>170</v>
      </c>
      <c r="AA729" s="6" t="s">
        <v>171</v>
      </c>
      <c r="AB729" s="6">
        <v>0</v>
      </c>
      <c r="AC729" s="6" t="str">
        <f>""</f>
        <v/>
      </c>
      <c r="AS729" s="6">
        <v>0</v>
      </c>
      <c r="AT729" s="6">
        <v>2</v>
      </c>
    </row>
    <row r="730" spans="2:46">
      <c r="B730" s="6" t="s">
        <v>2724</v>
      </c>
      <c r="D730" s="6" t="s">
        <v>1561</v>
      </c>
      <c r="F730" s="6" t="s">
        <v>3288</v>
      </c>
      <c r="G730" s="6" t="str">
        <f>"SDY17SSSK02GD"</f>
        <v>SDY17SSSK02GD</v>
      </c>
      <c r="H730" s="6" t="s">
        <v>3289</v>
      </c>
      <c r="I730" s="6" t="s">
        <v>3290</v>
      </c>
      <c r="J730" s="6" t="str">
        <f>"Glossy Pleats Skirt_Gold"</f>
        <v>Glossy Pleats Skirt_Gold</v>
      </c>
      <c r="K730" s="6">
        <v>0</v>
      </c>
      <c r="L730" s="6">
        <v>0</v>
      </c>
      <c r="M730" s="6">
        <v>0</v>
      </c>
      <c r="N730" s="6" t="str">
        <f>""</f>
        <v/>
      </c>
      <c r="O730" s="6">
        <v>32586</v>
      </c>
      <c r="P730" s="6" t="s">
        <v>3291</v>
      </c>
      <c r="R730" s="6" t="s">
        <v>3292</v>
      </c>
      <c r="S730" s="6" t="s">
        <v>3293</v>
      </c>
      <c r="T730" s="6">
        <v>0</v>
      </c>
      <c r="U730" s="6">
        <v>0</v>
      </c>
      <c r="V730" s="6">
        <v>0</v>
      </c>
      <c r="W730" s="6">
        <v>0</v>
      </c>
      <c r="X730" s="6" t="s">
        <v>169</v>
      </c>
      <c r="Z730" s="6" t="s">
        <v>170</v>
      </c>
      <c r="AA730" s="6" t="s">
        <v>171</v>
      </c>
      <c r="AB730" s="6">
        <v>0</v>
      </c>
      <c r="AC730" s="6" t="str">
        <f>""</f>
        <v/>
      </c>
      <c r="AS730" s="6">
        <v>0</v>
      </c>
      <c r="AT730" s="6">
        <v>0</v>
      </c>
    </row>
    <row r="731" spans="2:46">
      <c r="B731" s="6" t="s">
        <v>2724</v>
      </c>
      <c r="D731" s="6" t="s">
        <v>1561</v>
      </c>
      <c r="F731" s="6" t="s">
        <v>3294</v>
      </c>
      <c r="G731" s="6" t="str">
        <f>"SDY17SSSK02SV"</f>
        <v>SDY17SSSK02SV</v>
      </c>
      <c r="H731" s="6" t="s">
        <v>3295</v>
      </c>
      <c r="I731" s="6" t="s">
        <v>3296</v>
      </c>
      <c r="J731" s="6" t="str">
        <f>"Glossy Pleats Skirt_Silver"</f>
        <v>Glossy Pleats Skirt_Silver</v>
      </c>
      <c r="K731" s="6">
        <v>0</v>
      </c>
      <c r="L731" s="6">
        <v>0</v>
      </c>
      <c r="M731" s="6">
        <v>0</v>
      </c>
      <c r="N731" s="6" t="str">
        <f>""</f>
        <v/>
      </c>
      <c r="O731" s="6">
        <v>32584</v>
      </c>
      <c r="P731" s="6" t="s">
        <v>3297</v>
      </c>
      <c r="R731" s="6" t="s">
        <v>3298</v>
      </c>
      <c r="S731" s="6" t="s">
        <v>3299</v>
      </c>
      <c r="T731" s="6">
        <v>0</v>
      </c>
      <c r="U731" s="6">
        <v>0</v>
      </c>
      <c r="V731" s="6">
        <v>0</v>
      </c>
      <c r="W731" s="6">
        <v>0</v>
      </c>
      <c r="X731" s="6" t="s">
        <v>169</v>
      </c>
      <c r="Z731" s="6" t="s">
        <v>170</v>
      </c>
      <c r="AA731" s="6" t="s">
        <v>171</v>
      </c>
      <c r="AB731" s="6">
        <v>0</v>
      </c>
      <c r="AC731" s="6" t="str">
        <f>""</f>
        <v/>
      </c>
      <c r="AS731" s="6">
        <v>0</v>
      </c>
      <c r="AT731" s="6">
        <v>0</v>
      </c>
    </row>
    <row r="732" spans="2:46">
      <c r="B732" s="6" t="s">
        <v>2724</v>
      </c>
      <c r="D732" s="6" t="s">
        <v>1561</v>
      </c>
      <c r="F732" s="6" t="s">
        <v>3300</v>
      </c>
      <c r="G732" s="6" t="str">
        <f>"SDY17SSSK01BK"</f>
        <v>SDY17SSSK01BK</v>
      </c>
      <c r="H732" s="6" t="s">
        <v>3301</v>
      </c>
      <c r="I732" s="6" t="s">
        <v>3302</v>
      </c>
      <c r="J732" s="6" t="str">
        <f>"Glossy Mermaid Skirt_Black"</f>
        <v>Glossy Mermaid Skirt_Black</v>
      </c>
      <c r="K732" s="6">
        <v>0</v>
      </c>
      <c r="L732" s="6">
        <v>0</v>
      </c>
      <c r="M732" s="6">
        <v>0</v>
      </c>
      <c r="N732" s="6" t="str">
        <f>""</f>
        <v/>
      </c>
      <c r="O732" s="6">
        <v>32582</v>
      </c>
      <c r="P732" s="6" t="s">
        <v>3303</v>
      </c>
      <c r="R732" s="6" t="s">
        <v>1565</v>
      </c>
      <c r="S732" s="6" t="s">
        <v>3304</v>
      </c>
      <c r="T732" s="6">
        <v>0</v>
      </c>
      <c r="U732" s="6">
        <v>0</v>
      </c>
      <c r="V732" s="6">
        <v>0</v>
      </c>
      <c r="W732" s="6">
        <v>0</v>
      </c>
      <c r="X732" s="6" t="s">
        <v>169</v>
      </c>
      <c r="Z732" s="6" t="s">
        <v>170</v>
      </c>
      <c r="AA732" s="6" t="s">
        <v>171</v>
      </c>
      <c r="AB732" s="6">
        <v>0</v>
      </c>
      <c r="AC732" s="6" t="str">
        <f>""</f>
        <v/>
      </c>
      <c r="AS732" s="6">
        <v>0</v>
      </c>
      <c r="AT732" s="6">
        <v>1</v>
      </c>
    </row>
    <row r="733" spans="2:46">
      <c r="B733" s="6" t="s">
        <v>2724</v>
      </c>
      <c r="D733" s="6" t="s">
        <v>1561</v>
      </c>
      <c r="F733" s="6" t="s">
        <v>3305</v>
      </c>
      <c r="G733" s="6" t="str">
        <f>"SDY17SSSK01GR"</f>
        <v>SDY17SSSK01GR</v>
      </c>
      <c r="H733" s="6" t="s">
        <v>3306</v>
      </c>
      <c r="I733" s="6" t="s">
        <v>3307</v>
      </c>
      <c r="J733" s="6" t="str">
        <f>"Glossy Mermaid Skirt_Grey"</f>
        <v>Glossy Mermaid Skirt_Grey</v>
      </c>
      <c r="K733" s="6">
        <v>0</v>
      </c>
      <c r="L733" s="6">
        <v>0</v>
      </c>
      <c r="M733" s="6">
        <v>0</v>
      </c>
      <c r="N733" s="6" t="str">
        <f>""</f>
        <v/>
      </c>
      <c r="O733" s="6">
        <v>32580</v>
      </c>
      <c r="P733" s="6" t="s">
        <v>3308</v>
      </c>
      <c r="R733" s="6" t="s">
        <v>3309</v>
      </c>
      <c r="S733" s="6" t="s">
        <v>3310</v>
      </c>
      <c r="T733" s="6">
        <v>0</v>
      </c>
      <c r="U733" s="6">
        <v>0</v>
      </c>
      <c r="V733" s="6">
        <v>0</v>
      </c>
      <c r="W733" s="6">
        <v>0</v>
      </c>
      <c r="X733" s="6" t="s">
        <v>169</v>
      </c>
      <c r="Z733" s="6" t="s">
        <v>170</v>
      </c>
      <c r="AA733" s="6" t="s">
        <v>171</v>
      </c>
      <c r="AB733" s="6">
        <v>0</v>
      </c>
      <c r="AC733" s="6" t="str">
        <f>""</f>
        <v/>
      </c>
      <c r="AS733" s="6">
        <v>0</v>
      </c>
      <c r="AT733" s="6">
        <v>1</v>
      </c>
    </row>
    <row r="734" spans="2:46">
      <c r="B734" s="6" t="s">
        <v>2724</v>
      </c>
      <c r="D734" s="6" t="s">
        <v>1561</v>
      </c>
      <c r="F734" s="6" t="s">
        <v>3311</v>
      </c>
      <c r="G734" s="6" t="str">
        <f>"SDY17SSDR04BK"</f>
        <v>SDY17SSDR04BK</v>
      </c>
      <c r="H734" s="6" t="s">
        <v>3312</v>
      </c>
      <c r="I734" s="6" t="s">
        <v>3313</v>
      </c>
      <c r="J734" s="6" t="str">
        <f>"Lace Stripe Dress_Black"</f>
        <v>Lace Stripe Dress_Black</v>
      </c>
      <c r="K734" s="6">
        <v>0</v>
      </c>
      <c r="L734" s="6">
        <v>0</v>
      </c>
      <c r="M734" s="6">
        <v>0</v>
      </c>
      <c r="N734" s="6" t="str">
        <f>""</f>
        <v/>
      </c>
      <c r="O734" s="6">
        <v>32578</v>
      </c>
      <c r="P734" s="6" t="s">
        <v>3314</v>
      </c>
      <c r="R734" s="6" t="s">
        <v>1565</v>
      </c>
      <c r="S734" s="6" t="s">
        <v>3315</v>
      </c>
      <c r="T734" s="6">
        <v>0</v>
      </c>
      <c r="U734" s="6">
        <v>0</v>
      </c>
      <c r="V734" s="6">
        <v>0</v>
      </c>
      <c r="W734" s="6">
        <v>0</v>
      </c>
      <c r="X734" s="6" t="s">
        <v>169</v>
      </c>
      <c r="Z734" s="6" t="s">
        <v>170</v>
      </c>
      <c r="AA734" s="6" t="s">
        <v>171</v>
      </c>
      <c r="AB734" s="6">
        <v>0</v>
      </c>
      <c r="AC734" s="6" t="str">
        <f>""</f>
        <v/>
      </c>
      <c r="AS734" s="6">
        <v>0</v>
      </c>
      <c r="AT734" s="6">
        <v>1</v>
      </c>
    </row>
    <row r="735" spans="2:46">
      <c r="B735" s="6" t="s">
        <v>2724</v>
      </c>
      <c r="D735" s="6" t="s">
        <v>3316</v>
      </c>
      <c r="F735" s="6" t="s">
        <v>3317</v>
      </c>
      <c r="G735" s="6" t="str">
        <f>"SDY17SSDR04IV"</f>
        <v>SDY17SSDR04IV</v>
      </c>
      <c r="H735" s="6" t="s">
        <v>3318</v>
      </c>
      <c r="I735" s="6" t="s">
        <v>3319</v>
      </c>
      <c r="J735" s="6" t="str">
        <f>"Lace Stripe Dress_Ivory"</f>
        <v>Lace Stripe Dress_Ivory</v>
      </c>
      <c r="K735" s="6">
        <v>0</v>
      </c>
      <c r="L735" s="6">
        <v>0</v>
      </c>
      <c r="M735" s="6">
        <v>0</v>
      </c>
      <c r="N735" s="6" t="str">
        <f>""</f>
        <v/>
      </c>
      <c r="O735" s="6">
        <v>32576</v>
      </c>
      <c r="P735" s="6" t="s">
        <v>3320</v>
      </c>
      <c r="R735" s="6" t="s">
        <v>3321</v>
      </c>
      <c r="S735" s="6" t="s">
        <v>3322</v>
      </c>
      <c r="T735" s="6">
        <v>0</v>
      </c>
      <c r="U735" s="6">
        <v>0</v>
      </c>
      <c r="V735" s="6">
        <v>0</v>
      </c>
      <c r="W735" s="6">
        <v>0</v>
      </c>
      <c r="X735" s="6" t="s">
        <v>169</v>
      </c>
      <c r="Z735" s="6" t="s">
        <v>170</v>
      </c>
      <c r="AA735" s="6" t="s">
        <v>171</v>
      </c>
      <c r="AB735" s="6">
        <v>0</v>
      </c>
      <c r="AC735" s="6" t="str">
        <f>""</f>
        <v/>
      </c>
      <c r="AS735" s="6">
        <v>0</v>
      </c>
      <c r="AT735" s="6">
        <v>1</v>
      </c>
    </row>
    <row r="736" spans="2:46">
      <c r="B736" s="6" t="s">
        <v>2724</v>
      </c>
      <c r="D736" s="6" t="s">
        <v>3316</v>
      </c>
      <c r="F736" s="6" t="s">
        <v>3323</v>
      </c>
      <c r="G736" s="6" t="str">
        <f>"SDY17SSDR03BK"</f>
        <v>SDY17SSDR03BK</v>
      </c>
      <c r="H736" s="6" t="s">
        <v>3324</v>
      </c>
      <c r="I736" s="6" t="s">
        <v>3325</v>
      </c>
      <c r="J736" s="6" t="str">
        <f>"Pleats Cuffs Dress_Black"</f>
        <v>Pleats Cuffs Dress_Black</v>
      </c>
      <c r="K736" s="6">
        <v>0</v>
      </c>
      <c r="L736" s="6">
        <v>0</v>
      </c>
      <c r="M736" s="6">
        <v>0</v>
      </c>
      <c r="N736" s="6" t="str">
        <f>""</f>
        <v/>
      </c>
      <c r="O736" s="6">
        <v>32574</v>
      </c>
      <c r="P736" s="6" t="s">
        <v>3326</v>
      </c>
      <c r="R736" s="6" t="s">
        <v>1565</v>
      </c>
      <c r="S736" s="6" t="s">
        <v>3327</v>
      </c>
      <c r="T736" s="6">
        <v>0</v>
      </c>
      <c r="U736" s="6">
        <v>0</v>
      </c>
      <c r="V736" s="6">
        <v>0</v>
      </c>
      <c r="W736" s="6">
        <v>0</v>
      </c>
      <c r="X736" s="6" t="s">
        <v>169</v>
      </c>
      <c r="Z736" s="6" t="s">
        <v>170</v>
      </c>
      <c r="AA736" s="6" t="s">
        <v>171</v>
      </c>
      <c r="AB736" s="6">
        <v>0</v>
      </c>
      <c r="AC736" s="6" t="str">
        <f>""</f>
        <v/>
      </c>
      <c r="AS736" s="6">
        <v>0</v>
      </c>
      <c r="AT736" s="6">
        <v>1</v>
      </c>
    </row>
    <row r="737" spans="2:46">
      <c r="B737" s="6" t="s">
        <v>2724</v>
      </c>
      <c r="D737" s="6" t="s">
        <v>3316</v>
      </c>
      <c r="F737" s="6" t="s">
        <v>3328</v>
      </c>
      <c r="G737" s="6" t="str">
        <f>"SDY17SSDR03PP"</f>
        <v>SDY17SSDR03PP</v>
      </c>
      <c r="H737" s="6" t="s">
        <v>3329</v>
      </c>
      <c r="I737" s="6" t="s">
        <v>3330</v>
      </c>
      <c r="J737" s="6" t="str">
        <f>"Pleats Cuffs Dress_Purple"</f>
        <v>Pleats Cuffs Dress_Purple</v>
      </c>
      <c r="K737" s="6">
        <v>0</v>
      </c>
      <c r="L737" s="6">
        <v>0</v>
      </c>
      <c r="M737" s="6">
        <v>0</v>
      </c>
      <c r="N737" s="6" t="str">
        <f>""</f>
        <v/>
      </c>
      <c r="O737" s="6">
        <v>32572</v>
      </c>
      <c r="P737" s="6" t="s">
        <v>3331</v>
      </c>
      <c r="R737" s="6" t="s">
        <v>1841</v>
      </c>
      <c r="S737" s="6" t="s">
        <v>3332</v>
      </c>
      <c r="T737" s="6">
        <v>0</v>
      </c>
      <c r="U737" s="6">
        <v>0</v>
      </c>
      <c r="V737" s="6">
        <v>0</v>
      </c>
      <c r="W737" s="6">
        <v>0</v>
      </c>
      <c r="X737" s="6" t="s">
        <v>169</v>
      </c>
      <c r="Z737" s="6" t="s">
        <v>170</v>
      </c>
      <c r="AA737" s="6" t="s">
        <v>171</v>
      </c>
      <c r="AB737" s="6">
        <v>0</v>
      </c>
      <c r="AC737" s="6" t="str">
        <f>""</f>
        <v/>
      </c>
      <c r="AS737" s="6">
        <v>0</v>
      </c>
      <c r="AT737" s="6">
        <v>0</v>
      </c>
    </row>
    <row r="738" spans="2:46">
      <c r="B738" s="6" t="s">
        <v>2724</v>
      </c>
      <c r="D738" s="6" t="s">
        <v>3316</v>
      </c>
      <c r="F738" s="6" t="s">
        <v>3333</v>
      </c>
      <c r="G738" s="6" t="str">
        <f>"SDY17SSDR02RD"</f>
        <v>SDY17SSDR02RD</v>
      </c>
      <c r="H738" s="6" t="s">
        <v>3334</v>
      </c>
      <c r="I738" s="6" t="s">
        <v>3335</v>
      </c>
      <c r="J738" s="6" t="str">
        <f>"Belted Check Dress_Red"</f>
        <v>Belted Check Dress_Red</v>
      </c>
      <c r="K738" s="6">
        <v>0</v>
      </c>
      <c r="L738" s="6">
        <v>0</v>
      </c>
      <c r="M738" s="6">
        <v>0</v>
      </c>
      <c r="N738" s="6" t="str">
        <f>""</f>
        <v/>
      </c>
      <c r="O738" s="6">
        <v>32570</v>
      </c>
      <c r="P738" s="6" t="s">
        <v>3336</v>
      </c>
      <c r="R738" s="6" t="s">
        <v>1599</v>
      </c>
      <c r="S738" s="6" t="s">
        <v>3337</v>
      </c>
      <c r="T738" s="6">
        <v>0</v>
      </c>
      <c r="U738" s="6">
        <v>0</v>
      </c>
      <c r="V738" s="6">
        <v>0</v>
      </c>
      <c r="W738" s="6">
        <v>0</v>
      </c>
      <c r="X738" s="6" t="s">
        <v>169</v>
      </c>
      <c r="Z738" s="6" t="s">
        <v>170</v>
      </c>
      <c r="AA738" s="6" t="s">
        <v>171</v>
      </c>
      <c r="AB738" s="6">
        <v>0</v>
      </c>
      <c r="AC738" s="6" t="str">
        <f>""</f>
        <v/>
      </c>
      <c r="AS738" s="6">
        <v>0</v>
      </c>
      <c r="AT738" s="6">
        <v>0</v>
      </c>
    </row>
    <row r="739" spans="2:46">
      <c r="B739" s="6" t="s">
        <v>2724</v>
      </c>
      <c r="D739" s="6" t="s">
        <v>3316</v>
      </c>
      <c r="F739" s="6" t="s">
        <v>3338</v>
      </c>
      <c r="G739" s="6" t="str">
        <f>"SDY17SSDR02GN"</f>
        <v>SDY17SSDR02GN</v>
      </c>
      <c r="H739" s="6" t="s">
        <v>3339</v>
      </c>
      <c r="I739" s="6" t="s">
        <v>3340</v>
      </c>
      <c r="J739" s="6" t="str">
        <f>"Belted Check Dress_Green"</f>
        <v>Belted Check Dress_Green</v>
      </c>
      <c r="K739" s="6">
        <v>0</v>
      </c>
      <c r="L739" s="6">
        <v>0</v>
      </c>
      <c r="M739" s="6">
        <v>0</v>
      </c>
      <c r="N739" s="6" t="str">
        <f>""</f>
        <v/>
      </c>
      <c r="O739" s="6">
        <v>32568</v>
      </c>
      <c r="P739" s="6" t="s">
        <v>3341</v>
      </c>
      <c r="R739" s="6" t="s">
        <v>1623</v>
      </c>
      <c r="S739" s="6" t="s">
        <v>3342</v>
      </c>
      <c r="T739" s="6">
        <v>0</v>
      </c>
      <c r="U739" s="6">
        <v>0</v>
      </c>
      <c r="V739" s="6">
        <v>0</v>
      </c>
      <c r="W739" s="6">
        <v>0</v>
      </c>
      <c r="X739" s="6" t="s">
        <v>169</v>
      </c>
      <c r="Z739" s="6" t="s">
        <v>170</v>
      </c>
      <c r="AA739" s="6" t="s">
        <v>171</v>
      </c>
      <c r="AB739" s="6">
        <v>0</v>
      </c>
      <c r="AC739" s="6" t="str">
        <f>""</f>
        <v/>
      </c>
      <c r="AS739" s="6">
        <v>0</v>
      </c>
      <c r="AT739" s="6">
        <v>0</v>
      </c>
    </row>
    <row r="740" spans="2:46">
      <c r="B740" s="6" t="s">
        <v>2724</v>
      </c>
      <c r="D740" s="6" t="s">
        <v>3316</v>
      </c>
      <c r="F740" s="6" t="s">
        <v>3343</v>
      </c>
      <c r="G740" s="6" t="str">
        <f>"SDY17SSDR01NV"</f>
        <v>SDY17SSDR01NV</v>
      </c>
      <c r="H740" s="6" t="s">
        <v>3344</v>
      </c>
      <c r="I740" s="6" t="s">
        <v>3345</v>
      </c>
      <c r="J740" s="6" t="str">
        <f>"Silky Slip Dress_Navy"</f>
        <v>Silky Slip Dress_Navy</v>
      </c>
      <c r="K740" s="6">
        <v>0</v>
      </c>
      <c r="L740" s="6">
        <v>0</v>
      </c>
      <c r="M740" s="6">
        <v>0</v>
      </c>
      <c r="N740" s="6" t="str">
        <f>""</f>
        <v/>
      </c>
      <c r="O740" s="6">
        <v>32566</v>
      </c>
      <c r="P740" s="6" t="s">
        <v>3346</v>
      </c>
      <c r="R740" s="6" t="s">
        <v>1630</v>
      </c>
      <c r="S740" s="6" t="s">
        <v>3347</v>
      </c>
      <c r="T740" s="6">
        <v>0</v>
      </c>
      <c r="U740" s="6">
        <v>0</v>
      </c>
      <c r="V740" s="6">
        <v>0</v>
      </c>
      <c r="W740" s="6">
        <v>0</v>
      </c>
      <c r="X740" s="6" t="s">
        <v>169</v>
      </c>
      <c r="Z740" s="6" t="s">
        <v>170</v>
      </c>
      <c r="AA740" s="6" t="s">
        <v>171</v>
      </c>
      <c r="AB740" s="6">
        <v>0</v>
      </c>
      <c r="AC740" s="6" t="str">
        <f>""</f>
        <v/>
      </c>
      <c r="AS740" s="6">
        <v>0</v>
      </c>
      <c r="AT740" s="6">
        <v>1</v>
      </c>
    </row>
    <row r="741" spans="2:46">
      <c r="B741" s="6" t="s">
        <v>2724</v>
      </c>
      <c r="D741" s="6" t="s">
        <v>3316</v>
      </c>
      <c r="F741" s="6" t="s">
        <v>3348</v>
      </c>
      <c r="G741" s="6" t="str">
        <f>"SDY17SSDR01PK"</f>
        <v>SDY17SSDR01PK</v>
      </c>
      <c r="H741" s="6" t="s">
        <v>3349</v>
      </c>
      <c r="I741" s="6" t="s">
        <v>3350</v>
      </c>
      <c r="J741" s="6" t="str">
        <f>"Silky Slip Dress_Pink"</f>
        <v>Silky Slip Dress_Pink</v>
      </c>
      <c r="K741" s="6">
        <v>0</v>
      </c>
      <c r="L741" s="6">
        <v>0</v>
      </c>
      <c r="M741" s="6">
        <v>0</v>
      </c>
      <c r="N741" s="6" t="str">
        <f>""</f>
        <v/>
      </c>
      <c r="O741" s="6">
        <v>32564</v>
      </c>
      <c r="P741" s="6" t="s">
        <v>3351</v>
      </c>
      <c r="R741" s="6" t="s">
        <v>1619</v>
      </c>
      <c r="S741" s="6" t="s">
        <v>3352</v>
      </c>
      <c r="T741" s="6">
        <v>0</v>
      </c>
      <c r="U741" s="6">
        <v>0</v>
      </c>
      <c r="V741" s="6">
        <v>0</v>
      </c>
      <c r="W741" s="6">
        <v>0</v>
      </c>
      <c r="X741" s="6" t="s">
        <v>169</v>
      </c>
      <c r="Z741" s="6" t="s">
        <v>170</v>
      </c>
      <c r="AA741" s="6" t="s">
        <v>171</v>
      </c>
      <c r="AB741" s="6">
        <v>0</v>
      </c>
      <c r="AC741" s="6" t="str">
        <f>""</f>
        <v/>
      </c>
      <c r="AS741" s="6">
        <v>0</v>
      </c>
      <c r="AT741" s="6">
        <v>2</v>
      </c>
    </row>
    <row r="742" spans="2:46">
      <c r="B742" s="6" t="s">
        <v>2724</v>
      </c>
      <c r="D742" s="6" t="s">
        <v>3316</v>
      </c>
      <c r="F742" s="6" t="s">
        <v>3353</v>
      </c>
      <c r="G742" s="6" t="str">
        <f>"SDY17SSSH01WH"</f>
        <v>SDY17SSSH01WH</v>
      </c>
      <c r="H742" s="6" t="s">
        <v>3354</v>
      </c>
      <c r="I742" s="6" t="s">
        <v>3355</v>
      </c>
      <c r="J742" s="6" t="str">
        <f>"Cuffs Point White Shirt"</f>
        <v>Cuffs Point White Shirt</v>
      </c>
      <c r="K742" s="6">
        <v>0</v>
      </c>
      <c r="L742" s="6">
        <v>0</v>
      </c>
      <c r="M742" s="6">
        <v>0</v>
      </c>
      <c r="N742" s="6" t="str">
        <f>""</f>
        <v/>
      </c>
      <c r="O742" s="6">
        <v>32562</v>
      </c>
      <c r="P742" s="6" t="s">
        <v>3356</v>
      </c>
      <c r="R742" s="6" t="s">
        <v>1591</v>
      </c>
      <c r="S742" s="6" t="s">
        <v>3357</v>
      </c>
      <c r="T742" s="6">
        <v>0</v>
      </c>
      <c r="U742" s="6">
        <v>0</v>
      </c>
      <c r="V742" s="6">
        <v>0</v>
      </c>
      <c r="W742" s="6">
        <v>0</v>
      </c>
      <c r="X742" s="6" t="s">
        <v>169</v>
      </c>
      <c r="Z742" s="6" t="s">
        <v>170</v>
      </c>
      <c r="AA742" s="6" t="s">
        <v>171</v>
      </c>
      <c r="AB742" s="6">
        <v>0</v>
      </c>
      <c r="AC742" s="6" t="str">
        <f>""</f>
        <v/>
      </c>
      <c r="AS742" s="6">
        <v>0</v>
      </c>
      <c r="AT742" s="6">
        <v>2</v>
      </c>
    </row>
    <row r="743" spans="2:46">
      <c r="B743" s="6" t="s">
        <v>2724</v>
      </c>
      <c r="D743" s="6" t="s">
        <v>3316</v>
      </c>
      <c r="F743" s="6" t="s">
        <v>3358</v>
      </c>
      <c r="G743" s="6" t="str">
        <f>"SDY17SSSH01BL"</f>
        <v>SDY17SSSH01BL</v>
      </c>
      <c r="H743" s="6" t="s">
        <v>3359</v>
      </c>
      <c r="I743" s="6" t="s">
        <v>3360</v>
      </c>
      <c r="J743" s="6" t="str">
        <f>"Cuffs Point Stripe Shirt"</f>
        <v>Cuffs Point Stripe Shirt</v>
      </c>
      <c r="K743" s="6">
        <v>0</v>
      </c>
      <c r="L743" s="6">
        <v>0</v>
      </c>
      <c r="M743" s="6">
        <v>0</v>
      </c>
      <c r="N743" s="6" t="str">
        <f>""</f>
        <v/>
      </c>
      <c r="O743" s="6">
        <v>32560</v>
      </c>
      <c r="P743" s="6" t="s">
        <v>3361</v>
      </c>
      <c r="R743" s="6" t="s">
        <v>1603</v>
      </c>
      <c r="S743" s="6" t="s">
        <v>3362</v>
      </c>
      <c r="T743" s="6">
        <v>0</v>
      </c>
      <c r="U743" s="6">
        <v>0</v>
      </c>
      <c r="V743" s="6">
        <v>0</v>
      </c>
      <c r="W743" s="6">
        <v>0</v>
      </c>
      <c r="X743" s="6" t="s">
        <v>169</v>
      </c>
      <c r="Z743" s="6" t="s">
        <v>170</v>
      </c>
      <c r="AA743" s="6" t="s">
        <v>171</v>
      </c>
      <c r="AB743" s="6">
        <v>0</v>
      </c>
      <c r="AC743" s="6" t="str">
        <f>""</f>
        <v/>
      </c>
      <c r="AS743" s="6">
        <v>0</v>
      </c>
      <c r="AT743" s="6">
        <v>2</v>
      </c>
    </row>
    <row r="744" spans="2:46">
      <c r="B744" s="6" t="s">
        <v>2724</v>
      </c>
      <c r="D744" s="6" t="s">
        <v>3316</v>
      </c>
      <c r="F744" s="6" t="s">
        <v>3363</v>
      </c>
      <c r="G744" s="6" t="str">
        <f>"SDY17SSBL02BK"</f>
        <v>SDY17SSBL02BK</v>
      </c>
      <c r="H744" s="6" t="s">
        <v>3364</v>
      </c>
      <c r="I744" s="6" t="s">
        <v>3365</v>
      </c>
      <c r="J744" s="6" t="str">
        <f>"Star Sign Chiffon Blouse"</f>
        <v>Star Sign Chiffon Blouse</v>
      </c>
      <c r="K744" s="6">
        <v>0</v>
      </c>
      <c r="L744" s="6">
        <v>0</v>
      </c>
      <c r="M744" s="6">
        <v>0</v>
      </c>
      <c r="N744" s="6" t="str">
        <f>""</f>
        <v/>
      </c>
      <c r="O744" s="6">
        <v>32558</v>
      </c>
      <c r="P744" s="6" t="s">
        <v>3366</v>
      </c>
      <c r="R744" s="6" t="s">
        <v>1565</v>
      </c>
      <c r="S744" s="6" t="s">
        <v>3367</v>
      </c>
      <c r="T744" s="6">
        <v>0</v>
      </c>
      <c r="U744" s="6">
        <v>0</v>
      </c>
      <c r="V744" s="6">
        <v>0</v>
      </c>
      <c r="W744" s="6">
        <v>0</v>
      </c>
      <c r="X744" s="6" t="s">
        <v>169</v>
      </c>
      <c r="Z744" s="6" t="s">
        <v>170</v>
      </c>
      <c r="AA744" s="6" t="s">
        <v>171</v>
      </c>
      <c r="AB744" s="6">
        <v>0</v>
      </c>
      <c r="AC744" s="6" t="str">
        <f>""</f>
        <v/>
      </c>
      <c r="AS744" s="6">
        <v>0</v>
      </c>
      <c r="AT744" s="6">
        <v>0</v>
      </c>
    </row>
    <row r="745" spans="2:46">
      <c r="B745" s="6" t="s">
        <v>2724</v>
      </c>
      <c r="D745" s="6" t="s">
        <v>3316</v>
      </c>
      <c r="F745" s="6" t="s">
        <v>3368</v>
      </c>
      <c r="G745" s="6" t="str">
        <f>"SDY17SSBL01RD"</f>
        <v>SDY17SSBL01RD</v>
      </c>
      <c r="H745" s="6" t="s">
        <v>3369</v>
      </c>
      <c r="I745" s="6" t="s">
        <v>3370</v>
      </c>
      <c r="J745" s="6" t="str">
        <f>"Check Chiffon Blouse"</f>
        <v>Check Chiffon Blouse</v>
      </c>
      <c r="K745" s="6">
        <v>0</v>
      </c>
      <c r="L745" s="6">
        <v>0</v>
      </c>
      <c r="M745" s="6">
        <v>0</v>
      </c>
      <c r="N745" s="6" t="str">
        <f>""</f>
        <v/>
      </c>
      <c r="O745" s="6">
        <v>32556</v>
      </c>
      <c r="P745" s="6" t="s">
        <v>3371</v>
      </c>
      <c r="R745" s="6" t="s">
        <v>1599</v>
      </c>
      <c r="S745" s="6" t="s">
        <v>3372</v>
      </c>
      <c r="T745" s="6">
        <v>0</v>
      </c>
      <c r="U745" s="6">
        <v>0</v>
      </c>
      <c r="V745" s="6">
        <v>0</v>
      </c>
      <c r="W745" s="6">
        <v>0</v>
      </c>
      <c r="X745" s="6" t="s">
        <v>169</v>
      </c>
      <c r="Z745" s="6" t="s">
        <v>170</v>
      </c>
      <c r="AA745" s="6" t="s">
        <v>171</v>
      </c>
      <c r="AB745" s="6">
        <v>0</v>
      </c>
      <c r="AC745" s="6" t="str">
        <f>""</f>
        <v/>
      </c>
      <c r="AS745" s="6">
        <v>0</v>
      </c>
      <c r="AT745" s="6">
        <v>1</v>
      </c>
    </row>
    <row r="746" spans="2:46">
      <c r="B746" s="6" t="s">
        <v>2724</v>
      </c>
      <c r="D746" s="6" t="s">
        <v>3316</v>
      </c>
      <c r="F746" s="6" t="s">
        <v>3373</v>
      </c>
      <c r="G746" s="6" t="str">
        <f>"SDY17SST06BK"</f>
        <v>SDY17SST06BK</v>
      </c>
      <c r="H746" s="6" t="s">
        <v>3374</v>
      </c>
      <c r="I746" s="6" t="s">
        <v>3375</v>
      </c>
      <c r="J746" s="6" t="str">
        <f>"Velvet Round Neck T_Black"</f>
        <v>Velvet Round Neck T_Black</v>
      </c>
      <c r="K746" s="6">
        <v>0</v>
      </c>
      <c r="L746" s="6">
        <v>0</v>
      </c>
      <c r="M746" s="6">
        <v>0</v>
      </c>
      <c r="N746" s="6" t="str">
        <f>""</f>
        <v/>
      </c>
      <c r="O746" s="6">
        <v>32554</v>
      </c>
      <c r="P746" s="6" t="s">
        <v>3376</v>
      </c>
      <c r="R746" s="6" t="s">
        <v>1565</v>
      </c>
      <c r="S746" s="6" t="s">
        <v>3377</v>
      </c>
      <c r="T746" s="6">
        <v>0</v>
      </c>
      <c r="U746" s="6">
        <v>0</v>
      </c>
      <c r="V746" s="6">
        <v>0</v>
      </c>
      <c r="W746" s="6">
        <v>0</v>
      </c>
      <c r="X746" s="6" t="s">
        <v>169</v>
      </c>
      <c r="Z746" s="6" t="s">
        <v>170</v>
      </c>
      <c r="AA746" s="6" t="s">
        <v>171</v>
      </c>
      <c r="AB746" s="6">
        <v>0</v>
      </c>
      <c r="AC746" s="6" t="str">
        <f>""</f>
        <v/>
      </c>
      <c r="AS746" s="6">
        <v>0</v>
      </c>
      <c r="AT746" s="6">
        <v>1</v>
      </c>
    </row>
    <row r="747" spans="2:46">
      <c r="B747" s="6" t="s">
        <v>2724</v>
      </c>
      <c r="D747" s="6" t="s">
        <v>3316</v>
      </c>
      <c r="F747" s="6" t="s">
        <v>3378</v>
      </c>
      <c r="G747" s="6" t="str">
        <f>"SDY17SST06BL"</f>
        <v>SDY17SST06BL</v>
      </c>
      <c r="H747" s="6" t="s">
        <v>3379</v>
      </c>
      <c r="I747" s="6" t="s">
        <v>3380</v>
      </c>
      <c r="J747" s="6" t="str">
        <f>"Velvet Round Neck T_Blue"</f>
        <v>Velvet Round Neck T_Blue</v>
      </c>
      <c r="K747" s="6">
        <v>0</v>
      </c>
      <c r="L747" s="6">
        <v>0</v>
      </c>
      <c r="M747" s="6">
        <v>0</v>
      </c>
      <c r="N747" s="6" t="str">
        <f>""</f>
        <v/>
      </c>
      <c r="O747" s="6">
        <v>32552</v>
      </c>
      <c r="P747" s="6" t="s">
        <v>3381</v>
      </c>
      <c r="R747" s="6" t="s">
        <v>1603</v>
      </c>
      <c r="S747" s="6" t="s">
        <v>3382</v>
      </c>
      <c r="T747" s="6">
        <v>0</v>
      </c>
      <c r="U747" s="6">
        <v>0</v>
      </c>
      <c r="V747" s="6">
        <v>0</v>
      </c>
      <c r="W747" s="6">
        <v>0</v>
      </c>
      <c r="X747" s="6" t="s">
        <v>169</v>
      </c>
      <c r="Z747" s="6" t="s">
        <v>170</v>
      </c>
      <c r="AA747" s="6" t="s">
        <v>171</v>
      </c>
      <c r="AB747" s="6">
        <v>0</v>
      </c>
      <c r="AC747" s="6" t="str">
        <f>""</f>
        <v/>
      </c>
      <c r="AS747" s="6">
        <v>0</v>
      </c>
      <c r="AT747" s="6">
        <v>0</v>
      </c>
    </row>
    <row r="748" spans="2:46">
      <c r="B748" s="6" t="s">
        <v>2724</v>
      </c>
      <c r="D748" s="6" t="s">
        <v>3316</v>
      </c>
      <c r="F748" s="6" t="s">
        <v>3383</v>
      </c>
      <c r="G748" s="6" t="str">
        <f>"SDY17SST05BK"</f>
        <v>SDY17SST05BK</v>
      </c>
      <c r="H748" s="6" t="s">
        <v>3384</v>
      </c>
      <c r="I748" s="6" t="s">
        <v>3385</v>
      </c>
      <c r="J748" s="6" t="str">
        <f>"Velvet Top &amp; Scarf Set_Black"</f>
        <v>Velvet Top &amp; Scarf Set_Black</v>
      </c>
      <c r="K748" s="6">
        <v>0</v>
      </c>
      <c r="L748" s="6">
        <v>0</v>
      </c>
      <c r="M748" s="6">
        <v>0</v>
      </c>
      <c r="N748" s="6" t="str">
        <f>""</f>
        <v/>
      </c>
      <c r="O748" s="6">
        <v>32550</v>
      </c>
      <c r="P748" s="6" t="s">
        <v>3386</v>
      </c>
      <c r="R748" s="6" t="s">
        <v>1565</v>
      </c>
      <c r="S748" s="6" t="s">
        <v>3387</v>
      </c>
      <c r="T748" s="6">
        <v>0</v>
      </c>
      <c r="U748" s="6">
        <v>0</v>
      </c>
      <c r="V748" s="6">
        <v>0</v>
      </c>
      <c r="W748" s="6">
        <v>0</v>
      </c>
      <c r="X748" s="6" t="s">
        <v>169</v>
      </c>
      <c r="Z748" s="6" t="s">
        <v>170</v>
      </c>
      <c r="AA748" s="6" t="s">
        <v>171</v>
      </c>
      <c r="AB748" s="6">
        <v>0</v>
      </c>
      <c r="AC748" s="6" t="str">
        <f>""</f>
        <v/>
      </c>
      <c r="AS748" s="6">
        <v>0</v>
      </c>
      <c r="AT748" s="6">
        <v>1</v>
      </c>
    </row>
    <row r="749" spans="2:46">
      <c r="B749" s="6" t="s">
        <v>2724</v>
      </c>
      <c r="D749" s="6" t="s">
        <v>3316</v>
      </c>
      <c r="F749" s="6" t="s">
        <v>3388</v>
      </c>
      <c r="G749" s="6" t="str">
        <f>"SDY17SST05NV"</f>
        <v>SDY17SST05NV</v>
      </c>
      <c r="H749" s="6" t="s">
        <v>3389</v>
      </c>
      <c r="I749" s="6" t="s">
        <v>3390</v>
      </c>
      <c r="J749" s="6" t="str">
        <f>"Velvet Top &amp; Scarf Set_Navy"</f>
        <v>Velvet Top &amp; Scarf Set_Navy</v>
      </c>
      <c r="K749" s="6">
        <v>0</v>
      </c>
      <c r="L749" s="6">
        <v>0</v>
      </c>
      <c r="M749" s="6">
        <v>0</v>
      </c>
      <c r="N749" s="6" t="str">
        <f>""</f>
        <v/>
      </c>
      <c r="O749" s="6">
        <v>32548</v>
      </c>
      <c r="P749" s="6" t="s">
        <v>3391</v>
      </c>
      <c r="R749" s="6" t="s">
        <v>1630</v>
      </c>
      <c r="S749" s="6" t="s">
        <v>3392</v>
      </c>
      <c r="T749" s="6">
        <v>0</v>
      </c>
      <c r="U749" s="6">
        <v>0</v>
      </c>
      <c r="V749" s="6">
        <v>0</v>
      </c>
      <c r="W749" s="6">
        <v>0</v>
      </c>
      <c r="X749" s="6" t="s">
        <v>169</v>
      </c>
      <c r="Z749" s="6" t="s">
        <v>170</v>
      </c>
      <c r="AA749" s="6" t="s">
        <v>171</v>
      </c>
      <c r="AB749" s="6">
        <v>0</v>
      </c>
      <c r="AC749" s="6" t="str">
        <f>""</f>
        <v/>
      </c>
      <c r="AS749" s="6">
        <v>0</v>
      </c>
      <c r="AT749" s="6">
        <v>2</v>
      </c>
    </row>
    <row r="750" spans="2:46">
      <c r="B750" s="6" t="s">
        <v>2724</v>
      </c>
      <c r="D750" s="6" t="s">
        <v>3316</v>
      </c>
      <c r="F750" s="6" t="s">
        <v>3393</v>
      </c>
      <c r="G750" s="6" t="str">
        <f>"SDY17SST04BK"</f>
        <v>SDY17SST04BK</v>
      </c>
      <c r="H750" s="6" t="s">
        <v>3394</v>
      </c>
      <c r="I750" s="6" t="s">
        <v>3395</v>
      </c>
      <c r="J750" s="6" t="str">
        <f>"V-Neck Lace T_Black"</f>
        <v>V-Neck Lace T_Black</v>
      </c>
      <c r="K750" s="6">
        <v>0</v>
      </c>
      <c r="L750" s="6">
        <v>0</v>
      </c>
      <c r="M750" s="6">
        <v>0</v>
      </c>
      <c r="N750" s="6" t="str">
        <f>""</f>
        <v/>
      </c>
      <c r="O750" s="6">
        <v>32546</v>
      </c>
      <c r="P750" s="6" t="s">
        <v>3396</v>
      </c>
      <c r="R750" s="6" t="s">
        <v>1565</v>
      </c>
      <c r="S750" s="6" t="s">
        <v>3397</v>
      </c>
      <c r="T750" s="6">
        <v>0</v>
      </c>
      <c r="U750" s="6">
        <v>0</v>
      </c>
      <c r="V750" s="6">
        <v>0</v>
      </c>
      <c r="W750" s="6">
        <v>0</v>
      </c>
      <c r="X750" s="6" t="s">
        <v>169</v>
      </c>
      <c r="Z750" s="6" t="s">
        <v>170</v>
      </c>
      <c r="AA750" s="6" t="s">
        <v>171</v>
      </c>
      <c r="AB750" s="6">
        <v>0</v>
      </c>
      <c r="AC750" s="6" t="str">
        <f>""</f>
        <v/>
      </c>
      <c r="AS750" s="6">
        <v>0</v>
      </c>
      <c r="AT750" s="6">
        <v>2</v>
      </c>
    </row>
    <row r="751" spans="2:46">
      <c r="B751" s="6" t="s">
        <v>2724</v>
      </c>
      <c r="D751" s="6" t="s">
        <v>3316</v>
      </c>
      <c r="F751" s="6" t="s">
        <v>3398</v>
      </c>
      <c r="G751" s="6" t="str">
        <f>"SDY17SST04IV"</f>
        <v>SDY17SST04IV</v>
      </c>
      <c r="H751" s="6" t="s">
        <v>3399</v>
      </c>
      <c r="I751" s="6" t="s">
        <v>3400</v>
      </c>
      <c r="J751" s="6" t="str">
        <f>"V-Neck Lace T_Ivory"</f>
        <v>V-Neck Lace T_Ivory</v>
      </c>
      <c r="K751" s="6">
        <v>0</v>
      </c>
      <c r="L751" s="6">
        <v>0</v>
      </c>
      <c r="M751" s="6">
        <v>0</v>
      </c>
      <c r="N751" s="6" t="str">
        <f>""</f>
        <v/>
      </c>
      <c r="O751" s="6">
        <v>32544</v>
      </c>
      <c r="P751" s="6" t="s">
        <v>3401</v>
      </c>
      <c r="R751" s="6" t="s">
        <v>3321</v>
      </c>
      <c r="S751" s="6" t="s">
        <v>3402</v>
      </c>
      <c r="T751" s="6">
        <v>0</v>
      </c>
      <c r="U751" s="6">
        <v>0</v>
      </c>
      <c r="V751" s="6">
        <v>0</v>
      </c>
      <c r="W751" s="6">
        <v>0</v>
      </c>
      <c r="X751" s="6" t="s">
        <v>169</v>
      </c>
      <c r="Z751" s="6" t="s">
        <v>170</v>
      </c>
      <c r="AA751" s="6" t="s">
        <v>171</v>
      </c>
      <c r="AB751" s="6">
        <v>0</v>
      </c>
      <c r="AC751" s="6" t="str">
        <f>""</f>
        <v/>
      </c>
      <c r="AS751" s="6">
        <v>0</v>
      </c>
      <c r="AT751" s="6">
        <v>2</v>
      </c>
    </row>
    <row r="752" spans="2:46">
      <c r="B752" s="6" t="s">
        <v>2724</v>
      </c>
      <c r="D752" s="6" t="s">
        <v>3316</v>
      </c>
      <c r="F752" s="6" t="s">
        <v>3403</v>
      </c>
      <c r="G752" s="6" t="str">
        <f>"SDY17SST03BK"</f>
        <v>SDY17SST03BK</v>
      </c>
      <c r="H752" s="6" t="s">
        <v>3404</v>
      </c>
      <c r="I752" s="6" t="s">
        <v>3405</v>
      </c>
      <c r="J752" s="6" t="str">
        <f>"Ribbon Point Lace T_Black"</f>
        <v>Ribbon Point Lace T_Black</v>
      </c>
      <c r="K752" s="6">
        <v>0</v>
      </c>
      <c r="L752" s="6">
        <v>0</v>
      </c>
      <c r="M752" s="6">
        <v>0</v>
      </c>
      <c r="N752" s="6" t="str">
        <f>""</f>
        <v/>
      </c>
      <c r="O752" s="6">
        <v>32542</v>
      </c>
      <c r="P752" s="6" t="s">
        <v>3406</v>
      </c>
      <c r="R752" s="6" t="s">
        <v>1565</v>
      </c>
      <c r="S752" s="6" t="s">
        <v>3407</v>
      </c>
      <c r="T752" s="6">
        <v>0</v>
      </c>
      <c r="U752" s="6">
        <v>0</v>
      </c>
      <c r="V752" s="6">
        <v>0</v>
      </c>
      <c r="W752" s="6">
        <v>0</v>
      </c>
      <c r="X752" s="6" t="s">
        <v>169</v>
      </c>
      <c r="Z752" s="6" t="s">
        <v>170</v>
      </c>
      <c r="AA752" s="6" t="s">
        <v>171</v>
      </c>
      <c r="AB752" s="6">
        <v>0</v>
      </c>
      <c r="AC752" s="6" t="str">
        <f>""</f>
        <v/>
      </c>
      <c r="AS752" s="6">
        <v>0</v>
      </c>
      <c r="AT752" s="6">
        <v>2</v>
      </c>
    </row>
    <row r="753" spans="2:46">
      <c r="B753" s="6" t="s">
        <v>2724</v>
      </c>
      <c r="D753" s="6" t="s">
        <v>3316</v>
      </c>
      <c r="F753" s="6" t="s">
        <v>3408</v>
      </c>
      <c r="G753" s="6" t="str">
        <f>"SDY17SST03IV"</f>
        <v>SDY17SST03IV</v>
      </c>
      <c r="H753" s="6" t="s">
        <v>3409</v>
      </c>
      <c r="I753" s="6" t="s">
        <v>3410</v>
      </c>
      <c r="J753" s="6" t="str">
        <f>"Ribbon Point Lace T_Ivory"</f>
        <v>Ribbon Point Lace T_Ivory</v>
      </c>
      <c r="K753" s="6">
        <v>0</v>
      </c>
      <c r="L753" s="6">
        <v>0</v>
      </c>
      <c r="M753" s="6">
        <v>0</v>
      </c>
      <c r="N753" s="6" t="str">
        <f>""</f>
        <v/>
      </c>
      <c r="O753" s="6">
        <v>32540</v>
      </c>
      <c r="P753" s="6" t="s">
        <v>3411</v>
      </c>
      <c r="R753" s="6" t="s">
        <v>3321</v>
      </c>
      <c r="S753" s="6" t="s">
        <v>3412</v>
      </c>
      <c r="T753" s="6">
        <v>0</v>
      </c>
      <c r="U753" s="6">
        <v>0</v>
      </c>
      <c r="V753" s="6">
        <v>0</v>
      </c>
      <c r="W753" s="6">
        <v>0</v>
      </c>
      <c r="X753" s="6" t="s">
        <v>169</v>
      </c>
      <c r="Z753" s="6" t="s">
        <v>170</v>
      </c>
      <c r="AA753" s="6" t="s">
        <v>171</v>
      </c>
      <c r="AB753" s="6">
        <v>0</v>
      </c>
      <c r="AC753" s="6" t="str">
        <f>""</f>
        <v/>
      </c>
      <c r="AS753" s="6">
        <v>0</v>
      </c>
      <c r="AT753" s="6">
        <v>1</v>
      </c>
    </row>
    <row r="754" spans="2:46">
      <c r="B754" s="6" t="s">
        <v>2724</v>
      </c>
      <c r="D754" s="6" t="s">
        <v>3316</v>
      </c>
      <c r="F754" s="6" t="s">
        <v>3413</v>
      </c>
      <c r="G754" s="6" t="str">
        <f>"SDY17SST02NV"</f>
        <v>SDY17SST02NV</v>
      </c>
      <c r="H754" s="6" t="s">
        <v>3414</v>
      </c>
      <c r="I754" s="6" t="s">
        <v>3415</v>
      </c>
      <c r="J754" s="6" t="str">
        <f>"Velvet Cuffs Stripe T_Navy"</f>
        <v>Velvet Cuffs Stripe T_Navy</v>
      </c>
      <c r="K754" s="6">
        <v>0</v>
      </c>
      <c r="L754" s="6">
        <v>0</v>
      </c>
      <c r="M754" s="6">
        <v>0</v>
      </c>
      <c r="N754" s="6" t="str">
        <f>""</f>
        <v/>
      </c>
      <c r="O754" s="6">
        <v>32538</v>
      </c>
      <c r="P754" s="6" t="s">
        <v>3416</v>
      </c>
      <c r="R754" s="6" t="s">
        <v>1630</v>
      </c>
      <c r="S754" s="6" t="s">
        <v>3417</v>
      </c>
      <c r="T754" s="6">
        <v>0</v>
      </c>
      <c r="U754" s="6">
        <v>0</v>
      </c>
      <c r="V754" s="6">
        <v>0</v>
      </c>
      <c r="W754" s="6">
        <v>0</v>
      </c>
      <c r="X754" s="6" t="s">
        <v>169</v>
      </c>
      <c r="Z754" s="6" t="s">
        <v>170</v>
      </c>
      <c r="AA754" s="6" t="s">
        <v>171</v>
      </c>
      <c r="AB754" s="6">
        <v>0</v>
      </c>
      <c r="AC754" s="6" t="str">
        <f>""</f>
        <v/>
      </c>
      <c r="AS754" s="6">
        <v>0</v>
      </c>
      <c r="AT754" s="6">
        <v>2</v>
      </c>
    </row>
    <row r="755" spans="2:46">
      <c r="B755" s="6" t="s">
        <v>2724</v>
      </c>
      <c r="D755" s="6" t="s">
        <v>3316</v>
      </c>
      <c r="F755" s="6" t="s">
        <v>3418</v>
      </c>
      <c r="G755" s="6" t="str">
        <f>"SDY17SST01BK"</f>
        <v>SDY17SST01BK</v>
      </c>
      <c r="H755" s="6" t="s">
        <v>3419</v>
      </c>
      <c r="I755" s="6" t="s">
        <v>3420</v>
      </c>
      <c r="J755" s="6" t="str">
        <f>"Slit Cuffs T_Black"</f>
        <v>Slit Cuffs T_Black</v>
      </c>
      <c r="K755" s="6">
        <v>0</v>
      </c>
      <c r="L755" s="6">
        <v>0</v>
      </c>
      <c r="M755" s="6">
        <v>0</v>
      </c>
      <c r="N755" s="6" t="str">
        <f>""</f>
        <v/>
      </c>
      <c r="O755" s="6">
        <v>32536</v>
      </c>
      <c r="P755" s="6" t="s">
        <v>3421</v>
      </c>
      <c r="R755" s="6" t="s">
        <v>1565</v>
      </c>
      <c r="S755" s="6" t="s">
        <v>3422</v>
      </c>
      <c r="T755" s="6">
        <v>0</v>
      </c>
      <c r="U755" s="6">
        <v>0</v>
      </c>
      <c r="V755" s="6">
        <v>0</v>
      </c>
      <c r="W755" s="6">
        <v>0</v>
      </c>
      <c r="X755" s="6" t="s">
        <v>169</v>
      </c>
      <c r="Z755" s="6" t="s">
        <v>170</v>
      </c>
      <c r="AA755" s="6" t="s">
        <v>171</v>
      </c>
      <c r="AB755" s="6">
        <v>0</v>
      </c>
      <c r="AC755" s="6" t="str">
        <f>""</f>
        <v/>
      </c>
      <c r="AS755" s="6">
        <v>0</v>
      </c>
      <c r="AT755" s="6">
        <v>1</v>
      </c>
    </row>
    <row r="756" spans="2:46">
      <c r="B756" s="6" t="s">
        <v>2724</v>
      </c>
      <c r="D756" s="6" t="s">
        <v>3316</v>
      </c>
      <c r="F756" s="6" t="s">
        <v>3423</v>
      </c>
      <c r="G756" s="6" t="str">
        <f>"SDY17SST01BG"</f>
        <v>SDY17SST01BG</v>
      </c>
      <c r="H756" s="6" t="s">
        <v>3424</v>
      </c>
      <c r="I756" s="6" t="s">
        <v>3425</v>
      </c>
      <c r="J756" s="6" t="str">
        <f>"Slit Cuffs T_Beige"</f>
        <v>Slit Cuffs T_Beige</v>
      </c>
      <c r="K756" s="6">
        <v>0</v>
      </c>
      <c r="L756" s="6">
        <v>0</v>
      </c>
      <c r="M756" s="6">
        <v>0</v>
      </c>
      <c r="N756" s="6" t="str">
        <f>""</f>
        <v/>
      </c>
      <c r="O756" s="6">
        <v>32534</v>
      </c>
      <c r="P756" s="6" t="s">
        <v>3426</v>
      </c>
      <c r="R756" s="6" t="s">
        <v>3268</v>
      </c>
      <c r="S756" s="6" t="s">
        <v>3427</v>
      </c>
      <c r="T756" s="6">
        <v>0</v>
      </c>
      <c r="U756" s="6">
        <v>0</v>
      </c>
      <c r="V756" s="6">
        <v>0</v>
      </c>
      <c r="W756" s="6">
        <v>0</v>
      </c>
      <c r="X756" s="6" t="s">
        <v>169</v>
      </c>
      <c r="Z756" s="6" t="s">
        <v>170</v>
      </c>
      <c r="AA756" s="6" t="s">
        <v>171</v>
      </c>
      <c r="AB756" s="6">
        <v>0</v>
      </c>
      <c r="AC756" s="6" t="str">
        <f>""</f>
        <v/>
      </c>
      <c r="AS756" s="6">
        <v>0</v>
      </c>
      <c r="AT756" s="6">
        <v>0</v>
      </c>
    </row>
    <row r="757" spans="2:46">
      <c r="B757" s="6" t="s">
        <v>2724</v>
      </c>
      <c r="D757" s="6" t="s">
        <v>3316</v>
      </c>
      <c r="F757" s="6" t="s">
        <v>3428</v>
      </c>
      <c r="G757" s="6" t="str">
        <f>"SDY17SST01WH"</f>
        <v>SDY17SST01WH</v>
      </c>
      <c r="H757" s="6" t="s">
        <v>3429</v>
      </c>
      <c r="I757" s="6" t="s">
        <v>3430</v>
      </c>
      <c r="J757" s="6" t="str">
        <f>"Slit Cuffs T_White"</f>
        <v>Slit Cuffs T_White</v>
      </c>
      <c r="K757" s="6">
        <v>0</v>
      </c>
      <c r="L757" s="6">
        <v>0</v>
      </c>
      <c r="M757" s="6">
        <v>0</v>
      </c>
      <c r="N757" s="6" t="str">
        <f>""</f>
        <v/>
      </c>
      <c r="O757" s="6">
        <v>32532</v>
      </c>
      <c r="P757" s="6" t="s">
        <v>3431</v>
      </c>
      <c r="R757" s="6" t="s">
        <v>1591</v>
      </c>
      <c r="S757" s="6" t="s">
        <v>3432</v>
      </c>
      <c r="T757" s="6">
        <v>0</v>
      </c>
      <c r="U757" s="6">
        <v>0</v>
      </c>
      <c r="V757" s="6">
        <v>0</v>
      </c>
      <c r="W757" s="6">
        <v>0</v>
      </c>
      <c r="X757" s="6" t="s">
        <v>169</v>
      </c>
      <c r="Z757" s="6" t="s">
        <v>170</v>
      </c>
      <c r="AA757" s="6" t="s">
        <v>171</v>
      </c>
      <c r="AB757" s="6">
        <v>0</v>
      </c>
      <c r="AC757" s="6" t="str">
        <f>""</f>
        <v/>
      </c>
      <c r="AS757" s="6">
        <v>0</v>
      </c>
      <c r="AT757" s="6">
        <v>0</v>
      </c>
    </row>
    <row r="758" spans="2:46">
      <c r="B758" s="6" t="s">
        <v>111</v>
      </c>
      <c r="D758" s="6" t="s">
        <v>3316</v>
      </c>
      <c r="F758" s="6" t="s">
        <v>3433</v>
      </c>
      <c r="G758" s="6" t="str">
        <f>"3177112107675120"</f>
        <v>3177112107675120</v>
      </c>
      <c r="H758" s="6">
        <v>3177112107675120</v>
      </c>
      <c r="I758" s="6" t="s">
        <v>3434</v>
      </c>
      <c r="J758" s="6" t="str">
        <f>"17 RAGLAN DOUBLE CT [BROWN]"</f>
        <v>17 RAGLAN DOUBLE CT [BROWN]</v>
      </c>
      <c r="K758" s="6">
        <v>0</v>
      </c>
      <c r="L758" s="6">
        <v>0</v>
      </c>
      <c r="M758" s="6">
        <v>0</v>
      </c>
      <c r="N758" s="6" t="str">
        <f>""</f>
        <v/>
      </c>
      <c r="O758" s="6">
        <v>32530</v>
      </c>
      <c r="P758" s="6" t="s">
        <v>3435</v>
      </c>
      <c r="R758" s="6" t="s">
        <v>3436</v>
      </c>
      <c r="S758" s="6" t="s">
        <v>3437</v>
      </c>
      <c r="T758" s="6">
        <v>0</v>
      </c>
      <c r="U758" s="6">
        <v>0</v>
      </c>
      <c r="V758" s="6">
        <v>0</v>
      </c>
      <c r="W758" s="6">
        <v>0</v>
      </c>
      <c r="X758" s="6" t="s">
        <v>169</v>
      </c>
      <c r="Z758" s="6" t="s">
        <v>170</v>
      </c>
      <c r="AA758" s="6" t="s">
        <v>171</v>
      </c>
      <c r="AB758" s="6">
        <v>0</v>
      </c>
      <c r="AC758" s="6" t="str">
        <f>""</f>
        <v/>
      </c>
      <c r="AS758" s="6">
        <v>0</v>
      </c>
      <c r="AT758" s="6">
        <v>0</v>
      </c>
    </row>
    <row r="759" spans="2:46">
      <c r="B759" s="6" t="s">
        <v>111</v>
      </c>
      <c r="D759" s="6" t="s">
        <v>3316</v>
      </c>
      <c r="F759" s="6" t="s">
        <v>3438</v>
      </c>
      <c r="G759" s="6" t="str">
        <f>"3176252107345208"</f>
        <v>3176252107345208</v>
      </c>
      <c r="H759" s="6">
        <v>3176252107345200</v>
      </c>
      <c r="I759" s="6" t="s">
        <v>3439</v>
      </c>
      <c r="J759" s="6" t="str">
        <f>"RTR CHECK OPS"</f>
        <v>RTR CHECK OPS</v>
      </c>
      <c r="K759" s="6">
        <v>0</v>
      </c>
      <c r="L759" s="6">
        <v>0</v>
      </c>
      <c r="M759" s="6">
        <v>0</v>
      </c>
      <c r="N759" s="6" t="str">
        <f>""</f>
        <v/>
      </c>
      <c r="O759" s="6">
        <v>32528</v>
      </c>
      <c r="P759" s="6" t="s">
        <v>3440</v>
      </c>
      <c r="R759" s="6" t="s">
        <v>3441</v>
      </c>
      <c r="S759" s="6" t="s">
        <v>3442</v>
      </c>
      <c r="T759" s="6">
        <v>0</v>
      </c>
      <c r="U759" s="6">
        <v>0</v>
      </c>
      <c r="V759" s="6">
        <v>0</v>
      </c>
      <c r="W759" s="6">
        <v>0</v>
      </c>
      <c r="X759" s="6" t="s">
        <v>169</v>
      </c>
      <c r="Z759" s="6" t="s">
        <v>170</v>
      </c>
      <c r="AA759" s="6" t="s">
        <v>171</v>
      </c>
      <c r="AB759" s="6">
        <v>0</v>
      </c>
      <c r="AC759" s="6" t="str">
        <f>""</f>
        <v/>
      </c>
      <c r="AS759" s="6">
        <v>0</v>
      </c>
      <c r="AT759" s="6">
        <v>0</v>
      </c>
    </row>
    <row r="760" spans="2:46">
      <c r="B760" s="6" t="s">
        <v>111</v>
      </c>
      <c r="D760" s="6" t="s">
        <v>3316</v>
      </c>
      <c r="F760" s="6" t="s">
        <v>3443</v>
      </c>
      <c r="G760" s="6" t="str">
        <f>"3176252107301208"</f>
        <v>3176252107301208</v>
      </c>
      <c r="I760" s="6" t="s">
        <v>3439</v>
      </c>
      <c r="J760" s="6" t="str">
        <f>"RTR CHECK OPS"</f>
        <v>RTR CHECK OPS</v>
      </c>
      <c r="K760" s="6">
        <v>0</v>
      </c>
      <c r="L760" s="6">
        <v>0</v>
      </c>
      <c r="M760" s="6">
        <v>0</v>
      </c>
      <c r="N760" s="6" t="str">
        <f>""</f>
        <v/>
      </c>
      <c r="O760" s="6">
        <v>32527</v>
      </c>
      <c r="P760" s="6" t="s">
        <v>3444</v>
      </c>
      <c r="R760" s="6" t="s">
        <v>3445</v>
      </c>
      <c r="S760" s="6" t="s">
        <v>3446</v>
      </c>
      <c r="T760" s="6">
        <v>0</v>
      </c>
      <c r="U760" s="6">
        <v>0</v>
      </c>
      <c r="V760" s="6">
        <v>0</v>
      </c>
      <c r="W760" s="6">
        <v>0</v>
      </c>
      <c r="X760" s="6" t="s">
        <v>169</v>
      </c>
      <c r="Z760" s="6" t="s">
        <v>170</v>
      </c>
      <c r="AA760" s="6" t="s">
        <v>171</v>
      </c>
      <c r="AB760" s="6">
        <v>0</v>
      </c>
      <c r="AC760" s="6" t="str">
        <f>"KEY-013"</f>
        <v>KEY-013</v>
      </c>
      <c r="AQ760" s="6" t="str">
        <f>""</f>
        <v/>
      </c>
      <c r="AR760" s="6" t="s">
        <v>1472</v>
      </c>
      <c r="AS760" s="6">
        <v>0</v>
      </c>
      <c r="AT760" s="6">
        <v>0</v>
      </c>
    </row>
    <row r="761" spans="2:46">
      <c r="B761" s="6" t="s">
        <v>111</v>
      </c>
      <c r="D761" s="6" t="s">
        <v>3316</v>
      </c>
      <c r="F761" s="6" t="s">
        <v>3447</v>
      </c>
      <c r="G761" s="6" t="str">
        <f>"3176242113899208"</f>
        <v>3176242113899208</v>
      </c>
      <c r="I761" s="6" t="s">
        <v>3448</v>
      </c>
      <c r="J761" s="6" t="str">
        <f>"17 CLING BUSTIER"</f>
        <v>17 CLING BUSTIER</v>
      </c>
      <c r="K761" s="6">
        <v>0</v>
      </c>
      <c r="L761" s="6">
        <v>0</v>
      </c>
      <c r="M761" s="6">
        <v>0</v>
      </c>
      <c r="N761" s="6" t="str">
        <f>""</f>
        <v/>
      </c>
      <c r="O761" s="6">
        <v>32525</v>
      </c>
      <c r="P761" s="6" t="s">
        <v>3449</v>
      </c>
      <c r="R761" s="6" t="s">
        <v>3450</v>
      </c>
      <c r="S761" s="6" t="s">
        <v>3451</v>
      </c>
      <c r="T761" s="6">
        <v>0</v>
      </c>
      <c r="U761" s="6">
        <v>0</v>
      </c>
      <c r="V761" s="6">
        <v>0</v>
      </c>
      <c r="W761" s="6">
        <v>0</v>
      </c>
      <c r="X761" s="6" t="s">
        <v>169</v>
      </c>
      <c r="Z761" s="6" t="s">
        <v>170</v>
      </c>
      <c r="AA761" s="6" t="s">
        <v>171</v>
      </c>
      <c r="AB761" s="6">
        <v>0</v>
      </c>
      <c r="AC761" s="6" t="str">
        <f>"KEY-012"</f>
        <v>KEY-012</v>
      </c>
      <c r="AQ761" s="6" t="str">
        <f>""</f>
        <v/>
      </c>
      <c r="AR761" s="6" t="s">
        <v>1472</v>
      </c>
      <c r="AS761" s="6">
        <v>0</v>
      </c>
      <c r="AT761" s="6">
        <v>0</v>
      </c>
    </row>
    <row r="762" spans="2:46">
      <c r="B762" s="6" t="s">
        <v>111</v>
      </c>
      <c r="D762" s="6" t="s">
        <v>3316</v>
      </c>
      <c r="F762" s="6" t="s">
        <v>3452</v>
      </c>
      <c r="G762" s="6" t="str">
        <f>"3176242113801208"</f>
        <v>3176242113801208</v>
      </c>
      <c r="H762" s="6">
        <v>3176242113801200</v>
      </c>
      <c r="I762" s="6" t="s">
        <v>3448</v>
      </c>
      <c r="J762" s="6" t="str">
        <f>"17 CLING BUSTIER"</f>
        <v>17 CLING BUSTIER</v>
      </c>
      <c r="K762" s="6">
        <v>0</v>
      </c>
      <c r="L762" s="6">
        <v>0</v>
      </c>
      <c r="M762" s="6">
        <v>0</v>
      </c>
      <c r="N762" s="6" t="str">
        <f>""</f>
        <v/>
      </c>
      <c r="O762" s="6">
        <v>32524</v>
      </c>
      <c r="P762" s="6" t="s">
        <v>3453</v>
      </c>
      <c r="R762" s="6" t="s">
        <v>3445</v>
      </c>
      <c r="S762" s="6" t="s">
        <v>3454</v>
      </c>
      <c r="T762" s="6">
        <v>0</v>
      </c>
      <c r="U762" s="6">
        <v>0</v>
      </c>
      <c r="V762" s="6">
        <v>0</v>
      </c>
      <c r="W762" s="6">
        <v>0</v>
      </c>
      <c r="X762" s="6" t="s">
        <v>169</v>
      </c>
      <c r="Z762" s="6" t="s">
        <v>170</v>
      </c>
      <c r="AA762" s="6" t="s">
        <v>171</v>
      </c>
      <c r="AB762" s="6">
        <v>0</v>
      </c>
      <c r="AC762" s="6" t="str">
        <f>""</f>
        <v/>
      </c>
      <c r="AS762" s="6">
        <v>0</v>
      </c>
      <c r="AT762" s="6">
        <v>0</v>
      </c>
    </row>
    <row r="763" spans="2:46">
      <c r="B763" s="6" t="s">
        <v>111</v>
      </c>
      <c r="D763" s="6" t="s">
        <v>3316</v>
      </c>
      <c r="F763" s="6" t="s">
        <v>3455</v>
      </c>
      <c r="G763" s="6" t="str">
        <f>"3176242113099208"</f>
        <v>3176242113099208</v>
      </c>
      <c r="H763" s="6">
        <v>3176242113099200</v>
      </c>
      <c r="I763" s="6" t="s">
        <v>3456</v>
      </c>
      <c r="J763" s="6" t="str">
        <f>"BACK SLIT OFF BL"</f>
        <v>BACK SLIT OFF BL</v>
      </c>
      <c r="K763" s="6">
        <v>0</v>
      </c>
      <c r="L763" s="6">
        <v>0</v>
      </c>
      <c r="M763" s="6">
        <v>0</v>
      </c>
      <c r="N763" s="6" t="str">
        <f>""</f>
        <v/>
      </c>
      <c r="O763" s="6">
        <v>32522</v>
      </c>
      <c r="P763" s="6" t="s">
        <v>3457</v>
      </c>
      <c r="R763" s="6" t="s">
        <v>3450</v>
      </c>
      <c r="S763" s="6" t="s">
        <v>3458</v>
      </c>
      <c r="T763" s="6">
        <v>0</v>
      </c>
      <c r="U763" s="6">
        <v>0</v>
      </c>
      <c r="V763" s="6">
        <v>0</v>
      </c>
      <c r="W763" s="6">
        <v>0</v>
      </c>
      <c r="X763" s="6" t="s">
        <v>169</v>
      </c>
      <c r="Z763" s="6" t="s">
        <v>170</v>
      </c>
      <c r="AA763" s="6" t="s">
        <v>171</v>
      </c>
      <c r="AB763" s="6">
        <v>0</v>
      </c>
      <c r="AC763" s="6" t="str">
        <f>""</f>
        <v/>
      </c>
      <c r="AS763" s="6">
        <v>0</v>
      </c>
      <c r="AT763" s="6">
        <v>0</v>
      </c>
    </row>
    <row r="764" spans="2:46">
      <c r="B764" s="6" t="s">
        <v>111</v>
      </c>
      <c r="D764" s="6" t="s">
        <v>3316</v>
      </c>
      <c r="F764" s="6" t="s">
        <v>3459</v>
      </c>
      <c r="G764" s="6" t="str">
        <f>"3176242113025208"</f>
        <v>3176242113025208</v>
      </c>
      <c r="H764" s="6">
        <v>3176242113025200</v>
      </c>
      <c r="I764" s="6" t="s">
        <v>3456</v>
      </c>
      <c r="J764" s="6" t="str">
        <f>"BACK SLIT OFF BL"</f>
        <v>BACK SLIT OFF BL</v>
      </c>
      <c r="K764" s="6">
        <v>0</v>
      </c>
      <c r="L764" s="6">
        <v>0</v>
      </c>
      <c r="M764" s="6">
        <v>0</v>
      </c>
      <c r="N764" s="6" t="str">
        <f>""</f>
        <v/>
      </c>
      <c r="O764" s="6">
        <v>32521</v>
      </c>
      <c r="P764" s="6" t="s">
        <v>3460</v>
      </c>
      <c r="R764" s="6" t="s">
        <v>3461</v>
      </c>
      <c r="S764" s="6" t="s">
        <v>3462</v>
      </c>
      <c r="T764" s="6">
        <v>0</v>
      </c>
      <c r="U764" s="6">
        <v>0</v>
      </c>
      <c r="V764" s="6">
        <v>0</v>
      </c>
      <c r="W764" s="6">
        <v>0</v>
      </c>
      <c r="X764" s="6" t="s">
        <v>169</v>
      </c>
      <c r="Z764" s="6" t="s">
        <v>170</v>
      </c>
      <c r="AA764" s="6" t="s">
        <v>171</v>
      </c>
      <c r="AB764" s="6">
        <v>0</v>
      </c>
      <c r="AC764" s="6" t="str">
        <f>""</f>
        <v/>
      </c>
      <c r="AS764" s="6">
        <v>0</v>
      </c>
      <c r="AT764" s="6">
        <v>0</v>
      </c>
    </row>
    <row r="765" spans="2:46">
      <c r="B765" s="6" t="s">
        <v>111</v>
      </c>
      <c r="D765" s="6" t="s">
        <v>3316</v>
      </c>
      <c r="F765" s="6" t="s">
        <v>3463</v>
      </c>
      <c r="G765" s="6" t="str">
        <f>"3176242113074208"</f>
        <v>3176242113074208</v>
      </c>
      <c r="H765" s="6">
        <v>3176242113074200</v>
      </c>
      <c r="I765" s="6" t="s">
        <v>3456</v>
      </c>
      <c r="J765" s="6" t="str">
        <f>"BACK SLIT OFF BL"</f>
        <v>BACK SLIT OFF BL</v>
      </c>
      <c r="K765" s="6">
        <v>0</v>
      </c>
      <c r="L765" s="6">
        <v>0</v>
      </c>
      <c r="M765" s="6">
        <v>0</v>
      </c>
      <c r="N765" s="6" t="str">
        <f>""</f>
        <v/>
      </c>
      <c r="O765" s="6">
        <v>32520</v>
      </c>
      <c r="P765" s="6" t="s">
        <v>3464</v>
      </c>
      <c r="R765" s="6" t="s">
        <v>3465</v>
      </c>
      <c r="S765" s="6" t="s">
        <v>3466</v>
      </c>
      <c r="T765" s="6">
        <v>0</v>
      </c>
      <c r="U765" s="6">
        <v>0</v>
      </c>
      <c r="V765" s="6">
        <v>0</v>
      </c>
      <c r="W765" s="6">
        <v>0</v>
      </c>
      <c r="X765" s="6" t="s">
        <v>169</v>
      </c>
      <c r="Z765" s="6" t="s">
        <v>170</v>
      </c>
      <c r="AA765" s="6" t="s">
        <v>171</v>
      </c>
      <c r="AB765" s="6">
        <v>0</v>
      </c>
      <c r="AC765" s="6" t="str">
        <f>""</f>
        <v/>
      </c>
      <c r="AS765" s="6">
        <v>0</v>
      </c>
      <c r="AT765" s="6">
        <v>0</v>
      </c>
    </row>
    <row r="766" spans="2:46">
      <c r="B766" s="6" t="s">
        <v>111</v>
      </c>
      <c r="D766" s="6" t="s">
        <v>3316</v>
      </c>
      <c r="F766" s="6" t="s">
        <v>3467</v>
      </c>
      <c r="G766" s="6" t="str">
        <f>"3176242114930208"</f>
        <v>3176242114930208</v>
      </c>
      <c r="H766" s="6">
        <v>3176242114930200</v>
      </c>
      <c r="I766" s="6" t="s">
        <v>3468</v>
      </c>
      <c r="J766" s="6" t="str">
        <f>"17 NOTX BL"</f>
        <v>17 NOTX BL</v>
      </c>
      <c r="K766" s="6">
        <v>0</v>
      </c>
      <c r="L766" s="6">
        <v>0</v>
      </c>
      <c r="M766" s="6">
        <v>0</v>
      </c>
      <c r="N766" s="6" t="str">
        <f>""</f>
        <v/>
      </c>
      <c r="O766" s="6">
        <v>32518</v>
      </c>
      <c r="P766" s="6" t="s">
        <v>3469</v>
      </c>
      <c r="R766" s="6" t="s">
        <v>3470</v>
      </c>
      <c r="S766" s="6" t="s">
        <v>3471</v>
      </c>
      <c r="T766" s="6">
        <v>0</v>
      </c>
      <c r="U766" s="6">
        <v>0</v>
      </c>
      <c r="V766" s="6">
        <v>0</v>
      </c>
      <c r="W766" s="6">
        <v>0</v>
      </c>
      <c r="X766" s="6" t="s">
        <v>169</v>
      </c>
      <c r="Z766" s="6" t="s">
        <v>170</v>
      </c>
      <c r="AA766" s="6" t="s">
        <v>171</v>
      </c>
      <c r="AB766" s="6">
        <v>0</v>
      </c>
      <c r="AC766" s="6" t="str">
        <f>""</f>
        <v/>
      </c>
      <c r="AS766" s="6">
        <v>0</v>
      </c>
      <c r="AT766" s="6">
        <v>0</v>
      </c>
    </row>
    <row r="767" spans="2:46">
      <c r="B767" s="6" t="s">
        <v>111</v>
      </c>
      <c r="D767" s="6" t="s">
        <v>3316</v>
      </c>
      <c r="F767" s="6" t="s">
        <v>3472</v>
      </c>
      <c r="G767" s="6" t="str">
        <f>"3176242114925208"</f>
        <v>3176242114925208</v>
      </c>
      <c r="H767" s="6">
        <v>3176242114925200</v>
      </c>
      <c r="I767" s="6" t="s">
        <v>3468</v>
      </c>
      <c r="J767" s="6" t="str">
        <f>"17 NOTX BL"</f>
        <v>17 NOTX BL</v>
      </c>
      <c r="K767" s="6">
        <v>0</v>
      </c>
      <c r="L767" s="6">
        <v>0</v>
      </c>
      <c r="M767" s="6">
        <v>0</v>
      </c>
      <c r="N767" s="6" t="str">
        <f>""</f>
        <v/>
      </c>
      <c r="O767" s="6">
        <v>32517</v>
      </c>
      <c r="P767" s="6" t="s">
        <v>3473</v>
      </c>
      <c r="R767" s="6" t="s">
        <v>3461</v>
      </c>
      <c r="S767" s="6" t="s">
        <v>3474</v>
      </c>
      <c r="T767" s="6">
        <v>0</v>
      </c>
      <c r="U767" s="6">
        <v>0</v>
      </c>
      <c r="V767" s="6">
        <v>0</v>
      </c>
      <c r="W767" s="6">
        <v>0</v>
      </c>
      <c r="X767" s="6" t="s">
        <v>169</v>
      </c>
      <c r="Z767" s="6" t="s">
        <v>170</v>
      </c>
      <c r="AA767" s="6" t="s">
        <v>171</v>
      </c>
      <c r="AB767" s="6">
        <v>0</v>
      </c>
      <c r="AC767" s="6" t="str">
        <f>""</f>
        <v/>
      </c>
      <c r="AS767" s="6">
        <v>0</v>
      </c>
      <c r="AT767" s="6">
        <v>0</v>
      </c>
    </row>
    <row r="768" spans="2:46">
      <c r="B768" s="6" t="s">
        <v>111</v>
      </c>
      <c r="D768" s="6" t="s">
        <v>3316</v>
      </c>
      <c r="F768" s="6" t="s">
        <v>3475</v>
      </c>
      <c r="G768" s="6" t="str">
        <f>"3176222145230208"</f>
        <v>3176222145230208</v>
      </c>
      <c r="H768" s="6">
        <v>3176222145230200</v>
      </c>
      <c r="I768" s="6" t="s">
        <v>3476</v>
      </c>
      <c r="J768" s="6" t="str">
        <f>"PUPPIES SAILOR TS"</f>
        <v>PUPPIES SAILOR TS</v>
      </c>
      <c r="K768" s="6">
        <v>0</v>
      </c>
      <c r="L768" s="6">
        <v>0</v>
      </c>
      <c r="M768" s="6">
        <v>0</v>
      </c>
      <c r="N768" s="6" t="str">
        <f>""</f>
        <v/>
      </c>
      <c r="O768" s="6">
        <v>32515</v>
      </c>
      <c r="P768" s="6" t="s">
        <v>3477</v>
      </c>
      <c r="R768" s="6" t="s">
        <v>3470</v>
      </c>
      <c r="S768" s="6" t="s">
        <v>3478</v>
      </c>
      <c r="T768" s="6">
        <v>0</v>
      </c>
      <c r="U768" s="6">
        <v>0</v>
      </c>
      <c r="V768" s="6">
        <v>0</v>
      </c>
      <c r="W768" s="6">
        <v>0</v>
      </c>
      <c r="X768" s="6" t="s">
        <v>169</v>
      </c>
      <c r="Z768" s="6" t="s">
        <v>170</v>
      </c>
      <c r="AA768" s="6" t="s">
        <v>171</v>
      </c>
      <c r="AB768" s="6">
        <v>0</v>
      </c>
      <c r="AC768" s="6" t="str">
        <f>""</f>
        <v/>
      </c>
      <c r="AS768" s="6">
        <v>0</v>
      </c>
      <c r="AT768" s="6">
        <v>0</v>
      </c>
    </row>
    <row r="769" spans="2:46">
      <c r="B769" s="6" t="s">
        <v>111</v>
      </c>
      <c r="D769" s="6" t="s">
        <v>3316</v>
      </c>
      <c r="F769" s="6" t="s">
        <v>3479</v>
      </c>
      <c r="G769" s="6" t="str">
        <f>"3176222145269208"</f>
        <v>3176222145269208</v>
      </c>
      <c r="H769" s="6">
        <v>3176222145269200</v>
      </c>
      <c r="I769" s="6" t="s">
        <v>3476</v>
      </c>
      <c r="J769" s="6" t="str">
        <f>"PUPPIES SAILOR TS"</f>
        <v>PUPPIES SAILOR TS</v>
      </c>
      <c r="K769" s="6">
        <v>0</v>
      </c>
      <c r="L769" s="6">
        <v>0</v>
      </c>
      <c r="M769" s="6">
        <v>0</v>
      </c>
      <c r="N769" s="6" t="str">
        <f>""</f>
        <v/>
      </c>
      <c r="O769" s="6">
        <v>32514</v>
      </c>
      <c r="P769" s="6" t="s">
        <v>3480</v>
      </c>
      <c r="R769" s="6" t="s">
        <v>3481</v>
      </c>
      <c r="S769" s="6" t="s">
        <v>3482</v>
      </c>
      <c r="T769" s="6">
        <v>0</v>
      </c>
      <c r="U769" s="6">
        <v>0</v>
      </c>
      <c r="V769" s="6">
        <v>0</v>
      </c>
      <c r="W769" s="6">
        <v>0</v>
      </c>
      <c r="X769" s="6" t="s">
        <v>169</v>
      </c>
      <c r="Z769" s="6" t="s">
        <v>170</v>
      </c>
      <c r="AA769" s="6" t="s">
        <v>171</v>
      </c>
      <c r="AB769" s="6">
        <v>0</v>
      </c>
      <c r="AC769" s="6" t="str">
        <f>""</f>
        <v/>
      </c>
      <c r="AS769" s="6">
        <v>0</v>
      </c>
      <c r="AT769" s="6">
        <v>0</v>
      </c>
    </row>
    <row r="770" spans="2:46">
      <c r="B770" s="6" t="s">
        <v>111</v>
      </c>
      <c r="D770" s="6" t="s">
        <v>3316</v>
      </c>
      <c r="F770" s="6" t="s">
        <v>3483</v>
      </c>
      <c r="G770" s="6" t="str">
        <f>"3176222144901208"</f>
        <v>3176222144901208</v>
      </c>
      <c r="H770" s="6">
        <v>3176222144901200</v>
      </c>
      <c r="I770" s="6" t="s">
        <v>3484</v>
      </c>
      <c r="J770" s="6" t="str">
        <f>"17 NECK FRILL TS"</f>
        <v>17 NECK FRILL TS</v>
      </c>
      <c r="K770" s="6">
        <v>0</v>
      </c>
      <c r="L770" s="6">
        <v>0</v>
      </c>
      <c r="M770" s="6">
        <v>0</v>
      </c>
      <c r="N770" s="6" t="str">
        <f>""</f>
        <v/>
      </c>
      <c r="O770" s="6">
        <v>32512</v>
      </c>
      <c r="P770" s="6" t="s">
        <v>3485</v>
      </c>
      <c r="R770" s="6" t="s">
        <v>3445</v>
      </c>
      <c r="S770" s="6" t="s">
        <v>3486</v>
      </c>
      <c r="T770" s="6">
        <v>0</v>
      </c>
      <c r="U770" s="6">
        <v>0</v>
      </c>
      <c r="V770" s="6">
        <v>0</v>
      </c>
      <c r="W770" s="6">
        <v>0</v>
      </c>
      <c r="X770" s="6" t="s">
        <v>169</v>
      </c>
      <c r="Z770" s="6" t="s">
        <v>170</v>
      </c>
      <c r="AA770" s="6" t="s">
        <v>171</v>
      </c>
      <c r="AB770" s="6">
        <v>0</v>
      </c>
      <c r="AC770" s="6" t="str">
        <f>""</f>
        <v/>
      </c>
      <c r="AS770" s="6">
        <v>0</v>
      </c>
      <c r="AT770" s="6">
        <v>0</v>
      </c>
    </row>
    <row r="771" spans="2:46">
      <c r="B771" s="6" t="s">
        <v>111</v>
      </c>
      <c r="D771" s="6" t="s">
        <v>3316</v>
      </c>
      <c r="F771" s="6" t="s">
        <v>3487</v>
      </c>
      <c r="G771" s="6" t="str">
        <f>"3176222149425208"</f>
        <v>3176222149425208</v>
      </c>
      <c r="H771" s="6">
        <v>3176222149425200</v>
      </c>
      <c r="I771" s="6" t="s">
        <v>3488</v>
      </c>
      <c r="J771" s="6" t="str">
        <f>"17 BACK GNF TS"</f>
        <v>17 BACK GNF TS</v>
      </c>
      <c r="K771" s="6">
        <v>0</v>
      </c>
      <c r="L771" s="6">
        <v>0</v>
      </c>
      <c r="M771" s="6">
        <v>0</v>
      </c>
      <c r="N771" s="6" t="str">
        <f>""</f>
        <v/>
      </c>
      <c r="O771" s="6">
        <v>32510</v>
      </c>
      <c r="P771" s="6" t="s">
        <v>3489</v>
      </c>
      <c r="R771" s="6" t="s">
        <v>3461</v>
      </c>
      <c r="S771" s="6" t="s">
        <v>3490</v>
      </c>
      <c r="T771" s="6">
        <v>0</v>
      </c>
      <c r="U771" s="6">
        <v>0</v>
      </c>
      <c r="V771" s="6">
        <v>0</v>
      </c>
      <c r="W771" s="6">
        <v>0</v>
      </c>
      <c r="X771" s="6" t="s">
        <v>169</v>
      </c>
      <c r="Z771" s="6" t="s">
        <v>170</v>
      </c>
      <c r="AA771" s="6" t="s">
        <v>171</v>
      </c>
      <c r="AB771" s="6">
        <v>0</v>
      </c>
      <c r="AC771" s="6" t="str">
        <f>""</f>
        <v/>
      </c>
      <c r="AS771" s="6">
        <v>0</v>
      </c>
      <c r="AT771" s="6">
        <v>0</v>
      </c>
    </row>
    <row r="772" spans="2:46">
      <c r="B772" s="6" t="s">
        <v>111</v>
      </c>
      <c r="D772" s="6" t="s">
        <v>3316</v>
      </c>
      <c r="F772" s="6" t="s">
        <v>3491</v>
      </c>
      <c r="G772" s="6" t="str">
        <f>"3176222149401208"</f>
        <v>3176222149401208</v>
      </c>
      <c r="H772" s="6">
        <v>3176222149401200</v>
      </c>
      <c r="I772" s="6" t="s">
        <v>3488</v>
      </c>
      <c r="J772" s="6" t="str">
        <f>"17 BACK GNF TS"</f>
        <v>17 BACK GNF TS</v>
      </c>
      <c r="K772" s="6">
        <v>0</v>
      </c>
      <c r="L772" s="6">
        <v>0</v>
      </c>
      <c r="M772" s="6">
        <v>0</v>
      </c>
      <c r="N772" s="6" t="str">
        <f>""</f>
        <v/>
      </c>
      <c r="O772" s="6">
        <v>32509</v>
      </c>
      <c r="P772" s="6" t="s">
        <v>3492</v>
      </c>
      <c r="R772" s="6" t="s">
        <v>3445</v>
      </c>
      <c r="S772" s="6" t="s">
        <v>3493</v>
      </c>
      <c r="T772" s="6">
        <v>0</v>
      </c>
      <c r="U772" s="6">
        <v>0</v>
      </c>
      <c r="V772" s="6">
        <v>0</v>
      </c>
      <c r="W772" s="6">
        <v>0</v>
      </c>
      <c r="X772" s="6" t="s">
        <v>169</v>
      </c>
      <c r="Z772" s="6" t="s">
        <v>170</v>
      </c>
      <c r="AA772" s="6" t="s">
        <v>171</v>
      </c>
      <c r="AB772" s="6">
        <v>0</v>
      </c>
      <c r="AC772" s="6" t="str">
        <f>""</f>
        <v/>
      </c>
      <c r="AS772" s="6">
        <v>0</v>
      </c>
      <c r="AT772" s="6">
        <v>0</v>
      </c>
    </row>
    <row r="773" spans="2:46">
      <c r="B773" s="6" t="s">
        <v>111</v>
      </c>
      <c r="D773" s="6" t="s">
        <v>3316</v>
      </c>
      <c r="F773" s="6" t="s">
        <v>3494</v>
      </c>
      <c r="G773" s="6" t="str">
        <f>"3176222152799208"</f>
        <v>3176222152799208</v>
      </c>
      <c r="H773" s="6">
        <v>3176222152799200</v>
      </c>
      <c r="I773" s="6" t="s">
        <v>3495</v>
      </c>
      <c r="J773" s="6" t="str">
        <f>"3 PERSON RIBBON TS"</f>
        <v>3 PERSON RIBBON TS</v>
      </c>
      <c r="K773" s="6">
        <v>0</v>
      </c>
      <c r="L773" s="6">
        <v>0</v>
      </c>
      <c r="M773" s="6">
        <v>0</v>
      </c>
      <c r="N773" s="6" t="str">
        <f>""</f>
        <v/>
      </c>
      <c r="O773" s="6">
        <v>32507</v>
      </c>
      <c r="P773" s="6" t="s">
        <v>3496</v>
      </c>
      <c r="R773" s="6" t="s">
        <v>3450</v>
      </c>
      <c r="S773" s="6" t="s">
        <v>3497</v>
      </c>
      <c r="T773" s="6">
        <v>0</v>
      </c>
      <c r="U773" s="6">
        <v>0</v>
      </c>
      <c r="V773" s="6">
        <v>0</v>
      </c>
      <c r="W773" s="6">
        <v>0</v>
      </c>
      <c r="X773" s="6" t="s">
        <v>169</v>
      </c>
      <c r="Z773" s="6" t="s">
        <v>170</v>
      </c>
      <c r="AA773" s="6" t="s">
        <v>171</v>
      </c>
      <c r="AB773" s="6">
        <v>0</v>
      </c>
      <c r="AC773" s="6" t="str">
        <f>""</f>
        <v/>
      </c>
      <c r="AS773" s="6">
        <v>0</v>
      </c>
      <c r="AT773" s="6">
        <v>0</v>
      </c>
    </row>
    <row r="774" spans="2:46">
      <c r="B774" s="6" t="s">
        <v>111</v>
      </c>
      <c r="D774" s="6" t="s">
        <v>3316</v>
      </c>
      <c r="F774" s="6" t="s">
        <v>3498</v>
      </c>
      <c r="G774" s="6" t="str">
        <f>"3176222152701208"</f>
        <v>3176222152701208</v>
      </c>
      <c r="H774" s="6">
        <v>3176222152701200</v>
      </c>
      <c r="I774" s="6" t="s">
        <v>3495</v>
      </c>
      <c r="J774" s="6" t="str">
        <f>"3 PERSON RIBBON TS"</f>
        <v>3 PERSON RIBBON TS</v>
      </c>
      <c r="K774" s="6">
        <v>0</v>
      </c>
      <c r="L774" s="6">
        <v>0</v>
      </c>
      <c r="M774" s="6">
        <v>0</v>
      </c>
      <c r="N774" s="6" t="str">
        <f>""</f>
        <v/>
      </c>
      <c r="O774" s="6">
        <v>32506</v>
      </c>
      <c r="P774" s="6" t="s">
        <v>3499</v>
      </c>
      <c r="R774" s="6" t="s">
        <v>3445</v>
      </c>
      <c r="S774" s="6" t="s">
        <v>3500</v>
      </c>
      <c r="T774" s="6">
        <v>0</v>
      </c>
      <c r="U774" s="6">
        <v>0</v>
      </c>
      <c r="V774" s="6">
        <v>0</v>
      </c>
      <c r="W774" s="6">
        <v>0</v>
      </c>
      <c r="X774" s="6" t="s">
        <v>169</v>
      </c>
      <c r="Z774" s="6" t="s">
        <v>170</v>
      </c>
      <c r="AA774" s="6" t="s">
        <v>171</v>
      </c>
      <c r="AB774" s="6">
        <v>0</v>
      </c>
      <c r="AC774" s="6" t="str">
        <f>""</f>
        <v/>
      </c>
      <c r="AS774" s="6">
        <v>0</v>
      </c>
      <c r="AT774" s="6">
        <v>0</v>
      </c>
    </row>
    <row r="775" spans="2:46">
      <c r="B775" s="6" t="s">
        <v>111</v>
      </c>
      <c r="D775" s="6" t="s">
        <v>3316</v>
      </c>
      <c r="F775" s="6" t="s">
        <v>3501</v>
      </c>
      <c r="G775" s="6" t="str">
        <f>"3176222151530208"</f>
        <v>3176222151530208</v>
      </c>
      <c r="H775" s="6">
        <v>3176222151530200</v>
      </c>
      <c r="I775" s="6" t="s">
        <v>3502</v>
      </c>
      <c r="J775" s="6" t="str">
        <f>"17 OK TS"</f>
        <v>17 OK TS</v>
      </c>
      <c r="K775" s="6">
        <v>0</v>
      </c>
      <c r="L775" s="6">
        <v>0</v>
      </c>
      <c r="M775" s="6">
        <v>0</v>
      </c>
      <c r="N775" s="6" t="str">
        <f>""</f>
        <v/>
      </c>
      <c r="O775" s="6">
        <v>32504</v>
      </c>
      <c r="P775" s="6" t="s">
        <v>3503</v>
      </c>
      <c r="R775" s="6" t="s">
        <v>3470</v>
      </c>
      <c r="S775" s="6" t="s">
        <v>3504</v>
      </c>
      <c r="T775" s="6">
        <v>0</v>
      </c>
      <c r="U775" s="6">
        <v>0</v>
      </c>
      <c r="V775" s="6">
        <v>0</v>
      </c>
      <c r="W775" s="6">
        <v>0</v>
      </c>
      <c r="X775" s="6" t="s">
        <v>169</v>
      </c>
      <c r="Z775" s="6" t="s">
        <v>170</v>
      </c>
      <c r="AA775" s="6" t="s">
        <v>171</v>
      </c>
      <c r="AB775" s="6">
        <v>0</v>
      </c>
      <c r="AC775" s="6" t="str">
        <f>""</f>
        <v/>
      </c>
      <c r="AS775" s="6">
        <v>0</v>
      </c>
      <c r="AT775" s="6">
        <v>0</v>
      </c>
    </row>
    <row r="776" spans="2:46">
      <c r="B776" s="6" t="s">
        <v>111</v>
      </c>
      <c r="D776" s="6" t="s">
        <v>3316</v>
      </c>
      <c r="F776" s="6" t="s">
        <v>3505</v>
      </c>
      <c r="G776" s="6" t="str">
        <f>"3176222151501208"</f>
        <v>3176222151501208</v>
      </c>
      <c r="H776" s="6">
        <v>3176222151501200</v>
      </c>
      <c r="I776" s="6" t="s">
        <v>3502</v>
      </c>
      <c r="J776" s="6" t="str">
        <f>"17 OK TS"</f>
        <v>17 OK TS</v>
      </c>
      <c r="K776" s="6">
        <v>0</v>
      </c>
      <c r="L776" s="6">
        <v>0</v>
      </c>
      <c r="M776" s="6">
        <v>0</v>
      </c>
      <c r="N776" s="6" t="str">
        <f>""</f>
        <v/>
      </c>
      <c r="O776" s="6">
        <v>32503</v>
      </c>
      <c r="P776" s="6" t="s">
        <v>3506</v>
      </c>
      <c r="R776" s="6" t="s">
        <v>3445</v>
      </c>
      <c r="S776" s="6" t="s">
        <v>3507</v>
      </c>
      <c r="T776" s="6">
        <v>0</v>
      </c>
      <c r="U776" s="6">
        <v>0</v>
      </c>
      <c r="V776" s="6">
        <v>0</v>
      </c>
      <c r="W776" s="6">
        <v>0</v>
      </c>
      <c r="X776" s="6" t="s">
        <v>169</v>
      </c>
      <c r="Z776" s="6" t="s">
        <v>170</v>
      </c>
      <c r="AA776" s="6" t="s">
        <v>171</v>
      </c>
      <c r="AB776" s="6">
        <v>0</v>
      </c>
      <c r="AC776" s="6" t="str">
        <f>""</f>
        <v/>
      </c>
      <c r="AS776" s="6">
        <v>0</v>
      </c>
      <c r="AT776" s="6">
        <v>0</v>
      </c>
    </row>
    <row r="777" spans="2:46">
      <c r="B777" s="6" t="s">
        <v>111</v>
      </c>
      <c r="D777" s="6" t="s">
        <v>3316</v>
      </c>
      <c r="F777" s="6" t="s">
        <v>3508</v>
      </c>
      <c r="G777" s="6" t="str">
        <f>"3176222151569208"</f>
        <v>3176222151569208</v>
      </c>
      <c r="H777" s="6">
        <v>3176222151569200</v>
      </c>
      <c r="I777" s="6" t="s">
        <v>3502</v>
      </c>
      <c r="J777" s="6" t="str">
        <f>"17 OK TS"</f>
        <v>17 OK TS</v>
      </c>
      <c r="K777" s="6">
        <v>0</v>
      </c>
      <c r="L777" s="6">
        <v>0</v>
      </c>
      <c r="M777" s="6">
        <v>0</v>
      </c>
      <c r="N777" s="6" t="str">
        <f>""</f>
        <v/>
      </c>
      <c r="O777" s="6">
        <v>32502</v>
      </c>
      <c r="P777" s="6" t="s">
        <v>3509</v>
      </c>
      <c r="R777" s="6" t="s">
        <v>3481</v>
      </c>
      <c r="S777" s="6" t="s">
        <v>3510</v>
      </c>
      <c r="T777" s="6">
        <v>0</v>
      </c>
      <c r="U777" s="6">
        <v>0</v>
      </c>
      <c r="V777" s="6">
        <v>0</v>
      </c>
      <c r="W777" s="6">
        <v>0</v>
      </c>
      <c r="X777" s="6" t="s">
        <v>169</v>
      </c>
      <c r="Z777" s="6" t="s">
        <v>170</v>
      </c>
      <c r="AA777" s="6" t="s">
        <v>171</v>
      </c>
      <c r="AB777" s="6">
        <v>0</v>
      </c>
      <c r="AC777" s="6" t="str">
        <f>""</f>
        <v/>
      </c>
      <c r="AS777" s="6">
        <v>0</v>
      </c>
      <c r="AT777" s="6">
        <v>0</v>
      </c>
    </row>
    <row r="778" spans="2:46">
      <c r="B778" s="6" t="s">
        <v>111</v>
      </c>
      <c r="D778" s="6" t="s">
        <v>3316</v>
      </c>
      <c r="F778" s="6" t="s">
        <v>3511</v>
      </c>
      <c r="G778" s="6" t="str">
        <f>"3176222152399208"</f>
        <v>3176222152399208</v>
      </c>
      <c r="H778" s="6">
        <v>3176222152399200</v>
      </c>
      <c r="I778" s="6" t="s">
        <v>3512</v>
      </c>
      <c r="J778" s="6" t="str">
        <f>"17 OFF SLEEVE TS"</f>
        <v>17 OFF SLEEVE TS</v>
      </c>
      <c r="K778" s="6">
        <v>0</v>
      </c>
      <c r="L778" s="6">
        <v>0</v>
      </c>
      <c r="M778" s="6">
        <v>0</v>
      </c>
      <c r="N778" s="6" t="str">
        <f>""</f>
        <v/>
      </c>
      <c r="O778" s="6">
        <v>32500</v>
      </c>
      <c r="P778" s="6" t="s">
        <v>3513</v>
      </c>
      <c r="R778" s="6" t="s">
        <v>3450</v>
      </c>
      <c r="S778" s="6" t="s">
        <v>3514</v>
      </c>
      <c r="T778" s="6">
        <v>0</v>
      </c>
      <c r="U778" s="6">
        <v>0</v>
      </c>
      <c r="V778" s="6">
        <v>0</v>
      </c>
      <c r="W778" s="6">
        <v>0</v>
      </c>
      <c r="X778" s="6" t="s">
        <v>169</v>
      </c>
      <c r="Z778" s="6" t="s">
        <v>170</v>
      </c>
      <c r="AA778" s="6" t="s">
        <v>171</v>
      </c>
      <c r="AB778" s="6">
        <v>0</v>
      </c>
      <c r="AC778" s="6" t="str">
        <f>""</f>
        <v/>
      </c>
      <c r="AS778" s="6">
        <v>0</v>
      </c>
      <c r="AT778" s="6">
        <v>0</v>
      </c>
    </row>
    <row r="779" spans="2:46">
      <c r="B779" s="6" t="s">
        <v>111</v>
      </c>
      <c r="D779" s="6" t="s">
        <v>3316</v>
      </c>
      <c r="F779" s="6" t="s">
        <v>3515</v>
      </c>
      <c r="G779" s="6" t="str">
        <f>"3176222152362208"</f>
        <v>3176222152362208</v>
      </c>
      <c r="H779" s="6">
        <v>3176222152362200</v>
      </c>
      <c r="I779" s="6" t="s">
        <v>3512</v>
      </c>
      <c r="J779" s="6" t="str">
        <f>"17 OFF SLEEVE TS"</f>
        <v>17 OFF SLEEVE TS</v>
      </c>
      <c r="K779" s="6">
        <v>0</v>
      </c>
      <c r="L779" s="6">
        <v>0</v>
      </c>
      <c r="M779" s="6">
        <v>0</v>
      </c>
      <c r="N779" s="6" t="str">
        <f>""</f>
        <v/>
      </c>
      <c r="O779" s="6">
        <v>32499</v>
      </c>
      <c r="P779" s="6" t="s">
        <v>3516</v>
      </c>
      <c r="R779" s="6" t="s">
        <v>3517</v>
      </c>
      <c r="S779" s="6" t="s">
        <v>3518</v>
      </c>
      <c r="T779" s="6">
        <v>0</v>
      </c>
      <c r="U779" s="6">
        <v>0</v>
      </c>
      <c r="V779" s="6">
        <v>0</v>
      </c>
      <c r="W779" s="6">
        <v>0</v>
      </c>
      <c r="X779" s="6" t="s">
        <v>169</v>
      </c>
      <c r="Z779" s="6" t="s">
        <v>170</v>
      </c>
      <c r="AA779" s="6" t="s">
        <v>171</v>
      </c>
      <c r="AB779" s="6">
        <v>0</v>
      </c>
      <c r="AC779" s="6" t="str">
        <f>""</f>
        <v/>
      </c>
      <c r="AS779" s="6">
        <v>0</v>
      </c>
      <c r="AT779" s="6">
        <v>0</v>
      </c>
    </row>
    <row r="780" spans="2:46">
      <c r="B780" s="6" t="s">
        <v>111</v>
      </c>
      <c r="D780" s="6" t="s">
        <v>3316</v>
      </c>
      <c r="F780" s="6" t="s">
        <v>3519</v>
      </c>
      <c r="G780" s="6" t="str">
        <f>"3176222152369208"</f>
        <v>3176222152369208</v>
      </c>
      <c r="H780" s="6">
        <v>3176222152369200</v>
      </c>
      <c r="I780" s="6" t="s">
        <v>3512</v>
      </c>
      <c r="J780" s="6" t="str">
        <f>"17 OFF SLEEVE TS"</f>
        <v>17 OFF SLEEVE TS</v>
      </c>
      <c r="K780" s="6">
        <v>0</v>
      </c>
      <c r="L780" s="6">
        <v>0</v>
      </c>
      <c r="M780" s="6">
        <v>0</v>
      </c>
      <c r="N780" s="6" t="str">
        <f>""</f>
        <v/>
      </c>
      <c r="O780" s="6">
        <v>32498</v>
      </c>
      <c r="P780" s="6" t="s">
        <v>3520</v>
      </c>
      <c r="R780" s="6" t="s">
        <v>3481</v>
      </c>
      <c r="S780" s="6" t="s">
        <v>3521</v>
      </c>
      <c r="T780" s="6">
        <v>0</v>
      </c>
      <c r="U780" s="6">
        <v>0</v>
      </c>
      <c r="V780" s="6">
        <v>0</v>
      </c>
      <c r="W780" s="6">
        <v>0</v>
      </c>
      <c r="X780" s="6" t="s">
        <v>169</v>
      </c>
      <c r="Z780" s="6" t="s">
        <v>170</v>
      </c>
      <c r="AA780" s="6" t="s">
        <v>171</v>
      </c>
      <c r="AB780" s="6">
        <v>0</v>
      </c>
      <c r="AC780" s="6" t="str">
        <f>""</f>
        <v/>
      </c>
      <c r="AS780" s="6">
        <v>0</v>
      </c>
      <c r="AT780" s="6">
        <v>0</v>
      </c>
    </row>
    <row r="781" spans="2:46">
      <c r="B781" s="6" t="s">
        <v>111</v>
      </c>
      <c r="D781" s="6" t="s">
        <v>3316</v>
      </c>
      <c r="F781" s="6" t="s">
        <v>3522</v>
      </c>
      <c r="G781" s="6" t="str">
        <f>"3176222146230208"</f>
        <v>3176222146230208</v>
      </c>
      <c r="H781" s="6">
        <v>3176222146230200</v>
      </c>
      <c r="I781" s="6" t="s">
        <v>3523</v>
      </c>
      <c r="J781" s="6" t="str">
        <f>"17 ST BOATNECK TS 01"</f>
        <v>17 ST BOATNECK TS 01</v>
      </c>
      <c r="K781" s="6">
        <v>0</v>
      </c>
      <c r="L781" s="6">
        <v>0</v>
      </c>
      <c r="M781" s="6">
        <v>0</v>
      </c>
      <c r="N781" s="6" t="str">
        <f>""</f>
        <v/>
      </c>
      <c r="O781" s="6">
        <v>32496</v>
      </c>
      <c r="P781" s="6" t="s">
        <v>3524</v>
      </c>
      <c r="R781" s="6" t="s">
        <v>3470</v>
      </c>
      <c r="S781" s="6" t="s">
        <v>3525</v>
      </c>
      <c r="T781" s="6">
        <v>0</v>
      </c>
      <c r="U781" s="6">
        <v>0</v>
      </c>
      <c r="V781" s="6">
        <v>0</v>
      </c>
      <c r="W781" s="6">
        <v>0</v>
      </c>
      <c r="X781" s="6" t="s">
        <v>169</v>
      </c>
      <c r="Z781" s="6" t="s">
        <v>170</v>
      </c>
      <c r="AA781" s="6" t="s">
        <v>171</v>
      </c>
      <c r="AB781" s="6">
        <v>0</v>
      </c>
      <c r="AC781" s="6" t="str">
        <f>""</f>
        <v/>
      </c>
      <c r="AS781" s="6">
        <v>0</v>
      </c>
      <c r="AT781" s="6">
        <v>0</v>
      </c>
    </row>
    <row r="782" spans="2:46">
      <c r="B782" s="6" t="s">
        <v>111</v>
      </c>
      <c r="D782" s="6" t="s">
        <v>3316</v>
      </c>
      <c r="F782" s="6" t="s">
        <v>3526</v>
      </c>
      <c r="G782" s="6" t="str">
        <f>"3176222146262208"</f>
        <v>3176222146262208</v>
      </c>
      <c r="H782" s="6">
        <v>3176222146262200</v>
      </c>
      <c r="I782" s="6" t="s">
        <v>3523</v>
      </c>
      <c r="J782" s="6" t="str">
        <f>"17 ST BOATNECK TS 01"</f>
        <v>17 ST BOATNECK TS 01</v>
      </c>
      <c r="K782" s="6">
        <v>0</v>
      </c>
      <c r="L782" s="6">
        <v>0</v>
      </c>
      <c r="M782" s="6">
        <v>0</v>
      </c>
      <c r="N782" s="6" t="str">
        <f>""</f>
        <v/>
      </c>
      <c r="O782" s="6">
        <v>32495</v>
      </c>
      <c r="P782" s="6" t="s">
        <v>3527</v>
      </c>
      <c r="R782" s="6" t="s">
        <v>3517</v>
      </c>
      <c r="S782" s="6" t="s">
        <v>3528</v>
      </c>
      <c r="T782" s="6">
        <v>0</v>
      </c>
      <c r="U782" s="6">
        <v>0</v>
      </c>
      <c r="V782" s="6">
        <v>0</v>
      </c>
      <c r="W782" s="6">
        <v>0</v>
      </c>
      <c r="X782" s="6" t="s">
        <v>169</v>
      </c>
      <c r="Z782" s="6" t="s">
        <v>170</v>
      </c>
      <c r="AA782" s="6" t="s">
        <v>171</v>
      </c>
      <c r="AB782" s="6">
        <v>0</v>
      </c>
      <c r="AC782" s="6" t="str">
        <f>""</f>
        <v/>
      </c>
      <c r="AS782" s="6">
        <v>0</v>
      </c>
      <c r="AT782" s="6">
        <v>0</v>
      </c>
    </row>
    <row r="783" spans="2:46">
      <c r="B783" s="6" t="s">
        <v>111</v>
      </c>
      <c r="D783" s="6" t="s">
        <v>3316</v>
      </c>
      <c r="F783" s="6" t="s">
        <v>3529</v>
      </c>
      <c r="G783" s="6" t="str">
        <f>"3176222121799208"</f>
        <v>3176222121799208</v>
      </c>
      <c r="H783" s="6">
        <v>3176222121799200</v>
      </c>
      <c r="I783" s="6" t="s">
        <v>3530</v>
      </c>
      <c r="J783" s="6" t="str">
        <f>"NT BASIC TS"</f>
        <v>NT BASIC TS</v>
      </c>
      <c r="K783" s="6">
        <v>0</v>
      </c>
      <c r="L783" s="6">
        <v>0</v>
      </c>
      <c r="M783" s="6">
        <v>0</v>
      </c>
      <c r="N783" s="6" t="str">
        <f>""</f>
        <v/>
      </c>
      <c r="O783" s="6">
        <v>32493</v>
      </c>
      <c r="P783" s="6" t="s">
        <v>3531</v>
      </c>
      <c r="R783" s="6" t="s">
        <v>3450</v>
      </c>
      <c r="S783" s="6" t="s">
        <v>3532</v>
      </c>
      <c r="T783" s="6">
        <v>0</v>
      </c>
      <c r="U783" s="6">
        <v>0</v>
      </c>
      <c r="V783" s="6">
        <v>0</v>
      </c>
      <c r="W783" s="6">
        <v>0</v>
      </c>
      <c r="X783" s="6" t="s">
        <v>169</v>
      </c>
      <c r="Z783" s="6" t="s">
        <v>170</v>
      </c>
      <c r="AA783" s="6" t="s">
        <v>171</v>
      </c>
      <c r="AB783" s="6">
        <v>0</v>
      </c>
      <c r="AC783" s="6" t="str">
        <f>""</f>
        <v/>
      </c>
      <c r="AS783" s="6">
        <v>0</v>
      </c>
      <c r="AT783" s="6">
        <v>0</v>
      </c>
    </row>
    <row r="784" spans="2:46">
      <c r="B784" s="6" t="s">
        <v>111</v>
      </c>
      <c r="D784" s="6" t="s">
        <v>3316</v>
      </c>
      <c r="F784" s="6" t="s">
        <v>3533</v>
      </c>
      <c r="G784" s="6" t="str">
        <f>"3176222121725208"</f>
        <v>3176222121725208</v>
      </c>
      <c r="H784" s="6">
        <v>3176222121725200</v>
      </c>
      <c r="I784" s="6" t="s">
        <v>3530</v>
      </c>
      <c r="J784" s="6" t="str">
        <f>"NT BASIC TS"</f>
        <v>NT BASIC TS</v>
      </c>
      <c r="K784" s="6">
        <v>0</v>
      </c>
      <c r="L784" s="6">
        <v>0</v>
      </c>
      <c r="M784" s="6">
        <v>0</v>
      </c>
      <c r="N784" s="6" t="str">
        <f>""</f>
        <v/>
      </c>
      <c r="O784" s="6">
        <v>32492</v>
      </c>
      <c r="P784" s="6" t="s">
        <v>3534</v>
      </c>
      <c r="R784" s="6" t="s">
        <v>3461</v>
      </c>
      <c r="S784" s="6" t="s">
        <v>3535</v>
      </c>
      <c r="T784" s="6">
        <v>0</v>
      </c>
      <c r="U784" s="6">
        <v>0</v>
      </c>
      <c r="V784" s="6">
        <v>0</v>
      </c>
      <c r="W784" s="6">
        <v>0</v>
      </c>
      <c r="X784" s="6" t="s">
        <v>169</v>
      </c>
      <c r="Z784" s="6" t="s">
        <v>170</v>
      </c>
      <c r="AA784" s="6" t="s">
        <v>171</v>
      </c>
      <c r="AB784" s="6">
        <v>0</v>
      </c>
      <c r="AC784" s="6" t="str">
        <f>""</f>
        <v/>
      </c>
      <c r="AS784" s="6">
        <v>0</v>
      </c>
      <c r="AT784" s="6">
        <v>0</v>
      </c>
    </row>
    <row r="785" spans="2:46">
      <c r="B785" s="6" t="s">
        <v>111</v>
      </c>
      <c r="D785" s="6" t="s">
        <v>3316</v>
      </c>
      <c r="F785" s="6" t="s">
        <v>3536</v>
      </c>
      <c r="G785" s="6" t="str">
        <f>"3176222121762208"</f>
        <v>3176222121762208</v>
      </c>
      <c r="H785" s="6">
        <v>3176222121762200</v>
      </c>
      <c r="I785" s="6" t="s">
        <v>3530</v>
      </c>
      <c r="J785" s="6" t="str">
        <f>"NT BASIC TS"</f>
        <v>NT BASIC TS</v>
      </c>
      <c r="K785" s="6">
        <v>0</v>
      </c>
      <c r="L785" s="6">
        <v>0</v>
      </c>
      <c r="M785" s="6">
        <v>0</v>
      </c>
      <c r="N785" s="6" t="str">
        <f>""</f>
        <v/>
      </c>
      <c r="O785" s="6">
        <v>32491</v>
      </c>
      <c r="P785" s="6" t="s">
        <v>3537</v>
      </c>
      <c r="R785" s="6" t="s">
        <v>3517</v>
      </c>
      <c r="S785" s="6" t="s">
        <v>3538</v>
      </c>
      <c r="T785" s="6">
        <v>0</v>
      </c>
      <c r="U785" s="6">
        <v>0</v>
      </c>
      <c r="V785" s="6">
        <v>0</v>
      </c>
      <c r="W785" s="6">
        <v>0</v>
      </c>
      <c r="X785" s="6" t="s">
        <v>169</v>
      </c>
      <c r="Z785" s="6" t="s">
        <v>170</v>
      </c>
      <c r="AA785" s="6" t="s">
        <v>171</v>
      </c>
      <c r="AB785" s="6">
        <v>0</v>
      </c>
      <c r="AC785" s="6" t="str">
        <f>""</f>
        <v/>
      </c>
      <c r="AS785" s="6">
        <v>0</v>
      </c>
      <c r="AT785" s="6">
        <v>0</v>
      </c>
    </row>
    <row r="786" spans="2:46">
      <c r="B786" s="6" t="s">
        <v>111</v>
      </c>
      <c r="D786" s="6" t="s">
        <v>3316</v>
      </c>
      <c r="F786" s="6" t="s">
        <v>3539</v>
      </c>
      <c r="G786" s="6" t="str">
        <f>"3176222121769208"</f>
        <v>3176222121769208</v>
      </c>
      <c r="H786" s="6">
        <v>3176222121769200</v>
      </c>
      <c r="I786" s="6" t="s">
        <v>3530</v>
      </c>
      <c r="J786" s="6" t="str">
        <f>"NT BASIC TS"</f>
        <v>NT BASIC TS</v>
      </c>
      <c r="K786" s="6">
        <v>0</v>
      </c>
      <c r="L786" s="6">
        <v>0</v>
      </c>
      <c r="M786" s="6">
        <v>0</v>
      </c>
      <c r="N786" s="6" t="str">
        <f>""</f>
        <v/>
      </c>
      <c r="O786" s="6">
        <v>32490</v>
      </c>
      <c r="P786" s="6" t="s">
        <v>3540</v>
      </c>
      <c r="R786" s="6" t="s">
        <v>3481</v>
      </c>
      <c r="S786" s="6" t="s">
        <v>3541</v>
      </c>
      <c r="T786" s="6">
        <v>0</v>
      </c>
      <c r="U786" s="6">
        <v>0</v>
      </c>
      <c r="V786" s="6">
        <v>0</v>
      </c>
      <c r="W786" s="6">
        <v>0</v>
      </c>
      <c r="X786" s="6" t="s">
        <v>169</v>
      </c>
      <c r="Z786" s="6" t="s">
        <v>170</v>
      </c>
      <c r="AA786" s="6" t="s">
        <v>171</v>
      </c>
      <c r="AB786" s="6">
        <v>0</v>
      </c>
      <c r="AC786" s="6" t="str">
        <f>""</f>
        <v/>
      </c>
      <c r="AS786" s="6">
        <v>0</v>
      </c>
      <c r="AT786" s="6">
        <v>0</v>
      </c>
    </row>
    <row r="787" spans="2:46">
      <c r="B787" s="6" t="s">
        <v>111</v>
      </c>
      <c r="D787" s="6" t="s">
        <v>3316</v>
      </c>
      <c r="F787" s="6" t="s">
        <v>3542</v>
      </c>
      <c r="G787" s="6" t="str">
        <f>"3176222142961208"</f>
        <v>3176222142961208</v>
      </c>
      <c r="H787" s="6">
        <v>3176222142961200</v>
      </c>
      <c r="I787" s="6" t="s">
        <v>3543</v>
      </c>
      <c r="J787" s="6" t="str">
        <f>"17 S/T POCKET TS"</f>
        <v>17 S/T POCKET TS</v>
      </c>
      <c r="K787" s="6">
        <v>0</v>
      </c>
      <c r="L787" s="6">
        <v>0</v>
      </c>
      <c r="M787" s="6">
        <v>0</v>
      </c>
      <c r="N787" s="6" t="str">
        <f>""</f>
        <v/>
      </c>
      <c r="O787" s="6">
        <v>32488</v>
      </c>
      <c r="P787" s="6" t="s">
        <v>3544</v>
      </c>
      <c r="R787" s="6" t="s">
        <v>3545</v>
      </c>
      <c r="S787" s="6" t="s">
        <v>3546</v>
      </c>
      <c r="T787" s="6">
        <v>0</v>
      </c>
      <c r="U787" s="6">
        <v>0</v>
      </c>
      <c r="V787" s="6">
        <v>0</v>
      </c>
      <c r="W787" s="6">
        <v>0</v>
      </c>
      <c r="X787" s="6" t="s">
        <v>169</v>
      </c>
      <c r="Z787" s="6" t="s">
        <v>170</v>
      </c>
      <c r="AA787" s="6" t="s">
        <v>171</v>
      </c>
      <c r="AB787" s="6">
        <v>0</v>
      </c>
      <c r="AC787" s="6" t="str">
        <f>""</f>
        <v/>
      </c>
      <c r="AS787" s="6">
        <v>0</v>
      </c>
      <c r="AT787" s="6">
        <v>0</v>
      </c>
    </row>
    <row r="788" spans="2:46">
      <c r="B788" s="6" t="s">
        <v>111</v>
      </c>
      <c r="D788" s="6" t="s">
        <v>3316</v>
      </c>
      <c r="F788" s="6" t="s">
        <v>3547</v>
      </c>
      <c r="G788" s="6" t="str">
        <f>"3176222142945208"</f>
        <v>3176222142945208</v>
      </c>
      <c r="H788" s="6">
        <v>3176222142945200</v>
      </c>
      <c r="I788" s="6" t="s">
        <v>3543</v>
      </c>
      <c r="J788" s="6" t="str">
        <f>"17 S/T POCKET TS"</f>
        <v>17 S/T POCKET TS</v>
      </c>
      <c r="K788" s="6">
        <v>0</v>
      </c>
      <c r="L788" s="6">
        <v>0</v>
      </c>
      <c r="M788" s="6">
        <v>0</v>
      </c>
      <c r="N788" s="6" t="str">
        <f>""</f>
        <v/>
      </c>
      <c r="O788" s="6">
        <v>32487</v>
      </c>
      <c r="P788" s="6" t="s">
        <v>3548</v>
      </c>
      <c r="R788" s="6" t="s">
        <v>3441</v>
      </c>
      <c r="S788" s="6" t="s">
        <v>3549</v>
      </c>
      <c r="T788" s="6">
        <v>0</v>
      </c>
      <c r="U788" s="6">
        <v>0</v>
      </c>
      <c r="V788" s="6">
        <v>0</v>
      </c>
      <c r="W788" s="6">
        <v>0</v>
      </c>
      <c r="X788" s="6" t="s">
        <v>169</v>
      </c>
      <c r="Z788" s="6" t="s">
        <v>170</v>
      </c>
      <c r="AA788" s="6" t="s">
        <v>171</v>
      </c>
      <c r="AB788" s="6">
        <v>0</v>
      </c>
      <c r="AC788" s="6" t="str">
        <f>""</f>
        <v/>
      </c>
      <c r="AS788" s="6">
        <v>0</v>
      </c>
      <c r="AT788" s="6">
        <v>0</v>
      </c>
    </row>
    <row r="789" spans="2:46">
      <c r="B789" s="6" t="s">
        <v>111</v>
      </c>
      <c r="D789" s="6" t="s">
        <v>3316</v>
      </c>
      <c r="F789" s="6" t="s">
        <v>3550</v>
      </c>
      <c r="G789" s="6" t="str">
        <f>"3176222101930208"</f>
        <v>3176222101930208</v>
      </c>
      <c r="H789" s="6">
        <v>3176222101930200</v>
      </c>
      <c r="I789" s="6" t="s">
        <v>3551</v>
      </c>
      <c r="J789" s="6" t="str">
        <f>"PERSON MtoM"</f>
        <v>PERSON MtoM</v>
      </c>
      <c r="K789" s="6">
        <v>0</v>
      </c>
      <c r="L789" s="6">
        <v>0</v>
      </c>
      <c r="M789" s="6">
        <v>0</v>
      </c>
      <c r="N789" s="6" t="str">
        <f>""</f>
        <v/>
      </c>
      <c r="O789" s="6">
        <v>32485</v>
      </c>
      <c r="P789" s="6" t="s">
        <v>3552</v>
      </c>
      <c r="R789" s="6" t="s">
        <v>3470</v>
      </c>
      <c r="S789" s="6" t="s">
        <v>3553</v>
      </c>
      <c r="T789" s="6">
        <v>0</v>
      </c>
      <c r="U789" s="6">
        <v>0</v>
      </c>
      <c r="V789" s="6">
        <v>0</v>
      </c>
      <c r="W789" s="6">
        <v>0</v>
      </c>
      <c r="X789" s="6" t="s">
        <v>169</v>
      </c>
      <c r="Z789" s="6" t="s">
        <v>170</v>
      </c>
      <c r="AA789" s="6" t="s">
        <v>171</v>
      </c>
      <c r="AB789" s="6">
        <v>0</v>
      </c>
      <c r="AC789" s="6" t="str">
        <f>""</f>
        <v/>
      </c>
      <c r="AS789" s="6">
        <v>0</v>
      </c>
      <c r="AT789" s="6">
        <v>0</v>
      </c>
    </row>
    <row r="790" spans="2:46">
      <c r="B790" s="6" t="s">
        <v>111</v>
      </c>
      <c r="D790" s="6" t="s">
        <v>3316</v>
      </c>
      <c r="F790" s="6" t="s">
        <v>3554</v>
      </c>
      <c r="G790" s="6" t="str">
        <f>"3176222101969208"</f>
        <v>3176222101969208</v>
      </c>
      <c r="H790" s="6">
        <v>3176222101969200</v>
      </c>
      <c r="I790" s="6" t="s">
        <v>3551</v>
      </c>
      <c r="J790" s="6" t="str">
        <f>"PERSON MtoM"</f>
        <v>PERSON MtoM</v>
      </c>
      <c r="K790" s="6">
        <v>0</v>
      </c>
      <c r="L790" s="6">
        <v>0</v>
      </c>
      <c r="M790" s="6">
        <v>0</v>
      </c>
      <c r="N790" s="6" t="str">
        <f>""</f>
        <v/>
      </c>
      <c r="O790" s="6">
        <v>32484</v>
      </c>
      <c r="P790" s="6" t="s">
        <v>3555</v>
      </c>
      <c r="R790" s="6" t="s">
        <v>3481</v>
      </c>
      <c r="S790" s="6" t="s">
        <v>3556</v>
      </c>
      <c r="T790" s="6">
        <v>0</v>
      </c>
      <c r="U790" s="6">
        <v>0</v>
      </c>
      <c r="V790" s="6">
        <v>0</v>
      </c>
      <c r="W790" s="6">
        <v>0</v>
      </c>
      <c r="X790" s="6" t="s">
        <v>169</v>
      </c>
      <c r="Z790" s="6" t="s">
        <v>170</v>
      </c>
      <c r="AA790" s="6" t="s">
        <v>171</v>
      </c>
      <c r="AB790" s="6">
        <v>0</v>
      </c>
      <c r="AC790" s="6" t="str">
        <f>""</f>
        <v/>
      </c>
      <c r="AS790" s="6">
        <v>0</v>
      </c>
      <c r="AT790" s="6">
        <v>0</v>
      </c>
    </row>
    <row r="791" spans="2:46">
      <c r="B791" s="6" t="s">
        <v>111</v>
      </c>
      <c r="D791" s="6" t="s">
        <v>3316</v>
      </c>
      <c r="F791" s="6" t="s">
        <v>3557</v>
      </c>
      <c r="G791" s="6" t="str">
        <f>"3176222101630208"</f>
        <v>3176222101630208</v>
      </c>
      <c r="H791" s="6">
        <v>3176222101630200</v>
      </c>
      <c r="I791" s="6" t="s">
        <v>3558</v>
      </c>
      <c r="J791" s="6" t="str">
        <f>"17 HALF GLOSS"</f>
        <v>17 HALF GLOSS</v>
      </c>
      <c r="K791" s="6">
        <v>0</v>
      </c>
      <c r="L791" s="6">
        <v>0</v>
      </c>
      <c r="M791" s="6">
        <v>0</v>
      </c>
      <c r="N791" s="6" t="str">
        <f>""</f>
        <v/>
      </c>
      <c r="O791" s="6">
        <v>32482</v>
      </c>
      <c r="P791" s="6" t="s">
        <v>3559</v>
      </c>
      <c r="R791" s="6" t="s">
        <v>3470</v>
      </c>
      <c r="S791" s="6" t="s">
        <v>3560</v>
      </c>
      <c r="T791" s="6">
        <v>0</v>
      </c>
      <c r="U791" s="6">
        <v>0</v>
      </c>
      <c r="V791" s="6">
        <v>0</v>
      </c>
      <c r="W791" s="6">
        <v>0</v>
      </c>
      <c r="X791" s="6" t="s">
        <v>169</v>
      </c>
      <c r="Z791" s="6" t="s">
        <v>170</v>
      </c>
      <c r="AA791" s="6" t="s">
        <v>171</v>
      </c>
      <c r="AB791" s="6">
        <v>0</v>
      </c>
      <c r="AC791" s="6" t="str">
        <f>""</f>
        <v/>
      </c>
      <c r="AS791" s="6">
        <v>0</v>
      </c>
      <c r="AT791" s="6">
        <v>0</v>
      </c>
    </row>
    <row r="792" spans="2:46">
      <c r="B792" s="6" t="s">
        <v>111</v>
      </c>
      <c r="D792" s="6" t="s">
        <v>3316</v>
      </c>
      <c r="F792" s="6" t="s">
        <v>3561</v>
      </c>
      <c r="G792" s="6" t="str">
        <f>"3176222101606208"</f>
        <v>3176222101606208</v>
      </c>
      <c r="H792" s="6">
        <v>3176222101606200</v>
      </c>
      <c r="I792" s="6" t="s">
        <v>3558</v>
      </c>
      <c r="J792" s="6" t="str">
        <f>"17 HALF GLOSS"</f>
        <v>17 HALF GLOSS</v>
      </c>
      <c r="K792" s="6">
        <v>0</v>
      </c>
      <c r="L792" s="6">
        <v>0</v>
      </c>
      <c r="M792" s="6">
        <v>0</v>
      </c>
      <c r="N792" s="6" t="str">
        <f>""</f>
        <v/>
      </c>
      <c r="O792" s="6">
        <v>32481</v>
      </c>
      <c r="P792" s="6" t="s">
        <v>3562</v>
      </c>
      <c r="R792" s="6" t="s">
        <v>3563</v>
      </c>
      <c r="S792" s="6" t="s">
        <v>3564</v>
      </c>
      <c r="T792" s="6">
        <v>0</v>
      </c>
      <c r="U792" s="6">
        <v>0</v>
      </c>
      <c r="V792" s="6">
        <v>0</v>
      </c>
      <c r="W792" s="6">
        <v>0</v>
      </c>
      <c r="X792" s="6" t="s">
        <v>169</v>
      </c>
      <c r="Z792" s="6" t="s">
        <v>170</v>
      </c>
      <c r="AA792" s="6" t="s">
        <v>171</v>
      </c>
      <c r="AB792" s="6">
        <v>0</v>
      </c>
      <c r="AC792" s="6" t="str">
        <f>""</f>
        <v/>
      </c>
      <c r="AS792" s="6">
        <v>0</v>
      </c>
      <c r="AT792" s="6">
        <v>0</v>
      </c>
    </row>
    <row r="793" spans="2:46">
      <c r="B793" s="6" t="s">
        <v>111</v>
      </c>
      <c r="D793" s="6" t="s">
        <v>3316</v>
      </c>
      <c r="F793" s="6" t="s">
        <v>3565</v>
      </c>
      <c r="G793" s="6" t="str">
        <f>"3186514201030120"</f>
        <v>3186514201030120</v>
      </c>
      <c r="H793" s="6">
        <v>3186514201030120</v>
      </c>
      <c r="I793" s="6" t="s">
        <v>3566</v>
      </c>
      <c r="J793" s="6" t="str">
        <f>"18 WAIST BAG [NAVY]"</f>
        <v>18 WAIST BAG [NAVY]</v>
      </c>
      <c r="K793" s="6">
        <v>0</v>
      </c>
      <c r="L793" s="6">
        <v>0</v>
      </c>
      <c r="M793" s="6">
        <v>0</v>
      </c>
      <c r="N793" s="6" t="str">
        <f>""</f>
        <v/>
      </c>
      <c r="O793" s="6">
        <v>32479</v>
      </c>
      <c r="P793" s="6" t="s">
        <v>3567</v>
      </c>
      <c r="R793" s="6" t="s">
        <v>2111</v>
      </c>
      <c r="S793" s="6" t="s">
        <v>3568</v>
      </c>
      <c r="T793" s="6">
        <v>0</v>
      </c>
      <c r="U793" s="6">
        <v>0</v>
      </c>
      <c r="V793" s="6">
        <v>0</v>
      </c>
      <c r="W793" s="6">
        <v>0</v>
      </c>
      <c r="X793" s="6" t="s">
        <v>169</v>
      </c>
      <c r="Z793" s="6" t="s">
        <v>170</v>
      </c>
      <c r="AA793" s="6" t="s">
        <v>171</v>
      </c>
      <c r="AB793" s="6">
        <v>0</v>
      </c>
      <c r="AC793" s="6" t="str">
        <f>""</f>
        <v/>
      </c>
      <c r="AS793" s="6">
        <v>0</v>
      </c>
      <c r="AT793" s="6">
        <v>0</v>
      </c>
    </row>
    <row r="794" spans="2:46">
      <c r="B794" s="6" t="s">
        <v>111</v>
      </c>
      <c r="D794" s="6" t="s">
        <v>3316</v>
      </c>
      <c r="F794" s="6" t="s">
        <v>3569</v>
      </c>
      <c r="G794" s="6" t="str">
        <f>"3186514201199120"</f>
        <v>3186514201199120</v>
      </c>
      <c r="H794" s="6">
        <v>3186514201199120</v>
      </c>
      <c r="I794" s="6" t="s">
        <v>3570</v>
      </c>
      <c r="J794" s="6" t="str">
        <f>"18 BOWLS BACKPACK [BLACK]"</f>
        <v>18 BOWLS BACKPACK [BLACK]</v>
      </c>
      <c r="K794" s="6">
        <v>0</v>
      </c>
      <c r="L794" s="6">
        <v>0</v>
      </c>
      <c r="M794" s="6">
        <v>0</v>
      </c>
      <c r="N794" s="6" t="str">
        <f>""</f>
        <v/>
      </c>
      <c r="O794" s="6">
        <v>32477</v>
      </c>
      <c r="P794" s="6" t="s">
        <v>3571</v>
      </c>
      <c r="R794" s="6" t="s">
        <v>2106</v>
      </c>
      <c r="S794" s="6" t="s">
        <v>3572</v>
      </c>
      <c r="T794" s="6">
        <v>0</v>
      </c>
      <c r="U794" s="6">
        <v>0</v>
      </c>
      <c r="V794" s="6">
        <v>0</v>
      </c>
      <c r="W794" s="6">
        <v>0</v>
      </c>
      <c r="X794" s="6" t="s">
        <v>169</v>
      </c>
      <c r="Z794" s="6" t="s">
        <v>170</v>
      </c>
      <c r="AA794" s="6" t="s">
        <v>171</v>
      </c>
      <c r="AB794" s="6">
        <v>0</v>
      </c>
      <c r="AC794" s="6" t="str">
        <f>""</f>
        <v/>
      </c>
      <c r="AS794" s="6">
        <v>0</v>
      </c>
      <c r="AT794" s="6">
        <v>0</v>
      </c>
    </row>
    <row r="795" spans="2:46">
      <c r="B795" s="6" t="s">
        <v>111</v>
      </c>
      <c r="D795" s="6" t="s">
        <v>3316</v>
      </c>
      <c r="F795" s="6" t="s">
        <v>3573</v>
      </c>
      <c r="G795" s="6" t="str">
        <f>"3186514201185120"</f>
        <v>3186514201185120</v>
      </c>
      <c r="H795" s="6">
        <v>3186514201185120</v>
      </c>
      <c r="I795" s="6" t="s">
        <v>3574</v>
      </c>
      <c r="J795" s="6" t="str">
        <f>"18 BOWLS BACKPACK [KHAKI]"</f>
        <v>18 BOWLS BACKPACK [KHAKI]</v>
      </c>
      <c r="K795" s="6">
        <v>0</v>
      </c>
      <c r="L795" s="6">
        <v>0</v>
      </c>
      <c r="M795" s="6">
        <v>0</v>
      </c>
      <c r="N795" s="6" t="str">
        <f>""</f>
        <v/>
      </c>
      <c r="O795" s="6">
        <v>32475</v>
      </c>
      <c r="P795" s="6" t="s">
        <v>3575</v>
      </c>
      <c r="R795" s="6" t="s">
        <v>3576</v>
      </c>
      <c r="S795" s="6" t="s">
        <v>3577</v>
      </c>
      <c r="T795" s="6">
        <v>0</v>
      </c>
      <c r="U795" s="6">
        <v>0</v>
      </c>
      <c r="V795" s="6">
        <v>0</v>
      </c>
      <c r="W795" s="6">
        <v>0</v>
      </c>
      <c r="X795" s="6" t="s">
        <v>169</v>
      </c>
      <c r="Z795" s="6" t="s">
        <v>170</v>
      </c>
      <c r="AA795" s="6" t="s">
        <v>171</v>
      </c>
      <c r="AB795" s="6">
        <v>0</v>
      </c>
      <c r="AC795" s="6" t="str">
        <f>""</f>
        <v/>
      </c>
      <c r="AS795" s="6">
        <v>0</v>
      </c>
      <c r="AT795" s="6">
        <v>0</v>
      </c>
    </row>
    <row r="796" spans="2:46">
      <c r="B796" s="6" t="s">
        <v>111</v>
      </c>
      <c r="D796" s="6" t="s">
        <v>3316</v>
      </c>
      <c r="F796" s="6" t="s">
        <v>3578</v>
      </c>
      <c r="G796" s="6" t="str">
        <f>"3186514200345120"</f>
        <v>3186514200345120</v>
      </c>
      <c r="H796" s="6">
        <v>3186514200345120</v>
      </c>
      <c r="I796" s="6" t="s">
        <v>3579</v>
      </c>
      <c r="J796" s="6" t="str">
        <f>"18 SB MINI BAG [GREEN]"</f>
        <v>18 SB MINI BAG [GREEN]</v>
      </c>
      <c r="K796" s="6">
        <v>0</v>
      </c>
      <c r="L796" s="6">
        <v>0</v>
      </c>
      <c r="M796" s="6">
        <v>0</v>
      </c>
      <c r="N796" s="6" t="str">
        <f>""</f>
        <v/>
      </c>
      <c r="O796" s="6">
        <v>32473</v>
      </c>
      <c r="P796" s="6" t="s">
        <v>3580</v>
      </c>
      <c r="R796" s="6" t="s">
        <v>2512</v>
      </c>
      <c r="S796" s="6" t="s">
        <v>3581</v>
      </c>
      <c r="T796" s="6">
        <v>0</v>
      </c>
      <c r="U796" s="6">
        <v>0</v>
      </c>
      <c r="V796" s="6">
        <v>0</v>
      </c>
      <c r="W796" s="6">
        <v>0</v>
      </c>
      <c r="X796" s="6" t="s">
        <v>169</v>
      </c>
      <c r="Z796" s="6" t="s">
        <v>170</v>
      </c>
      <c r="AA796" s="6" t="s">
        <v>171</v>
      </c>
      <c r="AB796" s="6">
        <v>0</v>
      </c>
      <c r="AC796" s="6" t="str">
        <f>""</f>
        <v/>
      </c>
      <c r="AS796" s="6">
        <v>0</v>
      </c>
      <c r="AT796" s="6">
        <v>0</v>
      </c>
    </row>
    <row r="797" spans="2:46">
      <c r="B797" s="6" t="s">
        <v>111</v>
      </c>
      <c r="D797" s="6" t="s">
        <v>3316</v>
      </c>
      <c r="F797" s="6" t="s">
        <v>3582</v>
      </c>
      <c r="G797" s="6" t="str">
        <f>"3186514200374120"</f>
        <v>3186514200374120</v>
      </c>
      <c r="H797" s="6">
        <v>3186514200374120</v>
      </c>
      <c r="I797" s="6" t="s">
        <v>3583</v>
      </c>
      <c r="J797" s="6" t="str">
        <f>"18 SB MINI BAG [BEIGE]"</f>
        <v>18 SB MINI BAG [BEIGE]</v>
      </c>
      <c r="K797" s="6">
        <v>0</v>
      </c>
      <c r="L797" s="6">
        <v>0</v>
      </c>
      <c r="M797" s="6">
        <v>0</v>
      </c>
      <c r="N797" s="6" t="str">
        <f>""</f>
        <v/>
      </c>
      <c r="O797" s="6">
        <v>32471</v>
      </c>
      <c r="P797" s="6" t="s">
        <v>3584</v>
      </c>
      <c r="R797" s="6" t="s">
        <v>2102</v>
      </c>
      <c r="S797" s="6" t="s">
        <v>3585</v>
      </c>
      <c r="T797" s="6">
        <v>0</v>
      </c>
      <c r="U797" s="6">
        <v>0</v>
      </c>
      <c r="V797" s="6">
        <v>0</v>
      </c>
      <c r="W797" s="6">
        <v>0</v>
      </c>
      <c r="X797" s="6" t="s">
        <v>169</v>
      </c>
      <c r="Z797" s="6" t="s">
        <v>170</v>
      </c>
      <c r="AA797" s="6" t="s">
        <v>171</v>
      </c>
      <c r="AB797" s="6">
        <v>0</v>
      </c>
      <c r="AC797" s="6" t="str">
        <f>""</f>
        <v/>
      </c>
      <c r="AS797" s="6">
        <v>0</v>
      </c>
      <c r="AT797" s="6">
        <v>0</v>
      </c>
    </row>
    <row r="798" spans="2:46">
      <c r="B798" s="6" t="s">
        <v>111</v>
      </c>
      <c r="D798" s="6" t="s">
        <v>3316</v>
      </c>
      <c r="F798" s="6" t="s">
        <v>3586</v>
      </c>
      <c r="G798" s="6" t="str">
        <f>"3186514200369120"</f>
        <v>3186514200369120</v>
      </c>
      <c r="H798" s="6">
        <v>3186514200369120</v>
      </c>
      <c r="I798" s="6" t="s">
        <v>3587</v>
      </c>
      <c r="J798" s="6" t="str">
        <f>"18 SB MINI BAG [L/GREY]"</f>
        <v>18 SB MINI BAG [L/GREY]</v>
      </c>
      <c r="K798" s="6">
        <v>0</v>
      </c>
      <c r="L798" s="6">
        <v>0</v>
      </c>
      <c r="M798" s="6">
        <v>0</v>
      </c>
      <c r="N798" s="6" t="str">
        <f>""</f>
        <v/>
      </c>
      <c r="O798" s="6">
        <v>32469</v>
      </c>
      <c r="P798" s="6" t="s">
        <v>3588</v>
      </c>
      <c r="R798" s="6" t="s">
        <v>3589</v>
      </c>
      <c r="S798" s="6" t="s">
        <v>3590</v>
      </c>
      <c r="T798" s="6">
        <v>0</v>
      </c>
      <c r="U798" s="6">
        <v>0</v>
      </c>
      <c r="V798" s="6">
        <v>0</v>
      </c>
      <c r="W798" s="6">
        <v>0</v>
      </c>
      <c r="X798" s="6" t="s">
        <v>169</v>
      </c>
      <c r="Z798" s="6" t="s">
        <v>170</v>
      </c>
      <c r="AA798" s="6" t="s">
        <v>171</v>
      </c>
      <c r="AB798" s="6">
        <v>0</v>
      </c>
      <c r="AC798" s="6" t="str">
        <f>""</f>
        <v/>
      </c>
      <c r="AS798" s="6">
        <v>0</v>
      </c>
      <c r="AT798" s="6">
        <v>0</v>
      </c>
    </row>
    <row r="799" spans="2:46">
      <c r="B799" s="6" t="s">
        <v>111</v>
      </c>
      <c r="D799" s="6" t="s">
        <v>3316</v>
      </c>
      <c r="F799" s="6" t="s">
        <v>3591</v>
      </c>
      <c r="G799" s="6" t="str">
        <f>"3186514200199120"</f>
        <v>3186514200199120</v>
      </c>
      <c r="H799" s="6">
        <v>3186514200199120</v>
      </c>
      <c r="I799" s="6" t="s">
        <v>3592</v>
      </c>
      <c r="J799" s="6" t="str">
        <f>"18 FRONT BAG [BLACK]"</f>
        <v>18 FRONT BAG [BLACK]</v>
      </c>
      <c r="K799" s="6">
        <v>0</v>
      </c>
      <c r="L799" s="6">
        <v>0</v>
      </c>
      <c r="M799" s="6">
        <v>0</v>
      </c>
      <c r="N799" s="6" t="str">
        <f>""</f>
        <v/>
      </c>
      <c r="O799" s="6">
        <v>32467</v>
      </c>
      <c r="P799" s="6" t="s">
        <v>3593</v>
      </c>
      <c r="R799" s="6" t="s">
        <v>2106</v>
      </c>
      <c r="S799" s="6" t="s">
        <v>3594</v>
      </c>
      <c r="T799" s="6">
        <v>0</v>
      </c>
      <c r="U799" s="6">
        <v>0</v>
      </c>
      <c r="V799" s="6">
        <v>0</v>
      </c>
      <c r="W799" s="6">
        <v>0</v>
      </c>
      <c r="X799" s="6" t="s">
        <v>169</v>
      </c>
      <c r="Z799" s="6" t="s">
        <v>170</v>
      </c>
      <c r="AA799" s="6" t="s">
        <v>171</v>
      </c>
      <c r="AB799" s="6">
        <v>0</v>
      </c>
      <c r="AC799" s="6" t="str">
        <f>""</f>
        <v/>
      </c>
      <c r="AS799" s="6">
        <v>0</v>
      </c>
      <c r="AT799" s="6">
        <v>0</v>
      </c>
    </row>
    <row r="800" spans="2:46">
      <c r="B800" s="6" t="s">
        <v>111</v>
      </c>
      <c r="D800" s="6" t="s">
        <v>3316</v>
      </c>
      <c r="F800" s="6" t="s">
        <v>3595</v>
      </c>
      <c r="G800" s="6" t="str">
        <f>"3186514200174120"</f>
        <v>3186514200174120</v>
      </c>
      <c r="H800" s="6">
        <v>3186514200174120</v>
      </c>
      <c r="I800" s="6" t="s">
        <v>3596</v>
      </c>
      <c r="J800" s="6" t="str">
        <f>"18 FRONT BAG [BEIGE]"</f>
        <v>18 FRONT BAG [BEIGE]</v>
      </c>
      <c r="K800" s="6">
        <v>0</v>
      </c>
      <c r="L800" s="6">
        <v>0</v>
      </c>
      <c r="M800" s="6">
        <v>0</v>
      </c>
      <c r="N800" s="6" t="str">
        <f>""</f>
        <v/>
      </c>
      <c r="O800" s="6">
        <v>32465</v>
      </c>
      <c r="P800" s="6" t="s">
        <v>3597</v>
      </c>
      <c r="R800" s="6" t="s">
        <v>2102</v>
      </c>
      <c r="S800" s="6" t="s">
        <v>3598</v>
      </c>
      <c r="T800" s="6">
        <v>0</v>
      </c>
      <c r="U800" s="6">
        <v>0</v>
      </c>
      <c r="V800" s="6">
        <v>0</v>
      </c>
      <c r="W800" s="6">
        <v>0</v>
      </c>
      <c r="X800" s="6" t="s">
        <v>169</v>
      </c>
      <c r="Z800" s="6" t="s">
        <v>170</v>
      </c>
      <c r="AA800" s="6" t="s">
        <v>171</v>
      </c>
      <c r="AB800" s="6">
        <v>0</v>
      </c>
      <c r="AC800" s="6" t="str">
        <f>""</f>
        <v/>
      </c>
      <c r="AS800" s="6">
        <v>0</v>
      </c>
      <c r="AT800" s="6">
        <v>0</v>
      </c>
    </row>
    <row r="801" spans="2:46">
      <c r="B801" s="6" t="s">
        <v>111</v>
      </c>
      <c r="D801" s="6" t="s">
        <v>3316</v>
      </c>
      <c r="F801" s="6" t="s">
        <v>3599</v>
      </c>
      <c r="G801" s="6" t="str">
        <f>"3186514200225120"</f>
        <v>3186514200225120</v>
      </c>
      <c r="H801" s="6">
        <v>3186514200225120</v>
      </c>
      <c r="I801" s="6" t="s">
        <v>3600</v>
      </c>
      <c r="J801" s="6" t="str">
        <f>"18 MARKET BAG [BLUE]"</f>
        <v>18 MARKET BAG [BLUE]</v>
      </c>
      <c r="K801" s="6">
        <v>0</v>
      </c>
      <c r="L801" s="6">
        <v>0</v>
      </c>
      <c r="M801" s="6">
        <v>0</v>
      </c>
      <c r="N801" s="6" t="str">
        <f>""</f>
        <v/>
      </c>
      <c r="O801" s="6">
        <v>32463</v>
      </c>
      <c r="P801" s="6" t="s">
        <v>3601</v>
      </c>
      <c r="R801" s="6" t="s">
        <v>2175</v>
      </c>
      <c r="S801" s="6" t="s">
        <v>3602</v>
      </c>
      <c r="T801" s="6">
        <v>0</v>
      </c>
      <c r="U801" s="6">
        <v>0</v>
      </c>
      <c r="V801" s="6">
        <v>0</v>
      </c>
      <c r="W801" s="6">
        <v>0</v>
      </c>
      <c r="X801" s="6" t="s">
        <v>169</v>
      </c>
      <c r="Z801" s="6" t="s">
        <v>170</v>
      </c>
      <c r="AA801" s="6" t="s">
        <v>171</v>
      </c>
      <c r="AB801" s="6">
        <v>0</v>
      </c>
      <c r="AC801" s="6" t="str">
        <f>""</f>
        <v/>
      </c>
      <c r="AS801" s="6">
        <v>0</v>
      </c>
      <c r="AT801" s="6">
        <v>0</v>
      </c>
    </row>
    <row r="802" spans="2:46">
      <c r="B802" s="6" t="s">
        <v>111</v>
      </c>
      <c r="D802" s="6" t="s">
        <v>3316</v>
      </c>
      <c r="F802" s="6" t="s">
        <v>3603</v>
      </c>
      <c r="G802" s="6" t="str">
        <f>"3186514200265120"</f>
        <v>3186514200265120</v>
      </c>
      <c r="H802" s="6">
        <v>3186514200265120</v>
      </c>
      <c r="I802" s="6" t="s">
        <v>3604</v>
      </c>
      <c r="J802" s="6" t="str">
        <f>"18 MARKET BAG [YELLOW]"</f>
        <v>18 MARKET BAG [YELLOW]</v>
      </c>
      <c r="K802" s="6">
        <v>0</v>
      </c>
      <c r="L802" s="6">
        <v>0</v>
      </c>
      <c r="M802" s="6">
        <v>0</v>
      </c>
      <c r="N802" s="6" t="str">
        <f>""</f>
        <v/>
      </c>
      <c r="O802" s="6">
        <v>32461</v>
      </c>
      <c r="P802" s="6" t="s">
        <v>3605</v>
      </c>
      <c r="R802" s="6" t="s">
        <v>2570</v>
      </c>
      <c r="S802" s="6" t="s">
        <v>3606</v>
      </c>
      <c r="T802" s="6">
        <v>0</v>
      </c>
      <c r="U802" s="6">
        <v>0</v>
      </c>
      <c r="V802" s="6">
        <v>0</v>
      </c>
      <c r="W802" s="6">
        <v>0</v>
      </c>
      <c r="X802" s="6" t="s">
        <v>169</v>
      </c>
      <c r="Z802" s="6" t="s">
        <v>170</v>
      </c>
      <c r="AA802" s="6" t="s">
        <v>171</v>
      </c>
      <c r="AB802" s="6">
        <v>0</v>
      </c>
      <c r="AC802" s="6" t="str">
        <f>""</f>
        <v/>
      </c>
      <c r="AS802" s="6">
        <v>0</v>
      </c>
      <c r="AT802" s="6">
        <v>0</v>
      </c>
    </row>
    <row r="803" spans="2:46">
      <c r="B803" s="6" t="s">
        <v>111</v>
      </c>
      <c r="D803" s="6" t="s">
        <v>3316</v>
      </c>
      <c r="F803" s="6" t="s">
        <v>3607</v>
      </c>
      <c r="G803" s="6" t="str">
        <f>"3186514200274120"</f>
        <v>3186514200274120</v>
      </c>
      <c r="H803" s="6">
        <v>3186514200274120</v>
      </c>
      <c r="I803" s="6" t="s">
        <v>3608</v>
      </c>
      <c r="J803" s="6" t="str">
        <f>"18 MARKET BAG [BEIGE]"</f>
        <v>18 MARKET BAG [BEIGE]</v>
      </c>
      <c r="K803" s="6">
        <v>0</v>
      </c>
      <c r="L803" s="6">
        <v>0</v>
      </c>
      <c r="M803" s="6">
        <v>0</v>
      </c>
      <c r="N803" s="6" t="str">
        <f>""</f>
        <v/>
      </c>
      <c r="O803" s="6">
        <v>32459</v>
      </c>
      <c r="P803" s="6" t="s">
        <v>3609</v>
      </c>
      <c r="R803" s="6" t="s">
        <v>2102</v>
      </c>
      <c r="S803" s="6" t="s">
        <v>3610</v>
      </c>
      <c r="T803" s="6">
        <v>0</v>
      </c>
      <c r="U803" s="6">
        <v>0</v>
      </c>
      <c r="V803" s="6">
        <v>0</v>
      </c>
      <c r="W803" s="6">
        <v>0</v>
      </c>
      <c r="X803" s="6" t="s">
        <v>169</v>
      </c>
      <c r="Z803" s="6" t="s">
        <v>170</v>
      </c>
      <c r="AA803" s="6" t="s">
        <v>171</v>
      </c>
      <c r="AB803" s="6">
        <v>0</v>
      </c>
      <c r="AC803" s="6" t="str">
        <f>""</f>
        <v/>
      </c>
      <c r="AS803" s="6">
        <v>0</v>
      </c>
      <c r="AT803" s="6">
        <v>0</v>
      </c>
    </row>
    <row r="804" spans="2:46">
      <c r="B804" s="6" t="s">
        <v>111</v>
      </c>
      <c r="D804" s="6" t="s">
        <v>3316</v>
      </c>
      <c r="F804" s="6" t="s">
        <v>3611</v>
      </c>
      <c r="G804" s="6" t="str">
        <f>"3186512200969120"</f>
        <v>3186512200969120</v>
      </c>
      <c r="H804" s="6">
        <v>3186512200969120</v>
      </c>
      <c r="I804" s="6" t="s">
        <v>3612</v>
      </c>
      <c r="J804" s="6" t="str">
        <f>"18 GOLDEN BAG [IVORY]"</f>
        <v>18 GOLDEN BAG [IVORY]</v>
      </c>
      <c r="K804" s="6">
        <v>0</v>
      </c>
      <c r="L804" s="6">
        <v>0</v>
      </c>
      <c r="M804" s="6">
        <v>0</v>
      </c>
      <c r="N804" s="6" t="str">
        <f>""</f>
        <v/>
      </c>
      <c r="O804" s="6">
        <v>32457</v>
      </c>
      <c r="P804" s="6" t="s">
        <v>3613</v>
      </c>
      <c r="R804" s="6" t="s">
        <v>2356</v>
      </c>
      <c r="S804" s="6" t="s">
        <v>3614</v>
      </c>
      <c r="T804" s="6">
        <v>0</v>
      </c>
      <c r="U804" s="6">
        <v>0</v>
      </c>
      <c r="V804" s="6">
        <v>0</v>
      </c>
      <c r="W804" s="6">
        <v>0</v>
      </c>
      <c r="X804" s="6" t="s">
        <v>169</v>
      </c>
      <c r="Z804" s="6" t="s">
        <v>170</v>
      </c>
      <c r="AA804" s="6" t="s">
        <v>171</v>
      </c>
      <c r="AB804" s="6">
        <v>0</v>
      </c>
      <c r="AC804" s="6" t="str">
        <f>""</f>
        <v/>
      </c>
      <c r="AS804" s="6">
        <v>0</v>
      </c>
      <c r="AT804" s="6">
        <v>0</v>
      </c>
    </row>
    <row r="805" spans="2:46">
      <c r="B805" s="6" t="s">
        <v>111</v>
      </c>
      <c r="D805" s="6" t="s">
        <v>3316</v>
      </c>
      <c r="F805" s="6" t="s">
        <v>3615</v>
      </c>
      <c r="G805" s="6" t="str">
        <f>"3186544200199120"</f>
        <v>3186544200199120</v>
      </c>
      <c r="H805" s="6">
        <v>3186544200199120</v>
      </c>
      <c r="I805" s="6" t="s">
        <v>3616</v>
      </c>
      <c r="J805" s="6" t="str">
        <f>"18 BUCKLE BELT [BLACK]"</f>
        <v>18 BUCKLE BELT [BLACK]</v>
      </c>
      <c r="K805" s="6">
        <v>0</v>
      </c>
      <c r="L805" s="6">
        <v>0</v>
      </c>
      <c r="M805" s="6">
        <v>0</v>
      </c>
      <c r="N805" s="6" t="str">
        <f>""</f>
        <v/>
      </c>
      <c r="O805" s="6">
        <v>32455</v>
      </c>
      <c r="P805" s="6" t="s">
        <v>3617</v>
      </c>
      <c r="R805" s="6" t="s">
        <v>2106</v>
      </c>
      <c r="S805" s="6" t="s">
        <v>3618</v>
      </c>
      <c r="T805" s="6">
        <v>0</v>
      </c>
      <c r="U805" s="6">
        <v>0</v>
      </c>
      <c r="V805" s="6">
        <v>0</v>
      </c>
      <c r="W805" s="6">
        <v>0</v>
      </c>
      <c r="X805" s="6" t="s">
        <v>169</v>
      </c>
      <c r="Z805" s="6" t="s">
        <v>170</v>
      </c>
      <c r="AA805" s="6" t="s">
        <v>171</v>
      </c>
      <c r="AB805" s="6">
        <v>0</v>
      </c>
      <c r="AC805" s="6" t="str">
        <f>""</f>
        <v/>
      </c>
      <c r="AS805" s="6">
        <v>0</v>
      </c>
      <c r="AT805" s="6">
        <v>0</v>
      </c>
    </row>
    <row r="806" spans="2:46">
      <c r="B806" s="6" t="s">
        <v>111</v>
      </c>
      <c r="D806" s="6" t="s">
        <v>3316</v>
      </c>
      <c r="F806" s="6" t="s">
        <v>3619</v>
      </c>
      <c r="G806" s="6" t="str">
        <f>"3186544200130120"</f>
        <v>3186544200130120</v>
      </c>
      <c r="H806" s="6">
        <v>3186544200130120</v>
      </c>
      <c r="I806" s="6" t="s">
        <v>3620</v>
      </c>
      <c r="J806" s="6" t="str">
        <f>"18 BUCKLE BELT [NAVY]"</f>
        <v>18 BUCKLE BELT [NAVY]</v>
      </c>
      <c r="K806" s="6">
        <v>0</v>
      </c>
      <c r="L806" s="6">
        <v>0</v>
      </c>
      <c r="M806" s="6">
        <v>0</v>
      </c>
      <c r="N806" s="6" t="str">
        <f>""</f>
        <v/>
      </c>
      <c r="O806" s="6">
        <v>32453</v>
      </c>
      <c r="P806" s="6" t="s">
        <v>3621</v>
      </c>
      <c r="R806" s="6" t="s">
        <v>2111</v>
      </c>
      <c r="S806" s="6" t="s">
        <v>3622</v>
      </c>
      <c r="T806" s="6">
        <v>0</v>
      </c>
      <c r="U806" s="6">
        <v>0</v>
      </c>
      <c r="V806" s="6">
        <v>0</v>
      </c>
      <c r="W806" s="6">
        <v>0</v>
      </c>
      <c r="X806" s="6" t="s">
        <v>169</v>
      </c>
      <c r="Z806" s="6" t="s">
        <v>170</v>
      </c>
      <c r="AA806" s="6" t="s">
        <v>171</v>
      </c>
      <c r="AB806" s="6">
        <v>0</v>
      </c>
      <c r="AC806" s="6" t="str">
        <f>""</f>
        <v/>
      </c>
      <c r="AS806" s="6">
        <v>0</v>
      </c>
      <c r="AT806" s="6">
        <v>0</v>
      </c>
    </row>
    <row r="807" spans="2:46">
      <c r="B807" s="6" t="s">
        <v>111</v>
      </c>
      <c r="D807" s="6" t="s">
        <v>3316</v>
      </c>
      <c r="F807" s="6" t="s">
        <v>3623</v>
      </c>
      <c r="G807" s="6" t="str">
        <f>"3186544200161120"</f>
        <v>3186544200161120</v>
      </c>
      <c r="H807" s="6">
        <v>3186544200161120</v>
      </c>
      <c r="I807" s="6" t="s">
        <v>3624</v>
      </c>
      <c r="J807" s="6" t="str">
        <f>"18 BUCKLE BELT [RED]"</f>
        <v>18 BUCKLE BELT [RED]</v>
      </c>
      <c r="K807" s="6">
        <v>0</v>
      </c>
      <c r="L807" s="6">
        <v>0</v>
      </c>
      <c r="M807" s="6">
        <v>0</v>
      </c>
      <c r="N807" s="6" t="str">
        <f>""</f>
        <v/>
      </c>
      <c r="O807" s="6">
        <v>32451</v>
      </c>
      <c r="P807" s="6" t="s">
        <v>3625</v>
      </c>
      <c r="R807" s="6" t="s">
        <v>2309</v>
      </c>
      <c r="S807" s="6" t="s">
        <v>3626</v>
      </c>
      <c r="T807" s="6">
        <v>0</v>
      </c>
      <c r="U807" s="6">
        <v>0</v>
      </c>
      <c r="V807" s="6">
        <v>0</v>
      </c>
      <c r="W807" s="6">
        <v>0</v>
      </c>
      <c r="X807" s="6" t="s">
        <v>169</v>
      </c>
      <c r="Z807" s="6" t="s">
        <v>170</v>
      </c>
      <c r="AA807" s="6" t="s">
        <v>171</v>
      </c>
      <c r="AB807" s="6">
        <v>0</v>
      </c>
      <c r="AC807" s="6" t="str">
        <f>""</f>
        <v/>
      </c>
      <c r="AS807" s="6">
        <v>0</v>
      </c>
      <c r="AT807" s="6">
        <v>0</v>
      </c>
    </row>
    <row r="808" spans="2:46">
      <c r="B808" s="6" t="s">
        <v>111</v>
      </c>
      <c r="D808" s="6" t="s">
        <v>3316</v>
      </c>
      <c r="F808" s="6" t="s">
        <v>3627</v>
      </c>
      <c r="G808" s="6" t="str">
        <f>"3186544200101120"</f>
        <v>3186544200101120</v>
      </c>
      <c r="H808" s="6">
        <v>3186544200101120</v>
      </c>
      <c r="I808" s="6" t="s">
        <v>3628</v>
      </c>
      <c r="J808" s="6" t="str">
        <f>"18 BUCKLE BELT [PINK]"</f>
        <v>18 BUCKLE BELT [PINK]</v>
      </c>
      <c r="K808" s="6">
        <v>0</v>
      </c>
      <c r="L808" s="6">
        <v>0</v>
      </c>
      <c r="M808" s="6">
        <v>0</v>
      </c>
      <c r="N808" s="6" t="str">
        <f>""</f>
        <v/>
      </c>
      <c r="O808" s="6">
        <v>32449</v>
      </c>
      <c r="P808" s="6" t="s">
        <v>3629</v>
      </c>
      <c r="R808" s="6" t="s">
        <v>2446</v>
      </c>
      <c r="S808" s="6" t="s">
        <v>3630</v>
      </c>
      <c r="T808" s="6">
        <v>0</v>
      </c>
      <c r="U808" s="6">
        <v>0</v>
      </c>
      <c r="V808" s="6">
        <v>0</v>
      </c>
      <c r="W808" s="6">
        <v>0</v>
      </c>
      <c r="X808" s="6" t="s">
        <v>169</v>
      </c>
      <c r="Z808" s="6" t="s">
        <v>170</v>
      </c>
      <c r="AA808" s="6" t="s">
        <v>171</v>
      </c>
      <c r="AB808" s="6">
        <v>0</v>
      </c>
      <c r="AC808" s="6" t="str">
        <f>""</f>
        <v/>
      </c>
      <c r="AS808" s="6">
        <v>0</v>
      </c>
      <c r="AT808" s="6">
        <v>0</v>
      </c>
    </row>
    <row r="809" spans="2:46">
      <c r="B809" s="6" t="s">
        <v>111</v>
      </c>
      <c r="D809" s="6" t="s">
        <v>3316</v>
      </c>
      <c r="F809" s="6" t="s">
        <v>3631</v>
      </c>
      <c r="G809" s="6" t="str">
        <f>"3186524203199120"</f>
        <v>3186524203199120</v>
      </c>
      <c r="H809" s="6">
        <v>3186524203199120</v>
      </c>
      <c r="I809" s="6" t="s">
        <v>3632</v>
      </c>
      <c r="J809" s="6" t="str">
        <f>"18 FOX CAP [BLACK]"</f>
        <v>18 FOX CAP [BLACK]</v>
      </c>
      <c r="K809" s="6">
        <v>0</v>
      </c>
      <c r="L809" s="6">
        <v>0</v>
      </c>
      <c r="M809" s="6">
        <v>0</v>
      </c>
      <c r="N809" s="6" t="str">
        <f>""</f>
        <v/>
      </c>
      <c r="O809" s="6">
        <v>32447</v>
      </c>
      <c r="P809" s="6" t="s">
        <v>3633</v>
      </c>
      <c r="R809" s="6" t="s">
        <v>2106</v>
      </c>
      <c r="S809" s="6" t="s">
        <v>3634</v>
      </c>
      <c r="T809" s="6">
        <v>0</v>
      </c>
      <c r="U809" s="6">
        <v>0</v>
      </c>
      <c r="V809" s="6">
        <v>0</v>
      </c>
      <c r="W809" s="6">
        <v>0</v>
      </c>
      <c r="X809" s="6" t="s">
        <v>169</v>
      </c>
      <c r="Z809" s="6" t="s">
        <v>170</v>
      </c>
      <c r="AA809" s="6" t="s">
        <v>171</v>
      </c>
      <c r="AB809" s="6">
        <v>0</v>
      </c>
      <c r="AC809" s="6" t="str">
        <f>""</f>
        <v/>
      </c>
      <c r="AS809" s="6">
        <v>0</v>
      </c>
      <c r="AT809" s="6">
        <v>0</v>
      </c>
    </row>
    <row r="810" spans="2:46">
      <c r="B810" s="6" t="s">
        <v>111</v>
      </c>
      <c r="D810" s="6" t="s">
        <v>3316</v>
      </c>
      <c r="F810" s="6" t="s">
        <v>3635</v>
      </c>
      <c r="G810" s="6" t="str">
        <f>"3186524203174120"</f>
        <v>3186524203174120</v>
      </c>
      <c r="H810" s="6">
        <v>3186524203174120</v>
      </c>
      <c r="I810" s="6" t="s">
        <v>3636</v>
      </c>
      <c r="J810" s="6" t="str">
        <f>"18 FOX CAP [BEIGE]"</f>
        <v>18 FOX CAP [BEIGE]</v>
      </c>
      <c r="K810" s="6">
        <v>0</v>
      </c>
      <c r="L810" s="6">
        <v>0</v>
      </c>
      <c r="M810" s="6">
        <v>0</v>
      </c>
      <c r="N810" s="6" t="str">
        <f>""</f>
        <v/>
      </c>
      <c r="O810" s="6">
        <v>32445</v>
      </c>
      <c r="P810" s="6" t="s">
        <v>3637</v>
      </c>
      <c r="R810" s="6" t="s">
        <v>2102</v>
      </c>
      <c r="S810" s="6" t="s">
        <v>3638</v>
      </c>
      <c r="T810" s="6">
        <v>0</v>
      </c>
      <c r="U810" s="6">
        <v>0</v>
      </c>
      <c r="V810" s="6">
        <v>0</v>
      </c>
      <c r="W810" s="6">
        <v>0</v>
      </c>
      <c r="X810" s="6" t="s">
        <v>169</v>
      </c>
      <c r="Z810" s="6" t="s">
        <v>170</v>
      </c>
      <c r="AA810" s="6" t="s">
        <v>171</v>
      </c>
      <c r="AB810" s="6">
        <v>0</v>
      </c>
      <c r="AC810" s="6" t="str">
        <f>""</f>
        <v/>
      </c>
      <c r="AS810" s="6">
        <v>0</v>
      </c>
      <c r="AT810" s="6">
        <v>0</v>
      </c>
    </row>
    <row r="811" spans="2:46">
      <c r="B811" s="6" t="s">
        <v>111</v>
      </c>
      <c r="D811" s="6" t="s">
        <v>3316</v>
      </c>
      <c r="F811" s="6" t="s">
        <v>3639</v>
      </c>
      <c r="G811" s="6" t="str">
        <f>"3186524203191120"</f>
        <v>3186524203191120</v>
      </c>
      <c r="H811" s="6">
        <v>3186524203191120</v>
      </c>
      <c r="I811" s="6" t="s">
        <v>3640</v>
      </c>
      <c r="J811" s="6" t="str">
        <f>"18 FOX CAP [WHITE]"</f>
        <v>18 FOX CAP [WHITE]</v>
      </c>
      <c r="K811" s="6">
        <v>0</v>
      </c>
      <c r="L811" s="6">
        <v>0</v>
      </c>
      <c r="M811" s="6">
        <v>0</v>
      </c>
      <c r="N811" s="6" t="str">
        <f>""</f>
        <v/>
      </c>
      <c r="O811" s="6">
        <v>32443</v>
      </c>
      <c r="P811" s="6" t="s">
        <v>3641</v>
      </c>
      <c r="R811" s="6" t="s">
        <v>2167</v>
      </c>
      <c r="S811" s="6" t="s">
        <v>3642</v>
      </c>
      <c r="T811" s="6">
        <v>0</v>
      </c>
      <c r="U811" s="6">
        <v>0</v>
      </c>
      <c r="V811" s="6">
        <v>0</v>
      </c>
      <c r="W811" s="6">
        <v>0</v>
      </c>
      <c r="X811" s="6" t="s">
        <v>169</v>
      </c>
      <c r="Z811" s="6" t="s">
        <v>170</v>
      </c>
      <c r="AA811" s="6" t="s">
        <v>171</v>
      </c>
      <c r="AB811" s="6">
        <v>0</v>
      </c>
      <c r="AC811" s="6" t="str">
        <f>""</f>
        <v/>
      </c>
      <c r="AS811" s="6">
        <v>0</v>
      </c>
      <c r="AT811" s="6">
        <v>0</v>
      </c>
    </row>
    <row r="812" spans="2:46">
      <c r="B812" s="6" t="s">
        <v>111</v>
      </c>
      <c r="D812" s="6" t="s">
        <v>3316</v>
      </c>
      <c r="F812" s="6" t="s">
        <v>3643</v>
      </c>
      <c r="G812" s="6" t="str">
        <f>"3186332101561320"</f>
        <v>3186332101561320</v>
      </c>
      <c r="H812" s="6">
        <v>3186332101561320</v>
      </c>
      <c r="I812" s="6" t="s">
        <v>3644</v>
      </c>
      <c r="J812" s="6" t="str">
        <f>"18 GOLDEN CHECK LONG SK [RED]"</f>
        <v>18 GOLDEN CHECK LONG SK [RED]</v>
      </c>
      <c r="K812" s="6">
        <v>0</v>
      </c>
      <c r="L812" s="6">
        <v>0</v>
      </c>
      <c r="M812" s="6">
        <v>0</v>
      </c>
      <c r="N812" s="6" t="str">
        <f>""</f>
        <v/>
      </c>
      <c r="O812" s="6">
        <v>32441</v>
      </c>
      <c r="P812" s="6" t="s">
        <v>3645</v>
      </c>
      <c r="R812" s="6" t="s">
        <v>561</v>
      </c>
      <c r="S812" s="6" t="s">
        <v>3646</v>
      </c>
      <c r="T812" s="6">
        <v>0</v>
      </c>
      <c r="U812" s="6">
        <v>0</v>
      </c>
      <c r="V812" s="6">
        <v>0</v>
      </c>
      <c r="W812" s="6">
        <v>0</v>
      </c>
      <c r="X812" s="6" t="s">
        <v>169</v>
      </c>
      <c r="Z812" s="6" t="s">
        <v>170</v>
      </c>
      <c r="AA812" s="6" t="s">
        <v>171</v>
      </c>
      <c r="AB812" s="6">
        <v>0</v>
      </c>
      <c r="AC812" s="6" t="str">
        <f>""</f>
        <v/>
      </c>
      <c r="AS812" s="6">
        <v>0</v>
      </c>
      <c r="AT812" s="6">
        <v>0</v>
      </c>
    </row>
    <row r="813" spans="2:46">
      <c r="B813" s="6" t="s">
        <v>111</v>
      </c>
      <c r="D813" s="6" t="s">
        <v>3316</v>
      </c>
      <c r="F813" s="6" t="s">
        <v>3647</v>
      </c>
      <c r="G813" s="6" t="str">
        <f>"3186332101461320"</f>
        <v>3186332101461320</v>
      </c>
      <c r="H813" s="6">
        <v>3186332101461320</v>
      </c>
      <c r="I813" s="6" t="s">
        <v>3644</v>
      </c>
      <c r="J813" s="6" t="str">
        <f>"18 GOLDEN CHECK LONG SK [RED]"</f>
        <v>18 GOLDEN CHECK LONG SK [RED]</v>
      </c>
      <c r="K813" s="6">
        <v>0</v>
      </c>
      <c r="L813" s="6">
        <v>0</v>
      </c>
      <c r="M813" s="6">
        <v>0</v>
      </c>
      <c r="N813" s="6" t="str">
        <f>""</f>
        <v/>
      </c>
      <c r="O813" s="6">
        <v>32440</v>
      </c>
      <c r="P813" s="6" t="s">
        <v>3648</v>
      </c>
      <c r="R813" s="6" t="s">
        <v>556</v>
      </c>
      <c r="S813" s="6" t="s">
        <v>3649</v>
      </c>
      <c r="T813" s="6">
        <v>0</v>
      </c>
      <c r="U813" s="6">
        <v>0</v>
      </c>
      <c r="V813" s="6">
        <v>0</v>
      </c>
      <c r="W813" s="6">
        <v>0</v>
      </c>
      <c r="X813" s="6" t="s">
        <v>169</v>
      </c>
      <c r="Z813" s="6" t="s">
        <v>170</v>
      </c>
      <c r="AA813" s="6" t="s">
        <v>171</v>
      </c>
      <c r="AB813" s="6">
        <v>0</v>
      </c>
      <c r="AC813" s="6" t="str">
        <f>""</f>
        <v/>
      </c>
      <c r="AS813" s="6">
        <v>0</v>
      </c>
      <c r="AT813" s="6">
        <v>0</v>
      </c>
    </row>
    <row r="814" spans="2:46">
      <c r="B814" s="6" t="s">
        <v>111</v>
      </c>
      <c r="D814" s="6" t="s">
        <v>3316</v>
      </c>
      <c r="F814" s="6" t="s">
        <v>3650</v>
      </c>
      <c r="G814" s="6" t="str">
        <f>"3186332101565320"</f>
        <v>3186332101565320</v>
      </c>
      <c r="H814" s="6">
        <v>3186332101565320</v>
      </c>
      <c r="I814" s="6" t="s">
        <v>3651</v>
      </c>
      <c r="J814" s="6" t="str">
        <f>"18 GOLDEN CHECK LONG SK [YELLOW]"</f>
        <v>18 GOLDEN CHECK LONG SK [YELLOW]</v>
      </c>
      <c r="K814" s="6">
        <v>0</v>
      </c>
      <c r="L814" s="6">
        <v>0</v>
      </c>
      <c r="M814" s="6">
        <v>0</v>
      </c>
      <c r="N814" s="6" t="str">
        <f>""</f>
        <v/>
      </c>
      <c r="O814" s="6">
        <v>32438</v>
      </c>
      <c r="P814" s="6" t="s">
        <v>3652</v>
      </c>
      <c r="R814" s="6" t="s">
        <v>3653</v>
      </c>
      <c r="S814" s="6" t="s">
        <v>3654</v>
      </c>
      <c r="T814" s="6">
        <v>0</v>
      </c>
      <c r="U814" s="6">
        <v>0</v>
      </c>
      <c r="V814" s="6">
        <v>0</v>
      </c>
      <c r="W814" s="6">
        <v>0</v>
      </c>
      <c r="X814" s="6" t="s">
        <v>169</v>
      </c>
      <c r="Z814" s="6" t="s">
        <v>170</v>
      </c>
      <c r="AA814" s="6" t="s">
        <v>171</v>
      </c>
      <c r="AB814" s="6">
        <v>0</v>
      </c>
      <c r="AC814" s="6" t="str">
        <f>""</f>
        <v/>
      </c>
      <c r="AS814" s="6">
        <v>0</v>
      </c>
      <c r="AT814" s="6">
        <v>0</v>
      </c>
    </row>
    <row r="815" spans="2:46">
      <c r="B815" s="6" t="s">
        <v>111</v>
      </c>
      <c r="D815" s="6" t="s">
        <v>3316</v>
      </c>
      <c r="F815" s="6" t="s">
        <v>3655</v>
      </c>
      <c r="G815" s="6" t="str">
        <f>"3186332101465320"</f>
        <v>3186332101465320</v>
      </c>
      <c r="H815" s="6">
        <v>3186332101465320</v>
      </c>
      <c r="I815" s="6" t="s">
        <v>3651</v>
      </c>
      <c r="J815" s="6" t="str">
        <f>"18 GOLDEN CHECK LONG SK [YELLOW]"</f>
        <v>18 GOLDEN CHECK LONG SK [YELLOW]</v>
      </c>
      <c r="K815" s="6">
        <v>0</v>
      </c>
      <c r="L815" s="6">
        <v>0</v>
      </c>
      <c r="M815" s="6">
        <v>0</v>
      </c>
      <c r="N815" s="6" t="str">
        <f>""</f>
        <v/>
      </c>
      <c r="O815" s="6">
        <v>32437</v>
      </c>
      <c r="P815" s="6" t="s">
        <v>3656</v>
      </c>
      <c r="R815" s="6" t="s">
        <v>3657</v>
      </c>
      <c r="S815" s="6" t="s">
        <v>3658</v>
      </c>
      <c r="T815" s="6">
        <v>0</v>
      </c>
      <c r="U815" s="6">
        <v>0</v>
      </c>
      <c r="V815" s="6">
        <v>0</v>
      </c>
      <c r="W815" s="6">
        <v>0</v>
      </c>
      <c r="X815" s="6" t="s">
        <v>169</v>
      </c>
      <c r="Z815" s="6" t="s">
        <v>170</v>
      </c>
      <c r="AA815" s="6" t="s">
        <v>171</v>
      </c>
      <c r="AB815" s="6">
        <v>0</v>
      </c>
      <c r="AC815" s="6" t="str">
        <f>""</f>
        <v/>
      </c>
      <c r="AS815" s="6">
        <v>0</v>
      </c>
      <c r="AT815" s="6">
        <v>0</v>
      </c>
    </row>
    <row r="816" spans="2:46">
      <c r="B816" s="6" t="s">
        <v>111</v>
      </c>
      <c r="D816" s="6" t="s">
        <v>3316</v>
      </c>
      <c r="F816" s="6" t="s">
        <v>3659</v>
      </c>
      <c r="G816" s="6" t="str">
        <f>"3186352100261320"</f>
        <v>3186352100261320</v>
      </c>
      <c r="H816" s="6">
        <v>3186352100261320</v>
      </c>
      <c r="I816" s="6" t="s">
        <v>3660</v>
      </c>
      <c r="J816" s="6" t="str">
        <f>"18 GOLDEN CHECK SK [RED]"</f>
        <v>18 GOLDEN CHECK SK [RED]</v>
      </c>
      <c r="K816" s="6">
        <v>0</v>
      </c>
      <c r="L816" s="6">
        <v>0</v>
      </c>
      <c r="M816" s="6">
        <v>0</v>
      </c>
      <c r="N816" s="6" t="str">
        <f>""</f>
        <v/>
      </c>
      <c r="O816" s="6">
        <v>32435</v>
      </c>
      <c r="P816" s="6" t="s">
        <v>3661</v>
      </c>
      <c r="R816" s="6" t="s">
        <v>561</v>
      </c>
      <c r="S816" s="6" t="s">
        <v>3662</v>
      </c>
      <c r="T816" s="6">
        <v>0</v>
      </c>
      <c r="U816" s="6">
        <v>0</v>
      </c>
      <c r="V816" s="6">
        <v>0</v>
      </c>
      <c r="W816" s="6">
        <v>0</v>
      </c>
      <c r="X816" s="6" t="s">
        <v>169</v>
      </c>
      <c r="Z816" s="6" t="s">
        <v>170</v>
      </c>
      <c r="AA816" s="6" t="s">
        <v>171</v>
      </c>
      <c r="AB816" s="6">
        <v>0</v>
      </c>
      <c r="AC816" s="6" t="str">
        <f>""</f>
        <v/>
      </c>
      <c r="AS816" s="6">
        <v>0</v>
      </c>
      <c r="AT816" s="6">
        <v>0</v>
      </c>
    </row>
    <row r="817" spans="2:46">
      <c r="B817" s="6" t="s">
        <v>111</v>
      </c>
      <c r="D817" s="6" t="s">
        <v>3316</v>
      </c>
      <c r="F817" s="6" t="s">
        <v>3663</v>
      </c>
      <c r="G817" s="6" t="str">
        <f>"3186352100161320"</f>
        <v>3186352100161320</v>
      </c>
      <c r="H817" s="6">
        <v>3186352100161320</v>
      </c>
      <c r="I817" s="6" t="s">
        <v>3660</v>
      </c>
      <c r="J817" s="6" t="str">
        <f>"18 GOLDEN CHECK SK [RED]"</f>
        <v>18 GOLDEN CHECK SK [RED]</v>
      </c>
      <c r="K817" s="6">
        <v>0</v>
      </c>
      <c r="L817" s="6">
        <v>0</v>
      </c>
      <c r="M817" s="6">
        <v>0</v>
      </c>
      <c r="N817" s="6" t="str">
        <f>""</f>
        <v/>
      </c>
      <c r="O817" s="6">
        <v>32434</v>
      </c>
      <c r="P817" s="6" t="s">
        <v>3664</v>
      </c>
      <c r="R817" s="6" t="s">
        <v>556</v>
      </c>
      <c r="S817" s="6" t="s">
        <v>3665</v>
      </c>
      <c r="T817" s="6">
        <v>0</v>
      </c>
      <c r="U817" s="6">
        <v>0</v>
      </c>
      <c r="V817" s="6">
        <v>0</v>
      </c>
      <c r="W817" s="6">
        <v>0</v>
      </c>
      <c r="X817" s="6" t="s">
        <v>169</v>
      </c>
      <c r="Z817" s="6" t="s">
        <v>170</v>
      </c>
      <c r="AA817" s="6" t="s">
        <v>171</v>
      </c>
      <c r="AB817" s="6">
        <v>0</v>
      </c>
      <c r="AC817" s="6" t="str">
        <f>""</f>
        <v/>
      </c>
      <c r="AS817" s="6">
        <v>0</v>
      </c>
      <c r="AT817" s="6">
        <v>0</v>
      </c>
    </row>
    <row r="818" spans="2:46">
      <c r="B818" s="6" t="s">
        <v>111</v>
      </c>
      <c r="D818" s="6" t="s">
        <v>3316</v>
      </c>
      <c r="F818" s="6" t="s">
        <v>3666</v>
      </c>
      <c r="G818" s="6" t="str">
        <f>"3186352100265320"</f>
        <v>3186352100265320</v>
      </c>
      <c r="H818" s="6">
        <v>3186352100265320</v>
      </c>
      <c r="I818" s="6" t="s">
        <v>3667</v>
      </c>
      <c r="J818" s="6" t="str">
        <f>"18 GOLDEN CHECK SK [YELLOW]"</f>
        <v>18 GOLDEN CHECK SK [YELLOW]</v>
      </c>
      <c r="K818" s="6">
        <v>0</v>
      </c>
      <c r="L818" s="6">
        <v>0</v>
      </c>
      <c r="M818" s="6">
        <v>0</v>
      </c>
      <c r="N818" s="6" t="str">
        <f>""</f>
        <v/>
      </c>
      <c r="O818" s="6">
        <v>32432</v>
      </c>
      <c r="P818" s="6" t="s">
        <v>3668</v>
      </c>
      <c r="R818" s="6" t="s">
        <v>3653</v>
      </c>
      <c r="S818" s="6" t="s">
        <v>3669</v>
      </c>
      <c r="T818" s="6">
        <v>0</v>
      </c>
      <c r="U818" s="6">
        <v>0</v>
      </c>
      <c r="V818" s="6">
        <v>0</v>
      </c>
      <c r="W818" s="6">
        <v>0</v>
      </c>
      <c r="X818" s="6" t="s">
        <v>169</v>
      </c>
      <c r="Z818" s="6" t="s">
        <v>170</v>
      </c>
      <c r="AA818" s="6" t="s">
        <v>171</v>
      </c>
      <c r="AB818" s="6">
        <v>0</v>
      </c>
      <c r="AC818" s="6" t="str">
        <f>""</f>
        <v/>
      </c>
      <c r="AS818" s="6">
        <v>0</v>
      </c>
      <c r="AT818" s="6">
        <v>0</v>
      </c>
    </row>
    <row r="819" spans="2:46">
      <c r="B819" s="6" t="s">
        <v>111</v>
      </c>
      <c r="D819" s="6" t="s">
        <v>3316</v>
      </c>
      <c r="F819" s="6" t="s">
        <v>3670</v>
      </c>
      <c r="G819" s="6" t="str">
        <f>"3186352100165320"</f>
        <v>3186352100165320</v>
      </c>
      <c r="H819" s="6">
        <v>3186352100165320</v>
      </c>
      <c r="I819" s="6" t="s">
        <v>3667</v>
      </c>
      <c r="J819" s="6" t="str">
        <f>"18 GOLDEN CHECK SK [YELLOW]"</f>
        <v>18 GOLDEN CHECK SK [YELLOW]</v>
      </c>
      <c r="K819" s="6">
        <v>0</v>
      </c>
      <c r="L819" s="6">
        <v>0</v>
      </c>
      <c r="M819" s="6">
        <v>0</v>
      </c>
      <c r="N819" s="6" t="str">
        <f>""</f>
        <v/>
      </c>
      <c r="O819" s="6">
        <v>32431</v>
      </c>
      <c r="P819" s="6" t="s">
        <v>3671</v>
      </c>
      <c r="R819" s="6" t="s">
        <v>3657</v>
      </c>
      <c r="S819" s="6" t="s">
        <v>3672</v>
      </c>
      <c r="T819" s="6">
        <v>0</v>
      </c>
      <c r="U819" s="6">
        <v>0</v>
      </c>
      <c r="V819" s="6">
        <v>0</v>
      </c>
      <c r="W819" s="6">
        <v>0</v>
      </c>
      <c r="X819" s="6" t="s">
        <v>169</v>
      </c>
      <c r="Z819" s="6" t="s">
        <v>170</v>
      </c>
      <c r="AA819" s="6" t="s">
        <v>171</v>
      </c>
      <c r="AB819" s="6">
        <v>0</v>
      </c>
      <c r="AC819" s="6" t="str">
        <f>""</f>
        <v/>
      </c>
      <c r="AS819" s="6">
        <v>0</v>
      </c>
      <c r="AT819" s="6">
        <v>0</v>
      </c>
    </row>
    <row r="820" spans="2:46">
      <c r="B820" s="6" t="s">
        <v>111</v>
      </c>
      <c r="D820" s="6" t="s">
        <v>3316</v>
      </c>
      <c r="F820" s="6" t="s">
        <v>3673</v>
      </c>
      <c r="G820" s="6" t="str">
        <f>"3186342100530320"</f>
        <v>3186342100530320</v>
      </c>
      <c r="H820" s="6">
        <v>3186342100530320</v>
      </c>
      <c r="I820" s="6" t="s">
        <v>3674</v>
      </c>
      <c r="J820" s="6" t="str">
        <f>"18 DIAMOND SHORTS [NAVY]"</f>
        <v>18 DIAMOND SHORTS [NAVY]</v>
      </c>
      <c r="K820" s="6">
        <v>0</v>
      </c>
      <c r="L820" s="6">
        <v>0</v>
      </c>
      <c r="M820" s="6">
        <v>0</v>
      </c>
      <c r="N820" s="6" t="str">
        <f>""</f>
        <v/>
      </c>
      <c r="O820" s="6">
        <v>32429</v>
      </c>
      <c r="P820" s="6" t="s">
        <v>3675</v>
      </c>
      <c r="R820" s="6" t="s">
        <v>571</v>
      </c>
      <c r="S820" s="6" t="s">
        <v>3676</v>
      </c>
      <c r="T820" s="6">
        <v>0</v>
      </c>
      <c r="U820" s="6">
        <v>0</v>
      </c>
      <c r="V820" s="6">
        <v>0</v>
      </c>
      <c r="W820" s="6">
        <v>0</v>
      </c>
      <c r="X820" s="6" t="s">
        <v>169</v>
      </c>
      <c r="Z820" s="6" t="s">
        <v>170</v>
      </c>
      <c r="AA820" s="6" t="s">
        <v>171</v>
      </c>
      <c r="AB820" s="6">
        <v>0</v>
      </c>
      <c r="AC820" s="6" t="str">
        <f>""</f>
        <v/>
      </c>
      <c r="AS820" s="6">
        <v>0</v>
      </c>
      <c r="AT820" s="6">
        <v>0</v>
      </c>
    </row>
    <row r="821" spans="2:46">
      <c r="B821" s="6" t="s">
        <v>111</v>
      </c>
      <c r="D821" s="6" t="s">
        <v>3316</v>
      </c>
      <c r="F821" s="6" t="s">
        <v>3677</v>
      </c>
      <c r="G821" s="6" t="str">
        <f>"3186342100430320"</f>
        <v>3186342100430320</v>
      </c>
      <c r="H821" s="6">
        <v>3186342100430320</v>
      </c>
      <c r="I821" s="6" t="s">
        <v>3674</v>
      </c>
      <c r="J821" s="6" t="str">
        <f>"18 DIAMOND SHORTS [NAVY]"</f>
        <v>18 DIAMOND SHORTS [NAVY]</v>
      </c>
      <c r="K821" s="6">
        <v>0</v>
      </c>
      <c r="L821" s="6">
        <v>0</v>
      </c>
      <c r="M821" s="6">
        <v>0</v>
      </c>
      <c r="N821" s="6" t="str">
        <f>""</f>
        <v/>
      </c>
      <c r="O821" s="6">
        <v>32428</v>
      </c>
      <c r="P821" s="6" t="s">
        <v>3678</v>
      </c>
      <c r="R821" s="6" t="s">
        <v>566</v>
      </c>
      <c r="S821" s="6" t="s">
        <v>3679</v>
      </c>
      <c r="T821" s="6">
        <v>0</v>
      </c>
      <c r="U821" s="6">
        <v>0</v>
      </c>
      <c r="V821" s="6">
        <v>0</v>
      </c>
      <c r="W821" s="6">
        <v>0</v>
      </c>
      <c r="X821" s="6" t="s">
        <v>169</v>
      </c>
      <c r="Z821" s="6" t="s">
        <v>170</v>
      </c>
      <c r="AA821" s="6" t="s">
        <v>171</v>
      </c>
      <c r="AB821" s="6">
        <v>0</v>
      </c>
      <c r="AC821" s="6" t="str">
        <f>""</f>
        <v/>
      </c>
      <c r="AS821" s="6">
        <v>0</v>
      </c>
      <c r="AT821" s="6">
        <v>0</v>
      </c>
    </row>
    <row r="822" spans="2:46">
      <c r="B822" s="6" t="s">
        <v>111</v>
      </c>
      <c r="D822" s="6" t="s">
        <v>3316</v>
      </c>
      <c r="F822" s="6" t="s">
        <v>3680</v>
      </c>
      <c r="G822" s="6" t="str">
        <f>"3186342100569320"</f>
        <v>3186342100569320</v>
      </c>
      <c r="H822" s="6">
        <v>3186342100569320</v>
      </c>
      <c r="I822" s="6" t="s">
        <v>3681</v>
      </c>
      <c r="J822" s="6" t="str">
        <f>"18 DIAMOND SHORTS [IVORY]"</f>
        <v>18 DIAMOND SHORTS [IVORY]</v>
      </c>
      <c r="K822" s="6">
        <v>0</v>
      </c>
      <c r="L822" s="6">
        <v>0</v>
      </c>
      <c r="M822" s="6">
        <v>0</v>
      </c>
      <c r="N822" s="6" t="str">
        <f>""</f>
        <v/>
      </c>
      <c r="O822" s="6">
        <v>32426</v>
      </c>
      <c r="P822" s="6" t="s">
        <v>3682</v>
      </c>
      <c r="R822" s="6" t="s">
        <v>3683</v>
      </c>
      <c r="S822" s="6" t="s">
        <v>3684</v>
      </c>
      <c r="T822" s="6">
        <v>0</v>
      </c>
      <c r="U822" s="6">
        <v>0</v>
      </c>
      <c r="V822" s="6">
        <v>0</v>
      </c>
      <c r="W822" s="6">
        <v>0</v>
      </c>
      <c r="X822" s="6" t="s">
        <v>169</v>
      </c>
      <c r="Z822" s="6" t="s">
        <v>170</v>
      </c>
      <c r="AA822" s="6" t="s">
        <v>171</v>
      </c>
      <c r="AB822" s="6">
        <v>0</v>
      </c>
      <c r="AC822" s="6" t="str">
        <f>""</f>
        <v/>
      </c>
      <c r="AS822" s="6">
        <v>0</v>
      </c>
      <c r="AT822" s="6">
        <v>0</v>
      </c>
    </row>
    <row r="823" spans="2:46">
      <c r="B823" s="6" t="s">
        <v>111</v>
      </c>
      <c r="D823" s="6" t="s">
        <v>3316</v>
      </c>
      <c r="F823" s="6" t="s">
        <v>3685</v>
      </c>
      <c r="G823" s="6" t="str">
        <f>"3186342100469320"</f>
        <v>3186342100469320</v>
      </c>
      <c r="H823" s="6">
        <v>3186342100469320</v>
      </c>
      <c r="I823" s="6" t="s">
        <v>3681</v>
      </c>
      <c r="J823" s="6" t="str">
        <f>"18 DIAMOND SHORTS [IVORY]"</f>
        <v>18 DIAMOND SHORTS [IVORY]</v>
      </c>
      <c r="K823" s="6">
        <v>0</v>
      </c>
      <c r="L823" s="6">
        <v>0</v>
      </c>
      <c r="M823" s="6">
        <v>0</v>
      </c>
      <c r="N823" s="6" t="str">
        <f>""</f>
        <v/>
      </c>
      <c r="O823" s="6">
        <v>32425</v>
      </c>
      <c r="P823" s="6" t="s">
        <v>3686</v>
      </c>
      <c r="R823" s="6" t="s">
        <v>3687</v>
      </c>
      <c r="S823" s="6" t="s">
        <v>3688</v>
      </c>
      <c r="T823" s="6">
        <v>0</v>
      </c>
      <c r="U823" s="6">
        <v>0</v>
      </c>
      <c r="V823" s="6">
        <v>0</v>
      </c>
      <c r="W823" s="6">
        <v>0</v>
      </c>
      <c r="X823" s="6" t="s">
        <v>169</v>
      </c>
      <c r="Z823" s="6" t="s">
        <v>170</v>
      </c>
      <c r="AA823" s="6" t="s">
        <v>171</v>
      </c>
      <c r="AB823" s="6">
        <v>0</v>
      </c>
      <c r="AC823" s="6" t="str">
        <f>""</f>
        <v/>
      </c>
      <c r="AS823" s="6">
        <v>0</v>
      </c>
      <c r="AT823" s="6">
        <v>0</v>
      </c>
    </row>
    <row r="824" spans="2:46">
      <c r="B824" s="6" t="s">
        <v>111</v>
      </c>
      <c r="D824" s="6" t="s">
        <v>3316</v>
      </c>
      <c r="F824" s="6" t="s">
        <v>3689</v>
      </c>
      <c r="G824" s="6" t="str">
        <f>"3186342100700320"</f>
        <v>3186342100700320</v>
      </c>
      <c r="H824" s="6">
        <v>3186342100700320</v>
      </c>
      <c r="I824" s="6" t="s">
        <v>3690</v>
      </c>
      <c r="J824" s="6" t="str">
        <f>"18 GOLDEN DENIM SHORTS [DENIM]"</f>
        <v>18 GOLDEN DENIM SHORTS [DENIM]</v>
      </c>
      <c r="K824" s="6">
        <v>0</v>
      </c>
      <c r="L824" s="6">
        <v>0</v>
      </c>
      <c r="M824" s="6">
        <v>0</v>
      </c>
      <c r="N824" s="6" t="str">
        <f>""</f>
        <v/>
      </c>
      <c r="O824" s="6">
        <v>32423</v>
      </c>
      <c r="P824" s="6" t="s">
        <v>3691</v>
      </c>
      <c r="R824" s="6" t="s">
        <v>3692</v>
      </c>
      <c r="S824" s="6" t="s">
        <v>3693</v>
      </c>
      <c r="T824" s="6">
        <v>0</v>
      </c>
      <c r="U824" s="6">
        <v>0</v>
      </c>
      <c r="V824" s="6">
        <v>0</v>
      </c>
      <c r="W824" s="6">
        <v>0</v>
      </c>
      <c r="X824" s="6" t="s">
        <v>169</v>
      </c>
      <c r="Z824" s="6" t="s">
        <v>170</v>
      </c>
      <c r="AA824" s="6" t="s">
        <v>171</v>
      </c>
      <c r="AB824" s="6">
        <v>0</v>
      </c>
      <c r="AC824" s="6" t="str">
        <f>""</f>
        <v/>
      </c>
      <c r="AS824" s="6">
        <v>0</v>
      </c>
      <c r="AT824" s="6">
        <v>0</v>
      </c>
    </row>
    <row r="825" spans="2:46">
      <c r="B825" s="6" t="s">
        <v>111</v>
      </c>
      <c r="D825" s="6" t="s">
        <v>3316</v>
      </c>
      <c r="F825" s="6" t="s">
        <v>3694</v>
      </c>
      <c r="G825" s="6" t="str">
        <f>"3186342100600320"</f>
        <v>3186342100600320</v>
      </c>
      <c r="H825" s="6">
        <v>3186342100600320</v>
      </c>
      <c r="I825" s="6" t="s">
        <v>3690</v>
      </c>
      <c r="J825" s="6" t="str">
        <f>"18 GOLDEN DENIM SHORTS [DENIM]"</f>
        <v>18 GOLDEN DENIM SHORTS [DENIM]</v>
      </c>
      <c r="K825" s="6">
        <v>0</v>
      </c>
      <c r="L825" s="6">
        <v>0</v>
      </c>
      <c r="M825" s="6">
        <v>0</v>
      </c>
      <c r="N825" s="6" t="str">
        <f>""</f>
        <v/>
      </c>
      <c r="O825" s="6">
        <v>32422</v>
      </c>
      <c r="P825" s="6" t="s">
        <v>3695</v>
      </c>
      <c r="R825" s="6" t="s">
        <v>3696</v>
      </c>
      <c r="S825" s="6" t="s">
        <v>3697</v>
      </c>
      <c r="T825" s="6">
        <v>0</v>
      </c>
      <c r="U825" s="6">
        <v>0</v>
      </c>
      <c r="V825" s="6">
        <v>0</v>
      </c>
      <c r="W825" s="6">
        <v>0</v>
      </c>
      <c r="X825" s="6" t="s">
        <v>169</v>
      </c>
      <c r="Z825" s="6" t="s">
        <v>170</v>
      </c>
      <c r="AA825" s="6" t="s">
        <v>171</v>
      </c>
      <c r="AB825" s="6">
        <v>0</v>
      </c>
      <c r="AC825" s="6" t="str">
        <f>""</f>
        <v/>
      </c>
      <c r="AS825" s="6">
        <v>0</v>
      </c>
      <c r="AT825" s="6">
        <v>0</v>
      </c>
    </row>
    <row r="826" spans="2:46">
      <c r="B826" s="6" t="s">
        <v>111</v>
      </c>
      <c r="D826" s="6" t="s">
        <v>3316</v>
      </c>
      <c r="F826" s="6" t="s">
        <v>3698</v>
      </c>
      <c r="G826" s="6" t="str">
        <f>"3186312101199320"</f>
        <v>3186312101199320</v>
      </c>
      <c r="H826" s="6">
        <v>3186312101199320</v>
      </c>
      <c r="I826" s="6" t="s">
        <v>3699</v>
      </c>
      <c r="J826" s="6" t="str">
        <f>"18 SS BASIC PT [BLACK]"</f>
        <v>18 SS BASIC PT [BLACK]</v>
      </c>
      <c r="K826" s="6">
        <v>0</v>
      </c>
      <c r="L826" s="6">
        <v>0</v>
      </c>
      <c r="M826" s="6">
        <v>0</v>
      </c>
      <c r="N826" s="6" t="str">
        <f>""</f>
        <v/>
      </c>
      <c r="O826" s="6">
        <v>32420</v>
      </c>
      <c r="P826" s="6" t="s">
        <v>3700</v>
      </c>
      <c r="R826" s="6" t="s">
        <v>601</v>
      </c>
      <c r="S826" s="6" t="s">
        <v>3701</v>
      </c>
      <c r="T826" s="6">
        <v>0</v>
      </c>
      <c r="U826" s="6">
        <v>0</v>
      </c>
      <c r="V826" s="6">
        <v>0</v>
      </c>
      <c r="W826" s="6">
        <v>0</v>
      </c>
      <c r="X826" s="6" t="s">
        <v>169</v>
      </c>
      <c r="Z826" s="6" t="s">
        <v>170</v>
      </c>
      <c r="AA826" s="6" t="s">
        <v>171</v>
      </c>
      <c r="AB826" s="6">
        <v>0</v>
      </c>
      <c r="AC826" s="6" t="str">
        <f>""</f>
        <v/>
      </c>
      <c r="AS826" s="6">
        <v>0</v>
      </c>
      <c r="AT826" s="6">
        <v>0</v>
      </c>
    </row>
    <row r="827" spans="2:46">
      <c r="B827" s="6" t="s">
        <v>111</v>
      </c>
      <c r="D827" s="6" t="s">
        <v>3316</v>
      </c>
      <c r="F827" s="6" t="s">
        <v>3702</v>
      </c>
      <c r="G827" s="6" t="str">
        <f>"3186312101099320"</f>
        <v>3186312101099320</v>
      </c>
      <c r="H827" s="6">
        <v>3186312101099320</v>
      </c>
      <c r="I827" s="6" t="s">
        <v>3699</v>
      </c>
      <c r="J827" s="6" t="str">
        <f>"18 SS BASIC PT [BLACK]"</f>
        <v>18 SS BASIC PT [BLACK]</v>
      </c>
      <c r="K827" s="6">
        <v>0</v>
      </c>
      <c r="L827" s="6">
        <v>0</v>
      </c>
      <c r="M827" s="6">
        <v>0</v>
      </c>
      <c r="N827" s="6" t="str">
        <f>""</f>
        <v/>
      </c>
      <c r="O827" s="6">
        <v>32419</v>
      </c>
      <c r="P827" s="6" t="s">
        <v>3703</v>
      </c>
      <c r="R827" s="6" t="s">
        <v>606</v>
      </c>
      <c r="S827" s="6" t="s">
        <v>3704</v>
      </c>
      <c r="T827" s="6">
        <v>0</v>
      </c>
      <c r="U827" s="6">
        <v>0</v>
      </c>
      <c r="V827" s="6">
        <v>0</v>
      </c>
      <c r="W827" s="6">
        <v>0</v>
      </c>
      <c r="X827" s="6" t="s">
        <v>169</v>
      </c>
      <c r="Z827" s="6" t="s">
        <v>170</v>
      </c>
      <c r="AA827" s="6" t="s">
        <v>171</v>
      </c>
      <c r="AB827" s="6">
        <v>0</v>
      </c>
      <c r="AC827" s="6" t="str">
        <f>""</f>
        <v/>
      </c>
      <c r="AS827" s="6">
        <v>0</v>
      </c>
      <c r="AT827" s="6">
        <v>0</v>
      </c>
    </row>
    <row r="828" spans="2:46">
      <c r="B828" s="6" t="s">
        <v>111</v>
      </c>
      <c r="D828" s="6" t="s">
        <v>3316</v>
      </c>
      <c r="F828" s="6" t="s">
        <v>3705</v>
      </c>
      <c r="G828" s="6" t="str">
        <f>"3186312101101320"</f>
        <v>3186312101101320</v>
      </c>
      <c r="H828" s="6">
        <v>3186312101101320</v>
      </c>
      <c r="I828" s="6" t="s">
        <v>3706</v>
      </c>
      <c r="J828" s="6" t="str">
        <f>"18 SS BASIC PT [PINK]"</f>
        <v>18 SS BASIC PT [PINK]</v>
      </c>
      <c r="K828" s="6">
        <v>0</v>
      </c>
      <c r="L828" s="6">
        <v>0</v>
      </c>
      <c r="M828" s="6">
        <v>0</v>
      </c>
      <c r="N828" s="6" t="str">
        <f>""</f>
        <v/>
      </c>
      <c r="O828" s="6">
        <v>32417</v>
      </c>
      <c r="P828" s="6" t="s">
        <v>3707</v>
      </c>
      <c r="R828" s="6" t="s">
        <v>3708</v>
      </c>
      <c r="S828" s="6" t="s">
        <v>3709</v>
      </c>
      <c r="T828" s="6">
        <v>0</v>
      </c>
      <c r="U828" s="6">
        <v>0</v>
      </c>
      <c r="V828" s="6">
        <v>0</v>
      </c>
      <c r="W828" s="6">
        <v>0</v>
      </c>
      <c r="X828" s="6" t="s">
        <v>169</v>
      </c>
      <c r="Z828" s="6" t="s">
        <v>170</v>
      </c>
      <c r="AA828" s="6" t="s">
        <v>171</v>
      </c>
      <c r="AB828" s="6">
        <v>0</v>
      </c>
      <c r="AC828" s="6" t="str">
        <f>""</f>
        <v/>
      </c>
      <c r="AS828" s="6">
        <v>0</v>
      </c>
      <c r="AT828" s="6">
        <v>0</v>
      </c>
    </row>
    <row r="829" spans="2:46">
      <c r="B829" s="6" t="s">
        <v>111</v>
      </c>
      <c r="D829" s="6" t="s">
        <v>3316</v>
      </c>
      <c r="F829" s="6" t="s">
        <v>3710</v>
      </c>
      <c r="G829" s="6" t="str">
        <f>"3186312101001320"</f>
        <v>3186312101001320</v>
      </c>
      <c r="H829" s="6">
        <v>3186312101001320</v>
      </c>
      <c r="I829" s="6" t="s">
        <v>3706</v>
      </c>
      <c r="J829" s="6" t="str">
        <f>"18 SS BASIC PT [PINK]"</f>
        <v>18 SS BASIC PT [PINK]</v>
      </c>
      <c r="K829" s="6">
        <v>0</v>
      </c>
      <c r="L829" s="6">
        <v>0</v>
      </c>
      <c r="M829" s="6">
        <v>0</v>
      </c>
      <c r="N829" s="6" t="str">
        <f>""</f>
        <v/>
      </c>
      <c r="O829" s="6">
        <v>32416</v>
      </c>
      <c r="P829" s="6" t="s">
        <v>3711</v>
      </c>
      <c r="R829" s="6" t="s">
        <v>3712</v>
      </c>
      <c r="S829" s="6" t="s">
        <v>3713</v>
      </c>
      <c r="T829" s="6">
        <v>0</v>
      </c>
      <c r="U829" s="6">
        <v>0</v>
      </c>
      <c r="V829" s="6">
        <v>0</v>
      </c>
      <c r="W829" s="6">
        <v>0</v>
      </c>
      <c r="X829" s="6" t="s">
        <v>169</v>
      </c>
      <c r="Z829" s="6" t="s">
        <v>170</v>
      </c>
      <c r="AA829" s="6" t="s">
        <v>171</v>
      </c>
      <c r="AB829" s="6">
        <v>0</v>
      </c>
      <c r="AC829" s="6" t="str">
        <f>""</f>
        <v/>
      </c>
      <c r="AS829" s="6">
        <v>0</v>
      </c>
      <c r="AT829" s="6">
        <v>0</v>
      </c>
    </row>
    <row r="830" spans="2:46">
      <c r="B830" s="6" t="s">
        <v>111</v>
      </c>
      <c r="D830" s="6" t="s">
        <v>3316</v>
      </c>
      <c r="F830" s="6" t="s">
        <v>3714</v>
      </c>
      <c r="G830" s="6" t="str">
        <f>"3186342100299320"</f>
        <v>3186342100299320</v>
      </c>
      <c r="H830" s="6">
        <v>3186342100299320</v>
      </c>
      <c r="I830" s="6" t="s">
        <v>3715</v>
      </c>
      <c r="J830" s="6" t="str">
        <f>"18 RETRO SHORTS [BLACK]"</f>
        <v>18 RETRO SHORTS [BLACK]</v>
      </c>
      <c r="K830" s="6">
        <v>0</v>
      </c>
      <c r="L830" s="6">
        <v>0</v>
      </c>
      <c r="M830" s="6">
        <v>0</v>
      </c>
      <c r="N830" s="6" t="str">
        <f>""</f>
        <v/>
      </c>
      <c r="O830" s="6">
        <v>32414</v>
      </c>
      <c r="P830" s="6" t="s">
        <v>3716</v>
      </c>
      <c r="R830" s="6" t="s">
        <v>2106</v>
      </c>
      <c r="S830" s="6" t="s">
        <v>3717</v>
      </c>
      <c r="T830" s="6">
        <v>0</v>
      </c>
      <c r="U830" s="6">
        <v>0</v>
      </c>
      <c r="V830" s="6">
        <v>0</v>
      </c>
      <c r="W830" s="6">
        <v>0</v>
      </c>
      <c r="X830" s="6" t="s">
        <v>169</v>
      </c>
      <c r="Z830" s="6" t="s">
        <v>170</v>
      </c>
      <c r="AA830" s="6" t="s">
        <v>171</v>
      </c>
      <c r="AB830" s="6">
        <v>0</v>
      </c>
      <c r="AC830" s="6" t="str">
        <f>""</f>
        <v/>
      </c>
      <c r="AS830" s="6">
        <v>0</v>
      </c>
      <c r="AT830" s="6">
        <v>0</v>
      </c>
    </row>
    <row r="831" spans="2:46">
      <c r="B831" s="6" t="s">
        <v>111</v>
      </c>
      <c r="D831" s="6" t="s">
        <v>3316</v>
      </c>
      <c r="F831" s="6" t="s">
        <v>3718</v>
      </c>
      <c r="G831" s="6" t="str">
        <f>"3186342100206320"</f>
        <v>3186342100206320</v>
      </c>
      <c r="H831" s="6">
        <v>3186342100206320</v>
      </c>
      <c r="I831" s="6" t="s">
        <v>3719</v>
      </c>
      <c r="J831" s="6" t="str">
        <f>"18 RETRO SHORTS [WINE]"</f>
        <v>18 RETRO SHORTS [WINE]</v>
      </c>
      <c r="K831" s="6">
        <v>0</v>
      </c>
      <c r="L831" s="6">
        <v>0</v>
      </c>
      <c r="M831" s="6">
        <v>0</v>
      </c>
      <c r="N831" s="6" t="str">
        <f>""</f>
        <v/>
      </c>
      <c r="O831" s="6">
        <v>32412</v>
      </c>
      <c r="P831" s="6" t="s">
        <v>3720</v>
      </c>
      <c r="R831" s="6" t="s">
        <v>3721</v>
      </c>
      <c r="S831" s="6" t="s">
        <v>3722</v>
      </c>
      <c r="T831" s="6">
        <v>0</v>
      </c>
      <c r="U831" s="6">
        <v>0</v>
      </c>
      <c r="V831" s="6">
        <v>0</v>
      </c>
      <c r="W831" s="6">
        <v>0</v>
      </c>
      <c r="X831" s="6" t="s">
        <v>169</v>
      </c>
      <c r="Z831" s="6" t="s">
        <v>170</v>
      </c>
      <c r="AA831" s="6" t="s">
        <v>171</v>
      </c>
      <c r="AB831" s="6">
        <v>0</v>
      </c>
      <c r="AC831" s="6" t="str">
        <f>""</f>
        <v/>
      </c>
      <c r="AS831" s="6">
        <v>0</v>
      </c>
      <c r="AT831" s="6">
        <v>0</v>
      </c>
    </row>
    <row r="832" spans="2:46">
      <c r="B832" s="6" t="s">
        <v>111</v>
      </c>
      <c r="D832" s="6" t="s">
        <v>3316</v>
      </c>
      <c r="F832" s="6" t="s">
        <v>3723</v>
      </c>
      <c r="G832" s="6" t="str">
        <f>"3186342100225320"</f>
        <v>3186342100225320</v>
      </c>
      <c r="H832" s="6">
        <v>3186342100225320</v>
      </c>
      <c r="I832" s="6" t="s">
        <v>3724</v>
      </c>
      <c r="J832" s="6" t="str">
        <f>"18 RETRO SHORTS [BLUE]"</f>
        <v>18 RETRO SHORTS [BLUE]</v>
      </c>
      <c r="K832" s="6">
        <v>0</v>
      </c>
      <c r="L832" s="6">
        <v>0</v>
      </c>
      <c r="M832" s="6">
        <v>0</v>
      </c>
      <c r="N832" s="6" t="str">
        <f>""</f>
        <v/>
      </c>
      <c r="O832" s="6">
        <v>32410</v>
      </c>
      <c r="P832" s="6" t="s">
        <v>3725</v>
      </c>
      <c r="R832" s="6" t="s">
        <v>2175</v>
      </c>
      <c r="S832" s="6" t="s">
        <v>3726</v>
      </c>
      <c r="T832" s="6">
        <v>0</v>
      </c>
      <c r="U832" s="6">
        <v>0</v>
      </c>
      <c r="V832" s="6">
        <v>0</v>
      </c>
      <c r="W832" s="6">
        <v>0</v>
      </c>
      <c r="X832" s="6" t="s">
        <v>169</v>
      </c>
      <c r="Z832" s="6" t="s">
        <v>170</v>
      </c>
      <c r="AA832" s="6" t="s">
        <v>171</v>
      </c>
      <c r="AB832" s="6">
        <v>0</v>
      </c>
      <c r="AC832" s="6" t="str">
        <f>""</f>
        <v/>
      </c>
      <c r="AS832" s="6">
        <v>0</v>
      </c>
      <c r="AT832" s="6">
        <v>0</v>
      </c>
    </row>
    <row r="833" spans="2:46">
      <c r="B833" s="6" t="s">
        <v>111</v>
      </c>
      <c r="D833" s="6" t="s">
        <v>3316</v>
      </c>
      <c r="F833" s="6" t="s">
        <v>3727</v>
      </c>
      <c r="G833" s="6" t="str">
        <f>"3186342100269320"</f>
        <v>3186342100269320</v>
      </c>
      <c r="H833" s="6">
        <v>3186342100269320</v>
      </c>
      <c r="I833" s="6" t="s">
        <v>3728</v>
      </c>
      <c r="J833" s="6" t="str">
        <f>"18 RETRO SHORTS [IVORY]"</f>
        <v>18 RETRO SHORTS [IVORY]</v>
      </c>
      <c r="K833" s="6">
        <v>0</v>
      </c>
      <c r="L833" s="6">
        <v>0</v>
      </c>
      <c r="M833" s="6">
        <v>0</v>
      </c>
      <c r="N833" s="6" t="str">
        <f>""</f>
        <v/>
      </c>
      <c r="O833" s="6">
        <v>32408</v>
      </c>
      <c r="P833" s="6" t="s">
        <v>3729</v>
      </c>
      <c r="R833" s="6" t="s">
        <v>2356</v>
      </c>
      <c r="S833" s="6" t="s">
        <v>3730</v>
      </c>
      <c r="T833" s="6">
        <v>0</v>
      </c>
      <c r="U833" s="6">
        <v>0</v>
      </c>
      <c r="V833" s="6">
        <v>0</v>
      </c>
      <c r="W833" s="6">
        <v>0</v>
      </c>
      <c r="X833" s="6" t="s">
        <v>169</v>
      </c>
      <c r="Z833" s="6" t="s">
        <v>170</v>
      </c>
      <c r="AA833" s="6" t="s">
        <v>171</v>
      </c>
      <c r="AB833" s="6">
        <v>0</v>
      </c>
      <c r="AC833" s="6" t="str">
        <f>""</f>
        <v/>
      </c>
      <c r="AS833" s="6">
        <v>0</v>
      </c>
      <c r="AT833" s="6">
        <v>0</v>
      </c>
    </row>
    <row r="834" spans="2:46">
      <c r="B834" s="6" t="s">
        <v>111</v>
      </c>
      <c r="D834" s="6" t="s">
        <v>3316</v>
      </c>
      <c r="F834" s="6" t="s">
        <v>3731</v>
      </c>
      <c r="G834" s="6" t="str">
        <f>"3186312102700320"</f>
        <v>3186312102700320</v>
      </c>
      <c r="H834" s="6">
        <v>3186312102700320</v>
      </c>
      <c r="I834" s="6" t="s">
        <v>3732</v>
      </c>
      <c r="J834" s="6" t="str">
        <f>"18 GOLDEN DENIM WIDE [DENIM]"</f>
        <v>18 GOLDEN DENIM WIDE [DENIM]</v>
      </c>
      <c r="K834" s="6">
        <v>0</v>
      </c>
      <c r="L834" s="6">
        <v>0</v>
      </c>
      <c r="M834" s="6">
        <v>0</v>
      </c>
      <c r="N834" s="6" t="str">
        <f>""</f>
        <v/>
      </c>
      <c r="O834" s="6">
        <v>32406</v>
      </c>
      <c r="P834" s="6" t="s">
        <v>3733</v>
      </c>
      <c r="R834" s="6" t="s">
        <v>3692</v>
      </c>
      <c r="S834" s="6" t="s">
        <v>3734</v>
      </c>
      <c r="T834" s="6">
        <v>0</v>
      </c>
      <c r="U834" s="6">
        <v>0</v>
      </c>
      <c r="V834" s="6">
        <v>0</v>
      </c>
      <c r="W834" s="6">
        <v>0</v>
      </c>
      <c r="X834" s="6" t="s">
        <v>169</v>
      </c>
      <c r="Z834" s="6" t="s">
        <v>170</v>
      </c>
      <c r="AA834" s="6" t="s">
        <v>171</v>
      </c>
      <c r="AB834" s="6">
        <v>0</v>
      </c>
      <c r="AC834" s="6" t="str">
        <f>""</f>
        <v/>
      </c>
      <c r="AS834" s="6">
        <v>0</v>
      </c>
      <c r="AT834" s="6">
        <v>0</v>
      </c>
    </row>
    <row r="835" spans="2:46">
      <c r="B835" s="6" t="s">
        <v>111</v>
      </c>
      <c r="D835" s="6" t="s">
        <v>3316</v>
      </c>
      <c r="F835" s="6" t="s">
        <v>3735</v>
      </c>
      <c r="G835" s="6" t="str">
        <f>"3186312102600320"</f>
        <v>3186312102600320</v>
      </c>
      <c r="H835" s="6">
        <v>3186312102600320</v>
      </c>
      <c r="I835" s="6" t="s">
        <v>3732</v>
      </c>
      <c r="J835" s="6" t="str">
        <f>"18 GOLDEN DENIM WIDE [DENIM]"</f>
        <v>18 GOLDEN DENIM WIDE [DENIM]</v>
      </c>
      <c r="K835" s="6">
        <v>0</v>
      </c>
      <c r="L835" s="6">
        <v>0</v>
      </c>
      <c r="M835" s="6">
        <v>0</v>
      </c>
      <c r="N835" s="6" t="str">
        <f>""</f>
        <v/>
      </c>
      <c r="O835" s="6">
        <v>32405</v>
      </c>
      <c r="P835" s="6" t="s">
        <v>3736</v>
      </c>
      <c r="R835" s="6" t="s">
        <v>3696</v>
      </c>
      <c r="S835" s="6" t="s">
        <v>3737</v>
      </c>
      <c r="T835" s="6">
        <v>0</v>
      </c>
      <c r="U835" s="6">
        <v>0</v>
      </c>
      <c r="V835" s="6">
        <v>0</v>
      </c>
      <c r="W835" s="6">
        <v>0</v>
      </c>
      <c r="X835" s="6" t="s">
        <v>169</v>
      </c>
      <c r="Z835" s="6" t="s">
        <v>170</v>
      </c>
      <c r="AA835" s="6" t="s">
        <v>171</v>
      </c>
      <c r="AB835" s="6">
        <v>0</v>
      </c>
      <c r="AC835" s="6" t="str">
        <f>""</f>
        <v/>
      </c>
      <c r="AS835" s="6">
        <v>0</v>
      </c>
      <c r="AT835" s="6">
        <v>0</v>
      </c>
    </row>
    <row r="836" spans="2:46">
      <c r="B836" s="6" t="s">
        <v>111</v>
      </c>
      <c r="D836" s="6" t="s">
        <v>3316</v>
      </c>
      <c r="F836" s="6" t="s">
        <v>3738</v>
      </c>
      <c r="G836" s="6" t="str">
        <f>"3186252102030208"</f>
        <v>3186252102030208</v>
      </c>
      <c r="H836" s="6">
        <v>3186252102030200</v>
      </c>
      <c r="I836" s="6" t="s">
        <v>3739</v>
      </c>
      <c r="J836" s="6" t="str">
        <f>"18 DIAMOND RIBBON OPS [NAVY]"</f>
        <v>18 DIAMOND RIBBON OPS [NAVY]</v>
      </c>
      <c r="K836" s="6">
        <v>0</v>
      </c>
      <c r="L836" s="6">
        <v>0</v>
      </c>
      <c r="M836" s="6">
        <v>0</v>
      </c>
      <c r="N836" s="6" t="str">
        <f>""</f>
        <v/>
      </c>
      <c r="O836" s="6">
        <v>32403</v>
      </c>
      <c r="P836" s="6" t="s">
        <v>3740</v>
      </c>
      <c r="R836" s="6" t="s">
        <v>2111</v>
      </c>
      <c r="S836" s="6" t="s">
        <v>3741</v>
      </c>
      <c r="T836" s="6">
        <v>0</v>
      </c>
      <c r="U836" s="6">
        <v>0</v>
      </c>
      <c r="V836" s="6">
        <v>0</v>
      </c>
      <c r="W836" s="6">
        <v>0</v>
      </c>
      <c r="X836" s="6" t="s">
        <v>169</v>
      </c>
      <c r="Z836" s="6" t="s">
        <v>170</v>
      </c>
      <c r="AA836" s="6" t="s">
        <v>171</v>
      </c>
      <c r="AB836" s="6">
        <v>0</v>
      </c>
      <c r="AC836" s="6" t="str">
        <f>""</f>
        <v/>
      </c>
      <c r="AS836" s="6">
        <v>0</v>
      </c>
      <c r="AT836" s="6">
        <v>0</v>
      </c>
    </row>
    <row r="837" spans="2:46">
      <c r="B837" s="6" t="s">
        <v>111</v>
      </c>
      <c r="D837" s="6" t="s">
        <v>3316</v>
      </c>
      <c r="F837" s="6" t="s">
        <v>3742</v>
      </c>
      <c r="G837" s="6" t="str">
        <f>"3186252102069208"</f>
        <v>3186252102069208</v>
      </c>
      <c r="H837" s="6">
        <v>3186252102069200</v>
      </c>
      <c r="I837" s="6" t="s">
        <v>3743</v>
      </c>
      <c r="J837" s="6" t="str">
        <f>"18 DIAMOND RIBBON OPS [IVORY]"</f>
        <v>18 DIAMOND RIBBON OPS [IVORY]</v>
      </c>
      <c r="K837" s="6">
        <v>0</v>
      </c>
      <c r="L837" s="6">
        <v>0</v>
      </c>
      <c r="M837" s="6">
        <v>0</v>
      </c>
      <c r="N837" s="6" t="str">
        <f>""</f>
        <v/>
      </c>
      <c r="O837" s="6">
        <v>32401</v>
      </c>
      <c r="P837" s="6" t="s">
        <v>3744</v>
      </c>
      <c r="R837" s="6" t="s">
        <v>2356</v>
      </c>
      <c r="S837" s="6" t="s">
        <v>3745</v>
      </c>
      <c r="T837" s="6">
        <v>0</v>
      </c>
      <c r="U837" s="6">
        <v>0</v>
      </c>
      <c r="V837" s="6">
        <v>0</v>
      </c>
      <c r="W837" s="6">
        <v>0</v>
      </c>
      <c r="X837" s="6" t="s">
        <v>169</v>
      </c>
      <c r="Z837" s="6" t="s">
        <v>170</v>
      </c>
      <c r="AA837" s="6" t="s">
        <v>171</v>
      </c>
      <c r="AB837" s="6">
        <v>0</v>
      </c>
      <c r="AC837" s="6" t="str">
        <f>""</f>
        <v/>
      </c>
      <c r="AS837" s="6">
        <v>0</v>
      </c>
      <c r="AT837" s="6">
        <v>0</v>
      </c>
    </row>
    <row r="838" spans="2:46">
      <c r="B838" s="6" t="s">
        <v>111</v>
      </c>
      <c r="D838" s="6" t="s">
        <v>3316</v>
      </c>
      <c r="F838" s="6" t="s">
        <v>3746</v>
      </c>
      <c r="G838" s="6" t="str">
        <f>"3186252103299208"</f>
        <v>3186252103299208</v>
      </c>
      <c r="H838" s="6">
        <v>3186252103299200</v>
      </c>
      <c r="I838" s="6" t="s">
        <v>3747</v>
      </c>
      <c r="J838" s="6" t="str">
        <f>"18 GOLDEN ST OPS [BLACK]"</f>
        <v>18 GOLDEN ST OPS [BLACK]</v>
      </c>
      <c r="K838" s="6">
        <v>0</v>
      </c>
      <c r="L838" s="6">
        <v>0</v>
      </c>
      <c r="M838" s="6">
        <v>0</v>
      </c>
      <c r="N838" s="6" t="str">
        <f>""</f>
        <v/>
      </c>
      <c r="O838" s="6">
        <v>32399</v>
      </c>
      <c r="P838" s="6" t="s">
        <v>3748</v>
      </c>
      <c r="R838" s="6" t="s">
        <v>2106</v>
      </c>
      <c r="S838" s="6" t="s">
        <v>3749</v>
      </c>
      <c r="T838" s="6">
        <v>0</v>
      </c>
      <c r="U838" s="6">
        <v>0</v>
      </c>
      <c r="V838" s="6">
        <v>0</v>
      </c>
      <c r="W838" s="6">
        <v>0</v>
      </c>
      <c r="X838" s="6" t="s">
        <v>169</v>
      </c>
      <c r="Z838" s="6" t="s">
        <v>170</v>
      </c>
      <c r="AA838" s="6" t="s">
        <v>171</v>
      </c>
      <c r="AB838" s="6">
        <v>0</v>
      </c>
      <c r="AC838" s="6" t="str">
        <f>""</f>
        <v/>
      </c>
      <c r="AS838" s="6">
        <v>0</v>
      </c>
      <c r="AT838" s="6">
        <v>0</v>
      </c>
    </row>
    <row r="839" spans="2:46">
      <c r="B839" s="6" t="s">
        <v>111</v>
      </c>
      <c r="D839" s="6" t="s">
        <v>3316</v>
      </c>
      <c r="F839" s="6" t="s">
        <v>3750</v>
      </c>
      <c r="G839" s="6" t="str">
        <f>"3186252103225208"</f>
        <v>3186252103225208</v>
      </c>
      <c r="H839" s="6">
        <v>3186252103225200</v>
      </c>
      <c r="I839" s="6" t="s">
        <v>3751</v>
      </c>
      <c r="J839" s="6" t="str">
        <f>"18 GOLDEN ST OPS [BLUE]"</f>
        <v>18 GOLDEN ST OPS [BLUE]</v>
      </c>
      <c r="K839" s="6">
        <v>0</v>
      </c>
      <c r="L839" s="6">
        <v>0</v>
      </c>
      <c r="M839" s="6">
        <v>0</v>
      </c>
      <c r="N839" s="6" t="str">
        <f>""</f>
        <v/>
      </c>
      <c r="O839" s="6">
        <v>32397</v>
      </c>
      <c r="P839" s="6" t="s">
        <v>3752</v>
      </c>
      <c r="R839" s="6" t="s">
        <v>2175</v>
      </c>
      <c r="S839" s="6" t="s">
        <v>3753</v>
      </c>
      <c r="T839" s="6">
        <v>0</v>
      </c>
      <c r="U839" s="6">
        <v>0</v>
      </c>
      <c r="V839" s="6">
        <v>0</v>
      </c>
      <c r="W839" s="6">
        <v>0</v>
      </c>
      <c r="X839" s="6" t="s">
        <v>169</v>
      </c>
      <c r="Z839" s="6" t="s">
        <v>170</v>
      </c>
      <c r="AA839" s="6" t="s">
        <v>171</v>
      </c>
      <c r="AB839" s="6">
        <v>0</v>
      </c>
      <c r="AC839" s="6" t="str">
        <f>""</f>
        <v/>
      </c>
      <c r="AS839" s="6">
        <v>0</v>
      </c>
      <c r="AT839" s="6">
        <v>0</v>
      </c>
    </row>
    <row r="840" spans="2:46">
      <c r="B840" s="6" t="s">
        <v>111</v>
      </c>
      <c r="D840" s="6" t="s">
        <v>3316</v>
      </c>
      <c r="F840" s="6" t="s">
        <v>3754</v>
      </c>
      <c r="G840" s="6" t="str">
        <f>"3186252103261208"</f>
        <v>3186252103261208</v>
      </c>
      <c r="I840" s="6" t="s">
        <v>3755</v>
      </c>
      <c r="J840" s="6" t="str">
        <f>"18 GOLDEN ST OPS [RED]"</f>
        <v>18 GOLDEN ST OPS [RED]</v>
      </c>
      <c r="K840" s="6">
        <v>0</v>
      </c>
      <c r="L840" s="6">
        <v>0</v>
      </c>
      <c r="M840" s="6">
        <v>0</v>
      </c>
      <c r="N840" s="6" t="str">
        <f>""</f>
        <v/>
      </c>
      <c r="O840" s="6">
        <v>32395</v>
      </c>
      <c r="P840" s="6" t="s">
        <v>3756</v>
      </c>
      <c r="R840" s="6" t="s">
        <v>2309</v>
      </c>
      <c r="S840" s="6" t="s">
        <v>3757</v>
      </c>
      <c r="T840" s="6">
        <v>0</v>
      </c>
      <c r="U840" s="6">
        <v>0</v>
      </c>
      <c r="V840" s="6">
        <v>0</v>
      </c>
      <c r="W840" s="6">
        <v>0</v>
      </c>
      <c r="X840" s="6" t="s">
        <v>169</v>
      </c>
      <c r="Z840" s="6" t="s">
        <v>170</v>
      </c>
      <c r="AA840" s="6" t="s">
        <v>171</v>
      </c>
      <c r="AB840" s="6">
        <v>0</v>
      </c>
      <c r="AC840" s="6" t="str">
        <f>"KEY-014"</f>
        <v>KEY-014</v>
      </c>
      <c r="AQ840" s="6" t="str">
        <f>""</f>
        <v/>
      </c>
      <c r="AR840" s="6" t="s">
        <v>1472</v>
      </c>
      <c r="AS840" s="6">
        <v>0</v>
      </c>
      <c r="AT840" s="6">
        <v>0</v>
      </c>
    </row>
    <row r="841" spans="2:46">
      <c r="B841" s="6" t="s">
        <v>111</v>
      </c>
      <c r="D841" s="6" t="s">
        <v>3316</v>
      </c>
      <c r="F841" s="6" t="s">
        <v>3758</v>
      </c>
      <c r="G841" s="6" t="str">
        <f>"3186252103330208"</f>
        <v>3186252103330208</v>
      </c>
      <c r="H841" s="6">
        <v>3186252103330200</v>
      </c>
      <c r="I841" s="6" t="s">
        <v>3759</v>
      </c>
      <c r="J841" s="6" t="str">
        <f>"18 GOLDEN WAVE OPS [NAVY]"</f>
        <v>18 GOLDEN WAVE OPS [NAVY]</v>
      </c>
      <c r="K841" s="6">
        <v>0</v>
      </c>
      <c r="L841" s="6">
        <v>0</v>
      </c>
      <c r="M841" s="6">
        <v>0</v>
      </c>
      <c r="N841" s="6" t="str">
        <f>""</f>
        <v/>
      </c>
      <c r="O841" s="6">
        <v>32393</v>
      </c>
      <c r="P841" s="6" t="s">
        <v>3760</v>
      </c>
      <c r="R841" s="6" t="s">
        <v>2111</v>
      </c>
      <c r="S841" s="6" t="s">
        <v>3761</v>
      </c>
      <c r="T841" s="6">
        <v>0</v>
      </c>
      <c r="U841" s="6">
        <v>0</v>
      </c>
      <c r="V841" s="6">
        <v>0</v>
      </c>
      <c r="W841" s="6">
        <v>0</v>
      </c>
      <c r="X841" s="6" t="s">
        <v>169</v>
      </c>
      <c r="Z841" s="6" t="s">
        <v>170</v>
      </c>
      <c r="AA841" s="6" t="s">
        <v>171</v>
      </c>
      <c r="AB841" s="6">
        <v>0</v>
      </c>
      <c r="AC841" s="6" t="str">
        <f>""</f>
        <v/>
      </c>
      <c r="AS841" s="6">
        <v>0</v>
      </c>
      <c r="AT841" s="6">
        <v>0</v>
      </c>
    </row>
    <row r="842" spans="2:46">
      <c r="B842" s="6" t="s">
        <v>111</v>
      </c>
      <c r="D842" s="6" t="s">
        <v>3316</v>
      </c>
      <c r="F842" s="6" t="s">
        <v>3762</v>
      </c>
      <c r="G842" s="6" t="str">
        <f>"3186252103374208"</f>
        <v>3186252103374208</v>
      </c>
      <c r="H842" s="6">
        <v>3186252103374200</v>
      </c>
      <c r="I842" s="6" t="s">
        <v>3763</v>
      </c>
      <c r="J842" s="6" t="str">
        <f>"18 GOLDEN WAVE OPS [BEIGE]"</f>
        <v>18 GOLDEN WAVE OPS [BEIGE]</v>
      </c>
      <c r="K842" s="6">
        <v>0</v>
      </c>
      <c r="L842" s="6">
        <v>0</v>
      </c>
      <c r="M842" s="6">
        <v>0</v>
      </c>
      <c r="N842" s="6" t="str">
        <f>""</f>
        <v/>
      </c>
      <c r="O842" s="6">
        <v>32391</v>
      </c>
      <c r="P842" s="6" t="s">
        <v>3764</v>
      </c>
      <c r="R842" s="6" t="s">
        <v>2102</v>
      </c>
      <c r="S842" s="6" t="s">
        <v>3765</v>
      </c>
      <c r="T842" s="6">
        <v>0</v>
      </c>
      <c r="U842" s="6">
        <v>0</v>
      </c>
      <c r="V842" s="6">
        <v>0</v>
      </c>
      <c r="W842" s="6">
        <v>0</v>
      </c>
      <c r="X842" s="6" t="s">
        <v>169</v>
      </c>
      <c r="Z842" s="6" t="s">
        <v>170</v>
      </c>
      <c r="AA842" s="6" t="s">
        <v>171</v>
      </c>
      <c r="AB842" s="6">
        <v>0</v>
      </c>
      <c r="AC842" s="6" t="str">
        <f>""</f>
        <v/>
      </c>
      <c r="AS842" s="6">
        <v>0</v>
      </c>
      <c r="AT842" s="6">
        <v>0</v>
      </c>
    </row>
    <row r="843" spans="2:46">
      <c r="B843" s="6" t="s">
        <v>111</v>
      </c>
      <c r="D843" s="6" t="s">
        <v>3316</v>
      </c>
      <c r="F843" s="6" t="s">
        <v>3766</v>
      </c>
      <c r="G843" s="6" t="str">
        <f>"3186212102130208"</f>
        <v>3186212102130208</v>
      </c>
      <c r="H843" s="6">
        <v>3186212102130200</v>
      </c>
      <c r="I843" s="6" t="s">
        <v>3767</v>
      </c>
      <c r="J843" s="6" t="str">
        <f>"18 CK CROP SH [NAVY]"</f>
        <v>18 CK CROP SH [NAVY]</v>
      </c>
      <c r="K843" s="6">
        <v>0</v>
      </c>
      <c r="L843" s="6">
        <v>0</v>
      </c>
      <c r="M843" s="6">
        <v>0</v>
      </c>
      <c r="N843" s="6" t="str">
        <f>""</f>
        <v/>
      </c>
      <c r="O843" s="6">
        <v>32389</v>
      </c>
      <c r="P843" s="6" t="s">
        <v>3768</v>
      </c>
      <c r="R843" s="6" t="s">
        <v>2111</v>
      </c>
      <c r="S843" s="6" t="s">
        <v>3769</v>
      </c>
      <c r="T843" s="6">
        <v>0</v>
      </c>
      <c r="U843" s="6">
        <v>0</v>
      </c>
      <c r="V843" s="6">
        <v>0</v>
      </c>
      <c r="W843" s="6">
        <v>0</v>
      </c>
      <c r="X843" s="6" t="s">
        <v>169</v>
      </c>
      <c r="Z843" s="6" t="s">
        <v>170</v>
      </c>
      <c r="AA843" s="6" t="s">
        <v>171</v>
      </c>
      <c r="AB843" s="6">
        <v>0</v>
      </c>
      <c r="AC843" s="6" t="str">
        <f>""</f>
        <v/>
      </c>
      <c r="AS843" s="6">
        <v>0</v>
      </c>
      <c r="AT843" s="6">
        <v>0</v>
      </c>
    </row>
    <row r="844" spans="2:46">
      <c r="B844" s="6" t="s">
        <v>111</v>
      </c>
      <c r="D844" s="6" t="s">
        <v>3316</v>
      </c>
      <c r="F844" s="6" t="s">
        <v>3770</v>
      </c>
      <c r="G844" s="6" t="str">
        <f>"3186212102165208"</f>
        <v>3186212102165208</v>
      </c>
      <c r="H844" s="6">
        <v>3186212102165200</v>
      </c>
      <c r="I844" s="6" t="s">
        <v>3771</v>
      </c>
      <c r="J844" s="6" t="str">
        <f>"18 CK CROP SH [YELLOW]"</f>
        <v>18 CK CROP SH [YELLOW]</v>
      </c>
      <c r="K844" s="6">
        <v>0</v>
      </c>
      <c r="L844" s="6">
        <v>0</v>
      </c>
      <c r="M844" s="6">
        <v>0</v>
      </c>
      <c r="N844" s="6" t="str">
        <f>""</f>
        <v/>
      </c>
      <c r="O844" s="6">
        <v>32387</v>
      </c>
      <c r="P844" s="6" t="s">
        <v>3772</v>
      </c>
      <c r="R844" s="6" t="s">
        <v>2570</v>
      </c>
      <c r="S844" s="6" t="s">
        <v>3773</v>
      </c>
      <c r="T844" s="6">
        <v>0</v>
      </c>
      <c r="U844" s="6">
        <v>0</v>
      </c>
      <c r="V844" s="6">
        <v>0</v>
      </c>
      <c r="W844" s="6">
        <v>0</v>
      </c>
      <c r="X844" s="6" t="s">
        <v>169</v>
      </c>
      <c r="Z844" s="6" t="s">
        <v>170</v>
      </c>
      <c r="AA844" s="6" t="s">
        <v>171</v>
      </c>
      <c r="AB844" s="6">
        <v>0</v>
      </c>
      <c r="AC844" s="6" t="str">
        <f>""</f>
        <v/>
      </c>
      <c r="AS844" s="6">
        <v>0</v>
      </c>
      <c r="AT844" s="6">
        <v>0</v>
      </c>
    </row>
    <row r="845" spans="2:46">
      <c r="B845" s="6" t="s">
        <v>111</v>
      </c>
      <c r="D845" s="6" t="s">
        <v>3316</v>
      </c>
      <c r="F845" s="6" t="s">
        <v>3774</v>
      </c>
      <c r="G845" s="6" t="str">
        <f>"3186242100230208"</f>
        <v>3186242100230208</v>
      </c>
      <c r="H845" s="6">
        <v>3186242100230200</v>
      </c>
      <c r="I845" s="6" t="s">
        <v>3775</v>
      </c>
      <c r="J845" s="6" t="str">
        <f>"18 DIAMOND BL [NAVY]"</f>
        <v>18 DIAMOND BL [NAVY]</v>
      </c>
      <c r="K845" s="6">
        <v>0</v>
      </c>
      <c r="L845" s="6">
        <v>0</v>
      </c>
      <c r="M845" s="6">
        <v>0</v>
      </c>
      <c r="N845" s="6" t="str">
        <f>""</f>
        <v/>
      </c>
      <c r="O845" s="6">
        <v>32385</v>
      </c>
      <c r="P845" s="6" t="s">
        <v>3776</v>
      </c>
      <c r="R845" s="6" t="s">
        <v>2111</v>
      </c>
      <c r="S845" s="6" t="s">
        <v>3777</v>
      </c>
      <c r="T845" s="6">
        <v>0</v>
      </c>
      <c r="U845" s="6">
        <v>0</v>
      </c>
      <c r="V845" s="6">
        <v>0</v>
      </c>
      <c r="W845" s="6">
        <v>0</v>
      </c>
      <c r="X845" s="6" t="s">
        <v>169</v>
      </c>
      <c r="Z845" s="6" t="s">
        <v>170</v>
      </c>
      <c r="AA845" s="6" t="s">
        <v>171</v>
      </c>
      <c r="AB845" s="6">
        <v>0</v>
      </c>
      <c r="AC845" s="6" t="str">
        <f>""</f>
        <v/>
      </c>
      <c r="AS845" s="6">
        <v>0</v>
      </c>
      <c r="AT845" s="6">
        <v>0</v>
      </c>
    </row>
    <row r="846" spans="2:46">
      <c r="B846" s="6" t="s">
        <v>111</v>
      </c>
      <c r="D846" s="6" t="s">
        <v>3316</v>
      </c>
      <c r="F846" s="6" t="s">
        <v>3778</v>
      </c>
      <c r="G846" s="6" t="str">
        <f>"3186242100269208"</f>
        <v>3186242100269208</v>
      </c>
      <c r="H846" s="6">
        <v>3186242100269200</v>
      </c>
      <c r="I846" s="6" t="s">
        <v>3779</v>
      </c>
      <c r="J846" s="6" t="str">
        <f>"18 DIAMOND BL [IVORY]"</f>
        <v>18 DIAMOND BL [IVORY]</v>
      </c>
      <c r="K846" s="6">
        <v>0</v>
      </c>
      <c r="L846" s="6">
        <v>0</v>
      </c>
      <c r="M846" s="6">
        <v>0</v>
      </c>
      <c r="N846" s="6" t="str">
        <f>""</f>
        <v/>
      </c>
      <c r="O846" s="6">
        <v>32383</v>
      </c>
      <c r="P846" s="6" t="s">
        <v>3780</v>
      </c>
      <c r="R846" s="6" t="s">
        <v>2356</v>
      </c>
      <c r="S846" s="6" t="s">
        <v>3781</v>
      </c>
      <c r="T846" s="6">
        <v>0</v>
      </c>
      <c r="U846" s="6">
        <v>0</v>
      </c>
      <c r="V846" s="6">
        <v>0</v>
      </c>
      <c r="W846" s="6">
        <v>0</v>
      </c>
      <c r="X846" s="6" t="s">
        <v>169</v>
      </c>
      <c r="Z846" s="6" t="s">
        <v>170</v>
      </c>
      <c r="AA846" s="6" t="s">
        <v>171</v>
      </c>
      <c r="AB846" s="6">
        <v>0</v>
      </c>
      <c r="AC846" s="6" t="str">
        <f>""</f>
        <v/>
      </c>
      <c r="AS846" s="6">
        <v>0</v>
      </c>
      <c r="AT846" s="6">
        <v>0</v>
      </c>
    </row>
    <row r="847" spans="2:46">
      <c r="B847" s="6" t="s">
        <v>111</v>
      </c>
      <c r="D847" s="6" t="s">
        <v>3316</v>
      </c>
      <c r="F847" s="6" t="s">
        <v>3782</v>
      </c>
      <c r="G847" s="6" t="str">
        <f>"3186242100361208"</f>
        <v>3186242100361208</v>
      </c>
      <c r="H847" s="6">
        <v>3186242100361200</v>
      </c>
      <c r="I847" s="6" t="s">
        <v>3783</v>
      </c>
      <c r="J847" s="6" t="str">
        <f>"18 GOLDEN CHECK BL [RED]"</f>
        <v>18 GOLDEN CHECK BL [RED]</v>
      </c>
      <c r="K847" s="6">
        <v>0</v>
      </c>
      <c r="L847" s="6">
        <v>0</v>
      </c>
      <c r="M847" s="6">
        <v>0</v>
      </c>
      <c r="N847" s="6" t="str">
        <f>""</f>
        <v/>
      </c>
      <c r="O847" s="6">
        <v>32381</v>
      </c>
      <c r="P847" s="6" t="s">
        <v>3784</v>
      </c>
      <c r="R847" s="6" t="s">
        <v>2309</v>
      </c>
      <c r="S847" s="6" t="s">
        <v>3785</v>
      </c>
      <c r="T847" s="6">
        <v>0</v>
      </c>
      <c r="U847" s="6">
        <v>0</v>
      </c>
      <c r="V847" s="6">
        <v>0</v>
      </c>
      <c r="W847" s="6">
        <v>0</v>
      </c>
      <c r="X847" s="6" t="s">
        <v>169</v>
      </c>
      <c r="Z847" s="6" t="s">
        <v>170</v>
      </c>
      <c r="AA847" s="6" t="s">
        <v>171</v>
      </c>
      <c r="AB847" s="6">
        <v>0</v>
      </c>
      <c r="AC847" s="6" t="str">
        <f>""</f>
        <v/>
      </c>
      <c r="AS847" s="6">
        <v>0</v>
      </c>
      <c r="AT847" s="6">
        <v>0</v>
      </c>
    </row>
    <row r="848" spans="2:46">
      <c r="B848" s="6" t="s">
        <v>111</v>
      </c>
      <c r="D848" s="6" t="s">
        <v>3316</v>
      </c>
      <c r="F848" s="6" t="s">
        <v>3786</v>
      </c>
      <c r="G848" s="6" t="str">
        <f>"3186242100365208"</f>
        <v>3186242100365208</v>
      </c>
      <c r="H848" s="6">
        <v>3186242100365200</v>
      </c>
      <c r="I848" s="6" t="s">
        <v>3787</v>
      </c>
      <c r="J848" s="6" t="str">
        <f>"18 GOLDEN CHECK BL [YELLOW]"</f>
        <v>18 GOLDEN CHECK BL [YELLOW]</v>
      </c>
      <c r="K848" s="6">
        <v>0</v>
      </c>
      <c r="L848" s="6">
        <v>0</v>
      </c>
      <c r="M848" s="6">
        <v>0</v>
      </c>
      <c r="N848" s="6" t="str">
        <f>""</f>
        <v/>
      </c>
      <c r="O848" s="6">
        <v>32379</v>
      </c>
      <c r="P848" s="6" t="s">
        <v>3788</v>
      </c>
      <c r="R848" s="6" t="s">
        <v>2570</v>
      </c>
      <c r="S848" s="6" t="s">
        <v>3789</v>
      </c>
      <c r="T848" s="6">
        <v>0</v>
      </c>
      <c r="U848" s="6">
        <v>0</v>
      </c>
      <c r="V848" s="6">
        <v>0</v>
      </c>
      <c r="W848" s="6">
        <v>0</v>
      </c>
      <c r="X848" s="6" t="s">
        <v>169</v>
      </c>
      <c r="Z848" s="6" t="s">
        <v>170</v>
      </c>
      <c r="AA848" s="6" t="s">
        <v>171</v>
      </c>
      <c r="AB848" s="6">
        <v>0</v>
      </c>
      <c r="AC848" s="6" t="str">
        <f>""</f>
        <v/>
      </c>
      <c r="AS848" s="6">
        <v>0</v>
      </c>
      <c r="AT848" s="6">
        <v>0</v>
      </c>
    </row>
    <row r="849" spans="2:46">
      <c r="B849" s="6" t="s">
        <v>111</v>
      </c>
      <c r="D849" s="6" t="s">
        <v>3316</v>
      </c>
      <c r="F849" s="6" t="s">
        <v>3790</v>
      </c>
      <c r="G849" s="6" t="str">
        <f>"3186242100145208"</f>
        <v>3186242100145208</v>
      </c>
      <c r="H849" s="6">
        <v>3186242100145200</v>
      </c>
      <c r="I849" s="6" t="s">
        <v>3791</v>
      </c>
      <c r="J849" s="6" t="str">
        <f>"18 FRILL BL [GREEN]"</f>
        <v>18 FRILL BL [GREEN]</v>
      </c>
      <c r="K849" s="6">
        <v>0</v>
      </c>
      <c r="L849" s="6">
        <v>0</v>
      </c>
      <c r="M849" s="6">
        <v>0</v>
      </c>
      <c r="N849" s="6" t="str">
        <f>""</f>
        <v/>
      </c>
      <c r="O849" s="6">
        <v>32377</v>
      </c>
      <c r="P849" s="6" t="s">
        <v>3792</v>
      </c>
      <c r="R849" s="6" t="s">
        <v>2512</v>
      </c>
      <c r="S849" s="6" t="s">
        <v>3793</v>
      </c>
      <c r="T849" s="6">
        <v>0</v>
      </c>
      <c r="U849" s="6">
        <v>0</v>
      </c>
      <c r="V849" s="6">
        <v>0</v>
      </c>
      <c r="W849" s="6">
        <v>0</v>
      </c>
      <c r="X849" s="6" t="s">
        <v>169</v>
      </c>
      <c r="Z849" s="6" t="s">
        <v>170</v>
      </c>
      <c r="AA849" s="6" t="s">
        <v>171</v>
      </c>
      <c r="AB849" s="6">
        <v>0</v>
      </c>
      <c r="AC849" s="6" t="str">
        <f>""</f>
        <v/>
      </c>
      <c r="AS849" s="6">
        <v>0</v>
      </c>
      <c r="AT849" s="6">
        <v>0</v>
      </c>
    </row>
    <row r="850" spans="2:46">
      <c r="B850" s="6" t="s">
        <v>111</v>
      </c>
      <c r="D850" s="6" t="s">
        <v>3316</v>
      </c>
      <c r="F850" s="6" t="s">
        <v>3794</v>
      </c>
      <c r="G850" s="6" t="str">
        <f>"3186242100174208"</f>
        <v>3186242100174208</v>
      </c>
      <c r="H850" s="6">
        <v>3186242100174200</v>
      </c>
      <c r="I850" s="6" t="s">
        <v>3795</v>
      </c>
      <c r="J850" s="6" t="str">
        <f>"18 FRILL BL [BEIGE]"</f>
        <v>18 FRILL BL [BEIGE]</v>
      </c>
      <c r="K850" s="6">
        <v>0</v>
      </c>
      <c r="L850" s="6">
        <v>0</v>
      </c>
      <c r="M850" s="6">
        <v>0</v>
      </c>
      <c r="N850" s="6" t="str">
        <f>""</f>
        <v/>
      </c>
      <c r="O850" s="6">
        <v>32375</v>
      </c>
      <c r="P850" s="6" t="s">
        <v>3796</v>
      </c>
      <c r="R850" s="6" t="s">
        <v>2102</v>
      </c>
      <c r="S850" s="6" t="s">
        <v>3797</v>
      </c>
      <c r="T850" s="6">
        <v>0</v>
      </c>
      <c r="U850" s="6">
        <v>0</v>
      </c>
      <c r="V850" s="6">
        <v>0</v>
      </c>
      <c r="W850" s="6">
        <v>0</v>
      </c>
      <c r="X850" s="6" t="s">
        <v>169</v>
      </c>
      <c r="Z850" s="6" t="s">
        <v>170</v>
      </c>
      <c r="AA850" s="6" t="s">
        <v>171</v>
      </c>
      <c r="AB850" s="6">
        <v>0</v>
      </c>
      <c r="AC850" s="6" t="str">
        <f>""</f>
        <v/>
      </c>
      <c r="AS850" s="6">
        <v>0</v>
      </c>
      <c r="AT850" s="6">
        <v>0</v>
      </c>
    </row>
    <row r="851" spans="2:46">
      <c r="B851" s="6" t="s">
        <v>111</v>
      </c>
      <c r="D851" s="6" t="s">
        <v>3316</v>
      </c>
      <c r="F851" s="6" t="s">
        <v>3798</v>
      </c>
      <c r="G851" s="6" t="str">
        <f>"3186242100169208"</f>
        <v>3186242100169208</v>
      </c>
      <c r="H851" s="6">
        <v>3186242100169200</v>
      </c>
      <c r="I851" s="6" t="s">
        <v>3799</v>
      </c>
      <c r="J851" s="6" t="str">
        <f>"18 FRILL BL [IVORY]"</f>
        <v>18 FRILL BL [IVORY]</v>
      </c>
      <c r="K851" s="6">
        <v>0</v>
      </c>
      <c r="L851" s="6">
        <v>0</v>
      </c>
      <c r="M851" s="6">
        <v>0</v>
      </c>
      <c r="N851" s="6" t="str">
        <f>""</f>
        <v/>
      </c>
      <c r="O851" s="6">
        <v>32373</v>
      </c>
      <c r="P851" s="6" t="s">
        <v>3800</v>
      </c>
      <c r="R851" s="6" t="s">
        <v>2356</v>
      </c>
      <c r="S851" s="6" t="s">
        <v>3801</v>
      </c>
      <c r="T851" s="6">
        <v>0</v>
      </c>
      <c r="U851" s="6">
        <v>0</v>
      </c>
      <c r="V851" s="6">
        <v>0</v>
      </c>
      <c r="W851" s="6">
        <v>0</v>
      </c>
      <c r="X851" s="6" t="s">
        <v>169</v>
      </c>
      <c r="Z851" s="6" t="s">
        <v>170</v>
      </c>
      <c r="AA851" s="6" t="s">
        <v>171</v>
      </c>
      <c r="AB851" s="6">
        <v>0</v>
      </c>
      <c r="AC851" s="6" t="str">
        <f>""</f>
        <v/>
      </c>
      <c r="AS851" s="6">
        <v>0</v>
      </c>
      <c r="AT851" s="6">
        <v>0</v>
      </c>
    </row>
    <row r="852" spans="2:46">
      <c r="B852" s="6" t="s">
        <v>111</v>
      </c>
      <c r="D852" s="6" t="s">
        <v>3316</v>
      </c>
      <c r="F852" s="6" t="s">
        <v>3802</v>
      </c>
      <c r="G852" s="6" t="str">
        <f>"3186222107899208"</f>
        <v>3186222107899208</v>
      </c>
      <c r="H852" s="6">
        <v>3186222107899200</v>
      </c>
      <c r="I852" s="6" t="s">
        <v>3803</v>
      </c>
      <c r="J852" s="6" t="str">
        <f>"18 SLOGAN TS [BLACK]"</f>
        <v>18 SLOGAN TS [BLACK]</v>
      </c>
      <c r="K852" s="6">
        <v>0</v>
      </c>
      <c r="L852" s="6">
        <v>0</v>
      </c>
      <c r="M852" s="6">
        <v>0</v>
      </c>
      <c r="N852" s="6" t="str">
        <f>""</f>
        <v/>
      </c>
      <c r="O852" s="6">
        <v>32371</v>
      </c>
      <c r="P852" s="6" t="s">
        <v>3804</v>
      </c>
      <c r="R852" s="6" t="s">
        <v>2106</v>
      </c>
      <c r="S852" s="6" t="s">
        <v>3805</v>
      </c>
      <c r="T852" s="6">
        <v>0</v>
      </c>
      <c r="U852" s="6">
        <v>0</v>
      </c>
      <c r="V852" s="6">
        <v>0</v>
      </c>
      <c r="W852" s="6">
        <v>0</v>
      </c>
      <c r="X852" s="6" t="s">
        <v>169</v>
      </c>
      <c r="Z852" s="6" t="s">
        <v>170</v>
      </c>
      <c r="AA852" s="6" t="s">
        <v>171</v>
      </c>
      <c r="AB852" s="6">
        <v>0</v>
      </c>
      <c r="AC852" s="6" t="str">
        <f>""</f>
        <v/>
      </c>
      <c r="AS852" s="6">
        <v>0</v>
      </c>
      <c r="AT852" s="6">
        <v>0</v>
      </c>
    </row>
    <row r="853" spans="2:46">
      <c r="B853" s="6" t="s">
        <v>111</v>
      </c>
      <c r="D853" s="6" t="s">
        <v>3316</v>
      </c>
      <c r="F853" s="6" t="s">
        <v>3806</v>
      </c>
      <c r="G853" s="6" t="str">
        <f>"3186222107869208"</f>
        <v>3186222107869208</v>
      </c>
      <c r="H853" s="6">
        <v>3186222107869200</v>
      </c>
      <c r="I853" s="6" t="s">
        <v>3807</v>
      </c>
      <c r="J853" s="6" t="str">
        <f>"18 SLOGAN TS [IVORY]"</f>
        <v>18 SLOGAN TS [IVORY]</v>
      </c>
      <c r="K853" s="6">
        <v>0</v>
      </c>
      <c r="L853" s="6">
        <v>0</v>
      </c>
      <c r="M853" s="6">
        <v>0</v>
      </c>
      <c r="N853" s="6" t="str">
        <f>""</f>
        <v/>
      </c>
      <c r="O853" s="6">
        <v>32369</v>
      </c>
      <c r="P853" s="6" t="s">
        <v>3808</v>
      </c>
      <c r="R853" s="6" t="s">
        <v>2356</v>
      </c>
      <c r="S853" s="6" t="s">
        <v>3809</v>
      </c>
      <c r="T853" s="6">
        <v>0</v>
      </c>
      <c r="U853" s="6">
        <v>0</v>
      </c>
      <c r="V853" s="6">
        <v>0</v>
      </c>
      <c r="W853" s="6">
        <v>0</v>
      </c>
      <c r="X853" s="6" t="s">
        <v>169</v>
      </c>
      <c r="Z853" s="6" t="s">
        <v>170</v>
      </c>
      <c r="AA853" s="6" t="s">
        <v>171</v>
      </c>
      <c r="AB853" s="6">
        <v>0</v>
      </c>
      <c r="AC853" s="6" t="str">
        <f>""</f>
        <v/>
      </c>
      <c r="AS853" s="6">
        <v>0</v>
      </c>
      <c r="AT853" s="6">
        <v>0</v>
      </c>
    </row>
    <row r="854" spans="2:46">
      <c r="B854" s="6" t="s">
        <v>111</v>
      </c>
      <c r="D854" s="6" t="s">
        <v>3316</v>
      </c>
      <c r="F854" s="6" t="s">
        <v>3810</v>
      </c>
      <c r="G854" s="6" t="str">
        <f>"3186222105430208"</f>
        <v>3186222105430208</v>
      </c>
      <c r="H854" s="6">
        <v>3186222105430200</v>
      </c>
      <c r="I854" s="6" t="s">
        <v>3811</v>
      </c>
      <c r="J854" s="6" t="str">
        <f>"18 GOLDEN SILHOUETTE TS [NAVY]"</f>
        <v>18 GOLDEN SILHOUETTE TS [NAVY]</v>
      </c>
      <c r="K854" s="6">
        <v>0</v>
      </c>
      <c r="L854" s="6">
        <v>0</v>
      </c>
      <c r="M854" s="6">
        <v>0</v>
      </c>
      <c r="N854" s="6" t="str">
        <f>""</f>
        <v/>
      </c>
      <c r="O854" s="6">
        <v>32367</v>
      </c>
      <c r="P854" s="6" t="s">
        <v>3812</v>
      </c>
      <c r="R854" s="6" t="s">
        <v>2111</v>
      </c>
      <c r="S854" s="6" t="s">
        <v>3813</v>
      </c>
      <c r="T854" s="6">
        <v>0</v>
      </c>
      <c r="U854" s="6">
        <v>0</v>
      </c>
      <c r="V854" s="6">
        <v>0</v>
      </c>
      <c r="W854" s="6">
        <v>0</v>
      </c>
      <c r="X854" s="6" t="s">
        <v>169</v>
      </c>
      <c r="Z854" s="6" t="s">
        <v>170</v>
      </c>
      <c r="AA854" s="6" t="s">
        <v>171</v>
      </c>
      <c r="AB854" s="6">
        <v>0</v>
      </c>
      <c r="AC854" s="6" t="str">
        <f>""</f>
        <v/>
      </c>
      <c r="AS854" s="6">
        <v>0</v>
      </c>
      <c r="AT854" s="6">
        <v>0</v>
      </c>
    </row>
    <row r="855" spans="2:46">
      <c r="B855" s="6" t="s">
        <v>111</v>
      </c>
      <c r="D855" s="6" t="s">
        <v>3316</v>
      </c>
      <c r="F855" s="6" t="s">
        <v>3814</v>
      </c>
      <c r="G855" s="6" t="str">
        <f>"3186222105469208"</f>
        <v>3186222105469208</v>
      </c>
      <c r="H855" s="6">
        <v>3186222105469200</v>
      </c>
      <c r="I855" s="6" t="s">
        <v>3815</v>
      </c>
      <c r="J855" s="6" t="str">
        <f>"18 GOLDEN SILHOUETTE TS [IVORY]"</f>
        <v>18 GOLDEN SILHOUETTE TS [IVORY]</v>
      </c>
      <c r="K855" s="6">
        <v>0</v>
      </c>
      <c r="L855" s="6">
        <v>0</v>
      </c>
      <c r="M855" s="6">
        <v>0</v>
      </c>
      <c r="N855" s="6" t="str">
        <f>""</f>
        <v/>
      </c>
      <c r="O855" s="6">
        <v>32365</v>
      </c>
      <c r="P855" s="6" t="s">
        <v>3816</v>
      </c>
      <c r="R855" s="6" t="s">
        <v>2356</v>
      </c>
      <c r="S855" s="6" t="s">
        <v>3817</v>
      </c>
      <c r="T855" s="6">
        <v>0</v>
      </c>
      <c r="U855" s="6">
        <v>0</v>
      </c>
      <c r="V855" s="6">
        <v>0</v>
      </c>
      <c r="W855" s="6">
        <v>0</v>
      </c>
      <c r="X855" s="6" t="s">
        <v>169</v>
      </c>
      <c r="Z855" s="6" t="s">
        <v>170</v>
      </c>
      <c r="AA855" s="6" t="s">
        <v>171</v>
      </c>
      <c r="AB855" s="6">
        <v>0</v>
      </c>
      <c r="AC855" s="6" t="str">
        <f>""</f>
        <v/>
      </c>
      <c r="AS855" s="6">
        <v>0</v>
      </c>
      <c r="AT855" s="6">
        <v>0</v>
      </c>
    </row>
    <row r="856" spans="2:46">
      <c r="B856" s="6" t="s">
        <v>111</v>
      </c>
      <c r="D856" s="6" t="s">
        <v>3316</v>
      </c>
      <c r="F856" s="6" t="s">
        <v>3818</v>
      </c>
      <c r="G856" s="6" t="str">
        <f>"3186222110830208"</f>
        <v>3186222110830208</v>
      </c>
      <c r="H856" s="6">
        <v>3186222110830200</v>
      </c>
      <c r="I856" s="6" t="s">
        <v>3819</v>
      </c>
      <c r="J856" s="6" t="str">
        <f>"18 V-DIAMOND TS [NAVY]"</f>
        <v>18 V-DIAMOND TS [NAVY]</v>
      </c>
      <c r="K856" s="6">
        <v>0</v>
      </c>
      <c r="L856" s="6">
        <v>0</v>
      </c>
      <c r="M856" s="6">
        <v>0</v>
      </c>
      <c r="N856" s="6" t="str">
        <f>""</f>
        <v/>
      </c>
      <c r="O856" s="6">
        <v>32363</v>
      </c>
      <c r="P856" s="6" t="s">
        <v>3820</v>
      </c>
      <c r="R856" s="6" t="s">
        <v>2111</v>
      </c>
      <c r="S856" s="6" t="s">
        <v>3821</v>
      </c>
      <c r="T856" s="6">
        <v>0</v>
      </c>
      <c r="U856" s="6">
        <v>0</v>
      </c>
      <c r="V856" s="6">
        <v>0</v>
      </c>
      <c r="W856" s="6">
        <v>0</v>
      </c>
      <c r="X856" s="6" t="s">
        <v>169</v>
      </c>
      <c r="Z856" s="6" t="s">
        <v>170</v>
      </c>
      <c r="AA856" s="6" t="s">
        <v>171</v>
      </c>
      <c r="AB856" s="6">
        <v>0</v>
      </c>
      <c r="AC856" s="6" t="str">
        <f>""</f>
        <v/>
      </c>
      <c r="AS856" s="6">
        <v>0</v>
      </c>
      <c r="AT856" s="6">
        <v>0</v>
      </c>
    </row>
    <row r="857" spans="2:46">
      <c r="B857" s="6" t="s">
        <v>111</v>
      </c>
      <c r="D857" s="6" t="s">
        <v>3316</v>
      </c>
      <c r="F857" s="6" t="s">
        <v>3822</v>
      </c>
      <c r="G857" s="6" t="str">
        <f>"3186222110865208"</f>
        <v>3186222110865208</v>
      </c>
      <c r="H857" s="6">
        <v>3186222110865200</v>
      </c>
      <c r="I857" s="6" t="s">
        <v>3823</v>
      </c>
      <c r="J857" s="6" t="str">
        <f>"18 V-DIAMOND TS [YELLOW]"</f>
        <v>18 V-DIAMOND TS [YELLOW]</v>
      </c>
      <c r="K857" s="6">
        <v>0</v>
      </c>
      <c r="L857" s="6">
        <v>0</v>
      </c>
      <c r="M857" s="6">
        <v>0</v>
      </c>
      <c r="N857" s="6" t="str">
        <f>""</f>
        <v/>
      </c>
      <c r="O857" s="6">
        <v>32361</v>
      </c>
      <c r="P857" s="6" t="s">
        <v>3824</v>
      </c>
      <c r="R857" s="6" t="s">
        <v>2570</v>
      </c>
      <c r="S857" s="6" t="s">
        <v>3825</v>
      </c>
      <c r="T857" s="6">
        <v>0</v>
      </c>
      <c r="U857" s="6">
        <v>0</v>
      </c>
      <c r="V857" s="6">
        <v>0</v>
      </c>
      <c r="W857" s="6">
        <v>0</v>
      </c>
      <c r="X857" s="6" t="s">
        <v>169</v>
      </c>
      <c r="Z857" s="6" t="s">
        <v>170</v>
      </c>
      <c r="AA857" s="6" t="s">
        <v>171</v>
      </c>
      <c r="AB857" s="6">
        <v>0</v>
      </c>
      <c r="AC857" s="6" t="str">
        <f>""</f>
        <v/>
      </c>
      <c r="AS857" s="6">
        <v>0</v>
      </c>
      <c r="AT857" s="6">
        <v>0</v>
      </c>
    </row>
    <row r="858" spans="2:46">
      <c r="B858" s="6" t="s">
        <v>111</v>
      </c>
      <c r="D858" s="6" t="s">
        <v>3316</v>
      </c>
      <c r="F858" s="6" t="s">
        <v>3826</v>
      </c>
      <c r="G858" s="6" t="str">
        <f>"3186222105230208"</f>
        <v>3186222105230208</v>
      </c>
      <c r="H858" s="6">
        <v>3186222105230200</v>
      </c>
      <c r="I858" s="6" t="s">
        <v>3827</v>
      </c>
      <c r="J858" s="6" t="str">
        <f>"18 FRONT WAG TS [NAVY]"</f>
        <v>18 FRONT WAG TS [NAVY]</v>
      </c>
      <c r="K858" s="6">
        <v>0</v>
      </c>
      <c r="L858" s="6">
        <v>0</v>
      </c>
      <c r="M858" s="6">
        <v>0</v>
      </c>
      <c r="N858" s="6" t="str">
        <f>""</f>
        <v/>
      </c>
      <c r="O858" s="6">
        <v>32359</v>
      </c>
      <c r="P858" s="6" t="s">
        <v>3828</v>
      </c>
      <c r="R858" s="6" t="s">
        <v>2111</v>
      </c>
      <c r="S858" s="6" t="s">
        <v>3829</v>
      </c>
      <c r="T858" s="6">
        <v>0</v>
      </c>
      <c r="U858" s="6">
        <v>0</v>
      </c>
      <c r="V858" s="6">
        <v>0</v>
      </c>
      <c r="W858" s="6">
        <v>0</v>
      </c>
      <c r="X858" s="6" t="s">
        <v>169</v>
      </c>
      <c r="Z858" s="6" t="s">
        <v>170</v>
      </c>
      <c r="AA858" s="6" t="s">
        <v>171</v>
      </c>
      <c r="AB858" s="6">
        <v>0</v>
      </c>
      <c r="AC858" s="6" t="str">
        <f>""</f>
        <v/>
      </c>
      <c r="AS858" s="6">
        <v>0</v>
      </c>
      <c r="AT858" s="6">
        <v>0</v>
      </c>
    </row>
    <row r="859" spans="2:46">
      <c r="B859" s="6" t="s">
        <v>111</v>
      </c>
      <c r="D859" s="6" t="s">
        <v>3316</v>
      </c>
      <c r="F859" s="6" t="s">
        <v>3830</v>
      </c>
      <c r="G859" s="6" t="str">
        <f>"3186222105201208"</f>
        <v>3186222105201208</v>
      </c>
      <c r="H859" s="6">
        <v>3186222105201200</v>
      </c>
      <c r="I859" s="6" t="s">
        <v>3831</v>
      </c>
      <c r="J859" s="6" t="str">
        <f>"18 FRONT WAG TS [D/PINK]"</f>
        <v>18 FRONT WAG TS [D/PINK]</v>
      </c>
      <c r="K859" s="6">
        <v>0</v>
      </c>
      <c r="L859" s="6">
        <v>0</v>
      </c>
      <c r="M859" s="6">
        <v>0</v>
      </c>
      <c r="N859" s="6" t="str">
        <f>""</f>
        <v/>
      </c>
      <c r="O859" s="6">
        <v>32357</v>
      </c>
      <c r="P859" s="6" t="s">
        <v>3832</v>
      </c>
      <c r="R859" s="6" t="s">
        <v>3833</v>
      </c>
      <c r="S859" s="6" t="s">
        <v>3834</v>
      </c>
      <c r="T859" s="6">
        <v>0</v>
      </c>
      <c r="U859" s="6">
        <v>0</v>
      </c>
      <c r="V859" s="6">
        <v>0</v>
      </c>
      <c r="W859" s="6">
        <v>0</v>
      </c>
      <c r="X859" s="6" t="s">
        <v>169</v>
      </c>
      <c r="Z859" s="6" t="s">
        <v>170</v>
      </c>
      <c r="AA859" s="6" t="s">
        <v>171</v>
      </c>
      <c r="AB859" s="6">
        <v>0</v>
      </c>
      <c r="AC859" s="6" t="str">
        <f>""</f>
        <v/>
      </c>
      <c r="AS859" s="6">
        <v>0</v>
      </c>
      <c r="AT859" s="6">
        <v>0</v>
      </c>
    </row>
    <row r="860" spans="2:46">
      <c r="B860" s="6" t="s">
        <v>111</v>
      </c>
      <c r="D860" s="6" t="s">
        <v>3316</v>
      </c>
      <c r="F860" s="6" t="s">
        <v>3835</v>
      </c>
      <c r="G860" s="6" t="str">
        <f>"3186222105269208"</f>
        <v>3186222105269208</v>
      </c>
      <c r="H860" s="6">
        <v>3186222105269200</v>
      </c>
      <c r="I860" s="6" t="s">
        <v>3836</v>
      </c>
      <c r="J860" s="6" t="str">
        <f>"18 FRONT WAG TS [IVORY]"</f>
        <v>18 FRONT WAG TS [IVORY]</v>
      </c>
      <c r="K860" s="6">
        <v>0</v>
      </c>
      <c r="L860" s="6">
        <v>0</v>
      </c>
      <c r="M860" s="6">
        <v>0</v>
      </c>
      <c r="N860" s="6" t="str">
        <f>""</f>
        <v/>
      </c>
      <c r="O860" s="6">
        <v>32355</v>
      </c>
      <c r="P860" s="6" t="s">
        <v>3837</v>
      </c>
      <c r="R860" s="6" t="s">
        <v>2356</v>
      </c>
      <c r="S860" s="6" t="s">
        <v>3838</v>
      </c>
      <c r="T860" s="6">
        <v>0</v>
      </c>
      <c r="U860" s="6">
        <v>0</v>
      </c>
      <c r="V860" s="6">
        <v>0</v>
      </c>
      <c r="W860" s="6">
        <v>0</v>
      </c>
      <c r="X860" s="6" t="s">
        <v>169</v>
      </c>
      <c r="Z860" s="6" t="s">
        <v>170</v>
      </c>
      <c r="AA860" s="6" t="s">
        <v>171</v>
      </c>
      <c r="AB860" s="6">
        <v>0</v>
      </c>
      <c r="AC860" s="6" t="str">
        <f>""</f>
        <v/>
      </c>
      <c r="AS860" s="6">
        <v>0</v>
      </c>
      <c r="AT860" s="6">
        <v>0</v>
      </c>
    </row>
    <row r="861" spans="2:46">
      <c r="B861" s="6" t="s">
        <v>111</v>
      </c>
      <c r="D861" s="6" t="s">
        <v>3316</v>
      </c>
      <c r="F861" s="6" t="s">
        <v>3839</v>
      </c>
      <c r="G861" s="6" t="str">
        <f>"3186222109630208"</f>
        <v>3186222109630208</v>
      </c>
      <c r="H861" s="6">
        <v>3186222109630200</v>
      </c>
      <c r="I861" s="6" t="s">
        <v>3840</v>
      </c>
      <c r="J861" s="6" t="str">
        <f>"18 GOLDEN PLEAT TS [NAVY]"</f>
        <v>18 GOLDEN PLEAT TS [NAVY]</v>
      </c>
      <c r="K861" s="6">
        <v>0</v>
      </c>
      <c r="L861" s="6">
        <v>0</v>
      </c>
      <c r="M861" s="6">
        <v>0</v>
      </c>
      <c r="N861" s="6" t="str">
        <f>""</f>
        <v/>
      </c>
      <c r="O861" s="6">
        <v>32353</v>
      </c>
      <c r="P861" s="6" t="s">
        <v>3841</v>
      </c>
      <c r="R861" s="6" t="s">
        <v>2111</v>
      </c>
      <c r="S861" s="6" t="s">
        <v>3842</v>
      </c>
      <c r="T861" s="6">
        <v>0</v>
      </c>
      <c r="U861" s="6">
        <v>0</v>
      </c>
      <c r="V861" s="6">
        <v>0</v>
      </c>
      <c r="W861" s="6">
        <v>0</v>
      </c>
      <c r="X861" s="6" t="s">
        <v>169</v>
      </c>
      <c r="Z861" s="6" t="s">
        <v>170</v>
      </c>
      <c r="AA861" s="6" t="s">
        <v>171</v>
      </c>
      <c r="AB861" s="6">
        <v>0</v>
      </c>
      <c r="AC861" s="6" t="str">
        <f>""</f>
        <v/>
      </c>
      <c r="AS861" s="6">
        <v>0</v>
      </c>
      <c r="AT861" s="6">
        <v>0</v>
      </c>
    </row>
    <row r="862" spans="2:46">
      <c r="B862" s="6" t="s">
        <v>111</v>
      </c>
      <c r="D862" s="6" t="s">
        <v>3316</v>
      </c>
      <c r="F862" s="6" t="s">
        <v>3843</v>
      </c>
      <c r="G862" s="6" t="str">
        <f>"3186222109601208"</f>
        <v>3186222109601208</v>
      </c>
      <c r="I862" s="6" t="s">
        <v>3844</v>
      </c>
      <c r="J862" s="6" t="str">
        <f>"18 GOLDEN PLEAT TS[PINK]"</f>
        <v>18 GOLDEN PLEAT TS[PINK]</v>
      </c>
      <c r="K862" s="6">
        <v>0</v>
      </c>
      <c r="L862" s="6">
        <v>0</v>
      </c>
      <c r="M862" s="6">
        <v>0</v>
      </c>
      <c r="N862" s="6" t="str">
        <f>""</f>
        <v/>
      </c>
      <c r="O862" s="6">
        <v>32351</v>
      </c>
      <c r="P862" s="6" t="s">
        <v>3845</v>
      </c>
      <c r="R862" s="6" t="s">
        <v>2446</v>
      </c>
      <c r="S862" s="6" t="s">
        <v>3846</v>
      </c>
      <c r="T862" s="6">
        <v>0</v>
      </c>
      <c r="U862" s="6">
        <v>0</v>
      </c>
      <c r="V862" s="6">
        <v>0</v>
      </c>
      <c r="W862" s="6">
        <v>0</v>
      </c>
      <c r="X862" s="6" t="s">
        <v>169</v>
      </c>
      <c r="Z862" s="6" t="s">
        <v>170</v>
      </c>
      <c r="AA862" s="6" t="s">
        <v>171</v>
      </c>
      <c r="AB862" s="6">
        <v>0</v>
      </c>
      <c r="AC862" s="6" t="str">
        <f>"KEY-027"</f>
        <v>KEY-027</v>
      </c>
      <c r="AQ862" s="6" t="str">
        <f>""</f>
        <v/>
      </c>
      <c r="AR862" s="6" t="s">
        <v>1472</v>
      </c>
      <c r="AS862" s="6">
        <v>0</v>
      </c>
      <c r="AT862" s="6">
        <v>0</v>
      </c>
    </row>
    <row r="863" spans="2:46">
      <c r="B863" s="6" t="s">
        <v>111</v>
      </c>
      <c r="D863" s="6" t="s">
        <v>3316</v>
      </c>
      <c r="F863" s="6" t="s">
        <v>3847</v>
      </c>
      <c r="G863" s="6" t="str">
        <f>"3186232100745120"</f>
        <v>3186232100745120</v>
      </c>
      <c r="H863" s="6">
        <v>3186232100745120</v>
      </c>
      <c r="I863" s="6" t="s">
        <v>3848</v>
      </c>
      <c r="J863" s="6" t="str">
        <f>"18 V-FRILL HOODY [GREEN]"</f>
        <v>18 V-FRILL HOODY [GREEN]</v>
      </c>
      <c r="K863" s="6">
        <v>0</v>
      </c>
      <c r="L863" s="6">
        <v>0</v>
      </c>
      <c r="M863" s="6">
        <v>0</v>
      </c>
      <c r="N863" s="6" t="str">
        <f>""</f>
        <v/>
      </c>
      <c r="O863" s="6">
        <v>32349</v>
      </c>
      <c r="P863" s="6" t="s">
        <v>3849</v>
      </c>
      <c r="R863" s="6" t="s">
        <v>2512</v>
      </c>
      <c r="S863" s="6" t="s">
        <v>3850</v>
      </c>
      <c r="T863" s="6">
        <v>0</v>
      </c>
      <c r="U863" s="6">
        <v>0</v>
      </c>
      <c r="V863" s="6">
        <v>0</v>
      </c>
      <c r="W863" s="6">
        <v>0</v>
      </c>
      <c r="X863" s="6" t="s">
        <v>169</v>
      </c>
      <c r="Z863" s="6" t="s">
        <v>170</v>
      </c>
      <c r="AA863" s="6" t="s">
        <v>171</v>
      </c>
      <c r="AB863" s="6">
        <v>0</v>
      </c>
      <c r="AC863" s="6" t="str">
        <f>""</f>
        <v/>
      </c>
      <c r="AS863" s="6">
        <v>0</v>
      </c>
      <c r="AT863" s="6">
        <v>0</v>
      </c>
    </row>
    <row r="864" spans="2:46">
      <c r="B864" s="6" t="s">
        <v>111</v>
      </c>
      <c r="D864" s="6" t="s">
        <v>3316</v>
      </c>
      <c r="F864" s="6" t="s">
        <v>3851</v>
      </c>
      <c r="G864" s="6" t="str">
        <f>"3186232100765120"</f>
        <v>3186232100765120</v>
      </c>
      <c r="H864" s="6">
        <v>3186232100765120</v>
      </c>
      <c r="I864" s="6" t="s">
        <v>3852</v>
      </c>
      <c r="J864" s="6" t="str">
        <f>"18 V-FRILL HOODY [YELLOW]"</f>
        <v>18 V-FRILL HOODY [YELLOW]</v>
      </c>
      <c r="K864" s="6">
        <v>0</v>
      </c>
      <c r="L864" s="6">
        <v>0</v>
      </c>
      <c r="M864" s="6">
        <v>0</v>
      </c>
      <c r="N864" s="6" t="str">
        <f>""</f>
        <v/>
      </c>
      <c r="O864" s="6">
        <v>32347</v>
      </c>
      <c r="P864" s="6" t="s">
        <v>3853</v>
      </c>
      <c r="R864" s="6" t="s">
        <v>2570</v>
      </c>
      <c r="S864" s="6" t="s">
        <v>3854</v>
      </c>
      <c r="T864" s="6">
        <v>0</v>
      </c>
      <c r="U864" s="6">
        <v>0</v>
      </c>
      <c r="V864" s="6">
        <v>0</v>
      </c>
      <c r="W864" s="6">
        <v>0</v>
      </c>
      <c r="X864" s="6" t="s">
        <v>169</v>
      </c>
      <c r="Z864" s="6" t="s">
        <v>170</v>
      </c>
      <c r="AA864" s="6" t="s">
        <v>171</v>
      </c>
      <c r="AB864" s="6">
        <v>0</v>
      </c>
      <c r="AC864" s="6" t="str">
        <f>""</f>
        <v/>
      </c>
      <c r="AS864" s="6">
        <v>0</v>
      </c>
      <c r="AT864" s="6">
        <v>0</v>
      </c>
    </row>
    <row r="865" spans="2:46">
      <c r="B865" s="6" t="s">
        <v>111</v>
      </c>
      <c r="D865" s="6" t="s">
        <v>3316</v>
      </c>
      <c r="F865" s="6" t="s">
        <v>3855</v>
      </c>
      <c r="G865" s="6" t="str">
        <f>"3186222102399208"</f>
        <v>3186222102399208</v>
      </c>
      <c r="H865" s="6">
        <v>3186222102399200</v>
      </c>
      <c r="I865" s="6" t="s">
        <v>3856</v>
      </c>
      <c r="J865" s="6" t="str">
        <f>"18 GOLDEN CROP MTM [BLACK]"</f>
        <v>18 GOLDEN CROP MTM [BLACK]</v>
      </c>
      <c r="K865" s="6">
        <v>0</v>
      </c>
      <c r="L865" s="6">
        <v>0</v>
      </c>
      <c r="M865" s="6">
        <v>0</v>
      </c>
      <c r="N865" s="6" t="str">
        <f>""</f>
        <v/>
      </c>
      <c r="O865" s="6">
        <v>32345</v>
      </c>
      <c r="P865" s="6" t="s">
        <v>3857</v>
      </c>
      <c r="R865" s="6" t="s">
        <v>2106</v>
      </c>
      <c r="S865" s="6" t="s">
        <v>3858</v>
      </c>
      <c r="T865" s="6">
        <v>0</v>
      </c>
      <c r="U865" s="6">
        <v>0</v>
      </c>
      <c r="V865" s="6">
        <v>0</v>
      </c>
      <c r="W865" s="6">
        <v>0</v>
      </c>
      <c r="X865" s="6" t="s">
        <v>169</v>
      </c>
      <c r="Z865" s="6" t="s">
        <v>170</v>
      </c>
      <c r="AA865" s="6" t="s">
        <v>171</v>
      </c>
      <c r="AB865" s="6">
        <v>0</v>
      </c>
      <c r="AC865" s="6" t="str">
        <f>""</f>
        <v/>
      </c>
      <c r="AS865" s="6">
        <v>0</v>
      </c>
      <c r="AT865" s="6">
        <v>0</v>
      </c>
    </row>
    <row r="866" spans="2:46">
      <c r="B866" s="6" t="s">
        <v>111</v>
      </c>
      <c r="D866" s="6" t="s">
        <v>3316</v>
      </c>
      <c r="F866" s="6" t="s">
        <v>3859</v>
      </c>
      <c r="G866" s="6" t="str">
        <f>"3186222102361208"</f>
        <v>3186222102361208</v>
      </c>
      <c r="H866" s="6">
        <v>3186222102361200</v>
      </c>
      <c r="I866" s="6" t="s">
        <v>3860</v>
      </c>
      <c r="J866" s="6" t="str">
        <f>"18 GOLDEN CROP MTM [RED]"</f>
        <v>18 GOLDEN CROP MTM [RED]</v>
      </c>
      <c r="K866" s="6">
        <v>0</v>
      </c>
      <c r="L866" s="6">
        <v>0</v>
      </c>
      <c r="M866" s="6">
        <v>0</v>
      </c>
      <c r="N866" s="6" t="str">
        <f>""</f>
        <v/>
      </c>
      <c r="O866" s="6">
        <v>32343</v>
      </c>
      <c r="P866" s="6" t="s">
        <v>3861</v>
      </c>
      <c r="R866" s="6" t="s">
        <v>2309</v>
      </c>
      <c r="S866" s="6" t="s">
        <v>3862</v>
      </c>
      <c r="T866" s="6">
        <v>0</v>
      </c>
      <c r="U866" s="6">
        <v>0</v>
      </c>
      <c r="V866" s="6">
        <v>0</v>
      </c>
      <c r="W866" s="6">
        <v>0</v>
      </c>
      <c r="X866" s="6" t="s">
        <v>169</v>
      </c>
      <c r="Z866" s="6" t="s">
        <v>170</v>
      </c>
      <c r="AA866" s="6" t="s">
        <v>171</v>
      </c>
      <c r="AB866" s="6">
        <v>0</v>
      </c>
      <c r="AC866" s="6" t="str">
        <f>""</f>
        <v/>
      </c>
      <c r="AS866" s="6">
        <v>0</v>
      </c>
      <c r="AT866" s="6">
        <v>0</v>
      </c>
    </row>
    <row r="867" spans="2:46">
      <c r="B867" s="6" t="s">
        <v>111</v>
      </c>
      <c r="D867" s="6" t="s">
        <v>3316</v>
      </c>
      <c r="F867" s="6" t="s">
        <v>3863</v>
      </c>
      <c r="G867" s="6" t="str">
        <f>"3186222102374208"</f>
        <v>3186222102374208</v>
      </c>
      <c r="H867" s="6">
        <v>3186222102374200</v>
      </c>
      <c r="I867" s="6" t="s">
        <v>3864</v>
      </c>
      <c r="J867" s="6" t="str">
        <f>"18 GOLDEN CROP MTM [BEIGE]"</f>
        <v>18 GOLDEN CROP MTM [BEIGE]</v>
      </c>
      <c r="K867" s="6">
        <v>0</v>
      </c>
      <c r="L867" s="6">
        <v>0</v>
      </c>
      <c r="M867" s="6">
        <v>0</v>
      </c>
      <c r="N867" s="6" t="str">
        <f>""</f>
        <v/>
      </c>
      <c r="O867" s="6">
        <v>32341</v>
      </c>
      <c r="P867" s="6" t="s">
        <v>3865</v>
      </c>
      <c r="R867" s="6" t="s">
        <v>2102</v>
      </c>
      <c r="S867" s="6" t="s">
        <v>3866</v>
      </c>
      <c r="T867" s="6">
        <v>0</v>
      </c>
      <c r="U867" s="6">
        <v>0</v>
      </c>
      <c r="V867" s="6">
        <v>0</v>
      </c>
      <c r="W867" s="6">
        <v>0</v>
      </c>
      <c r="X867" s="6" t="s">
        <v>169</v>
      </c>
      <c r="Z867" s="6" t="s">
        <v>170</v>
      </c>
      <c r="AA867" s="6" t="s">
        <v>171</v>
      </c>
      <c r="AB867" s="6">
        <v>0</v>
      </c>
      <c r="AC867" s="6" t="str">
        <f>""</f>
        <v/>
      </c>
      <c r="AS867" s="6">
        <v>0</v>
      </c>
      <c r="AT867" s="6">
        <v>0</v>
      </c>
    </row>
    <row r="868" spans="2:46">
      <c r="B868" s="6" t="s">
        <v>111</v>
      </c>
      <c r="D868" s="6" t="s">
        <v>3316</v>
      </c>
      <c r="F868" s="6" t="s">
        <v>3867</v>
      </c>
      <c r="G868" s="6" t="str">
        <f>"3186222103199208"</f>
        <v>3186222103199208</v>
      </c>
      <c r="H868" s="6">
        <v>3186222103199200</v>
      </c>
      <c r="I868" s="6" t="s">
        <v>3868</v>
      </c>
      <c r="J868" s="6" t="str">
        <f>"18 GOLDEN MTM [BLACK]"</f>
        <v>18 GOLDEN MTM [BLACK]</v>
      </c>
      <c r="K868" s="6">
        <v>0</v>
      </c>
      <c r="L868" s="6">
        <v>0</v>
      </c>
      <c r="M868" s="6">
        <v>0</v>
      </c>
      <c r="N868" s="6" t="str">
        <f>""</f>
        <v/>
      </c>
      <c r="O868" s="6">
        <v>32339</v>
      </c>
      <c r="P868" s="6" t="s">
        <v>3869</v>
      </c>
      <c r="R868" s="6" t="s">
        <v>2106</v>
      </c>
      <c r="S868" s="6" t="s">
        <v>3870</v>
      </c>
      <c r="T868" s="6">
        <v>0</v>
      </c>
      <c r="U868" s="6">
        <v>0</v>
      </c>
      <c r="V868" s="6">
        <v>0</v>
      </c>
      <c r="W868" s="6">
        <v>0</v>
      </c>
      <c r="X868" s="6" t="s">
        <v>169</v>
      </c>
      <c r="Z868" s="6" t="s">
        <v>170</v>
      </c>
      <c r="AA868" s="6" t="s">
        <v>171</v>
      </c>
      <c r="AB868" s="6">
        <v>0</v>
      </c>
      <c r="AC868" s="6" t="str">
        <f>""</f>
        <v/>
      </c>
      <c r="AS868" s="6">
        <v>0</v>
      </c>
      <c r="AT868" s="6">
        <v>0</v>
      </c>
    </row>
    <row r="869" spans="2:46">
      <c r="B869" s="6" t="s">
        <v>111</v>
      </c>
      <c r="D869" s="6" t="s">
        <v>3316</v>
      </c>
      <c r="F869" s="6" t="s">
        <v>3871</v>
      </c>
      <c r="G869" s="6" t="str">
        <f>"3186222103165208"</f>
        <v>3186222103165208</v>
      </c>
      <c r="H869" s="6">
        <v>3186222103165200</v>
      </c>
      <c r="I869" s="6" t="s">
        <v>3872</v>
      </c>
      <c r="J869" s="6" t="str">
        <f>"18 GOLDEN MTM [YELLOW]"</f>
        <v>18 GOLDEN MTM [YELLOW]</v>
      </c>
      <c r="K869" s="6">
        <v>0</v>
      </c>
      <c r="L869" s="6">
        <v>0</v>
      </c>
      <c r="M869" s="6">
        <v>0</v>
      </c>
      <c r="N869" s="6" t="str">
        <f>""</f>
        <v/>
      </c>
      <c r="O869" s="6">
        <v>32337</v>
      </c>
      <c r="P869" s="6" t="s">
        <v>3873</v>
      </c>
      <c r="R869" s="6" t="s">
        <v>2570</v>
      </c>
      <c r="S869" s="6" t="s">
        <v>3874</v>
      </c>
      <c r="T869" s="6">
        <v>0</v>
      </c>
      <c r="U869" s="6">
        <v>0</v>
      </c>
      <c r="V869" s="6">
        <v>0</v>
      </c>
      <c r="W869" s="6">
        <v>0</v>
      </c>
      <c r="X869" s="6" t="s">
        <v>169</v>
      </c>
      <c r="Z869" s="6" t="s">
        <v>170</v>
      </c>
      <c r="AA869" s="6" t="s">
        <v>171</v>
      </c>
      <c r="AB869" s="6">
        <v>0</v>
      </c>
      <c r="AC869" s="6" t="str">
        <f>""</f>
        <v/>
      </c>
      <c r="AS869" s="6">
        <v>0</v>
      </c>
      <c r="AT869" s="6">
        <v>0</v>
      </c>
    </row>
    <row r="870" spans="2:46">
      <c r="B870" s="6" t="s">
        <v>111</v>
      </c>
      <c r="D870" s="6" t="s">
        <v>3316</v>
      </c>
      <c r="F870" s="6" t="s">
        <v>3875</v>
      </c>
      <c r="G870" s="6" t="str">
        <f>"3186222105399208"</f>
        <v>3186222105399208</v>
      </c>
      <c r="H870" s="6">
        <v>3186222105399200</v>
      </c>
      <c r="I870" s="6" t="s">
        <v>3876</v>
      </c>
      <c r="J870" s="6" t="str">
        <f>"18 GOLDEN FRILL TS [BLACK]"</f>
        <v>18 GOLDEN FRILL TS [BLACK]</v>
      </c>
      <c r="K870" s="6">
        <v>0</v>
      </c>
      <c r="L870" s="6">
        <v>0</v>
      </c>
      <c r="M870" s="6">
        <v>0</v>
      </c>
      <c r="N870" s="6" t="str">
        <f>""</f>
        <v/>
      </c>
      <c r="O870" s="6">
        <v>32335</v>
      </c>
      <c r="P870" s="6" t="s">
        <v>3877</v>
      </c>
      <c r="R870" s="6" t="s">
        <v>2106</v>
      </c>
      <c r="S870" s="6" t="s">
        <v>3878</v>
      </c>
      <c r="T870" s="6">
        <v>0</v>
      </c>
      <c r="U870" s="6">
        <v>0</v>
      </c>
      <c r="V870" s="6">
        <v>0</v>
      </c>
      <c r="W870" s="6">
        <v>0</v>
      </c>
      <c r="X870" s="6" t="s">
        <v>169</v>
      </c>
      <c r="Z870" s="6" t="s">
        <v>170</v>
      </c>
      <c r="AA870" s="6" t="s">
        <v>171</v>
      </c>
      <c r="AB870" s="6">
        <v>0</v>
      </c>
      <c r="AC870" s="6" t="str">
        <f>""</f>
        <v/>
      </c>
      <c r="AS870" s="6">
        <v>0</v>
      </c>
      <c r="AT870" s="6">
        <v>0</v>
      </c>
    </row>
    <row r="871" spans="2:46">
      <c r="B871" s="6" t="s">
        <v>111</v>
      </c>
      <c r="D871" s="6" t="s">
        <v>3316</v>
      </c>
      <c r="F871" s="6" t="s">
        <v>3879</v>
      </c>
      <c r="G871" s="6" t="str">
        <f>"3186222105374208"</f>
        <v>3186222105374208</v>
      </c>
      <c r="H871" s="6">
        <v>3186222105374200</v>
      </c>
      <c r="I871" s="6" t="s">
        <v>3880</v>
      </c>
      <c r="J871" s="6" t="str">
        <f>"18 GOLDEN FRILL TS [BEIGE]"</f>
        <v>18 GOLDEN FRILL TS [BEIGE]</v>
      </c>
      <c r="K871" s="6">
        <v>0</v>
      </c>
      <c r="L871" s="6">
        <v>0</v>
      </c>
      <c r="M871" s="6">
        <v>0</v>
      </c>
      <c r="N871" s="6" t="str">
        <f>""</f>
        <v/>
      </c>
      <c r="O871" s="6">
        <v>32333</v>
      </c>
      <c r="P871" s="6" t="s">
        <v>3881</v>
      </c>
      <c r="R871" s="6" t="s">
        <v>2102</v>
      </c>
      <c r="S871" s="6" t="s">
        <v>3882</v>
      </c>
      <c r="T871" s="6">
        <v>0</v>
      </c>
      <c r="U871" s="6">
        <v>0</v>
      </c>
      <c r="V871" s="6">
        <v>0</v>
      </c>
      <c r="W871" s="6">
        <v>0</v>
      </c>
      <c r="X871" s="6" t="s">
        <v>169</v>
      </c>
      <c r="Z871" s="6" t="s">
        <v>170</v>
      </c>
      <c r="AA871" s="6" t="s">
        <v>171</v>
      </c>
      <c r="AB871" s="6">
        <v>0</v>
      </c>
      <c r="AC871" s="6" t="str">
        <f>""</f>
        <v/>
      </c>
      <c r="AS871" s="6">
        <v>0</v>
      </c>
      <c r="AT871" s="6">
        <v>0</v>
      </c>
    </row>
    <row r="872" spans="2:46">
      <c r="B872" s="6" t="s">
        <v>111</v>
      </c>
      <c r="D872" s="6" t="s">
        <v>3316</v>
      </c>
      <c r="F872" s="6" t="s">
        <v>3883</v>
      </c>
      <c r="G872" s="6" t="str">
        <f>"3186222105369208"</f>
        <v>3186222105369208</v>
      </c>
      <c r="H872" s="6">
        <v>3186222105369200</v>
      </c>
      <c r="I872" s="6" t="s">
        <v>3884</v>
      </c>
      <c r="J872" s="6" t="str">
        <f>"18 GOLDEN FRILL TS [IVORY]"</f>
        <v>18 GOLDEN FRILL TS [IVORY]</v>
      </c>
      <c r="K872" s="6">
        <v>0</v>
      </c>
      <c r="L872" s="6">
        <v>0</v>
      </c>
      <c r="M872" s="6">
        <v>0</v>
      </c>
      <c r="N872" s="6" t="str">
        <f>""</f>
        <v/>
      </c>
      <c r="O872" s="6">
        <v>32331</v>
      </c>
      <c r="P872" s="6" t="s">
        <v>3885</v>
      </c>
      <c r="R872" s="6" t="s">
        <v>2356</v>
      </c>
      <c r="S872" s="6" t="s">
        <v>3886</v>
      </c>
      <c r="T872" s="6">
        <v>0</v>
      </c>
      <c r="U872" s="6">
        <v>0</v>
      </c>
      <c r="V872" s="6">
        <v>0</v>
      </c>
      <c r="W872" s="6">
        <v>0</v>
      </c>
      <c r="X872" s="6" t="s">
        <v>169</v>
      </c>
      <c r="Z872" s="6" t="s">
        <v>170</v>
      </c>
      <c r="AA872" s="6" t="s">
        <v>171</v>
      </c>
      <c r="AB872" s="6">
        <v>0</v>
      </c>
      <c r="AC872" s="6" t="str">
        <f>""</f>
        <v/>
      </c>
      <c r="AS872" s="6">
        <v>0</v>
      </c>
      <c r="AT872" s="6">
        <v>0</v>
      </c>
    </row>
    <row r="873" spans="2:46">
      <c r="B873" s="6" t="s">
        <v>111</v>
      </c>
      <c r="D873" s="6" t="s">
        <v>3316</v>
      </c>
      <c r="F873" s="6" t="s">
        <v>3887</v>
      </c>
      <c r="G873" s="6" t="str">
        <f>"3186222102230208"</f>
        <v>3186222102230208</v>
      </c>
      <c r="H873" s="6">
        <v>3186222102230200</v>
      </c>
      <c r="I873" s="6" t="s">
        <v>3888</v>
      </c>
      <c r="J873" s="6" t="str">
        <f>"18 WAG TS [NAVY]"</f>
        <v>18 WAG TS [NAVY]</v>
      </c>
      <c r="K873" s="6">
        <v>0</v>
      </c>
      <c r="L873" s="6">
        <v>0</v>
      </c>
      <c r="M873" s="6">
        <v>0</v>
      </c>
      <c r="N873" s="6" t="str">
        <f>""</f>
        <v/>
      </c>
      <c r="O873" s="6">
        <v>32329</v>
      </c>
      <c r="P873" s="6" t="s">
        <v>3889</v>
      </c>
      <c r="R873" s="6" t="s">
        <v>2111</v>
      </c>
      <c r="S873" s="6" t="s">
        <v>3890</v>
      </c>
      <c r="T873" s="6">
        <v>0</v>
      </c>
      <c r="U873" s="6">
        <v>0</v>
      </c>
      <c r="V873" s="6">
        <v>0</v>
      </c>
      <c r="W873" s="6">
        <v>0</v>
      </c>
      <c r="X873" s="6" t="s">
        <v>169</v>
      </c>
      <c r="Z873" s="6" t="s">
        <v>170</v>
      </c>
      <c r="AA873" s="6" t="s">
        <v>171</v>
      </c>
      <c r="AB873" s="6">
        <v>0</v>
      </c>
      <c r="AC873" s="6" t="str">
        <f>""</f>
        <v/>
      </c>
      <c r="AS873" s="6">
        <v>0</v>
      </c>
      <c r="AT873" s="6">
        <v>0</v>
      </c>
    </row>
    <row r="874" spans="2:46">
      <c r="B874" s="6" t="s">
        <v>111</v>
      </c>
      <c r="D874" s="6" t="s">
        <v>3316</v>
      </c>
      <c r="F874" s="6" t="s">
        <v>3891</v>
      </c>
      <c r="G874" s="6" t="str">
        <f>"3186222102274208"</f>
        <v>3186222102274208</v>
      </c>
      <c r="H874" s="6">
        <v>3186222102274200</v>
      </c>
      <c r="I874" s="6" t="s">
        <v>3892</v>
      </c>
      <c r="J874" s="6" t="str">
        <f>"18 WAG TS [BEIGE]"</f>
        <v>18 WAG TS [BEIGE]</v>
      </c>
      <c r="K874" s="6">
        <v>0</v>
      </c>
      <c r="L874" s="6">
        <v>0</v>
      </c>
      <c r="M874" s="6">
        <v>0</v>
      </c>
      <c r="N874" s="6" t="str">
        <f>""</f>
        <v/>
      </c>
      <c r="O874" s="6">
        <v>32327</v>
      </c>
      <c r="P874" s="6" t="s">
        <v>3893</v>
      </c>
      <c r="R874" s="6" t="s">
        <v>2102</v>
      </c>
      <c r="S874" s="6" t="s">
        <v>3894</v>
      </c>
      <c r="T874" s="6">
        <v>0</v>
      </c>
      <c r="U874" s="6">
        <v>0</v>
      </c>
      <c r="V874" s="6">
        <v>0</v>
      </c>
      <c r="W874" s="6">
        <v>0</v>
      </c>
      <c r="X874" s="6" t="s">
        <v>169</v>
      </c>
      <c r="Z874" s="6" t="s">
        <v>170</v>
      </c>
      <c r="AA874" s="6" t="s">
        <v>171</v>
      </c>
      <c r="AB874" s="6">
        <v>0</v>
      </c>
      <c r="AC874" s="6" t="str">
        <f>""</f>
        <v/>
      </c>
      <c r="AS874" s="6">
        <v>0</v>
      </c>
      <c r="AT874" s="6">
        <v>0</v>
      </c>
    </row>
    <row r="875" spans="2:46">
      <c r="B875" s="6" t="s">
        <v>111</v>
      </c>
      <c r="D875" s="6" t="s">
        <v>3316</v>
      </c>
      <c r="F875" s="6" t="s">
        <v>3895</v>
      </c>
      <c r="G875" s="6" t="str">
        <f>"3186222102291208"</f>
        <v>3186222102291208</v>
      </c>
      <c r="I875" s="6" t="s">
        <v>3896</v>
      </c>
      <c r="J875" s="6" t="str">
        <f>"18 WAG TS [WHITE]"</f>
        <v>18 WAG TS [WHITE]</v>
      </c>
      <c r="K875" s="6">
        <v>0</v>
      </c>
      <c r="L875" s="6">
        <v>0</v>
      </c>
      <c r="M875" s="6">
        <v>0</v>
      </c>
      <c r="N875" s="6" t="str">
        <f>""</f>
        <v/>
      </c>
      <c r="O875" s="6">
        <v>32325</v>
      </c>
      <c r="P875" s="6" t="s">
        <v>3897</v>
      </c>
      <c r="R875" s="6" t="s">
        <v>2167</v>
      </c>
      <c r="S875" s="6" t="s">
        <v>3898</v>
      </c>
      <c r="T875" s="6">
        <v>0</v>
      </c>
      <c r="U875" s="6">
        <v>0</v>
      </c>
      <c r="V875" s="6">
        <v>0</v>
      </c>
      <c r="W875" s="6">
        <v>0</v>
      </c>
      <c r="X875" s="6" t="s">
        <v>169</v>
      </c>
      <c r="Z875" s="6" t="s">
        <v>170</v>
      </c>
      <c r="AA875" s="6" t="s">
        <v>171</v>
      </c>
      <c r="AB875" s="6">
        <v>0</v>
      </c>
      <c r="AC875" s="6" t="str">
        <f>"KEY-028"</f>
        <v>KEY-028</v>
      </c>
      <c r="AQ875" s="6" t="str">
        <f>""</f>
        <v/>
      </c>
      <c r="AR875" s="6" t="s">
        <v>1472</v>
      </c>
      <c r="AS875" s="6">
        <v>0</v>
      </c>
      <c r="AT875" s="6">
        <v>0</v>
      </c>
    </row>
    <row r="876" spans="2:46">
      <c r="B876" s="6" t="s">
        <v>111</v>
      </c>
      <c r="D876" s="6" t="s">
        <v>3316</v>
      </c>
      <c r="F876" s="6" t="s">
        <v>3899</v>
      </c>
      <c r="G876" s="6" t="str">
        <f>"3186222105599208"</f>
        <v>3186222105599208</v>
      </c>
      <c r="H876" s="6">
        <v>3186222105599200</v>
      </c>
      <c r="I876" s="6" t="s">
        <v>3900</v>
      </c>
      <c r="J876" s="6" t="str">
        <f>"18 GOLDEN WAVE CROP TS [BLACK]"</f>
        <v>18 GOLDEN WAVE CROP TS [BLACK]</v>
      </c>
      <c r="K876" s="6">
        <v>0</v>
      </c>
      <c r="L876" s="6">
        <v>0</v>
      </c>
      <c r="M876" s="6">
        <v>0</v>
      </c>
      <c r="N876" s="6" t="str">
        <f>""</f>
        <v/>
      </c>
      <c r="O876" s="6">
        <v>32323</v>
      </c>
      <c r="P876" s="6" t="s">
        <v>3901</v>
      </c>
      <c r="R876" s="6" t="s">
        <v>2106</v>
      </c>
      <c r="S876" s="6" t="s">
        <v>3902</v>
      </c>
      <c r="T876" s="6">
        <v>0</v>
      </c>
      <c r="U876" s="6">
        <v>0</v>
      </c>
      <c r="V876" s="6">
        <v>0</v>
      </c>
      <c r="W876" s="6">
        <v>0</v>
      </c>
      <c r="X876" s="6" t="s">
        <v>169</v>
      </c>
      <c r="Z876" s="6" t="s">
        <v>170</v>
      </c>
      <c r="AA876" s="6" t="s">
        <v>171</v>
      </c>
      <c r="AB876" s="6">
        <v>0</v>
      </c>
      <c r="AC876" s="6" t="str">
        <f>""</f>
        <v/>
      </c>
      <c r="AS876" s="6">
        <v>0</v>
      </c>
      <c r="AT876" s="6">
        <v>0</v>
      </c>
    </row>
    <row r="877" spans="2:46">
      <c r="B877" s="6" t="s">
        <v>111</v>
      </c>
      <c r="D877" s="6" t="s">
        <v>3316</v>
      </c>
      <c r="F877" s="6" t="s">
        <v>3903</v>
      </c>
      <c r="G877" s="6" t="str">
        <f>"3186222105574208"</f>
        <v>3186222105574208</v>
      </c>
      <c r="H877" s="6">
        <v>3186222105574200</v>
      </c>
      <c r="I877" s="6" t="s">
        <v>3904</v>
      </c>
      <c r="J877" s="6" t="str">
        <f>"18 GOLDEN WAVE CROP TS [BEIGE]"</f>
        <v>18 GOLDEN WAVE CROP TS [BEIGE]</v>
      </c>
      <c r="K877" s="6">
        <v>0</v>
      </c>
      <c r="L877" s="6">
        <v>0</v>
      </c>
      <c r="M877" s="6">
        <v>0</v>
      </c>
      <c r="N877" s="6" t="str">
        <f>""</f>
        <v/>
      </c>
      <c r="O877" s="6">
        <v>32321</v>
      </c>
      <c r="P877" s="6" t="s">
        <v>3905</v>
      </c>
      <c r="R877" s="6" t="s">
        <v>2102</v>
      </c>
      <c r="S877" s="6" t="s">
        <v>3906</v>
      </c>
      <c r="T877" s="6">
        <v>0</v>
      </c>
      <c r="U877" s="6">
        <v>0</v>
      </c>
      <c r="V877" s="6">
        <v>0</v>
      </c>
      <c r="W877" s="6">
        <v>0</v>
      </c>
      <c r="X877" s="6" t="s">
        <v>169</v>
      </c>
      <c r="Z877" s="6" t="s">
        <v>170</v>
      </c>
      <c r="AA877" s="6" t="s">
        <v>171</v>
      </c>
      <c r="AB877" s="6">
        <v>0</v>
      </c>
      <c r="AC877" s="6" t="str">
        <f>""</f>
        <v/>
      </c>
      <c r="AS877" s="6">
        <v>0</v>
      </c>
      <c r="AT877" s="6">
        <v>0</v>
      </c>
    </row>
    <row r="878" spans="2:46">
      <c r="B878" s="6" t="s">
        <v>111</v>
      </c>
      <c r="D878" s="6" t="s">
        <v>3316</v>
      </c>
      <c r="F878" s="6" t="s">
        <v>3907</v>
      </c>
      <c r="G878" s="6" t="str">
        <f>"3186222105569208"</f>
        <v>3186222105569208</v>
      </c>
      <c r="H878" s="6">
        <v>3186222105569200</v>
      </c>
      <c r="I878" s="6" t="s">
        <v>3908</v>
      </c>
      <c r="J878" s="6" t="str">
        <f>"18 GOLDEN WAVE CROP TS [IVORY]"</f>
        <v>18 GOLDEN WAVE CROP TS [IVORY]</v>
      </c>
      <c r="K878" s="6">
        <v>0</v>
      </c>
      <c r="L878" s="6">
        <v>0</v>
      </c>
      <c r="M878" s="6">
        <v>0</v>
      </c>
      <c r="N878" s="6" t="str">
        <f>""</f>
        <v/>
      </c>
      <c r="O878" s="6">
        <v>32319</v>
      </c>
      <c r="P878" s="6" t="s">
        <v>3909</v>
      </c>
      <c r="R878" s="6" t="s">
        <v>2356</v>
      </c>
      <c r="S878" s="6" t="s">
        <v>3910</v>
      </c>
      <c r="T878" s="6">
        <v>0</v>
      </c>
      <c r="U878" s="6">
        <v>0</v>
      </c>
      <c r="V878" s="6">
        <v>0</v>
      </c>
      <c r="W878" s="6">
        <v>0</v>
      </c>
      <c r="X878" s="6" t="s">
        <v>169</v>
      </c>
      <c r="Z878" s="6" t="s">
        <v>170</v>
      </c>
      <c r="AA878" s="6" t="s">
        <v>171</v>
      </c>
      <c r="AB878" s="6">
        <v>0</v>
      </c>
      <c r="AC878" s="6" t="str">
        <f>""</f>
        <v/>
      </c>
      <c r="AS878" s="6">
        <v>0</v>
      </c>
      <c r="AT878" s="6">
        <v>0</v>
      </c>
    </row>
    <row r="879" spans="2:46">
      <c r="B879" s="6" t="s">
        <v>111</v>
      </c>
      <c r="D879" s="6" t="s">
        <v>3316</v>
      </c>
      <c r="F879" s="6" t="s">
        <v>3911</v>
      </c>
      <c r="G879" s="6" t="str">
        <f>"3186132100561120"</f>
        <v>3186132100561120</v>
      </c>
      <c r="H879" s="6">
        <v>3186132100561120</v>
      </c>
      <c r="I879" s="6" t="s">
        <v>3912</v>
      </c>
      <c r="J879" s="6" t="str">
        <f>"18 GOLDEN CHECK JK [RED]"</f>
        <v>18 GOLDEN CHECK JK [RED]</v>
      </c>
      <c r="K879" s="6">
        <v>0</v>
      </c>
      <c r="L879" s="6">
        <v>0</v>
      </c>
      <c r="M879" s="6">
        <v>0</v>
      </c>
      <c r="N879" s="6" t="str">
        <f>""</f>
        <v/>
      </c>
      <c r="O879" s="6">
        <v>32317</v>
      </c>
      <c r="P879" s="6" t="s">
        <v>3913</v>
      </c>
      <c r="R879" s="6" t="s">
        <v>2309</v>
      </c>
      <c r="S879" s="6" t="s">
        <v>3914</v>
      </c>
      <c r="T879" s="6">
        <v>0</v>
      </c>
      <c r="U879" s="6">
        <v>0</v>
      </c>
      <c r="V879" s="6">
        <v>0</v>
      </c>
      <c r="W879" s="6">
        <v>0</v>
      </c>
      <c r="X879" s="6" t="s">
        <v>169</v>
      </c>
      <c r="Z879" s="6" t="s">
        <v>170</v>
      </c>
      <c r="AA879" s="6" t="s">
        <v>171</v>
      </c>
      <c r="AB879" s="6">
        <v>0</v>
      </c>
      <c r="AC879" s="6" t="str">
        <f>""</f>
        <v/>
      </c>
      <c r="AS879" s="6">
        <v>0</v>
      </c>
      <c r="AT879" s="6">
        <v>0</v>
      </c>
    </row>
    <row r="880" spans="2:46">
      <c r="B880" s="6" t="s">
        <v>111</v>
      </c>
      <c r="D880" s="6" t="s">
        <v>3316</v>
      </c>
      <c r="F880" s="6" t="s">
        <v>3915</v>
      </c>
      <c r="G880" s="6" t="str">
        <f>"3186132100565120"</f>
        <v>3186132100565120</v>
      </c>
      <c r="H880" s="6">
        <v>3186132100565120</v>
      </c>
      <c r="I880" s="6" t="s">
        <v>3916</v>
      </c>
      <c r="J880" s="6" t="str">
        <f>"18 GOLDEN CHECK JK [YELLOW]"</f>
        <v>18 GOLDEN CHECK JK [YELLOW]</v>
      </c>
      <c r="K880" s="6">
        <v>0</v>
      </c>
      <c r="L880" s="6">
        <v>0</v>
      </c>
      <c r="M880" s="6">
        <v>0</v>
      </c>
      <c r="N880" s="6" t="str">
        <f>""</f>
        <v/>
      </c>
      <c r="O880" s="6">
        <v>32315</v>
      </c>
      <c r="P880" s="6" t="s">
        <v>3917</v>
      </c>
      <c r="R880" s="6" t="s">
        <v>2570</v>
      </c>
      <c r="S880" s="6" t="s">
        <v>3918</v>
      </c>
      <c r="T880" s="6">
        <v>0</v>
      </c>
      <c r="U880" s="6">
        <v>0</v>
      </c>
      <c r="V880" s="6">
        <v>0</v>
      </c>
      <c r="W880" s="6">
        <v>0</v>
      </c>
      <c r="X880" s="6" t="s">
        <v>169</v>
      </c>
      <c r="Z880" s="6" t="s">
        <v>170</v>
      </c>
      <c r="AA880" s="6" t="s">
        <v>171</v>
      </c>
      <c r="AB880" s="6">
        <v>0</v>
      </c>
      <c r="AC880" s="6" t="str">
        <f>""</f>
        <v/>
      </c>
      <c r="AS880" s="6">
        <v>0</v>
      </c>
      <c r="AT880" s="6">
        <v>0</v>
      </c>
    </row>
    <row r="881" spans="2:46">
      <c r="B881" s="6" t="s">
        <v>111</v>
      </c>
      <c r="D881" s="6" t="s">
        <v>3316</v>
      </c>
      <c r="F881" s="6" t="s">
        <v>3919</v>
      </c>
      <c r="G881" s="6" t="str">
        <f>"3186132100799120"</f>
        <v>3186132100799120</v>
      </c>
      <c r="H881" s="6">
        <v>3186132100799120</v>
      </c>
      <c r="I881" s="6" t="s">
        <v>3920</v>
      </c>
      <c r="J881" s="6" t="str">
        <f>"18 SS BASIC JK [BLACK]"</f>
        <v>18 SS BASIC JK [BLACK]</v>
      </c>
      <c r="K881" s="6">
        <v>0</v>
      </c>
      <c r="L881" s="6">
        <v>0</v>
      </c>
      <c r="M881" s="6">
        <v>0</v>
      </c>
      <c r="N881" s="6" t="str">
        <f>""</f>
        <v/>
      </c>
      <c r="O881" s="6">
        <v>32313</v>
      </c>
      <c r="P881" s="6" t="s">
        <v>3921</v>
      </c>
      <c r="R881" s="6" t="s">
        <v>2106</v>
      </c>
      <c r="S881" s="6" t="s">
        <v>3922</v>
      </c>
      <c r="T881" s="6">
        <v>0</v>
      </c>
      <c r="U881" s="6">
        <v>0</v>
      </c>
      <c r="V881" s="6">
        <v>0</v>
      </c>
      <c r="W881" s="6">
        <v>0</v>
      </c>
      <c r="X881" s="6" t="s">
        <v>169</v>
      </c>
      <c r="Z881" s="6" t="s">
        <v>170</v>
      </c>
      <c r="AA881" s="6" t="s">
        <v>171</v>
      </c>
      <c r="AB881" s="6">
        <v>0</v>
      </c>
      <c r="AC881" s="6" t="str">
        <f>""</f>
        <v/>
      </c>
      <c r="AS881" s="6">
        <v>0</v>
      </c>
      <c r="AT881" s="6">
        <v>0</v>
      </c>
    </row>
    <row r="882" spans="2:46">
      <c r="B882" s="6" t="s">
        <v>111</v>
      </c>
      <c r="D882" s="6" t="s">
        <v>3316</v>
      </c>
      <c r="F882" s="6" t="s">
        <v>3923</v>
      </c>
      <c r="G882" s="6" t="str">
        <f>"3186132100701120"</f>
        <v>3186132100701120</v>
      </c>
      <c r="H882" s="6">
        <v>3186132100701120</v>
      </c>
      <c r="I882" s="6" t="s">
        <v>3924</v>
      </c>
      <c r="J882" s="6" t="str">
        <f>"18 SS BASIC JK [PINK]"</f>
        <v>18 SS BASIC JK [PINK]</v>
      </c>
      <c r="K882" s="6">
        <v>0</v>
      </c>
      <c r="L882" s="6">
        <v>0</v>
      </c>
      <c r="M882" s="6">
        <v>0</v>
      </c>
      <c r="N882" s="6" t="str">
        <f>""</f>
        <v/>
      </c>
      <c r="O882" s="6">
        <v>32311</v>
      </c>
      <c r="P882" s="6" t="s">
        <v>3925</v>
      </c>
      <c r="R882" s="6" t="s">
        <v>2446</v>
      </c>
      <c r="S882" s="6" t="s">
        <v>3926</v>
      </c>
      <c r="T882" s="6">
        <v>0</v>
      </c>
      <c r="U882" s="6">
        <v>0</v>
      </c>
      <c r="V882" s="6">
        <v>0</v>
      </c>
      <c r="W882" s="6">
        <v>0</v>
      </c>
      <c r="X882" s="6" t="s">
        <v>169</v>
      </c>
      <c r="Z882" s="6" t="s">
        <v>170</v>
      </c>
      <c r="AA882" s="6" t="s">
        <v>171</v>
      </c>
      <c r="AB882" s="6">
        <v>0</v>
      </c>
      <c r="AC882" s="6" t="str">
        <f>""</f>
        <v/>
      </c>
      <c r="AS882" s="6">
        <v>0</v>
      </c>
      <c r="AT882" s="6">
        <v>0</v>
      </c>
    </row>
    <row r="883" spans="2:46">
      <c r="B883" s="6" t="s">
        <v>111</v>
      </c>
      <c r="D883" s="6" t="s">
        <v>3316</v>
      </c>
      <c r="F883" s="6" t="s">
        <v>3927</v>
      </c>
      <c r="G883" s="6" t="str">
        <f>"3186112100130120"</f>
        <v>3186112100130120</v>
      </c>
      <c r="H883" s="6">
        <v>3186112100130120</v>
      </c>
      <c r="I883" s="6" t="s">
        <v>3928</v>
      </c>
      <c r="J883" s="6" t="str">
        <f>"18 GIANT GOLDEN CT [NAVY]"</f>
        <v>18 GIANT GOLDEN CT [NAVY]</v>
      </c>
      <c r="K883" s="6">
        <v>0</v>
      </c>
      <c r="L883" s="6">
        <v>0</v>
      </c>
      <c r="M883" s="6">
        <v>0</v>
      </c>
      <c r="N883" s="6" t="str">
        <f>""</f>
        <v/>
      </c>
      <c r="O883" s="6">
        <v>32309</v>
      </c>
      <c r="P883" s="6" t="s">
        <v>3929</v>
      </c>
      <c r="R883" s="6" t="s">
        <v>2111</v>
      </c>
      <c r="S883" s="6" t="s">
        <v>3930</v>
      </c>
      <c r="T883" s="6">
        <v>0</v>
      </c>
      <c r="U883" s="6">
        <v>0</v>
      </c>
      <c r="V883" s="6">
        <v>0</v>
      </c>
      <c r="W883" s="6">
        <v>0</v>
      </c>
      <c r="X883" s="6" t="s">
        <v>169</v>
      </c>
      <c r="Z883" s="6" t="s">
        <v>170</v>
      </c>
      <c r="AA883" s="6" t="s">
        <v>171</v>
      </c>
      <c r="AB883" s="6">
        <v>0</v>
      </c>
      <c r="AC883" s="6" t="str">
        <f>""</f>
        <v/>
      </c>
      <c r="AS883" s="6">
        <v>0</v>
      </c>
      <c r="AT883" s="6">
        <v>0</v>
      </c>
    </row>
    <row r="884" spans="2:46">
      <c r="B884" s="6" t="s">
        <v>111</v>
      </c>
      <c r="D884" s="6" t="s">
        <v>3316</v>
      </c>
      <c r="F884" s="6" t="s">
        <v>3931</v>
      </c>
      <c r="G884" s="6" t="str">
        <f>"3186112100191120"</f>
        <v>3186112100191120</v>
      </c>
      <c r="H884" s="6">
        <v>3186112100191120</v>
      </c>
      <c r="I884" s="6" t="s">
        <v>3932</v>
      </c>
      <c r="J884" s="6" t="str">
        <f>"18 GIANT GOLDEN CT [WHITE]"</f>
        <v>18 GIANT GOLDEN CT [WHITE]</v>
      </c>
      <c r="K884" s="6">
        <v>0</v>
      </c>
      <c r="L884" s="6">
        <v>0</v>
      </c>
      <c r="M884" s="6">
        <v>0</v>
      </c>
      <c r="N884" s="6" t="str">
        <f>""</f>
        <v/>
      </c>
      <c r="O884" s="6">
        <v>32307</v>
      </c>
      <c r="P884" s="6" t="s">
        <v>3933</v>
      </c>
      <c r="R884" s="6" t="s">
        <v>2167</v>
      </c>
      <c r="S884" s="6" t="s">
        <v>3934</v>
      </c>
      <c r="T884" s="6">
        <v>0</v>
      </c>
      <c r="U884" s="6">
        <v>0</v>
      </c>
      <c r="V884" s="6">
        <v>0</v>
      </c>
      <c r="W884" s="6">
        <v>0</v>
      </c>
      <c r="X884" s="6" t="s">
        <v>169</v>
      </c>
      <c r="Z884" s="6" t="s">
        <v>170</v>
      </c>
      <c r="AA884" s="6" t="s">
        <v>171</v>
      </c>
      <c r="AB884" s="6">
        <v>0</v>
      </c>
      <c r="AC884" s="6" t="str">
        <f>""</f>
        <v/>
      </c>
      <c r="AS884" s="6">
        <v>0</v>
      </c>
      <c r="AT884" s="6">
        <v>0</v>
      </c>
    </row>
    <row r="885" spans="2:46">
      <c r="B885" s="6" t="s">
        <v>111</v>
      </c>
      <c r="D885" s="6" t="s">
        <v>3316</v>
      </c>
      <c r="F885" s="6" t="s">
        <v>3935</v>
      </c>
      <c r="G885" s="6" t="str">
        <f>"3177232114325208"</f>
        <v>3177232114325208</v>
      </c>
      <c r="H885" s="6">
        <v>3177232114325200</v>
      </c>
      <c r="I885" s="6" t="s">
        <v>3936</v>
      </c>
      <c r="J885" s="6" t="str">
        <f>"17 STRING CROP TS [BLUE]"</f>
        <v>17 STRING CROP TS [BLUE]</v>
      </c>
      <c r="K885" s="6">
        <v>0</v>
      </c>
      <c r="L885" s="6">
        <v>0</v>
      </c>
      <c r="M885" s="6">
        <v>0</v>
      </c>
      <c r="N885" s="6" t="str">
        <f>""</f>
        <v/>
      </c>
      <c r="O885" s="6">
        <v>32305</v>
      </c>
      <c r="P885" s="6" t="s">
        <v>3937</v>
      </c>
      <c r="R885" s="6" t="s">
        <v>3938</v>
      </c>
      <c r="S885" s="6" t="s">
        <v>3939</v>
      </c>
      <c r="T885" s="6">
        <v>0</v>
      </c>
      <c r="U885" s="6">
        <v>0</v>
      </c>
      <c r="V885" s="6">
        <v>0</v>
      </c>
      <c r="W885" s="6">
        <v>0</v>
      </c>
      <c r="X885" s="6" t="s">
        <v>169</v>
      </c>
      <c r="Z885" s="6" t="s">
        <v>170</v>
      </c>
      <c r="AA885" s="6" t="s">
        <v>171</v>
      </c>
      <c r="AB885" s="6">
        <v>0</v>
      </c>
      <c r="AC885" s="6" t="str">
        <f>""</f>
        <v/>
      </c>
      <c r="AS885" s="6">
        <v>0</v>
      </c>
      <c r="AT885" s="6">
        <v>0</v>
      </c>
    </row>
    <row r="886" spans="2:46">
      <c r="B886" s="6" t="s">
        <v>111</v>
      </c>
      <c r="D886" s="6" t="s">
        <v>3316</v>
      </c>
      <c r="F886" s="6" t="s">
        <v>3940</v>
      </c>
      <c r="G886" s="6" t="str">
        <f>"3177252115330208"</f>
        <v>3177252115330208</v>
      </c>
      <c r="H886" s="6">
        <v>3177252115330200</v>
      </c>
      <c r="I886" s="6" t="s">
        <v>3941</v>
      </c>
      <c r="J886" s="6" t="str">
        <f>"17 CK FRILL OPS [NAVY]"</f>
        <v>17 CK FRILL OPS [NAVY]</v>
      </c>
      <c r="K886" s="6">
        <v>0</v>
      </c>
      <c r="L886" s="6">
        <v>0</v>
      </c>
      <c r="M886" s="6">
        <v>0</v>
      </c>
      <c r="N886" s="6" t="str">
        <f>""</f>
        <v/>
      </c>
      <c r="O886" s="6">
        <v>32303</v>
      </c>
      <c r="P886" s="6" t="s">
        <v>3942</v>
      </c>
      <c r="R886" s="6" t="s">
        <v>3943</v>
      </c>
      <c r="S886" s="6" t="s">
        <v>3944</v>
      </c>
      <c r="T886" s="6">
        <v>0</v>
      </c>
      <c r="U886" s="6">
        <v>0</v>
      </c>
      <c r="V886" s="6">
        <v>0</v>
      </c>
      <c r="W886" s="6">
        <v>0</v>
      </c>
      <c r="X886" s="6" t="s">
        <v>169</v>
      </c>
      <c r="Z886" s="6" t="s">
        <v>170</v>
      </c>
      <c r="AA886" s="6" t="s">
        <v>171</v>
      </c>
      <c r="AB886" s="6">
        <v>0</v>
      </c>
      <c r="AC886" s="6" t="str">
        <f>""</f>
        <v/>
      </c>
      <c r="AS886" s="6">
        <v>0</v>
      </c>
      <c r="AT886" s="6">
        <v>0</v>
      </c>
    </row>
    <row r="887" spans="2:46">
      <c r="B887" s="6" t="s">
        <v>111</v>
      </c>
      <c r="D887" s="6" t="s">
        <v>3316</v>
      </c>
      <c r="F887" s="6" t="s">
        <v>3945</v>
      </c>
      <c r="G887" s="6" t="str">
        <f>"3177122103330120"</f>
        <v>3177122103330120</v>
      </c>
      <c r="H887" s="6">
        <v>3177122103330120</v>
      </c>
      <c r="I887" s="6" t="s">
        <v>3946</v>
      </c>
      <c r="J887" s="6" t="str">
        <f>"17 TWO POCKET DOWN [NAVY]"</f>
        <v>17 TWO POCKET DOWN [NAVY]</v>
      </c>
      <c r="K887" s="6">
        <v>0</v>
      </c>
      <c r="L887" s="6">
        <v>0</v>
      </c>
      <c r="M887" s="6">
        <v>0</v>
      </c>
      <c r="N887" s="6" t="str">
        <f>""</f>
        <v/>
      </c>
      <c r="O887" s="6">
        <v>32301</v>
      </c>
      <c r="P887" s="6" t="s">
        <v>3947</v>
      </c>
      <c r="R887" s="6" t="s">
        <v>3943</v>
      </c>
      <c r="S887" s="6" t="s">
        <v>3948</v>
      </c>
      <c r="T887" s="6">
        <v>0</v>
      </c>
      <c r="U887" s="6">
        <v>0</v>
      </c>
      <c r="V887" s="6">
        <v>0</v>
      </c>
      <c r="W887" s="6">
        <v>0</v>
      </c>
      <c r="X887" s="6" t="s">
        <v>169</v>
      </c>
      <c r="Z887" s="6" t="s">
        <v>170</v>
      </c>
      <c r="AA887" s="6" t="s">
        <v>171</v>
      </c>
      <c r="AB887" s="6">
        <v>0</v>
      </c>
      <c r="AC887" s="6" t="str">
        <f>""</f>
        <v/>
      </c>
      <c r="AS887" s="6">
        <v>0</v>
      </c>
      <c r="AT887" s="6">
        <v>0</v>
      </c>
    </row>
    <row r="888" spans="2:46">
      <c r="B888" s="6" t="s">
        <v>111</v>
      </c>
      <c r="D888" s="6" t="s">
        <v>3316</v>
      </c>
      <c r="F888" s="6" t="s">
        <v>3949</v>
      </c>
      <c r="G888" s="6" t="str">
        <f>"S74JK06IV"</f>
        <v>S74JK06IV</v>
      </c>
      <c r="H888" s="6" t="s">
        <v>3950</v>
      </c>
      <c r="I888" s="6" t="s">
        <v>3951</v>
      </c>
      <c r="J888" s="6" t="str">
        <f>"17 FUR JK [IVORY]"</f>
        <v>17 FUR JK [IVORY]</v>
      </c>
      <c r="K888" s="6">
        <v>0</v>
      </c>
      <c r="L888" s="6">
        <v>0</v>
      </c>
      <c r="M888" s="6">
        <v>0</v>
      </c>
      <c r="N888" s="6" t="str">
        <f>""</f>
        <v/>
      </c>
      <c r="O888" s="6">
        <v>32299</v>
      </c>
      <c r="P888" s="6" t="s">
        <v>3950</v>
      </c>
      <c r="R888" s="6" t="s">
        <v>3952</v>
      </c>
      <c r="S888" s="6" t="s">
        <v>3953</v>
      </c>
      <c r="T888" s="6">
        <v>0</v>
      </c>
      <c r="U888" s="6">
        <v>0</v>
      </c>
      <c r="V888" s="6">
        <v>0</v>
      </c>
      <c r="W888" s="6">
        <v>0</v>
      </c>
      <c r="X888" s="6" t="s">
        <v>169</v>
      </c>
      <c r="Z888" s="6" t="s">
        <v>170</v>
      </c>
      <c r="AA888" s="6" t="s">
        <v>171</v>
      </c>
      <c r="AB888" s="6">
        <v>0</v>
      </c>
      <c r="AC888" s="6" t="str">
        <f>""</f>
        <v/>
      </c>
      <c r="AS888" s="6">
        <v>0</v>
      </c>
      <c r="AT888" s="6">
        <v>0</v>
      </c>
    </row>
    <row r="889" spans="2:46">
      <c r="B889" s="6" t="s">
        <v>111</v>
      </c>
      <c r="D889" s="6" t="s">
        <v>3316</v>
      </c>
      <c r="F889" s="6" t="s">
        <v>3954</v>
      </c>
      <c r="G889" s="6" t="str">
        <f>"3177132108301120"</f>
        <v>3177132108301120</v>
      </c>
      <c r="H889" s="6">
        <v>3177132108301120</v>
      </c>
      <c r="I889" s="6" t="s">
        <v>3955</v>
      </c>
      <c r="J889" s="6" t="str">
        <f>"17 RAGLAN ZIP UP [PINK]"</f>
        <v>17 RAGLAN ZIP UP [PINK]</v>
      </c>
      <c r="K889" s="6">
        <v>0</v>
      </c>
      <c r="L889" s="6">
        <v>0</v>
      </c>
      <c r="M889" s="6">
        <v>0</v>
      </c>
      <c r="N889" s="6" t="str">
        <f>""</f>
        <v/>
      </c>
      <c r="O889" s="6">
        <v>32297</v>
      </c>
      <c r="P889" s="6" t="s">
        <v>3956</v>
      </c>
      <c r="R889" s="6" t="s">
        <v>3957</v>
      </c>
      <c r="S889" s="6" t="s">
        <v>3958</v>
      </c>
      <c r="T889" s="6">
        <v>0</v>
      </c>
      <c r="U889" s="6">
        <v>0</v>
      </c>
      <c r="V889" s="6">
        <v>0</v>
      </c>
      <c r="W889" s="6">
        <v>0</v>
      </c>
      <c r="X889" s="6" t="s">
        <v>169</v>
      </c>
      <c r="Z889" s="6" t="s">
        <v>170</v>
      </c>
      <c r="AA889" s="6" t="s">
        <v>171</v>
      </c>
      <c r="AB889" s="6">
        <v>0</v>
      </c>
      <c r="AC889" s="6" t="str">
        <f>""</f>
        <v/>
      </c>
      <c r="AS889" s="6">
        <v>0</v>
      </c>
      <c r="AT889" s="6">
        <v>0</v>
      </c>
    </row>
    <row r="890" spans="2:46">
      <c r="B890" s="6" t="s">
        <v>111</v>
      </c>
      <c r="D890" s="6" t="s">
        <v>3316</v>
      </c>
      <c r="F890" s="6" t="s">
        <v>3959</v>
      </c>
      <c r="G890" s="6" t="str">
        <f>"3177122103395120"</f>
        <v>3177122103395120</v>
      </c>
      <c r="H890" s="6">
        <v>3177122103395120</v>
      </c>
      <c r="I890" s="6" t="s">
        <v>3960</v>
      </c>
      <c r="J890" s="6" t="str">
        <f>"17 TWO POCKET DOWN [GREY]"</f>
        <v>17 TWO POCKET DOWN [GREY]</v>
      </c>
      <c r="K890" s="6">
        <v>0</v>
      </c>
      <c r="L890" s="6">
        <v>0</v>
      </c>
      <c r="M890" s="6">
        <v>0</v>
      </c>
      <c r="N890" s="6" t="str">
        <f>""</f>
        <v/>
      </c>
      <c r="O890" s="6">
        <v>32295</v>
      </c>
      <c r="P890" s="6" t="s">
        <v>3961</v>
      </c>
      <c r="R890" s="6" t="s">
        <v>3962</v>
      </c>
      <c r="S890" s="6" t="s">
        <v>3963</v>
      </c>
      <c r="T890" s="6">
        <v>0</v>
      </c>
      <c r="U890" s="6">
        <v>0</v>
      </c>
      <c r="V890" s="6">
        <v>0</v>
      </c>
      <c r="W890" s="6">
        <v>0</v>
      </c>
      <c r="X890" s="6" t="s">
        <v>169</v>
      </c>
      <c r="Z890" s="6" t="s">
        <v>170</v>
      </c>
      <c r="AA890" s="6" t="s">
        <v>171</v>
      </c>
      <c r="AB890" s="6">
        <v>0</v>
      </c>
      <c r="AC890" s="6" t="str">
        <f>""</f>
        <v/>
      </c>
      <c r="AS890" s="6">
        <v>0</v>
      </c>
      <c r="AT890" s="6">
        <v>0</v>
      </c>
    </row>
    <row r="891" spans="2:46">
      <c r="B891" s="6" t="s">
        <v>111</v>
      </c>
      <c r="D891" s="6" t="s">
        <v>3316</v>
      </c>
      <c r="F891" s="6" t="s">
        <v>3964</v>
      </c>
      <c r="G891" s="6" t="str">
        <f>"3177132108401120"</f>
        <v>3177132108401120</v>
      </c>
      <c r="H891" s="6">
        <v>3177132108401120</v>
      </c>
      <c r="I891" s="6" t="s">
        <v>3965</v>
      </c>
      <c r="J891" s="6" t="str">
        <f>"17 FUR JK (PINK)"</f>
        <v>17 FUR JK (PINK)</v>
      </c>
      <c r="K891" s="6">
        <v>0</v>
      </c>
      <c r="L891" s="6">
        <v>0</v>
      </c>
      <c r="M891" s="6">
        <v>0</v>
      </c>
      <c r="N891" s="6" t="str">
        <f>""</f>
        <v/>
      </c>
      <c r="O891" s="6">
        <v>32293</v>
      </c>
      <c r="P891" s="6" t="s">
        <v>3966</v>
      </c>
      <c r="R891" s="6" t="s">
        <v>3445</v>
      </c>
      <c r="S891" s="6" t="s">
        <v>3967</v>
      </c>
      <c r="T891" s="6">
        <v>0</v>
      </c>
      <c r="U891" s="6">
        <v>0</v>
      </c>
      <c r="V891" s="6">
        <v>0</v>
      </c>
      <c r="W891" s="6">
        <v>0</v>
      </c>
      <c r="X891" s="6" t="s">
        <v>169</v>
      </c>
      <c r="Z891" s="6" t="s">
        <v>170</v>
      </c>
      <c r="AA891" s="6" t="s">
        <v>171</v>
      </c>
      <c r="AB891" s="6">
        <v>0</v>
      </c>
      <c r="AC891" s="6" t="str">
        <f>""</f>
        <v/>
      </c>
      <c r="AS891" s="6">
        <v>0</v>
      </c>
      <c r="AT891" s="6">
        <v>0</v>
      </c>
    </row>
    <row r="892" spans="2:46">
      <c r="B892" s="6" t="s">
        <v>111</v>
      </c>
      <c r="D892" s="6" t="s">
        <v>3316</v>
      </c>
      <c r="F892" s="6" t="s">
        <v>3968</v>
      </c>
      <c r="G892" s="6" t="str">
        <f>"3177222128274208"</f>
        <v>3177222128274208</v>
      </c>
      <c r="H892" s="6">
        <v>3177222128274200</v>
      </c>
      <c r="I892" s="6" t="s">
        <v>3969</v>
      </c>
      <c r="J892" s="6" t="str">
        <f>"17 HOME CDR TURTLENECK [BEIGE]"</f>
        <v>17 HOME CDR TURTLENECK [BEIGE]</v>
      </c>
      <c r="K892" s="6">
        <v>0</v>
      </c>
      <c r="L892" s="6">
        <v>0</v>
      </c>
      <c r="M892" s="6">
        <v>0</v>
      </c>
      <c r="N892" s="6" t="str">
        <f>""</f>
        <v/>
      </c>
      <c r="O892" s="6">
        <v>32291</v>
      </c>
      <c r="P892" s="6" t="s">
        <v>3970</v>
      </c>
      <c r="R892" s="6" t="s">
        <v>2102</v>
      </c>
      <c r="S892" s="6" t="s">
        <v>3971</v>
      </c>
      <c r="T892" s="6">
        <v>0</v>
      </c>
      <c r="U892" s="6">
        <v>0</v>
      </c>
      <c r="V892" s="6">
        <v>0</v>
      </c>
      <c r="W892" s="6">
        <v>0</v>
      </c>
      <c r="X892" s="6" t="s">
        <v>169</v>
      </c>
      <c r="Z892" s="6" t="s">
        <v>170</v>
      </c>
      <c r="AA892" s="6" t="s">
        <v>171</v>
      </c>
      <c r="AB892" s="6">
        <v>0</v>
      </c>
      <c r="AC892" s="6" t="str">
        <f>""</f>
        <v/>
      </c>
      <c r="AS892" s="6">
        <v>0</v>
      </c>
      <c r="AT892" s="6">
        <v>0</v>
      </c>
    </row>
    <row r="893" spans="2:46">
      <c r="B893" s="6" t="s">
        <v>111</v>
      </c>
      <c r="D893" s="6" t="s">
        <v>3316</v>
      </c>
      <c r="F893" s="6" t="s">
        <v>3972</v>
      </c>
      <c r="G893" s="6" t="str">
        <f>"3177122103499120"</f>
        <v>3177122103499120</v>
      </c>
      <c r="H893" s="6">
        <v>3177122103499120</v>
      </c>
      <c r="I893" s="6" t="s">
        <v>3973</v>
      </c>
      <c r="J893" s="6" t="str">
        <f>"17 SOFT DOWN [BLACK]"</f>
        <v>17 SOFT DOWN [BLACK]</v>
      </c>
      <c r="K893" s="6">
        <v>0</v>
      </c>
      <c r="L893" s="6">
        <v>0</v>
      </c>
      <c r="M893" s="6">
        <v>0</v>
      </c>
      <c r="N893" s="6" t="str">
        <f>""</f>
        <v/>
      </c>
      <c r="O893" s="6">
        <v>32289</v>
      </c>
      <c r="P893" s="6" t="s">
        <v>3974</v>
      </c>
      <c r="R893" s="6" t="s">
        <v>3450</v>
      </c>
      <c r="S893" s="6" t="s">
        <v>3975</v>
      </c>
      <c r="T893" s="6">
        <v>0</v>
      </c>
      <c r="U893" s="6">
        <v>0</v>
      </c>
      <c r="V893" s="6">
        <v>0</v>
      </c>
      <c r="W893" s="6">
        <v>0</v>
      </c>
      <c r="X893" s="6" t="s">
        <v>169</v>
      </c>
      <c r="Z893" s="6" t="s">
        <v>170</v>
      </c>
      <c r="AA893" s="6" t="s">
        <v>171</v>
      </c>
      <c r="AB893" s="6">
        <v>0</v>
      </c>
      <c r="AC893" s="6" t="str">
        <f>""</f>
        <v/>
      </c>
      <c r="AS893" s="6">
        <v>0</v>
      </c>
      <c r="AT893" s="6">
        <v>0</v>
      </c>
    </row>
    <row r="894" spans="2:46">
      <c r="B894" s="6" t="s">
        <v>111</v>
      </c>
      <c r="D894" s="6" t="s">
        <v>3316</v>
      </c>
      <c r="F894" s="6" t="s">
        <v>3976</v>
      </c>
      <c r="G894" s="6" t="str">
        <f>"3177352100830320"</f>
        <v>3177352100830320</v>
      </c>
      <c r="I894" s="6" t="s">
        <v>3977</v>
      </c>
      <c r="J894" s="6" t="str">
        <f>"17 FLUFFY SK"</f>
        <v>17 FLUFFY SK</v>
      </c>
      <c r="K894" s="6">
        <v>0</v>
      </c>
      <c r="L894" s="6">
        <v>0</v>
      </c>
      <c r="M894" s="6">
        <v>0</v>
      </c>
      <c r="N894" s="6" t="str">
        <f>""</f>
        <v/>
      </c>
      <c r="O894" s="6">
        <v>32287</v>
      </c>
      <c r="P894" s="6" t="s">
        <v>3978</v>
      </c>
      <c r="R894" s="6" t="s">
        <v>3470</v>
      </c>
      <c r="S894" s="6" t="s">
        <v>3979</v>
      </c>
      <c r="T894" s="6">
        <v>2</v>
      </c>
      <c r="U894" s="6">
        <v>0</v>
      </c>
      <c r="V894" s="6">
        <v>0</v>
      </c>
      <c r="W894" s="6">
        <v>0</v>
      </c>
      <c r="X894" s="6" t="s">
        <v>169</v>
      </c>
      <c r="Z894" s="6" t="s">
        <v>170</v>
      </c>
      <c r="AA894" s="6" t="s">
        <v>171</v>
      </c>
      <c r="AB894" s="6">
        <v>0</v>
      </c>
      <c r="AC894" s="6" t="str">
        <f>"KEY-049"</f>
        <v>KEY-049</v>
      </c>
      <c r="AQ894" s="6" t="str">
        <f>""</f>
        <v/>
      </c>
      <c r="AR894" s="6" t="s">
        <v>1567</v>
      </c>
      <c r="AS894" s="6">
        <v>0</v>
      </c>
      <c r="AT894" s="6">
        <v>2</v>
      </c>
    </row>
    <row r="895" spans="2:46">
      <c r="B895" s="6" t="s">
        <v>111</v>
      </c>
      <c r="D895" s="6" t="s">
        <v>3316</v>
      </c>
      <c r="F895" s="6" t="s">
        <v>3980</v>
      </c>
      <c r="G895" s="6" t="str">
        <f>"3177352100861320"</f>
        <v>3177352100861320</v>
      </c>
      <c r="I895" s="6" t="s">
        <v>3977</v>
      </c>
      <c r="J895" s="6" t="str">
        <f>"17 FLUFFY SK"</f>
        <v>17 FLUFFY SK</v>
      </c>
      <c r="K895" s="6">
        <v>0</v>
      </c>
      <c r="L895" s="6">
        <v>0</v>
      </c>
      <c r="M895" s="6">
        <v>0</v>
      </c>
      <c r="N895" s="6" t="str">
        <f>""</f>
        <v/>
      </c>
      <c r="O895" s="6">
        <v>32286</v>
      </c>
      <c r="P895" s="6" t="s">
        <v>3981</v>
      </c>
      <c r="R895" s="6" t="s">
        <v>3545</v>
      </c>
      <c r="S895" s="6" t="s">
        <v>3982</v>
      </c>
      <c r="T895" s="6">
        <v>2</v>
      </c>
      <c r="U895" s="6">
        <v>0</v>
      </c>
      <c r="V895" s="6">
        <v>0</v>
      </c>
      <c r="W895" s="6">
        <v>0</v>
      </c>
      <c r="X895" s="6" t="s">
        <v>169</v>
      </c>
      <c r="Z895" s="6" t="s">
        <v>170</v>
      </c>
      <c r="AA895" s="6" t="s">
        <v>171</v>
      </c>
      <c r="AB895" s="6">
        <v>0</v>
      </c>
      <c r="AC895" s="6" t="str">
        <f>"KEY-047"</f>
        <v>KEY-047</v>
      </c>
      <c r="AQ895" s="6" t="str">
        <f>""</f>
        <v/>
      </c>
      <c r="AR895" s="6" t="s">
        <v>1567</v>
      </c>
      <c r="AS895" s="6">
        <v>0</v>
      </c>
      <c r="AT895" s="6">
        <v>2</v>
      </c>
    </row>
    <row r="896" spans="2:46">
      <c r="B896" s="6" t="s">
        <v>111</v>
      </c>
      <c r="D896" s="6" t="s">
        <v>3316</v>
      </c>
      <c r="F896" s="6" t="s">
        <v>3983</v>
      </c>
      <c r="G896" s="6" t="str">
        <f>"3177332108730320"</f>
        <v>3177332108730320</v>
      </c>
      <c r="H896" s="6">
        <v>3177332108730320</v>
      </c>
      <c r="I896" s="6" t="s">
        <v>3984</v>
      </c>
      <c r="J896" s="6" t="str">
        <f>"17 M DRAWING SK"</f>
        <v>17 M DRAWING SK</v>
      </c>
      <c r="K896" s="6">
        <v>0</v>
      </c>
      <c r="L896" s="6">
        <v>0</v>
      </c>
      <c r="M896" s="6">
        <v>0</v>
      </c>
      <c r="N896" s="6" t="str">
        <f>""</f>
        <v/>
      </c>
      <c r="O896" s="6">
        <v>32284</v>
      </c>
      <c r="P896" s="6" t="s">
        <v>3985</v>
      </c>
      <c r="R896" s="6" t="s">
        <v>3470</v>
      </c>
      <c r="S896" s="6" t="s">
        <v>3986</v>
      </c>
      <c r="T896" s="6">
        <v>0</v>
      </c>
      <c r="U896" s="6">
        <v>0</v>
      </c>
      <c r="V896" s="6">
        <v>0</v>
      </c>
      <c r="W896" s="6">
        <v>0</v>
      </c>
      <c r="X896" s="6" t="s">
        <v>169</v>
      </c>
      <c r="Z896" s="6" t="s">
        <v>170</v>
      </c>
      <c r="AA896" s="6" t="s">
        <v>171</v>
      </c>
      <c r="AB896" s="6">
        <v>0</v>
      </c>
      <c r="AC896" s="6" t="str">
        <f>""</f>
        <v/>
      </c>
      <c r="AS896" s="6">
        <v>0</v>
      </c>
      <c r="AT896" s="6">
        <v>0</v>
      </c>
    </row>
    <row r="897" spans="2:46">
      <c r="B897" s="6" t="s">
        <v>111</v>
      </c>
      <c r="D897" s="6" t="s">
        <v>3316</v>
      </c>
      <c r="F897" s="6" t="s">
        <v>3987</v>
      </c>
      <c r="G897" s="6" t="str">
        <f>"3177332108775320"</f>
        <v>3177332108775320</v>
      </c>
      <c r="I897" s="6" t="s">
        <v>3984</v>
      </c>
      <c r="J897" s="6" t="str">
        <f>"17 M DRAWING SK"</f>
        <v>17 M DRAWING SK</v>
      </c>
      <c r="K897" s="6">
        <v>0</v>
      </c>
      <c r="L897" s="6">
        <v>0</v>
      </c>
      <c r="M897" s="6">
        <v>0</v>
      </c>
      <c r="N897" s="6" t="str">
        <f>""</f>
        <v/>
      </c>
      <c r="O897" s="6">
        <v>32283</v>
      </c>
      <c r="P897" s="6" t="s">
        <v>3988</v>
      </c>
      <c r="R897" s="6" t="s">
        <v>3436</v>
      </c>
      <c r="S897" s="6" t="s">
        <v>3989</v>
      </c>
      <c r="T897" s="6">
        <v>1</v>
      </c>
      <c r="U897" s="6">
        <v>0</v>
      </c>
      <c r="V897" s="6">
        <v>0</v>
      </c>
      <c r="W897" s="6">
        <v>0</v>
      </c>
      <c r="X897" s="6" t="s">
        <v>169</v>
      </c>
      <c r="Z897" s="6" t="s">
        <v>170</v>
      </c>
      <c r="AA897" s="6" t="s">
        <v>171</v>
      </c>
      <c r="AB897" s="6">
        <v>0</v>
      </c>
      <c r="AC897" s="6" t="str">
        <f>"KEY-034"</f>
        <v>KEY-034</v>
      </c>
      <c r="AQ897" s="6" t="str">
        <f>""</f>
        <v/>
      </c>
      <c r="AR897" s="6" t="s">
        <v>1567</v>
      </c>
      <c r="AS897" s="6">
        <v>0</v>
      </c>
      <c r="AT897" s="6">
        <v>1</v>
      </c>
    </row>
    <row r="898" spans="2:46">
      <c r="B898" s="6" t="s">
        <v>111</v>
      </c>
      <c r="D898" s="6" t="s">
        <v>3316</v>
      </c>
      <c r="F898" s="6" t="s">
        <v>3990</v>
      </c>
      <c r="G898" s="6" t="str">
        <f>"3177332108765320"</f>
        <v>3177332108765320</v>
      </c>
      <c r="H898" s="6">
        <v>3177332108765320</v>
      </c>
      <c r="I898" s="6" t="s">
        <v>3984</v>
      </c>
      <c r="J898" s="6" t="str">
        <f>"17 M DRAWING SK"</f>
        <v>17 M DRAWING SK</v>
      </c>
      <c r="K898" s="6">
        <v>0</v>
      </c>
      <c r="L898" s="6">
        <v>0</v>
      </c>
      <c r="M898" s="6">
        <v>0</v>
      </c>
      <c r="N898" s="6" t="str">
        <f>""</f>
        <v/>
      </c>
      <c r="O898" s="6">
        <v>32282</v>
      </c>
      <c r="P898" s="6" t="s">
        <v>3991</v>
      </c>
      <c r="R898" s="6" t="s">
        <v>3992</v>
      </c>
      <c r="S898" s="6" t="s">
        <v>3993</v>
      </c>
      <c r="T898" s="6">
        <v>0</v>
      </c>
      <c r="U898" s="6">
        <v>0</v>
      </c>
      <c r="V898" s="6">
        <v>0</v>
      </c>
      <c r="W898" s="6">
        <v>0</v>
      </c>
      <c r="X898" s="6" t="s">
        <v>169</v>
      </c>
      <c r="Z898" s="6" t="s">
        <v>170</v>
      </c>
      <c r="AA898" s="6" t="s">
        <v>171</v>
      </c>
      <c r="AB898" s="6">
        <v>0</v>
      </c>
      <c r="AC898" s="6" t="str">
        <f>""</f>
        <v/>
      </c>
      <c r="AS898" s="6">
        <v>0</v>
      </c>
      <c r="AT898" s="6">
        <v>0</v>
      </c>
    </row>
    <row r="899" spans="2:46">
      <c r="B899" s="6" t="s">
        <v>111</v>
      </c>
      <c r="D899" s="6" t="s">
        <v>3316</v>
      </c>
      <c r="F899" s="6" t="s">
        <v>3994</v>
      </c>
      <c r="G899" s="6" t="str">
        <f>"3177312111499320"</f>
        <v>3177312111499320</v>
      </c>
      <c r="I899" s="6" t="s">
        <v>3995</v>
      </c>
      <c r="J899" s="6" t="str">
        <f>"17 BACK SLIT PT"</f>
        <v>17 BACK SLIT PT</v>
      </c>
      <c r="K899" s="6">
        <v>0</v>
      </c>
      <c r="L899" s="6">
        <v>0</v>
      </c>
      <c r="M899" s="6">
        <v>0</v>
      </c>
      <c r="N899" s="6" t="str">
        <f>""</f>
        <v/>
      </c>
      <c r="O899" s="6">
        <v>32280</v>
      </c>
      <c r="P899" s="6" t="s">
        <v>3996</v>
      </c>
      <c r="R899" s="6" t="s">
        <v>3450</v>
      </c>
      <c r="S899" s="6" t="s">
        <v>3997</v>
      </c>
      <c r="T899" s="6">
        <v>2</v>
      </c>
      <c r="U899" s="6">
        <v>0</v>
      </c>
      <c r="V899" s="6">
        <v>0</v>
      </c>
      <c r="W899" s="6">
        <v>0</v>
      </c>
      <c r="X899" s="6" t="s">
        <v>169</v>
      </c>
      <c r="Z899" s="6" t="s">
        <v>170</v>
      </c>
      <c r="AA899" s="6" t="s">
        <v>171</v>
      </c>
      <c r="AB899" s="6">
        <v>0</v>
      </c>
      <c r="AC899" s="6" t="str">
        <f>"KEY-044"</f>
        <v>KEY-044</v>
      </c>
      <c r="AQ899" s="6" t="str">
        <f>""</f>
        <v/>
      </c>
      <c r="AR899" s="6" t="s">
        <v>1567</v>
      </c>
      <c r="AS899" s="6">
        <v>0</v>
      </c>
      <c r="AT899" s="6">
        <v>2</v>
      </c>
    </row>
    <row r="900" spans="2:46">
      <c r="B900" s="6" t="s">
        <v>111</v>
      </c>
      <c r="D900" s="6" t="s">
        <v>3316</v>
      </c>
      <c r="F900" s="6" t="s">
        <v>3998</v>
      </c>
      <c r="G900" s="6" t="str">
        <f>"3177312111445308"</f>
        <v>3177312111445308</v>
      </c>
      <c r="I900" s="6" t="s">
        <v>3995</v>
      </c>
      <c r="J900" s="6" t="str">
        <f>"17 BACK SLIT PT"</f>
        <v>17 BACK SLIT PT</v>
      </c>
      <c r="K900" s="6">
        <v>0</v>
      </c>
      <c r="L900" s="6">
        <v>0</v>
      </c>
      <c r="M900" s="6">
        <v>0</v>
      </c>
      <c r="N900" s="6" t="str">
        <f>""</f>
        <v/>
      </c>
      <c r="O900" s="6">
        <v>32279</v>
      </c>
      <c r="P900" s="6" t="s">
        <v>3999</v>
      </c>
      <c r="R900" s="6" t="s">
        <v>3441</v>
      </c>
      <c r="S900" s="6" t="s">
        <v>4000</v>
      </c>
      <c r="T900" s="6">
        <v>1</v>
      </c>
      <c r="U900" s="6">
        <v>0</v>
      </c>
      <c r="V900" s="6">
        <v>0</v>
      </c>
      <c r="W900" s="6">
        <v>0</v>
      </c>
      <c r="X900" s="6" t="s">
        <v>169</v>
      </c>
      <c r="Z900" s="6" t="s">
        <v>170</v>
      </c>
      <c r="AA900" s="6" t="s">
        <v>171</v>
      </c>
      <c r="AB900" s="6">
        <v>0</v>
      </c>
      <c r="AC900" s="6" t="str">
        <f>"KEY-045"</f>
        <v>KEY-045</v>
      </c>
      <c r="AQ900" s="6" t="str">
        <f>""</f>
        <v/>
      </c>
      <c r="AR900" s="6" t="s">
        <v>1567</v>
      </c>
      <c r="AS900" s="6">
        <v>0</v>
      </c>
      <c r="AT900" s="6">
        <v>1</v>
      </c>
    </row>
    <row r="901" spans="2:46">
      <c r="B901" s="6" t="s">
        <v>111</v>
      </c>
      <c r="D901" s="6" t="s">
        <v>3316</v>
      </c>
      <c r="F901" s="6" t="s">
        <v>4001</v>
      </c>
      <c r="G901" s="6" t="str">
        <f>"3177312112630320"</f>
        <v>3177312112630320</v>
      </c>
      <c r="H901" s="6">
        <v>3177312112630320</v>
      </c>
      <c r="I901" s="6" t="s">
        <v>4002</v>
      </c>
      <c r="J901" s="6" t="str">
        <f>"17 LINE POCKET PT"</f>
        <v>17 LINE POCKET PT</v>
      </c>
      <c r="K901" s="6">
        <v>0</v>
      </c>
      <c r="L901" s="6">
        <v>0</v>
      </c>
      <c r="M901" s="6">
        <v>0</v>
      </c>
      <c r="N901" s="6" t="str">
        <f>""</f>
        <v/>
      </c>
      <c r="O901" s="6">
        <v>32277</v>
      </c>
      <c r="P901" s="6" t="s">
        <v>4003</v>
      </c>
      <c r="R901" s="6" t="s">
        <v>3470</v>
      </c>
      <c r="S901" s="6" t="s">
        <v>4004</v>
      </c>
      <c r="T901" s="6">
        <v>0</v>
      </c>
      <c r="U901" s="6">
        <v>0</v>
      </c>
      <c r="V901" s="6">
        <v>0</v>
      </c>
      <c r="W901" s="6">
        <v>0</v>
      </c>
      <c r="X901" s="6" t="s">
        <v>169</v>
      </c>
      <c r="Z901" s="6" t="s">
        <v>170</v>
      </c>
      <c r="AA901" s="6" t="s">
        <v>171</v>
      </c>
      <c r="AB901" s="6">
        <v>0</v>
      </c>
      <c r="AC901" s="6" t="str">
        <f>""</f>
        <v/>
      </c>
      <c r="AS901" s="6">
        <v>0</v>
      </c>
      <c r="AT901" s="6">
        <v>0</v>
      </c>
    </row>
    <row r="902" spans="2:46">
      <c r="B902" s="6" t="s">
        <v>111</v>
      </c>
      <c r="D902" s="6" t="s">
        <v>3316</v>
      </c>
      <c r="F902" s="6" t="s">
        <v>4005</v>
      </c>
      <c r="G902" s="6" t="str">
        <f>"3177312103330320"</f>
        <v>3177312103330320</v>
      </c>
      <c r="H902" s="6">
        <v>3177312103330320</v>
      </c>
      <c r="I902" s="6" t="s">
        <v>4006</v>
      </c>
      <c r="J902" s="6" t="str">
        <f>"17 M DRAWING PT"</f>
        <v>17 M DRAWING PT</v>
      </c>
      <c r="K902" s="6">
        <v>0</v>
      </c>
      <c r="L902" s="6">
        <v>0</v>
      </c>
      <c r="M902" s="6">
        <v>0</v>
      </c>
      <c r="N902" s="6" t="str">
        <f>""</f>
        <v/>
      </c>
      <c r="O902" s="6">
        <v>32275</v>
      </c>
      <c r="P902" s="6" t="s">
        <v>4007</v>
      </c>
      <c r="R902" s="6" t="s">
        <v>3470</v>
      </c>
      <c r="S902" s="6" t="s">
        <v>4008</v>
      </c>
      <c r="T902" s="6">
        <v>0</v>
      </c>
      <c r="U902" s="6">
        <v>0</v>
      </c>
      <c r="V902" s="6">
        <v>0</v>
      </c>
      <c r="W902" s="6">
        <v>0</v>
      </c>
      <c r="X902" s="6" t="s">
        <v>169</v>
      </c>
      <c r="Z902" s="6" t="s">
        <v>170</v>
      </c>
      <c r="AA902" s="6" t="s">
        <v>171</v>
      </c>
      <c r="AB902" s="6">
        <v>0</v>
      </c>
      <c r="AC902" s="6" t="str">
        <f>""</f>
        <v/>
      </c>
      <c r="AS902" s="6">
        <v>0</v>
      </c>
      <c r="AT902" s="6">
        <v>0</v>
      </c>
    </row>
    <row r="903" spans="2:46">
      <c r="B903" s="6" t="s">
        <v>111</v>
      </c>
      <c r="D903" s="6" t="s">
        <v>3316</v>
      </c>
      <c r="F903" s="6" t="s">
        <v>4009</v>
      </c>
      <c r="G903" s="6" t="str">
        <f>"3177312103375320"</f>
        <v>3177312103375320</v>
      </c>
      <c r="I903" s="6" t="s">
        <v>4006</v>
      </c>
      <c r="J903" s="6" t="str">
        <f>"17 M DRAWING PT"</f>
        <v>17 M DRAWING PT</v>
      </c>
      <c r="K903" s="6">
        <v>0</v>
      </c>
      <c r="L903" s="6">
        <v>0</v>
      </c>
      <c r="M903" s="6">
        <v>0</v>
      </c>
      <c r="N903" s="6" t="str">
        <f>""</f>
        <v/>
      </c>
      <c r="O903" s="6">
        <v>32274</v>
      </c>
      <c r="P903" s="6" t="s">
        <v>4010</v>
      </c>
      <c r="R903" s="6" t="s">
        <v>3436</v>
      </c>
      <c r="S903" s="6" t="s">
        <v>4011</v>
      </c>
      <c r="T903" s="6">
        <v>2</v>
      </c>
      <c r="U903" s="6">
        <v>0</v>
      </c>
      <c r="V903" s="6">
        <v>0</v>
      </c>
      <c r="W903" s="6">
        <v>0</v>
      </c>
      <c r="X903" s="6" t="s">
        <v>169</v>
      </c>
      <c r="Z903" s="6" t="s">
        <v>170</v>
      </c>
      <c r="AA903" s="6" t="s">
        <v>171</v>
      </c>
      <c r="AB903" s="6">
        <v>0</v>
      </c>
      <c r="AC903" s="6" t="str">
        <f>"KEY-034"</f>
        <v>KEY-034</v>
      </c>
      <c r="AQ903" s="6" t="str">
        <f>""</f>
        <v/>
      </c>
      <c r="AR903" s="6" t="s">
        <v>1567</v>
      </c>
      <c r="AS903" s="6">
        <v>0</v>
      </c>
      <c r="AT903" s="6">
        <v>2</v>
      </c>
    </row>
    <row r="904" spans="2:46">
      <c r="B904" s="6" t="s">
        <v>111</v>
      </c>
      <c r="D904" s="6" t="s">
        <v>3316</v>
      </c>
      <c r="F904" s="6" t="s">
        <v>4012</v>
      </c>
      <c r="G904" s="6" t="str">
        <f>"3177312103365320"</f>
        <v>3177312103365320</v>
      </c>
      <c r="I904" s="6" t="s">
        <v>4006</v>
      </c>
      <c r="J904" s="6" t="str">
        <f>"17 M DRAWING PT"</f>
        <v>17 M DRAWING PT</v>
      </c>
      <c r="K904" s="6">
        <v>0</v>
      </c>
      <c r="L904" s="6">
        <v>0</v>
      </c>
      <c r="M904" s="6">
        <v>0</v>
      </c>
      <c r="N904" s="6" t="str">
        <f>""</f>
        <v/>
      </c>
      <c r="O904" s="6">
        <v>32273</v>
      </c>
      <c r="P904" s="6" t="s">
        <v>4013</v>
      </c>
      <c r="R904" s="6" t="s">
        <v>3992</v>
      </c>
      <c r="S904" s="6" t="s">
        <v>4014</v>
      </c>
      <c r="T904" s="6">
        <v>1</v>
      </c>
      <c r="U904" s="6">
        <v>0</v>
      </c>
      <c r="V904" s="6">
        <v>0</v>
      </c>
      <c r="W904" s="6">
        <v>0</v>
      </c>
      <c r="X904" s="6" t="s">
        <v>169</v>
      </c>
      <c r="Z904" s="6" t="s">
        <v>170</v>
      </c>
      <c r="AA904" s="6" t="s">
        <v>171</v>
      </c>
      <c r="AB904" s="6">
        <v>0</v>
      </c>
      <c r="AC904" s="6" t="str">
        <f>"KEY-038"</f>
        <v>KEY-038</v>
      </c>
      <c r="AQ904" s="6" t="str">
        <f>""</f>
        <v/>
      </c>
      <c r="AR904" s="6" t="s">
        <v>1567</v>
      </c>
      <c r="AS904" s="6">
        <v>0</v>
      </c>
      <c r="AT904" s="6">
        <v>1</v>
      </c>
    </row>
    <row r="905" spans="2:46">
      <c r="B905" s="6" t="s">
        <v>111</v>
      </c>
      <c r="D905" s="6" t="s">
        <v>3316</v>
      </c>
      <c r="F905" s="6" t="s">
        <v>4015</v>
      </c>
      <c r="G905" s="6" t="str">
        <f>"3177252115365208"</f>
        <v>3177252115365208</v>
      </c>
      <c r="I905" s="6" t="s">
        <v>4016</v>
      </c>
      <c r="J905" s="6" t="str">
        <f>"17 CK FRILL OPS"</f>
        <v>17 CK FRILL OPS</v>
      </c>
      <c r="K905" s="6">
        <v>0</v>
      </c>
      <c r="L905" s="6">
        <v>0</v>
      </c>
      <c r="M905" s="6">
        <v>0</v>
      </c>
      <c r="N905" s="6" t="str">
        <f>""</f>
        <v/>
      </c>
      <c r="O905" s="6">
        <v>32271</v>
      </c>
      <c r="P905" s="6" t="s">
        <v>4017</v>
      </c>
      <c r="R905" s="6" t="s">
        <v>3992</v>
      </c>
      <c r="S905" s="6" t="s">
        <v>4018</v>
      </c>
      <c r="T905" s="6">
        <v>2</v>
      </c>
      <c r="U905" s="6">
        <v>0</v>
      </c>
      <c r="V905" s="6">
        <v>0</v>
      </c>
      <c r="W905" s="6">
        <v>0</v>
      </c>
      <c r="X905" s="6" t="s">
        <v>169</v>
      </c>
      <c r="Z905" s="6" t="s">
        <v>170</v>
      </c>
      <c r="AA905" s="6" t="s">
        <v>171</v>
      </c>
      <c r="AB905" s="6">
        <v>0</v>
      </c>
      <c r="AC905" s="6" t="str">
        <f>"KEY-047"</f>
        <v>KEY-047</v>
      </c>
      <c r="AQ905" s="6" t="str">
        <f>""</f>
        <v/>
      </c>
      <c r="AR905" s="6" t="s">
        <v>1567</v>
      </c>
      <c r="AS905" s="6">
        <v>0</v>
      </c>
      <c r="AT905" s="6">
        <v>2</v>
      </c>
    </row>
    <row r="906" spans="2:46">
      <c r="B906" s="6" t="s">
        <v>111</v>
      </c>
      <c r="D906" s="6" t="s">
        <v>3316</v>
      </c>
      <c r="F906" s="6" t="s">
        <v>4019</v>
      </c>
      <c r="G906" s="6" t="str">
        <f>"3177252115430208"</f>
        <v>3177252115430208</v>
      </c>
      <c r="I906" s="6" t="s">
        <v>4020</v>
      </c>
      <c r="J906" s="6" t="str">
        <f>"17 V-VELOUR OPS"</f>
        <v>17 V-VELOUR OPS</v>
      </c>
      <c r="K906" s="6">
        <v>0</v>
      </c>
      <c r="L906" s="6">
        <v>0</v>
      </c>
      <c r="M906" s="6">
        <v>0</v>
      </c>
      <c r="N906" s="6" t="str">
        <f>""</f>
        <v/>
      </c>
      <c r="O906" s="6">
        <v>32269</v>
      </c>
      <c r="P906" s="6" t="s">
        <v>4021</v>
      </c>
      <c r="R906" s="6" t="s">
        <v>3470</v>
      </c>
      <c r="S906" s="6" t="s">
        <v>4022</v>
      </c>
      <c r="T906" s="6">
        <v>1</v>
      </c>
      <c r="U906" s="6">
        <v>0</v>
      </c>
      <c r="V906" s="6">
        <v>0</v>
      </c>
      <c r="W906" s="6">
        <v>0</v>
      </c>
      <c r="X906" s="6" t="s">
        <v>169</v>
      </c>
      <c r="Z906" s="6" t="s">
        <v>170</v>
      </c>
      <c r="AA906" s="6" t="s">
        <v>171</v>
      </c>
      <c r="AB906" s="6">
        <v>0</v>
      </c>
      <c r="AC906" s="6" t="str">
        <f>"KEY-039"</f>
        <v>KEY-039</v>
      </c>
      <c r="AQ906" s="6" t="str">
        <f>""</f>
        <v/>
      </c>
      <c r="AR906" s="6" t="s">
        <v>1567</v>
      </c>
      <c r="AS906" s="6">
        <v>0</v>
      </c>
      <c r="AT906" s="6">
        <v>1</v>
      </c>
    </row>
    <row r="907" spans="2:46">
      <c r="B907" s="6" t="s">
        <v>111</v>
      </c>
      <c r="D907" s="6" t="s">
        <v>3316</v>
      </c>
      <c r="F907" s="6" t="s">
        <v>4023</v>
      </c>
      <c r="G907" s="6" t="str">
        <f>"3177252115461208"</f>
        <v>3177252115461208</v>
      </c>
      <c r="H907" s="6">
        <v>3177252115461200</v>
      </c>
      <c r="I907" s="6" t="s">
        <v>4020</v>
      </c>
      <c r="J907" s="6" t="str">
        <f>"17 V-VELOUR OPS"</f>
        <v>17 V-VELOUR OPS</v>
      </c>
      <c r="K907" s="6">
        <v>0</v>
      </c>
      <c r="L907" s="6">
        <v>0</v>
      </c>
      <c r="M907" s="6">
        <v>0</v>
      </c>
      <c r="N907" s="6" t="str">
        <f>""</f>
        <v/>
      </c>
      <c r="O907" s="6">
        <v>32268</v>
      </c>
      <c r="P907" s="6" t="s">
        <v>4024</v>
      </c>
      <c r="R907" s="6" t="s">
        <v>3545</v>
      </c>
      <c r="S907" s="6" t="s">
        <v>4025</v>
      </c>
      <c r="T907" s="6">
        <v>0</v>
      </c>
      <c r="U907" s="6">
        <v>0</v>
      </c>
      <c r="V907" s="6">
        <v>0</v>
      </c>
      <c r="W907" s="6">
        <v>0</v>
      </c>
      <c r="X907" s="6" t="s">
        <v>169</v>
      </c>
      <c r="Z907" s="6" t="s">
        <v>170</v>
      </c>
      <c r="AA907" s="6" t="s">
        <v>171</v>
      </c>
      <c r="AB907" s="6">
        <v>0</v>
      </c>
      <c r="AC907" s="6" t="str">
        <f>""</f>
        <v/>
      </c>
      <c r="AS907" s="6">
        <v>0</v>
      </c>
      <c r="AT907" s="6">
        <v>0</v>
      </c>
    </row>
    <row r="908" spans="2:46">
      <c r="B908" s="6" t="s">
        <v>111</v>
      </c>
      <c r="D908" s="6" t="s">
        <v>3316</v>
      </c>
      <c r="F908" s="6" t="s">
        <v>4026</v>
      </c>
      <c r="G908" s="6" t="str">
        <f>"3177232114399208"</f>
        <v>3177232114399208</v>
      </c>
      <c r="H908" s="6">
        <v>3177232114399200</v>
      </c>
      <c r="I908" s="6" t="s">
        <v>4027</v>
      </c>
      <c r="J908" s="6" t="str">
        <f>"17 STRING CROP TS"</f>
        <v>17 STRING CROP TS</v>
      </c>
      <c r="K908" s="6">
        <v>0</v>
      </c>
      <c r="L908" s="6">
        <v>0</v>
      </c>
      <c r="M908" s="6">
        <v>0</v>
      </c>
      <c r="N908" s="6" t="str">
        <f>""</f>
        <v/>
      </c>
      <c r="O908" s="6">
        <v>32266</v>
      </c>
      <c r="P908" s="6" t="s">
        <v>4028</v>
      </c>
      <c r="R908" s="6" t="s">
        <v>3450</v>
      </c>
      <c r="S908" s="6" t="s">
        <v>4029</v>
      </c>
      <c r="T908" s="6">
        <v>0</v>
      </c>
      <c r="U908" s="6">
        <v>0</v>
      </c>
      <c r="V908" s="6">
        <v>0</v>
      </c>
      <c r="W908" s="6">
        <v>0</v>
      </c>
      <c r="X908" s="6" t="s">
        <v>169</v>
      </c>
      <c r="Z908" s="6" t="s">
        <v>170</v>
      </c>
      <c r="AA908" s="6" t="s">
        <v>171</v>
      </c>
      <c r="AB908" s="6">
        <v>0</v>
      </c>
      <c r="AC908" s="6" t="str">
        <f>""</f>
        <v/>
      </c>
      <c r="AS908" s="6">
        <v>0</v>
      </c>
      <c r="AT908" s="6">
        <v>0</v>
      </c>
    </row>
    <row r="909" spans="2:46">
      <c r="B909" s="6" t="s">
        <v>111</v>
      </c>
      <c r="D909" s="6" t="s">
        <v>3316</v>
      </c>
      <c r="F909" s="6" t="s">
        <v>4030</v>
      </c>
      <c r="G909" s="6" t="str">
        <f>"3177222123030208"</f>
        <v>3177222123030208</v>
      </c>
      <c r="I909" s="6" t="s">
        <v>4031</v>
      </c>
      <c r="J909" s="6" t="str">
        <f>"17 NAGS TURTLENECK"</f>
        <v>17 NAGS TURTLENECK</v>
      </c>
      <c r="K909" s="6">
        <v>0</v>
      </c>
      <c r="L909" s="6">
        <v>0</v>
      </c>
      <c r="M909" s="6">
        <v>0</v>
      </c>
      <c r="N909" s="6" t="str">
        <f>""</f>
        <v/>
      </c>
      <c r="O909" s="6">
        <v>32264</v>
      </c>
      <c r="P909" s="6" t="s">
        <v>4032</v>
      </c>
      <c r="R909" s="6" t="s">
        <v>3470</v>
      </c>
      <c r="S909" s="6" t="s">
        <v>4033</v>
      </c>
      <c r="T909" s="6">
        <v>1</v>
      </c>
      <c r="U909" s="6">
        <v>0</v>
      </c>
      <c r="V909" s="6">
        <v>0</v>
      </c>
      <c r="W909" s="6">
        <v>0</v>
      </c>
      <c r="X909" s="6" t="s">
        <v>169</v>
      </c>
      <c r="Z909" s="6" t="s">
        <v>170</v>
      </c>
      <c r="AA909" s="6" t="s">
        <v>171</v>
      </c>
      <c r="AB909" s="6">
        <v>0</v>
      </c>
      <c r="AC909" s="6" t="str">
        <f>"KEY-008"</f>
        <v>KEY-008</v>
      </c>
      <c r="AQ909" s="6" t="str">
        <f>""</f>
        <v/>
      </c>
      <c r="AR909" s="6" t="s">
        <v>1584</v>
      </c>
      <c r="AS909" s="6">
        <v>0</v>
      </c>
      <c r="AT909" s="6">
        <v>1</v>
      </c>
    </row>
    <row r="910" spans="2:46">
      <c r="B910" s="6" t="s">
        <v>111</v>
      </c>
      <c r="D910" s="6" t="s">
        <v>3316</v>
      </c>
      <c r="F910" s="6" t="s">
        <v>4034</v>
      </c>
      <c r="G910" s="6" t="str">
        <f>"3177222123062208"</f>
        <v>3177222123062208</v>
      </c>
      <c r="H910" s="6">
        <v>3177222123062200</v>
      </c>
      <c r="I910" s="6" t="s">
        <v>4031</v>
      </c>
      <c r="J910" s="6" t="str">
        <f>"17 NAGS TURTLENECK"</f>
        <v>17 NAGS TURTLENECK</v>
      </c>
      <c r="K910" s="6">
        <v>0</v>
      </c>
      <c r="L910" s="6">
        <v>0</v>
      </c>
      <c r="M910" s="6">
        <v>0</v>
      </c>
      <c r="N910" s="6" t="str">
        <f>""</f>
        <v/>
      </c>
      <c r="O910" s="6">
        <v>32263</v>
      </c>
      <c r="P910" s="6" t="s">
        <v>4035</v>
      </c>
      <c r="R910" s="6" t="s">
        <v>3517</v>
      </c>
      <c r="S910" s="6" t="s">
        <v>4036</v>
      </c>
      <c r="T910" s="6">
        <v>0</v>
      </c>
      <c r="U910" s="6">
        <v>0</v>
      </c>
      <c r="V910" s="6">
        <v>0</v>
      </c>
      <c r="W910" s="6">
        <v>0</v>
      </c>
      <c r="X910" s="6" t="s">
        <v>169</v>
      </c>
      <c r="Z910" s="6" t="s">
        <v>170</v>
      </c>
      <c r="AA910" s="6" t="s">
        <v>171</v>
      </c>
      <c r="AB910" s="6">
        <v>0</v>
      </c>
      <c r="AC910" s="6" t="str">
        <f>""</f>
        <v/>
      </c>
      <c r="AS910" s="6">
        <v>0</v>
      </c>
      <c r="AT910" s="6">
        <v>0</v>
      </c>
    </row>
    <row r="911" spans="2:46">
      <c r="B911" s="6" t="s">
        <v>111</v>
      </c>
      <c r="D911" s="6" t="s">
        <v>3316</v>
      </c>
      <c r="F911" s="6" t="s">
        <v>4037</v>
      </c>
      <c r="G911" s="6" t="str">
        <f>"3177222123069208"</f>
        <v>3177222123069208</v>
      </c>
      <c r="I911" s="6" t="s">
        <v>4031</v>
      </c>
      <c r="J911" s="6" t="str">
        <f>"17 NAGS TURTLENECK"</f>
        <v>17 NAGS TURTLENECK</v>
      </c>
      <c r="K911" s="6">
        <v>0</v>
      </c>
      <c r="L911" s="6">
        <v>0</v>
      </c>
      <c r="M911" s="6">
        <v>0</v>
      </c>
      <c r="N911" s="6" t="str">
        <f>""</f>
        <v/>
      </c>
      <c r="O911" s="6">
        <v>32262</v>
      </c>
      <c r="P911" s="6" t="s">
        <v>4038</v>
      </c>
      <c r="R911" s="6" t="s">
        <v>3481</v>
      </c>
      <c r="S911" s="6" t="s">
        <v>4039</v>
      </c>
      <c r="T911" s="6">
        <v>1</v>
      </c>
      <c r="U911" s="6">
        <v>0</v>
      </c>
      <c r="V911" s="6">
        <v>0</v>
      </c>
      <c r="W911" s="6">
        <v>0</v>
      </c>
      <c r="X911" s="6" t="s">
        <v>169</v>
      </c>
      <c r="Z911" s="6" t="s">
        <v>170</v>
      </c>
      <c r="AA911" s="6" t="s">
        <v>171</v>
      </c>
      <c r="AB911" s="6">
        <v>0</v>
      </c>
      <c r="AC911" s="6" t="str">
        <f>"KEY-039"</f>
        <v>KEY-039</v>
      </c>
      <c r="AQ911" s="6" t="str">
        <f>""</f>
        <v/>
      </c>
      <c r="AR911" s="6" t="s">
        <v>1567</v>
      </c>
      <c r="AS911" s="6">
        <v>0</v>
      </c>
      <c r="AT911" s="6">
        <v>1</v>
      </c>
    </row>
    <row r="912" spans="2:46">
      <c r="B912" s="6" t="s">
        <v>111</v>
      </c>
      <c r="D912" s="6" t="s">
        <v>3316</v>
      </c>
      <c r="F912" s="6" t="s">
        <v>4040</v>
      </c>
      <c r="G912" s="6" t="str">
        <f>"3177222128262208"</f>
        <v>3177222128262208</v>
      </c>
      <c r="I912" s="6" t="s">
        <v>4041</v>
      </c>
      <c r="J912" s="6" t="str">
        <f>"17 HOME CDR TURTLENECK"</f>
        <v>17 HOME CDR TURTLENECK</v>
      </c>
      <c r="K912" s="6">
        <v>0</v>
      </c>
      <c r="L912" s="6">
        <v>0</v>
      </c>
      <c r="M912" s="6">
        <v>0</v>
      </c>
      <c r="N912" s="6" t="str">
        <f>""</f>
        <v/>
      </c>
      <c r="O912" s="6">
        <v>32260</v>
      </c>
      <c r="P912" s="6" t="s">
        <v>4042</v>
      </c>
      <c r="R912" s="6" t="s">
        <v>3517</v>
      </c>
      <c r="S912" s="6" t="s">
        <v>4043</v>
      </c>
      <c r="T912" s="6">
        <v>2</v>
      </c>
      <c r="U912" s="6">
        <v>0</v>
      </c>
      <c r="V912" s="6">
        <v>0</v>
      </c>
      <c r="W912" s="6">
        <v>0</v>
      </c>
      <c r="X912" s="6" t="s">
        <v>169</v>
      </c>
      <c r="Z912" s="6" t="s">
        <v>170</v>
      </c>
      <c r="AA912" s="6" t="s">
        <v>171</v>
      </c>
      <c r="AB912" s="6">
        <v>0</v>
      </c>
      <c r="AC912" s="6" t="str">
        <f>"KEY-038"</f>
        <v>KEY-038</v>
      </c>
      <c r="AQ912" s="6" t="str">
        <f>""</f>
        <v/>
      </c>
      <c r="AR912" s="6" t="s">
        <v>1567</v>
      </c>
      <c r="AS912" s="6">
        <v>0</v>
      </c>
      <c r="AT912" s="6">
        <v>2</v>
      </c>
    </row>
    <row r="913" spans="2:46">
      <c r="B913" s="6" t="s">
        <v>111</v>
      </c>
      <c r="D913" s="6" t="s">
        <v>3316</v>
      </c>
      <c r="F913" s="6" t="s">
        <v>4044</v>
      </c>
      <c r="G913" s="6" t="str">
        <f>"3177222127799208"</f>
        <v>3177222127799208</v>
      </c>
      <c r="I913" s="6" t="s">
        <v>4045</v>
      </c>
      <c r="J913" s="6" t="str">
        <f>"17 SB TS"</f>
        <v>17 SB TS</v>
      </c>
      <c r="K913" s="6">
        <v>0</v>
      </c>
      <c r="L913" s="6">
        <v>0</v>
      </c>
      <c r="M913" s="6">
        <v>0</v>
      </c>
      <c r="N913" s="6" t="str">
        <f>""</f>
        <v/>
      </c>
      <c r="O913" s="6">
        <v>32258</v>
      </c>
      <c r="P913" s="6" t="s">
        <v>4046</v>
      </c>
      <c r="R913" s="6" t="s">
        <v>3450</v>
      </c>
      <c r="S913" s="6" t="s">
        <v>4047</v>
      </c>
      <c r="T913" s="6">
        <v>2</v>
      </c>
      <c r="U913" s="6">
        <v>0</v>
      </c>
      <c r="V913" s="6">
        <v>0</v>
      </c>
      <c r="W913" s="6">
        <v>0</v>
      </c>
      <c r="X913" s="6" t="s">
        <v>169</v>
      </c>
      <c r="Z913" s="6" t="s">
        <v>170</v>
      </c>
      <c r="AA913" s="6" t="s">
        <v>171</v>
      </c>
      <c r="AB913" s="6">
        <v>0</v>
      </c>
      <c r="AC913" s="6" t="str">
        <f>"KEY-039"</f>
        <v>KEY-039</v>
      </c>
      <c r="AQ913" s="6" t="str">
        <f>""</f>
        <v/>
      </c>
      <c r="AR913" s="6" t="s">
        <v>1567</v>
      </c>
      <c r="AS913" s="6">
        <v>0</v>
      </c>
      <c r="AT913" s="6">
        <v>2</v>
      </c>
    </row>
    <row r="914" spans="2:46">
      <c r="B914" s="6" t="s">
        <v>111</v>
      </c>
      <c r="D914" s="6" t="s">
        <v>3316</v>
      </c>
      <c r="F914" s="6" t="s">
        <v>4048</v>
      </c>
      <c r="G914" s="6" t="str">
        <f>"3177222127725208"</f>
        <v>3177222127725208</v>
      </c>
      <c r="H914" s="6">
        <v>3177222127725200</v>
      </c>
      <c r="I914" s="6" t="s">
        <v>4045</v>
      </c>
      <c r="J914" s="6" t="str">
        <f>"17 SB TS"</f>
        <v>17 SB TS</v>
      </c>
      <c r="K914" s="6">
        <v>0</v>
      </c>
      <c r="L914" s="6">
        <v>0</v>
      </c>
      <c r="M914" s="6">
        <v>0</v>
      </c>
      <c r="N914" s="6" t="str">
        <f>""</f>
        <v/>
      </c>
      <c r="O914" s="6">
        <v>32257</v>
      </c>
      <c r="P914" s="6" t="s">
        <v>4049</v>
      </c>
      <c r="R914" s="6" t="s">
        <v>3461</v>
      </c>
      <c r="S914" s="6" t="s">
        <v>4050</v>
      </c>
      <c r="T914" s="6">
        <v>0</v>
      </c>
      <c r="U914" s="6">
        <v>0</v>
      </c>
      <c r="V914" s="6">
        <v>0</v>
      </c>
      <c r="W914" s="6">
        <v>0</v>
      </c>
      <c r="X914" s="6" t="s">
        <v>169</v>
      </c>
      <c r="Z914" s="6" t="s">
        <v>170</v>
      </c>
      <c r="AA914" s="6" t="s">
        <v>171</v>
      </c>
      <c r="AB914" s="6">
        <v>0</v>
      </c>
      <c r="AC914" s="6" t="str">
        <f>""</f>
        <v/>
      </c>
      <c r="AS914" s="6">
        <v>0</v>
      </c>
      <c r="AT914" s="6">
        <v>0</v>
      </c>
    </row>
    <row r="915" spans="2:46">
      <c r="B915" s="6" t="s">
        <v>111</v>
      </c>
      <c r="D915" s="6" t="s">
        <v>3316</v>
      </c>
      <c r="F915" s="6" t="s">
        <v>4051</v>
      </c>
      <c r="G915" s="6" t="str">
        <f>"3177222127701208"</f>
        <v>3177222127701208</v>
      </c>
      <c r="H915" s="6">
        <v>3177222127701200</v>
      </c>
      <c r="I915" s="6" t="s">
        <v>4045</v>
      </c>
      <c r="J915" s="6" t="str">
        <f>"17 SB TS"</f>
        <v>17 SB TS</v>
      </c>
      <c r="K915" s="6">
        <v>0</v>
      </c>
      <c r="L915" s="6">
        <v>0</v>
      </c>
      <c r="M915" s="6">
        <v>0</v>
      </c>
      <c r="N915" s="6" t="str">
        <f>""</f>
        <v/>
      </c>
      <c r="O915" s="6">
        <v>32256</v>
      </c>
      <c r="P915" s="6" t="s">
        <v>4052</v>
      </c>
      <c r="R915" s="6" t="s">
        <v>3445</v>
      </c>
      <c r="S915" s="6" t="s">
        <v>4053</v>
      </c>
      <c r="T915" s="6">
        <v>0</v>
      </c>
      <c r="U915" s="6">
        <v>0</v>
      </c>
      <c r="V915" s="6">
        <v>0</v>
      </c>
      <c r="W915" s="6">
        <v>0</v>
      </c>
      <c r="X915" s="6" t="s">
        <v>169</v>
      </c>
      <c r="Z915" s="6" t="s">
        <v>170</v>
      </c>
      <c r="AA915" s="6" t="s">
        <v>171</v>
      </c>
      <c r="AB915" s="6">
        <v>0</v>
      </c>
      <c r="AC915" s="6" t="str">
        <f>""</f>
        <v/>
      </c>
      <c r="AS915" s="6">
        <v>0</v>
      </c>
      <c r="AT915" s="6">
        <v>0</v>
      </c>
    </row>
    <row r="916" spans="2:46">
      <c r="B916" s="6" t="s">
        <v>111</v>
      </c>
      <c r="D916" s="6" t="s">
        <v>3316</v>
      </c>
      <c r="F916" s="6" t="s">
        <v>4054</v>
      </c>
      <c r="G916" s="6" t="str">
        <f>"3177222129430220"</f>
        <v>3177222129430220</v>
      </c>
      <c r="H916" s="6">
        <v>3177222129430220</v>
      </c>
      <c r="I916" s="6" t="s">
        <v>4055</v>
      </c>
      <c r="J916" s="6" t="str">
        <f>"17 DOUBLE M MTM"</f>
        <v>17 DOUBLE M MTM</v>
      </c>
      <c r="K916" s="6">
        <v>0</v>
      </c>
      <c r="L916" s="6">
        <v>0</v>
      </c>
      <c r="M916" s="6">
        <v>0</v>
      </c>
      <c r="N916" s="6" t="str">
        <f>""</f>
        <v/>
      </c>
      <c r="O916" s="6">
        <v>32254</v>
      </c>
      <c r="P916" s="6" t="s">
        <v>4056</v>
      </c>
      <c r="R916" s="6" t="s">
        <v>3470</v>
      </c>
      <c r="S916" s="6" t="s">
        <v>4057</v>
      </c>
      <c r="T916" s="6">
        <v>0</v>
      </c>
      <c r="U916" s="6">
        <v>0</v>
      </c>
      <c r="V916" s="6">
        <v>0</v>
      </c>
      <c r="W916" s="6">
        <v>0</v>
      </c>
      <c r="X916" s="6" t="s">
        <v>169</v>
      </c>
      <c r="Z916" s="6" t="s">
        <v>170</v>
      </c>
      <c r="AA916" s="6" t="s">
        <v>171</v>
      </c>
      <c r="AB916" s="6">
        <v>0</v>
      </c>
      <c r="AC916" s="6" t="str">
        <f>""</f>
        <v/>
      </c>
      <c r="AS916" s="6">
        <v>0</v>
      </c>
      <c r="AT916" s="6">
        <v>0</v>
      </c>
    </row>
    <row r="917" spans="2:46">
      <c r="B917" s="6" t="s">
        <v>111</v>
      </c>
      <c r="D917" s="6" t="s">
        <v>3316</v>
      </c>
      <c r="F917" s="6" t="s">
        <v>4058</v>
      </c>
      <c r="G917" s="6" t="str">
        <f>"3177222112330208"</f>
        <v>3177222112330208</v>
      </c>
      <c r="I917" s="6" t="s">
        <v>4059</v>
      </c>
      <c r="J917" s="6" t="str">
        <f>"17 M DRAWING TS"</f>
        <v>17 M DRAWING TS</v>
      </c>
      <c r="K917" s="6">
        <v>0</v>
      </c>
      <c r="L917" s="6">
        <v>0</v>
      </c>
      <c r="M917" s="6">
        <v>0</v>
      </c>
      <c r="N917" s="6" t="str">
        <f>""</f>
        <v/>
      </c>
      <c r="O917" s="6">
        <v>32252</v>
      </c>
      <c r="P917" s="6" t="s">
        <v>4060</v>
      </c>
      <c r="R917" s="6" t="s">
        <v>3470</v>
      </c>
      <c r="S917" s="6" t="s">
        <v>4061</v>
      </c>
      <c r="T917" s="6">
        <v>1</v>
      </c>
      <c r="U917" s="6">
        <v>0</v>
      </c>
      <c r="V917" s="6">
        <v>0</v>
      </c>
      <c r="W917" s="6">
        <v>0</v>
      </c>
      <c r="X917" s="6" t="s">
        <v>169</v>
      </c>
      <c r="Z917" s="6" t="s">
        <v>170</v>
      </c>
      <c r="AA917" s="6" t="s">
        <v>171</v>
      </c>
      <c r="AB917" s="6">
        <v>0</v>
      </c>
      <c r="AC917" s="6" t="str">
        <f>"KEY-022"</f>
        <v>KEY-022</v>
      </c>
      <c r="AQ917" s="6" t="str">
        <f>""</f>
        <v/>
      </c>
      <c r="AR917" s="6" t="s">
        <v>1567</v>
      </c>
      <c r="AS917" s="6">
        <v>0</v>
      </c>
      <c r="AT917" s="6">
        <v>1</v>
      </c>
    </row>
    <row r="918" spans="2:46">
      <c r="B918" s="6" t="s">
        <v>111</v>
      </c>
      <c r="D918" s="6" t="s">
        <v>3316</v>
      </c>
      <c r="F918" s="6" t="s">
        <v>4062</v>
      </c>
      <c r="G918" s="6" t="str">
        <f>"3177222112375208"</f>
        <v>3177222112375208</v>
      </c>
      <c r="H918" s="6">
        <v>3177222112375200</v>
      </c>
      <c r="I918" s="6" t="s">
        <v>4059</v>
      </c>
      <c r="J918" s="6" t="str">
        <f>"17 M DRAWING TS"</f>
        <v>17 M DRAWING TS</v>
      </c>
      <c r="K918" s="6">
        <v>0</v>
      </c>
      <c r="L918" s="6">
        <v>0</v>
      </c>
      <c r="M918" s="6">
        <v>0</v>
      </c>
      <c r="N918" s="6" t="str">
        <f>""</f>
        <v/>
      </c>
      <c r="O918" s="6">
        <v>32251</v>
      </c>
      <c r="P918" s="6" t="s">
        <v>4063</v>
      </c>
      <c r="R918" s="6" t="s">
        <v>3436</v>
      </c>
      <c r="S918" s="6" t="s">
        <v>4064</v>
      </c>
      <c r="T918" s="6">
        <v>0</v>
      </c>
      <c r="U918" s="6">
        <v>0</v>
      </c>
      <c r="V918" s="6">
        <v>0</v>
      </c>
      <c r="W918" s="6">
        <v>0</v>
      </c>
      <c r="X918" s="6" t="s">
        <v>169</v>
      </c>
      <c r="Z918" s="6" t="s">
        <v>170</v>
      </c>
      <c r="AA918" s="6" t="s">
        <v>171</v>
      </c>
      <c r="AB918" s="6">
        <v>0</v>
      </c>
      <c r="AC918" s="6" t="str">
        <f>""</f>
        <v/>
      </c>
      <c r="AS918" s="6">
        <v>0</v>
      </c>
      <c r="AT918" s="6">
        <v>0</v>
      </c>
    </row>
    <row r="919" spans="2:46">
      <c r="B919" s="6" t="s">
        <v>111</v>
      </c>
      <c r="D919" s="6" t="s">
        <v>3316</v>
      </c>
      <c r="F919" s="6" t="s">
        <v>4065</v>
      </c>
      <c r="G919" s="6" t="str">
        <f>"3177222112365208"</f>
        <v>3177222112365208</v>
      </c>
      <c r="H919" s="6">
        <v>3177222112365200</v>
      </c>
      <c r="I919" s="6" t="s">
        <v>4059</v>
      </c>
      <c r="J919" s="6" t="str">
        <f>"17 M DRAWING TS"</f>
        <v>17 M DRAWING TS</v>
      </c>
      <c r="K919" s="6">
        <v>0</v>
      </c>
      <c r="L919" s="6">
        <v>0</v>
      </c>
      <c r="M919" s="6">
        <v>0</v>
      </c>
      <c r="N919" s="6" t="str">
        <f>""</f>
        <v/>
      </c>
      <c r="O919" s="6">
        <v>32250</v>
      </c>
      <c r="P919" s="6" t="s">
        <v>4066</v>
      </c>
      <c r="R919" s="6" t="s">
        <v>3992</v>
      </c>
      <c r="S919" s="6" t="s">
        <v>4067</v>
      </c>
      <c r="T919" s="6">
        <v>0</v>
      </c>
      <c r="U919" s="6">
        <v>0</v>
      </c>
      <c r="V919" s="6">
        <v>0</v>
      </c>
      <c r="W919" s="6">
        <v>0</v>
      </c>
      <c r="X919" s="6" t="s">
        <v>169</v>
      </c>
      <c r="Z919" s="6" t="s">
        <v>170</v>
      </c>
      <c r="AA919" s="6" t="s">
        <v>171</v>
      </c>
      <c r="AB919" s="6">
        <v>0</v>
      </c>
      <c r="AC919" s="6" t="str">
        <f>""</f>
        <v/>
      </c>
      <c r="AS919" s="6">
        <v>0</v>
      </c>
      <c r="AT919" s="6">
        <v>0</v>
      </c>
    </row>
    <row r="920" spans="2:46">
      <c r="B920" s="6" t="s">
        <v>111</v>
      </c>
      <c r="D920" s="6" t="s">
        <v>3316</v>
      </c>
      <c r="F920" s="6" t="s">
        <v>4068</v>
      </c>
      <c r="G920" s="6" t="str">
        <f>"3177222112430208"</f>
        <v>3177222112430208</v>
      </c>
      <c r="H920" s="6">
        <v>3177222112430200</v>
      </c>
      <c r="I920" s="6" t="s">
        <v>4069</v>
      </c>
      <c r="J920" s="6" t="str">
        <f>"17 M DRAWING MtoM"</f>
        <v>17 M DRAWING MtoM</v>
      </c>
      <c r="K920" s="6">
        <v>0</v>
      </c>
      <c r="L920" s="6">
        <v>0</v>
      </c>
      <c r="M920" s="6">
        <v>0</v>
      </c>
      <c r="N920" s="6" t="str">
        <f>""</f>
        <v/>
      </c>
      <c r="O920" s="6">
        <v>32248</v>
      </c>
      <c r="P920" s="6" t="s">
        <v>4070</v>
      </c>
      <c r="R920" s="6" t="s">
        <v>3470</v>
      </c>
      <c r="S920" s="6" t="s">
        <v>4071</v>
      </c>
      <c r="T920" s="6">
        <v>0</v>
      </c>
      <c r="U920" s="6">
        <v>0</v>
      </c>
      <c r="V920" s="6">
        <v>0</v>
      </c>
      <c r="W920" s="6">
        <v>0</v>
      </c>
      <c r="X920" s="6" t="s">
        <v>169</v>
      </c>
      <c r="Z920" s="6" t="s">
        <v>170</v>
      </c>
      <c r="AA920" s="6" t="s">
        <v>171</v>
      </c>
      <c r="AB920" s="6">
        <v>0</v>
      </c>
      <c r="AC920" s="6" t="str">
        <f>""</f>
        <v/>
      </c>
      <c r="AS920" s="6">
        <v>0</v>
      </c>
      <c r="AT920" s="6">
        <v>0</v>
      </c>
    </row>
    <row r="921" spans="2:46">
      <c r="B921" s="6" t="s">
        <v>111</v>
      </c>
      <c r="D921" s="6" t="s">
        <v>3316</v>
      </c>
      <c r="F921" s="6" t="s">
        <v>4072</v>
      </c>
      <c r="G921" s="6" t="str">
        <f>"3177222112475220"</f>
        <v>3177222112475220</v>
      </c>
      <c r="I921" s="6" t="s">
        <v>4069</v>
      </c>
      <c r="J921" s="6" t="str">
        <f>"17 M DRAWING MtoM"</f>
        <v>17 M DRAWING MtoM</v>
      </c>
      <c r="K921" s="6">
        <v>0</v>
      </c>
      <c r="L921" s="6">
        <v>0</v>
      </c>
      <c r="M921" s="6">
        <v>0</v>
      </c>
      <c r="N921" s="6" t="str">
        <f>""</f>
        <v/>
      </c>
      <c r="O921" s="6">
        <v>32247</v>
      </c>
      <c r="P921" s="6" t="s">
        <v>4073</v>
      </c>
      <c r="R921" s="6" t="s">
        <v>3436</v>
      </c>
      <c r="S921" s="6" t="s">
        <v>4074</v>
      </c>
      <c r="T921" s="6">
        <v>1</v>
      </c>
      <c r="U921" s="6">
        <v>0</v>
      </c>
      <c r="V921" s="6">
        <v>0</v>
      </c>
      <c r="W921" s="6">
        <v>0</v>
      </c>
      <c r="X921" s="6" t="s">
        <v>169</v>
      </c>
      <c r="Z921" s="6" t="s">
        <v>170</v>
      </c>
      <c r="AA921" s="6" t="s">
        <v>171</v>
      </c>
      <c r="AB921" s="6">
        <v>0</v>
      </c>
      <c r="AC921" s="6" t="str">
        <f>"KEY-034"</f>
        <v>KEY-034</v>
      </c>
      <c r="AQ921" s="6" t="str">
        <f>""</f>
        <v/>
      </c>
      <c r="AR921" s="6" t="s">
        <v>1567</v>
      </c>
      <c r="AS921" s="6">
        <v>0</v>
      </c>
      <c r="AT921" s="6">
        <v>1</v>
      </c>
    </row>
    <row r="922" spans="2:46">
      <c r="B922" s="6" t="s">
        <v>111</v>
      </c>
      <c r="D922" s="6" t="s">
        <v>3316</v>
      </c>
      <c r="F922" s="6" t="s">
        <v>4075</v>
      </c>
      <c r="G922" s="6" t="str">
        <f>"3177222112465220"</f>
        <v>3177222112465220</v>
      </c>
      <c r="H922" s="6">
        <v>3177222112465220</v>
      </c>
      <c r="I922" s="6" t="s">
        <v>4069</v>
      </c>
      <c r="J922" s="6" t="str">
        <f>"17 M DRAWING MtoM"</f>
        <v>17 M DRAWING MtoM</v>
      </c>
      <c r="K922" s="6">
        <v>0</v>
      </c>
      <c r="L922" s="6">
        <v>0</v>
      </c>
      <c r="M922" s="6">
        <v>0</v>
      </c>
      <c r="N922" s="6" t="str">
        <f>""</f>
        <v/>
      </c>
      <c r="O922" s="6">
        <v>32246</v>
      </c>
      <c r="P922" s="6" t="s">
        <v>4076</v>
      </c>
      <c r="R922" s="6" t="s">
        <v>3992</v>
      </c>
      <c r="S922" s="6" t="s">
        <v>4077</v>
      </c>
      <c r="T922" s="6">
        <v>0</v>
      </c>
      <c r="U922" s="6">
        <v>0</v>
      </c>
      <c r="V922" s="6">
        <v>0</v>
      </c>
      <c r="W922" s="6">
        <v>0</v>
      </c>
      <c r="X922" s="6" t="s">
        <v>169</v>
      </c>
      <c r="Z922" s="6" t="s">
        <v>170</v>
      </c>
      <c r="AA922" s="6" t="s">
        <v>171</v>
      </c>
      <c r="AB922" s="6">
        <v>0</v>
      </c>
      <c r="AC922" s="6" t="str">
        <f>""</f>
        <v/>
      </c>
      <c r="AS922" s="6">
        <v>0</v>
      </c>
      <c r="AT922" s="6">
        <v>0</v>
      </c>
    </row>
    <row r="923" spans="2:46">
      <c r="B923" s="6" t="s">
        <v>111</v>
      </c>
      <c r="D923" s="6" t="s">
        <v>3316</v>
      </c>
      <c r="F923" s="6" t="s">
        <v>4078</v>
      </c>
      <c r="G923" s="6" t="str">
        <f>"3177112105399120"</f>
        <v>3177112105399120</v>
      </c>
      <c r="H923" s="6">
        <v>3177112105399120</v>
      </c>
      <c r="I923" s="6" t="s">
        <v>4079</v>
      </c>
      <c r="J923" s="6" t="str">
        <f>"17 SIGNATURE BLOCK CT"</f>
        <v>17 SIGNATURE BLOCK CT</v>
      </c>
      <c r="K923" s="6">
        <v>0</v>
      </c>
      <c r="L923" s="6">
        <v>0</v>
      </c>
      <c r="M923" s="6">
        <v>0</v>
      </c>
      <c r="N923" s="6" t="str">
        <f>""</f>
        <v/>
      </c>
      <c r="O923" s="6">
        <v>32244</v>
      </c>
      <c r="P923" s="6" t="s">
        <v>4080</v>
      </c>
      <c r="R923" s="6" t="s">
        <v>3450</v>
      </c>
      <c r="S923" s="6" t="s">
        <v>4081</v>
      </c>
      <c r="T923" s="6">
        <v>0</v>
      </c>
      <c r="U923" s="6">
        <v>0</v>
      </c>
      <c r="V923" s="6">
        <v>0</v>
      </c>
      <c r="W923" s="6">
        <v>0</v>
      </c>
      <c r="X923" s="6" t="s">
        <v>169</v>
      </c>
      <c r="Z923" s="6" t="s">
        <v>170</v>
      </c>
      <c r="AA923" s="6" t="s">
        <v>171</v>
      </c>
      <c r="AB923" s="6">
        <v>0</v>
      </c>
      <c r="AC923" s="6" t="str">
        <f>""</f>
        <v/>
      </c>
      <c r="AS923" s="6">
        <v>0</v>
      </c>
      <c r="AT923" s="6">
        <v>0</v>
      </c>
    </row>
    <row r="924" spans="2:46">
      <c r="B924" s="6" t="s">
        <v>111</v>
      </c>
      <c r="D924" s="6" t="s">
        <v>3316</v>
      </c>
      <c r="F924" s="6" t="s">
        <v>4082</v>
      </c>
      <c r="G924" s="6" t="str">
        <f>"3177112105375120"</f>
        <v>3177112105375120</v>
      </c>
      <c r="H924" s="6">
        <v>3177112105375120</v>
      </c>
      <c r="I924" s="6" t="s">
        <v>4079</v>
      </c>
      <c r="J924" s="6" t="str">
        <f>"17 SIGNATURE BLOCK CT"</f>
        <v>17 SIGNATURE BLOCK CT</v>
      </c>
      <c r="K924" s="6">
        <v>0</v>
      </c>
      <c r="L924" s="6">
        <v>0</v>
      </c>
      <c r="M924" s="6">
        <v>0</v>
      </c>
      <c r="N924" s="6" t="str">
        <f>""</f>
        <v/>
      </c>
      <c r="O924" s="6">
        <v>32243</v>
      </c>
      <c r="P924" s="6" t="s">
        <v>4083</v>
      </c>
      <c r="R924" s="6" t="s">
        <v>3436</v>
      </c>
      <c r="S924" s="6" t="s">
        <v>4084</v>
      </c>
      <c r="T924" s="6">
        <v>0</v>
      </c>
      <c r="U924" s="6">
        <v>0</v>
      </c>
      <c r="V924" s="6">
        <v>0</v>
      </c>
      <c r="W924" s="6">
        <v>0</v>
      </c>
      <c r="X924" s="6" t="s">
        <v>169</v>
      </c>
      <c r="Z924" s="6" t="s">
        <v>170</v>
      </c>
      <c r="AA924" s="6" t="s">
        <v>171</v>
      </c>
      <c r="AB924" s="6">
        <v>0</v>
      </c>
      <c r="AC924" s="6" t="str">
        <f>""</f>
        <v/>
      </c>
      <c r="AS924" s="6">
        <v>0</v>
      </c>
      <c r="AT924" s="6">
        <v>0</v>
      </c>
    </row>
    <row r="925" spans="2:46">
      <c r="B925" s="6" t="s">
        <v>111</v>
      </c>
      <c r="D925" s="6" t="s">
        <v>3316</v>
      </c>
      <c r="F925" s="6" t="s">
        <v>4085</v>
      </c>
      <c r="G925" s="6" t="str">
        <f>"3177112105395120"</f>
        <v>3177112105395120</v>
      </c>
      <c r="I925" s="6" t="s">
        <v>4079</v>
      </c>
      <c r="J925" s="6" t="str">
        <f>"17 SIGNATURE BLOCK CT"</f>
        <v>17 SIGNATURE BLOCK CT</v>
      </c>
      <c r="K925" s="6">
        <v>0</v>
      </c>
      <c r="L925" s="6">
        <v>0</v>
      </c>
      <c r="M925" s="6">
        <v>0</v>
      </c>
      <c r="N925" s="6" t="str">
        <f>""</f>
        <v/>
      </c>
      <c r="O925" s="6">
        <v>32242</v>
      </c>
      <c r="P925" s="6" t="s">
        <v>4086</v>
      </c>
      <c r="R925" s="6" t="s">
        <v>4087</v>
      </c>
      <c r="S925" s="6" t="s">
        <v>4088</v>
      </c>
      <c r="T925" s="6">
        <v>2</v>
      </c>
      <c r="U925" s="6">
        <v>0</v>
      </c>
      <c r="V925" s="6">
        <v>0</v>
      </c>
      <c r="W925" s="6">
        <v>0</v>
      </c>
      <c r="X925" s="6" t="s">
        <v>169</v>
      </c>
      <c r="Z925" s="6" t="s">
        <v>170</v>
      </c>
      <c r="AA925" s="6" t="s">
        <v>171</v>
      </c>
      <c r="AB925" s="6">
        <v>0</v>
      </c>
      <c r="AC925" s="6" t="str">
        <f>"KEY-064"</f>
        <v>KEY-064</v>
      </c>
      <c r="AQ925" s="6" t="str">
        <f>""</f>
        <v/>
      </c>
      <c r="AR925" s="6" t="s">
        <v>1567</v>
      </c>
      <c r="AS925" s="6">
        <v>0</v>
      </c>
      <c r="AT925" s="6">
        <v>2</v>
      </c>
    </row>
    <row r="926" spans="2:46">
      <c r="B926" s="6" t="s">
        <v>111</v>
      </c>
      <c r="D926" s="6" t="s">
        <v>3316</v>
      </c>
      <c r="F926" s="6" t="s">
        <v>4089</v>
      </c>
      <c r="G926" s="6" t="str">
        <f>"3177112105285120"</f>
        <v>3177112105285120</v>
      </c>
      <c r="I926" s="6" t="s">
        <v>4090</v>
      </c>
      <c r="J926" s="6" t="str">
        <f>"17 W STANDARD CT"</f>
        <v>17 W STANDARD CT</v>
      </c>
      <c r="K926" s="6">
        <v>0</v>
      </c>
      <c r="L926" s="6">
        <v>0</v>
      </c>
      <c r="M926" s="6">
        <v>0</v>
      </c>
      <c r="N926" s="6" t="str">
        <f>""</f>
        <v/>
      </c>
      <c r="O926" s="6">
        <v>32240</v>
      </c>
      <c r="P926" s="6" t="s">
        <v>4091</v>
      </c>
      <c r="R926" s="6" t="s">
        <v>4092</v>
      </c>
      <c r="S926" s="6" t="s">
        <v>4093</v>
      </c>
      <c r="T926" s="6">
        <v>1</v>
      </c>
      <c r="U926" s="6">
        <v>0</v>
      </c>
      <c r="V926" s="6">
        <v>0</v>
      </c>
      <c r="W926" s="6">
        <v>0</v>
      </c>
      <c r="X926" s="6" t="s">
        <v>169</v>
      </c>
      <c r="Z926" s="6" t="s">
        <v>170</v>
      </c>
      <c r="AA926" s="6" t="s">
        <v>171</v>
      </c>
      <c r="AB926" s="6">
        <v>0</v>
      </c>
      <c r="AC926" s="6" t="str">
        <f>"KEY-064"</f>
        <v>KEY-064</v>
      </c>
      <c r="AQ926" s="6" t="str">
        <f>""</f>
        <v/>
      </c>
      <c r="AR926" s="6" t="s">
        <v>1567</v>
      </c>
      <c r="AS926" s="6">
        <v>0</v>
      </c>
      <c r="AT926" s="6">
        <v>1</v>
      </c>
    </row>
    <row r="927" spans="2:46">
      <c r="B927" s="6" t="s">
        <v>111</v>
      </c>
      <c r="D927" s="6" t="s">
        <v>3316</v>
      </c>
      <c r="F927" s="6" t="s">
        <v>4094</v>
      </c>
      <c r="G927" s="6" t="str">
        <f>"3177112105275120"</f>
        <v>3177112105275120</v>
      </c>
      <c r="I927" s="6" t="s">
        <v>4090</v>
      </c>
      <c r="J927" s="6" t="str">
        <f>"17 W STANDARD CT"</f>
        <v>17 W STANDARD CT</v>
      </c>
      <c r="K927" s="6">
        <v>0</v>
      </c>
      <c r="L927" s="6">
        <v>0</v>
      </c>
      <c r="M927" s="6">
        <v>0</v>
      </c>
      <c r="N927" s="6" t="str">
        <f>""</f>
        <v/>
      </c>
      <c r="O927" s="6">
        <v>32239</v>
      </c>
      <c r="P927" s="6" t="s">
        <v>4095</v>
      </c>
      <c r="R927" s="6" t="s">
        <v>3436</v>
      </c>
      <c r="S927" s="6" t="s">
        <v>4096</v>
      </c>
      <c r="T927" s="6">
        <v>2</v>
      </c>
      <c r="U927" s="6">
        <v>0</v>
      </c>
      <c r="V927" s="6">
        <v>0</v>
      </c>
      <c r="W927" s="6">
        <v>0</v>
      </c>
      <c r="X927" s="6" t="s">
        <v>169</v>
      </c>
      <c r="Z927" s="6" t="s">
        <v>170</v>
      </c>
      <c r="AA927" s="6" t="s">
        <v>171</v>
      </c>
      <c r="AB927" s="6">
        <v>0</v>
      </c>
      <c r="AC927" s="6" t="str">
        <f>"KEY-062"</f>
        <v>KEY-062</v>
      </c>
      <c r="AQ927" s="6" t="str">
        <f>""</f>
        <v/>
      </c>
      <c r="AR927" s="6" t="s">
        <v>1567</v>
      </c>
      <c r="AS927" s="6">
        <v>0</v>
      </c>
      <c r="AT927" s="6">
        <v>2</v>
      </c>
    </row>
    <row r="928" spans="2:46">
      <c r="B928" s="6" t="s">
        <v>111</v>
      </c>
      <c r="D928" s="6" t="s">
        <v>3316</v>
      </c>
      <c r="F928" s="6" t="s">
        <v>4097</v>
      </c>
      <c r="G928" s="6" t="str">
        <f>"3177112107699120"</f>
        <v>3177112107699120</v>
      </c>
      <c r="I928" s="6" t="s">
        <v>4098</v>
      </c>
      <c r="J928" s="6" t="str">
        <f>"17 RAGLAN DOUBLE CT"</f>
        <v>17 RAGLAN DOUBLE CT</v>
      </c>
      <c r="K928" s="6">
        <v>0</v>
      </c>
      <c r="L928" s="6">
        <v>0</v>
      </c>
      <c r="M928" s="6">
        <v>0</v>
      </c>
      <c r="N928" s="6" t="str">
        <f>""</f>
        <v/>
      </c>
      <c r="O928" s="6">
        <v>32237</v>
      </c>
      <c r="P928" s="6" t="s">
        <v>4099</v>
      </c>
      <c r="R928" s="6" t="s">
        <v>3450</v>
      </c>
      <c r="S928" s="6" t="s">
        <v>4100</v>
      </c>
      <c r="T928" s="6">
        <v>2</v>
      </c>
      <c r="U928" s="6">
        <v>0</v>
      </c>
      <c r="V928" s="6">
        <v>0</v>
      </c>
      <c r="W928" s="6">
        <v>0</v>
      </c>
      <c r="X928" s="6" t="s">
        <v>169</v>
      </c>
      <c r="Z928" s="6" t="s">
        <v>170</v>
      </c>
      <c r="AA928" s="6" t="s">
        <v>171</v>
      </c>
      <c r="AB928" s="6">
        <v>0</v>
      </c>
      <c r="AC928" s="6" t="str">
        <f>"KEY-063"</f>
        <v>KEY-063</v>
      </c>
      <c r="AQ928" s="6" t="str">
        <f>""</f>
        <v/>
      </c>
      <c r="AR928" s="6" t="s">
        <v>1567</v>
      </c>
      <c r="AS928" s="6">
        <v>0</v>
      </c>
      <c r="AT928" s="6">
        <v>2</v>
      </c>
    </row>
    <row r="929" spans="2:46">
      <c r="B929" s="6" t="s">
        <v>111</v>
      </c>
      <c r="D929" s="6" t="s">
        <v>3316</v>
      </c>
      <c r="F929" s="6" t="s">
        <v>4101</v>
      </c>
      <c r="G929" s="6" t="str">
        <f>"3177112105430120"</f>
        <v>3177112105430120</v>
      </c>
      <c r="I929" s="6" t="s">
        <v>4102</v>
      </c>
      <c r="J929" s="6" t="str">
        <f>"17 SHORT DUFFLE CT"</f>
        <v>17 SHORT DUFFLE CT</v>
      </c>
      <c r="K929" s="6">
        <v>0</v>
      </c>
      <c r="L929" s="6">
        <v>0</v>
      </c>
      <c r="M929" s="6">
        <v>0</v>
      </c>
      <c r="N929" s="6" t="str">
        <f>""</f>
        <v/>
      </c>
      <c r="O929" s="6">
        <v>32235</v>
      </c>
      <c r="P929" s="6" t="s">
        <v>4103</v>
      </c>
      <c r="R929" s="6" t="s">
        <v>3470</v>
      </c>
      <c r="S929" s="6" t="s">
        <v>4104</v>
      </c>
      <c r="T929" s="6">
        <v>2</v>
      </c>
      <c r="U929" s="6">
        <v>0</v>
      </c>
      <c r="V929" s="6">
        <v>0</v>
      </c>
      <c r="W929" s="6">
        <v>0</v>
      </c>
      <c r="X929" s="6" t="s">
        <v>169</v>
      </c>
      <c r="Z929" s="6" t="s">
        <v>170</v>
      </c>
      <c r="AA929" s="6" t="s">
        <v>171</v>
      </c>
      <c r="AB929" s="6">
        <v>0</v>
      </c>
      <c r="AC929" s="6" t="str">
        <f>"KEY-046"</f>
        <v>KEY-046</v>
      </c>
      <c r="AQ929" s="6" t="str">
        <f>""</f>
        <v/>
      </c>
      <c r="AR929" s="6" t="s">
        <v>1567</v>
      </c>
      <c r="AS929" s="6">
        <v>0</v>
      </c>
      <c r="AT929" s="6">
        <v>2</v>
      </c>
    </row>
    <row r="930" spans="2:46">
      <c r="B930" s="6" t="s">
        <v>111</v>
      </c>
      <c r="D930" s="6" t="s">
        <v>3316</v>
      </c>
      <c r="F930" s="6" t="s">
        <v>4105</v>
      </c>
      <c r="G930" s="6" t="str">
        <f>"3177112105495120"</f>
        <v>3177112105495120</v>
      </c>
      <c r="I930" s="6" t="s">
        <v>4102</v>
      </c>
      <c r="J930" s="6" t="str">
        <f>"17 SHORT DUFFLE CT"</f>
        <v>17 SHORT DUFFLE CT</v>
      </c>
      <c r="K930" s="6">
        <v>0</v>
      </c>
      <c r="L930" s="6">
        <v>0</v>
      </c>
      <c r="M930" s="6">
        <v>0</v>
      </c>
      <c r="N930" s="6" t="str">
        <f>""</f>
        <v/>
      </c>
      <c r="O930" s="6">
        <v>32234</v>
      </c>
      <c r="P930" s="6" t="s">
        <v>4106</v>
      </c>
      <c r="R930" s="6" t="s">
        <v>4087</v>
      </c>
      <c r="S930" s="6" t="s">
        <v>4107</v>
      </c>
      <c r="T930" s="6">
        <v>2</v>
      </c>
      <c r="U930" s="6">
        <v>0</v>
      </c>
      <c r="V930" s="6">
        <v>0</v>
      </c>
      <c r="W930" s="6">
        <v>0</v>
      </c>
      <c r="X930" s="6" t="s">
        <v>169</v>
      </c>
      <c r="Z930" s="6" t="s">
        <v>170</v>
      </c>
      <c r="AA930" s="6" t="s">
        <v>171</v>
      </c>
      <c r="AB930" s="6">
        <v>0</v>
      </c>
      <c r="AC930" s="6" t="str">
        <f>"KEY-036"</f>
        <v>KEY-036</v>
      </c>
      <c r="AQ930" s="6" t="str">
        <f>""</f>
        <v/>
      </c>
      <c r="AR930" s="6" t="s">
        <v>1567</v>
      </c>
      <c r="AS930" s="6">
        <v>0</v>
      </c>
      <c r="AT930" s="6">
        <v>2</v>
      </c>
    </row>
    <row r="931" spans="2:46">
      <c r="B931" s="6" t="s">
        <v>111</v>
      </c>
      <c r="D931" s="6" t="s">
        <v>3316</v>
      </c>
      <c r="F931" s="6" t="s">
        <v>4108</v>
      </c>
      <c r="G931" s="6" t="str">
        <f>"3177112107599120"</f>
        <v>3177112107599120</v>
      </c>
      <c r="I931" s="6" t="s">
        <v>4109</v>
      </c>
      <c r="J931" s="6" t="str">
        <f>"17 SHAWL CT"</f>
        <v>17 SHAWL CT</v>
      </c>
      <c r="K931" s="6">
        <v>0</v>
      </c>
      <c r="L931" s="6">
        <v>0</v>
      </c>
      <c r="M931" s="6">
        <v>0</v>
      </c>
      <c r="N931" s="6" t="str">
        <f>""</f>
        <v/>
      </c>
      <c r="O931" s="6">
        <v>32232</v>
      </c>
      <c r="P931" s="6" t="s">
        <v>4110</v>
      </c>
      <c r="R931" s="6" t="s">
        <v>3470</v>
      </c>
      <c r="S931" s="6" t="s">
        <v>4111</v>
      </c>
      <c r="T931" s="6">
        <v>2</v>
      </c>
      <c r="U931" s="6">
        <v>0</v>
      </c>
      <c r="V931" s="6">
        <v>0</v>
      </c>
      <c r="W931" s="6">
        <v>0</v>
      </c>
      <c r="X931" s="6" t="s">
        <v>169</v>
      </c>
      <c r="Z931" s="6" t="s">
        <v>170</v>
      </c>
      <c r="AA931" s="6" t="s">
        <v>171</v>
      </c>
      <c r="AB931" s="6">
        <v>0</v>
      </c>
      <c r="AC931" s="6" t="str">
        <f>"KEY-057"</f>
        <v>KEY-057</v>
      </c>
      <c r="AQ931" s="6" t="str">
        <f>""</f>
        <v/>
      </c>
      <c r="AR931" s="6" t="s">
        <v>1567</v>
      </c>
      <c r="AS931" s="6">
        <v>0</v>
      </c>
      <c r="AT931" s="6">
        <v>2</v>
      </c>
    </row>
    <row r="932" spans="2:46">
      <c r="B932" s="6" t="s">
        <v>111</v>
      </c>
      <c r="D932" s="6" t="s">
        <v>3316</v>
      </c>
      <c r="F932" s="6" t="s">
        <v>4112</v>
      </c>
      <c r="G932" s="6" t="str">
        <f>"3177112107785120"</f>
        <v>3177112107785120</v>
      </c>
      <c r="I932" s="6" t="s">
        <v>4113</v>
      </c>
      <c r="J932" s="6" t="str">
        <f>"17 W GIANT CT"</f>
        <v>17 W GIANT CT</v>
      </c>
      <c r="K932" s="6">
        <v>0</v>
      </c>
      <c r="L932" s="6">
        <v>0</v>
      </c>
      <c r="M932" s="6">
        <v>0</v>
      </c>
      <c r="N932" s="6" t="str">
        <f>""</f>
        <v/>
      </c>
      <c r="O932" s="6">
        <v>32230</v>
      </c>
      <c r="P932" s="6" t="s">
        <v>4114</v>
      </c>
      <c r="R932" s="6" t="s">
        <v>4092</v>
      </c>
      <c r="S932" s="6" t="s">
        <v>4115</v>
      </c>
      <c r="T932" s="6">
        <v>2</v>
      </c>
      <c r="U932" s="6">
        <v>0</v>
      </c>
      <c r="V932" s="6">
        <v>0</v>
      </c>
      <c r="W932" s="6">
        <v>0</v>
      </c>
      <c r="X932" s="6" t="s">
        <v>169</v>
      </c>
      <c r="Z932" s="6" t="s">
        <v>170</v>
      </c>
      <c r="AA932" s="6" t="s">
        <v>171</v>
      </c>
      <c r="AB932" s="6">
        <v>0</v>
      </c>
      <c r="AC932" s="6" t="str">
        <f>"KEY-057"</f>
        <v>KEY-057</v>
      </c>
      <c r="AQ932" s="6" t="str">
        <f>""</f>
        <v/>
      </c>
      <c r="AR932" s="6" t="s">
        <v>1567</v>
      </c>
      <c r="AS932" s="6">
        <v>0</v>
      </c>
      <c r="AT932" s="6">
        <v>2</v>
      </c>
    </row>
    <row r="933" spans="2:46">
      <c r="B933" s="6" t="s">
        <v>111</v>
      </c>
      <c r="D933" s="6" t="s">
        <v>3316</v>
      </c>
      <c r="F933" s="6" t="s">
        <v>4116</v>
      </c>
      <c r="G933" s="6" t="str">
        <f>"3177132108430120"</f>
        <v>3177132108430120</v>
      </c>
      <c r="H933" s="6">
        <v>3177132108430120</v>
      </c>
      <c r="I933" s="6" t="s">
        <v>4117</v>
      </c>
      <c r="J933" s="6" t="str">
        <f>"17 FUR JK"</f>
        <v>17 FUR JK</v>
      </c>
      <c r="K933" s="6">
        <v>0</v>
      </c>
      <c r="L933" s="6">
        <v>0</v>
      </c>
      <c r="M933" s="6">
        <v>0</v>
      </c>
      <c r="N933" s="6" t="str">
        <f>""</f>
        <v/>
      </c>
      <c r="O933" s="6">
        <v>32228</v>
      </c>
      <c r="P933" s="6" t="s">
        <v>4118</v>
      </c>
      <c r="R933" s="6" t="s">
        <v>3470</v>
      </c>
      <c r="S933" s="6" t="s">
        <v>4119</v>
      </c>
      <c r="T933" s="6">
        <v>0</v>
      </c>
      <c r="U933" s="6">
        <v>0</v>
      </c>
      <c r="V933" s="6">
        <v>0</v>
      </c>
      <c r="W933" s="6">
        <v>0</v>
      </c>
      <c r="X933" s="6" t="s">
        <v>169</v>
      </c>
      <c r="Z933" s="6" t="s">
        <v>170</v>
      </c>
      <c r="AA933" s="6" t="s">
        <v>171</v>
      </c>
      <c r="AB933" s="6">
        <v>0</v>
      </c>
      <c r="AC933" s="6" t="str">
        <f>""</f>
        <v/>
      </c>
      <c r="AS933" s="6">
        <v>0</v>
      </c>
      <c r="AT933" s="6">
        <v>0</v>
      </c>
    </row>
    <row r="934" spans="2:46">
      <c r="B934" s="6" t="s">
        <v>111</v>
      </c>
      <c r="D934" s="6" t="s">
        <v>3316</v>
      </c>
      <c r="F934" s="6" t="s">
        <v>4120</v>
      </c>
      <c r="G934" s="6" t="str">
        <f>"3177132107830120"</f>
        <v>3177132107830120</v>
      </c>
      <c r="H934" s="6">
        <v>3177132107830120</v>
      </c>
      <c r="I934" s="6" t="s">
        <v>4121</v>
      </c>
      <c r="J934" s="6" t="str">
        <f>"17 FLUFFY JK"</f>
        <v>17 FLUFFY JK</v>
      </c>
      <c r="K934" s="6">
        <v>0</v>
      </c>
      <c r="L934" s="6">
        <v>0</v>
      </c>
      <c r="M934" s="6">
        <v>0</v>
      </c>
      <c r="N934" s="6" t="str">
        <f>""</f>
        <v/>
      </c>
      <c r="O934" s="6">
        <v>32226</v>
      </c>
      <c r="P934" s="6" t="s">
        <v>4122</v>
      </c>
      <c r="R934" s="6" t="s">
        <v>3470</v>
      </c>
      <c r="S934" s="6" t="s">
        <v>4123</v>
      </c>
      <c r="T934" s="6">
        <v>0</v>
      </c>
      <c r="U934" s="6">
        <v>0</v>
      </c>
      <c r="V934" s="6">
        <v>0</v>
      </c>
      <c r="W934" s="6">
        <v>0</v>
      </c>
      <c r="X934" s="6" t="s">
        <v>169</v>
      </c>
      <c r="Z934" s="6" t="s">
        <v>170</v>
      </c>
      <c r="AA934" s="6" t="s">
        <v>171</v>
      </c>
      <c r="AB934" s="6">
        <v>0</v>
      </c>
      <c r="AC934" s="6" t="str">
        <f>""</f>
        <v/>
      </c>
      <c r="AS934" s="6">
        <v>0</v>
      </c>
      <c r="AT934" s="6">
        <v>0</v>
      </c>
    </row>
    <row r="935" spans="2:46">
      <c r="B935" s="6" t="s">
        <v>111</v>
      </c>
      <c r="D935" s="6" t="s">
        <v>3316</v>
      </c>
      <c r="F935" s="6" t="s">
        <v>4124</v>
      </c>
      <c r="G935" s="6" t="str">
        <f>"3177132107861120"</f>
        <v>3177132107861120</v>
      </c>
      <c r="I935" s="6" t="s">
        <v>4121</v>
      </c>
      <c r="J935" s="6" t="str">
        <f>"17 FLUFFY JK"</f>
        <v>17 FLUFFY JK</v>
      </c>
      <c r="K935" s="6">
        <v>0</v>
      </c>
      <c r="L935" s="6">
        <v>0</v>
      </c>
      <c r="M935" s="6">
        <v>0</v>
      </c>
      <c r="N935" s="6" t="str">
        <f>""</f>
        <v/>
      </c>
      <c r="O935" s="6">
        <v>32225</v>
      </c>
      <c r="P935" s="6" t="s">
        <v>4125</v>
      </c>
      <c r="R935" s="6" t="s">
        <v>3545</v>
      </c>
      <c r="S935" s="6" t="s">
        <v>4126</v>
      </c>
      <c r="T935" s="6">
        <v>2</v>
      </c>
      <c r="U935" s="6">
        <v>0</v>
      </c>
      <c r="V935" s="6">
        <v>0</v>
      </c>
      <c r="W935" s="6">
        <v>0</v>
      </c>
      <c r="X935" s="6" t="s">
        <v>169</v>
      </c>
      <c r="Z935" s="6" t="s">
        <v>170</v>
      </c>
      <c r="AA935" s="6" t="s">
        <v>171</v>
      </c>
      <c r="AB935" s="6">
        <v>0</v>
      </c>
      <c r="AC935" s="6" t="str">
        <f>"KEY-049"</f>
        <v>KEY-049</v>
      </c>
      <c r="AQ935" s="6" t="str">
        <f>""</f>
        <v/>
      </c>
      <c r="AR935" s="6" t="s">
        <v>1567</v>
      </c>
      <c r="AS935" s="6">
        <v>0</v>
      </c>
      <c r="AT935" s="6">
        <v>2</v>
      </c>
    </row>
    <row r="936" spans="2:46">
      <c r="B936" s="6" t="s">
        <v>111</v>
      </c>
      <c r="D936" s="6" t="s">
        <v>3316</v>
      </c>
      <c r="F936" s="6" t="s">
        <v>4127</v>
      </c>
      <c r="G936" s="6" t="str">
        <f>"3177132107999120"</f>
        <v>3177132107999120</v>
      </c>
      <c r="I936" s="6" t="s">
        <v>4128</v>
      </c>
      <c r="J936" s="6" t="str">
        <f>"17 M-PATCH JK"</f>
        <v>17 M-PATCH JK</v>
      </c>
      <c r="K936" s="6">
        <v>0</v>
      </c>
      <c r="L936" s="6">
        <v>0</v>
      </c>
      <c r="M936" s="6">
        <v>0</v>
      </c>
      <c r="N936" s="6" t="str">
        <f>""</f>
        <v/>
      </c>
      <c r="O936" s="6">
        <v>32223</v>
      </c>
      <c r="P936" s="6" t="s">
        <v>4129</v>
      </c>
      <c r="R936" s="6" t="s">
        <v>3450</v>
      </c>
      <c r="S936" s="6" t="s">
        <v>4130</v>
      </c>
      <c r="T936" s="6">
        <v>1</v>
      </c>
      <c r="U936" s="6">
        <v>0</v>
      </c>
      <c r="V936" s="6">
        <v>0</v>
      </c>
      <c r="W936" s="6">
        <v>0</v>
      </c>
      <c r="X936" s="6" t="s">
        <v>169</v>
      </c>
      <c r="Z936" s="6" t="s">
        <v>170</v>
      </c>
      <c r="AA936" s="6" t="s">
        <v>171</v>
      </c>
      <c r="AB936" s="6">
        <v>0</v>
      </c>
      <c r="AC936" s="6" t="str">
        <f>"KEY-058"</f>
        <v>KEY-058</v>
      </c>
      <c r="AQ936" s="6" t="str">
        <f>""</f>
        <v/>
      </c>
      <c r="AR936" s="6" t="s">
        <v>1567</v>
      </c>
      <c r="AS936" s="6">
        <v>0</v>
      </c>
      <c r="AT936" s="6">
        <v>1</v>
      </c>
    </row>
    <row r="937" spans="2:46">
      <c r="B937" s="6" t="s">
        <v>111</v>
      </c>
      <c r="D937" s="6" t="s">
        <v>3316</v>
      </c>
      <c r="F937" s="6" t="s">
        <v>4131</v>
      </c>
      <c r="G937" s="6" t="str">
        <f>"3177132107975120"</f>
        <v>3177132107975120</v>
      </c>
      <c r="I937" s="6" t="s">
        <v>4128</v>
      </c>
      <c r="J937" s="6" t="str">
        <f>"17 M-PATCH JK"</f>
        <v>17 M-PATCH JK</v>
      </c>
      <c r="K937" s="6">
        <v>0</v>
      </c>
      <c r="L937" s="6">
        <v>0</v>
      </c>
      <c r="M937" s="6">
        <v>0</v>
      </c>
      <c r="N937" s="6" t="str">
        <f>""</f>
        <v/>
      </c>
      <c r="O937" s="6">
        <v>32222</v>
      </c>
      <c r="P937" s="6" t="s">
        <v>4132</v>
      </c>
      <c r="R937" s="6" t="s">
        <v>4133</v>
      </c>
      <c r="S937" s="6" t="s">
        <v>4134</v>
      </c>
      <c r="T937" s="6">
        <v>1</v>
      </c>
      <c r="U937" s="6">
        <v>0</v>
      </c>
      <c r="V937" s="6">
        <v>0</v>
      </c>
      <c r="W937" s="6">
        <v>0</v>
      </c>
      <c r="X937" s="6" t="s">
        <v>169</v>
      </c>
      <c r="Z937" s="6" t="s">
        <v>170</v>
      </c>
      <c r="AA937" s="6" t="s">
        <v>171</v>
      </c>
      <c r="AB937" s="6">
        <v>0</v>
      </c>
      <c r="AC937" s="6" t="str">
        <f>"KEY-058"</f>
        <v>KEY-058</v>
      </c>
      <c r="AQ937" s="6" t="str">
        <f>""</f>
        <v/>
      </c>
      <c r="AR937" s="6" t="s">
        <v>1567</v>
      </c>
      <c r="AS937" s="6">
        <v>0</v>
      </c>
      <c r="AT937" s="6">
        <v>1</v>
      </c>
    </row>
    <row r="938" spans="2:46">
      <c r="B938" s="6" t="s">
        <v>111</v>
      </c>
      <c r="D938" s="6" t="s">
        <v>3316</v>
      </c>
      <c r="F938" s="6" t="s">
        <v>4135</v>
      </c>
      <c r="G938" s="6" t="str">
        <f>"3177514203399120"</f>
        <v>3177514203399120</v>
      </c>
      <c r="H938" s="6">
        <v>3177514203399120</v>
      </c>
      <c r="I938" s="6" t="s">
        <v>4136</v>
      </c>
      <c r="J938" s="6" t="str">
        <f>"17 BIG BAG"</f>
        <v>17 BIG BAG</v>
      </c>
      <c r="K938" s="6">
        <v>0</v>
      </c>
      <c r="L938" s="6">
        <v>0</v>
      </c>
      <c r="M938" s="6">
        <v>0</v>
      </c>
      <c r="N938" s="6" t="str">
        <f>""</f>
        <v/>
      </c>
      <c r="O938" s="6">
        <v>32220</v>
      </c>
      <c r="P938" s="6" t="s">
        <v>4137</v>
      </c>
      <c r="R938" s="6" t="s">
        <v>3450</v>
      </c>
      <c r="S938" s="6" t="s">
        <v>4138</v>
      </c>
      <c r="T938" s="6">
        <v>0</v>
      </c>
      <c r="U938" s="6">
        <v>0</v>
      </c>
      <c r="V938" s="6">
        <v>0</v>
      </c>
      <c r="W938" s="6">
        <v>0</v>
      </c>
      <c r="X938" s="6" t="s">
        <v>169</v>
      </c>
      <c r="Z938" s="6" t="s">
        <v>170</v>
      </c>
      <c r="AA938" s="6" t="s">
        <v>171</v>
      </c>
      <c r="AB938" s="6">
        <v>0</v>
      </c>
      <c r="AC938" s="6" t="str">
        <f>""</f>
        <v/>
      </c>
      <c r="AS938" s="6">
        <v>0</v>
      </c>
      <c r="AT938" s="6">
        <v>0</v>
      </c>
    </row>
    <row r="939" spans="2:46">
      <c r="B939" s="6" t="s">
        <v>111</v>
      </c>
      <c r="D939" s="6" t="s">
        <v>3316</v>
      </c>
      <c r="F939" s="6" t="s">
        <v>4139</v>
      </c>
      <c r="G939" s="6" t="str">
        <f>"3177514203374120"</f>
        <v>3177514203374120</v>
      </c>
      <c r="H939" s="6">
        <v>3177514203374120</v>
      </c>
      <c r="I939" s="6" t="s">
        <v>4136</v>
      </c>
      <c r="J939" s="6" t="str">
        <f>"17 BIG BAG"</f>
        <v>17 BIG BAG</v>
      </c>
      <c r="K939" s="6">
        <v>0</v>
      </c>
      <c r="L939" s="6">
        <v>0</v>
      </c>
      <c r="M939" s="6">
        <v>0</v>
      </c>
      <c r="N939" s="6" t="str">
        <f>""</f>
        <v/>
      </c>
      <c r="O939" s="6">
        <v>32219</v>
      </c>
      <c r="P939" s="6" t="s">
        <v>4140</v>
      </c>
      <c r="R939" s="6" t="s">
        <v>3465</v>
      </c>
      <c r="S939" s="6" t="s">
        <v>4141</v>
      </c>
      <c r="T939" s="6">
        <v>0</v>
      </c>
      <c r="U939" s="6">
        <v>0</v>
      </c>
      <c r="V939" s="6">
        <v>0</v>
      </c>
      <c r="W939" s="6">
        <v>0</v>
      </c>
      <c r="X939" s="6" t="s">
        <v>169</v>
      </c>
      <c r="Z939" s="6" t="s">
        <v>170</v>
      </c>
      <c r="AA939" s="6" t="s">
        <v>171</v>
      </c>
      <c r="AB939" s="6">
        <v>0</v>
      </c>
      <c r="AC939" s="6" t="str">
        <f>""</f>
        <v/>
      </c>
      <c r="AS939" s="6">
        <v>0</v>
      </c>
      <c r="AT939" s="6">
        <v>0</v>
      </c>
    </row>
    <row r="940" spans="2:46">
      <c r="B940" s="6" t="s">
        <v>111</v>
      </c>
      <c r="D940" s="6" t="s">
        <v>3316</v>
      </c>
      <c r="F940" s="6" t="s">
        <v>4142</v>
      </c>
      <c r="G940" s="6" t="str">
        <f>"3177332103430320"</f>
        <v>3177332103430320</v>
      </c>
      <c r="H940" s="6">
        <v>3177332103430320</v>
      </c>
      <c r="I940" s="6" t="s">
        <v>4143</v>
      </c>
      <c r="J940" s="6" t="str">
        <f>"17 DENIM MERMAID SK"</f>
        <v>17 DENIM MERMAID SK</v>
      </c>
      <c r="K940" s="6">
        <v>0</v>
      </c>
      <c r="L940" s="6">
        <v>0</v>
      </c>
      <c r="M940" s="6">
        <v>0</v>
      </c>
      <c r="N940" s="6" t="str">
        <f>""</f>
        <v/>
      </c>
      <c r="O940" s="6">
        <v>32217</v>
      </c>
      <c r="P940" s="6" t="s">
        <v>4144</v>
      </c>
      <c r="R940" s="6" t="s">
        <v>3470</v>
      </c>
      <c r="S940" s="6" t="s">
        <v>4145</v>
      </c>
      <c r="T940" s="6">
        <v>0</v>
      </c>
      <c r="U940" s="6">
        <v>0</v>
      </c>
      <c r="V940" s="6">
        <v>0</v>
      </c>
      <c r="W940" s="6">
        <v>0</v>
      </c>
      <c r="X940" s="6" t="s">
        <v>169</v>
      </c>
      <c r="Z940" s="6" t="s">
        <v>170</v>
      </c>
      <c r="AA940" s="6" t="s">
        <v>171</v>
      </c>
      <c r="AB940" s="6">
        <v>0</v>
      </c>
      <c r="AC940" s="6" t="str">
        <f>""</f>
        <v/>
      </c>
      <c r="AS940" s="6">
        <v>0</v>
      </c>
      <c r="AT940" s="6">
        <v>0</v>
      </c>
    </row>
    <row r="941" spans="2:46">
      <c r="B941" s="6" t="s">
        <v>111</v>
      </c>
      <c r="D941" s="6" t="s">
        <v>3316</v>
      </c>
      <c r="F941" s="6" t="s">
        <v>4146</v>
      </c>
      <c r="G941" s="6" t="str">
        <f>"3177332103425320"</f>
        <v>3177332103425320</v>
      </c>
      <c r="I941" s="6" t="s">
        <v>4143</v>
      </c>
      <c r="J941" s="6" t="str">
        <f>"17 DENIM MERMAID SK"</f>
        <v>17 DENIM MERMAID SK</v>
      </c>
      <c r="K941" s="6">
        <v>0</v>
      </c>
      <c r="L941" s="6">
        <v>0</v>
      </c>
      <c r="M941" s="6">
        <v>0</v>
      </c>
      <c r="N941" s="6" t="str">
        <f>""</f>
        <v/>
      </c>
      <c r="O941" s="6">
        <v>32216</v>
      </c>
      <c r="P941" s="6" t="s">
        <v>4147</v>
      </c>
      <c r="R941" s="6" t="s">
        <v>3461</v>
      </c>
      <c r="S941" s="6" t="s">
        <v>4148</v>
      </c>
      <c r="T941" s="6">
        <v>1</v>
      </c>
      <c r="U941" s="6">
        <v>0</v>
      </c>
      <c r="V941" s="6">
        <v>0</v>
      </c>
      <c r="W941" s="6">
        <v>0</v>
      </c>
      <c r="X941" s="6" t="s">
        <v>169</v>
      </c>
      <c r="Z941" s="6" t="s">
        <v>170</v>
      </c>
      <c r="AA941" s="6" t="s">
        <v>171</v>
      </c>
      <c r="AB941" s="6">
        <v>0</v>
      </c>
      <c r="AC941" s="6" t="str">
        <f>"KEY-043"</f>
        <v>KEY-043</v>
      </c>
      <c r="AQ941" s="6" t="str">
        <f>""</f>
        <v/>
      </c>
      <c r="AR941" s="6" t="s">
        <v>1567</v>
      </c>
      <c r="AS941" s="6">
        <v>0</v>
      </c>
      <c r="AT941" s="6">
        <v>1</v>
      </c>
    </row>
    <row r="942" spans="2:46">
      <c r="B942" s="6" t="s">
        <v>111</v>
      </c>
      <c r="D942" s="6" t="s">
        <v>3316</v>
      </c>
      <c r="F942" s="6" t="s">
        <v>4149</v>
      </c>
      <c r="G942" s="6" t="str">
        <f>"3177332104599320"</f>
        <v>3177332104599320</v>
      </c>
      <c r="H942" s="6">
        <v>3177332104599320</v>
      </c>
      <c r="I942" s="6" t="s">
        <v>4150</v>
      </c>
      <c r="J942" s="6" t="str">
        <f>"17 TRENCH SK"</f>
        <v>17 TRENCH SK</v>
      </c>
      <c r="K942" s="6">
        <v>0</v>
      </c>
      <c r="L942" s="6">
        <v>0</v>
      </c>
      <c r="M942" s="6">
        <v>0</v>
      </c>
      <c r="N942" s="6" t="str">
        <f>""</f>
        <v/>
      </c>
      <c r="O942" s="6">
        <v>32214</v>
      </c>
      <c r="P942" s="6" t="s">
        <v>4151</v>
      </c>
      <c r="R942" s="6" t="s">
        <v>3450</v>
      </c>
      <c r="S942" s="6" t="s">
        <v>4152</v>
      </c>
      <c r="T942" s="6">
        <v>0</v>
      </c>
      <c r="U942" s="6">
        <v>0</v>
      </c>
      <c r="V942" s="6">
        <v>0</v>
      </c>
      <c r="W942" s="6">
        <v>0</v>
      </c>
      <c r="X942" s="6" t="s">
        <v>169</v>
      </c>
      <c r="Z942" s="6" t="s">
        <v>170</v>
      </c>
      <c r="AA942" s="6" t="s">
        <v>171</v>
      </c>
      <c r="AB942" s="6">
        <v>0</v>
      </c>
      <c r="AC942" s="6" t="str">
        <f>""</f>
        <v/>
      </c>
      <c r="AS942" s="6">
        <v>0</v>
      </c>
      <c r="AT942" s="6">
        <v>0</v>
      </c>
    </row>
    <row r="943" spans="2:46">
      <c r="B943" s="6" t="s">
        <v>111</v>
      </c>
      <c r="D943" s="6" t="s">
        <v>3316</v>
      </c>
      <c r="F943" s="6" t="s">
        <v>4153</v>
      </c>
      <c r="G943" s="6" t="str">
        <f>"3177332104574320"</f>
        <v>3177332104574320</v>
      </c>
      <c r="H943" s="6">
        <v>3177332104574320</v>
      </c>
      <c r="I943" s="6" t="s">
        <v>4150</v>
      </c>
      <c r="J943" s="6" t="str">
        <f>"17 TRENCH SK"</f>
        <v>17 TRENCH SK</v>
      </c>
      <c r="K943" s="6">
        <v>0</v>
      </c>
      <c r="L943" s="6">
        <v>0</v>
      </c>
      <c r="M943" s="6">
        <v>0</v>
      </c>
      <c r="N943" s="6" t="str">
        <f>""</f>
        <v/>
      </c>
      <c r="O943" s="6">
        <v>32213</v>
      </c>
      <c r="P943" s="6" t="s">
        <v>4154</v>
      </c>
      <c r="R943" s="6" t="s">
        <v>3465</v>
      </c>
      <c r="S943" s="6" t="s">
        <v>4155</v>
      </c>
      <c r="T943" s="6">
        <v>0</v>
      </c>
      <c r="U943" s="6">
        <v>0</v>
      </c>
      <c r="V943" s="6">
        <v>0</v>
      </c>
      <c r="W943" s="6">
        <v>0</v>
      </c>
      <c r="X943" s="6" t="s">
        <v>169</v>
      </c>
      <c r="Z943" s="6" t="s">
        <v>170</v>
      </c>
      <c r="AA943" s="6" t="s">
        <v>171</v>
      </c>
      <c r="AB943" s="6">
        <v>0</v>
      </c>
      <c r="AC943" s="6" t="str">
        <f>""</f>
        <v/>
      </c>
      <c r="AS943" s="6">
        <v>0</v>
      </c>
      <c r="AT943" s="6">
        <v>0</v>
      </c>
    </row>
    <row r="944" spans="2:46">
      <c r="B944" s="6" t="s">
        <v>111</v>
      </c>
      <c r="D944" s="6" t="s">
        <v>3316</v>
      </c>
      <c r="F944" s="6" t="s">
        <v>4156</v>
      </c>
      <c r="G944" s="6" t="str">
        <f>"3177252104130120"</f>
        <v>3177252104130120</v>
      </c>
      <c r="I944" s="6" t="s">
        <v>4157</v>
      </c>
      <c r="J944" s="6" t="str">
        <f>"17 RETRO SPS"</f>
        <v>17 RETRO SPS</v>
      </c>
      <c r="K944" s="6">
        <v>0</v>
      </c>
      <c r="L944" s="6">
        <v>0</v>
      </c>
      <c r="M944" s="6">
        <v>0</v>
      </c>
      <c r="N944" s="6" t="str">
        <f>""</f>
        <v/>
      </c>
      <c r="O944" s="6">
        <v>32211</v>
      </c>
      <c r="P944" s="6" t="s">
        <v>4158</v>
      </c>
      <c r="R944" s="6" t="s">
        <v>3470</v>
      </c>
      <c r="S944" s="6" t="s">
        <v>4159</v>
      </c>
      <c r="T944" s="6">
        <v>1</v>
      </c>
      <c r="U944" s="6">
        <v>0</v>
      </c>
      <c r="V944" s="6">
        <v>0</v>
      </c>
      <c r="W944" s="6">
        <v>0</v>
      </c>
      <c r="X944" s="6" t="s">
        <v>169</v>
      </c>
      <c r="Z944" s="6" t="s">
        <v>170</v>
      </c>
      <c r="AA944" s="6" t="s">
        <v>171</v>
      </c>
      <c r="AB944" s="6">
        <v>0</v>
      </c>
      <c r="AC944" s="6" t="str">
        <f>"KEY-054"</f>
        <v>KEY-054</v>
      </c>
      <c r="AQ944" s="6" t="str">
        <f>""</f>
        <v/>
      </c>
      <c r="AR944" s="6" t="s">
        <v>1567</v>
      </c>
      <c r="AS944" s="6">
        <v>0</v>
      </c>
      <c r="AT944" s="6">
        <v>1</v>
      </c>
    </row>
    <row r="945" spans="2:46">
      <c r="B945" s="6" t="s">
        <v>111</v>
      </c>
      <c r="D945" s="6" t="s">
        <v>3316</v>
      </c>
      <c r="F945" s="6" t="s">
        <v>4160</v>
      </c>
      <c r="G945" s="6" t="str">
        <f>"3177252104165120"</f>
        <v>3177252104165120</v>
      </c>
      <c r="H945" s="6">
        <v>3177252104165120</v>
      </c>
      <c r="I945" s="6" t="s">
        <v>4157</v>
      </c>
      <c r="J945" s="6" t="str">
        <f>"17 RETRO SPS"</f>
        <v>17 RETRO SPS</v>
      </c>
      <c r="K945" s="6">
        <v>0</v>
      </c>
      <c r="L945" s="6">
        <v>0</v>
      </c>
      <c r="M945" s="6">
        <v>0</v>
      </c>
      <c r="N945" s="6" t="str">
        <f>""</f>
        <v/>
      </c>
      <c r="O945" s="6">
        <v>32210</v>
      </c>
      <c r="P945" s="6" t="s">
        <v>4161</v>
      </c>
      <c r="R945" s="6" t="s">
        <v>3992</v>
      </c>
      <c r="S945" s="6" t="s">
        <v>4162</v>
      </c>
      <c r="T945" s="6">
        <v>0</v>
      </c>
      <c r="U945" s="6">
        <v>0</v>
      </c>
      <c r="V945" s="6">
        <v>0</v>
      </c>
      <c r="W945" s="6">
        <v>0</v>
      </c>
      <c r="X945" s="6" t="s">
        <v>169</v>
      </c>
      <c r="Z945" s="6" t="s">
        <v>170</v>
      </c>
      <c r="AA945" s="6" t="s">
        <v>171</v>
      </c>
      <c r="AB945" s="6">
        <v>0</v>
      </c>
      <c r="AC945" s="6" t="str">
        <f>""</f>
        <v/>
      </c>
      <c r="AS945" s="6">
        <v>0</v>
      </c>
      <c r="AT945" s="6">
        <v>0</v>
      </c>
    </row>
    <row r="946" spans="2:46">
      <c r="B946" s="6" t="s">
        <v>111</v>
      </c>
      <c r="D946" s="6" t="s">
        <v>3316</v>
      </c>
      <c r="F946" s="6" t="s">
        <v>4163</v>
      </c>
      <c r="G946" s="6" t="str">
        <f>"3177252103930320"</f>
        <v>3177252103930320</v>
      </c>
      <c r="H946" s="6">
        <v>3177252103930320</v>
      </c>
      <c r="I946" s="6" t="s">
        <v>4164</v>
      </c>
      <c r="J946" s="6" t="str">
        <f>"17 SD BUSTIE OPS"</f>
        <v>17 SD BUSTIE OPS</v>
      </c>
      <c r="K946" s="6">
        <v>0</v>
      </c>
      <c r="L946" s="6">
        <v>0</v>
      </c>
      <c r="M946" s="6">
        <v>0</v>
      </c>
      <c r="N946" s="6" t="str">
        <f>""</f>
        <v/>
      </c>
      <c r="O946" s="6">
        <v>32208</v>
      </c>
      <c r="P946" s="6" t="s">
        <v>4165</v>
      </c>
      <c r="R946" s="6" t="s">
        <v>3470</v>
      </c>
      <c r="S946" s="6" t="s">
        <v>4166</v>
      </c>
      <c r="T946" s="6">
        <v>0</v>
      </c>
      <c r="U946" s="6">
        <v>0</v>
      </c>
      <c r="V946" s="6">
        <v>0</v>
      </c>
      <c r="W946" s="6">
        <v>0</v>
      </c>
      <c r="X946" s="6" t="s">
        <v>169</v>
      </c>
      <c r="Z946" s="6" t="s">
        <v>170</v>
      </c>
      <c r="AA946" s="6" t="s">
        <v>171</v>
      </c>
      <c r="AB946" s="6">
        <v>0</v>
      </c>
      <c r="AC946" s="6" t="str">
        <f>""</f>
        <v/>
      </c>
      <c r="AS946" s="6">
        <v>0</v>
      </c>
      <c r="AT946" s="6">
        <v>0</v>
      </c>
    </row>
    <row r="947" spans="2:46">
      <c r="B947" s="6" t="s">
        <v>111</v>
      </c>
      <c r="D947" s="6" t="s">
        <v>3316</v>
      </c>
      <c r="F947" s="6" t="s">
        <v>4167</v>
      </c>
      <c r="G947" s="6" t="str">
        <f>"3177252103925320"</f>
        <v>3177252103925320</v>
      </c>
      <c r="I947" s="6" t="s">
        <v>4164</v>
      </c>
      <c r="J947" s="6" t="str">
        <f>"17 SD BUSTIE OPS"</f>
        <v>17 SD BUSTIE OPS</v>
      </c>
      <c r="K947" s="6">
        <v>0</v>
      </c>
      <c r="L947" s="6">
        <v>0</v>
      </c>
      <c r="M947" s="6">
        <v>0</v>
      </c>
      <c r="N947" s="6" t="str">
        <f>""</f>
        <v/>
      </c>
      <c r="O947" s="6">
        <v>32207</v>
      </c>
      <c r="P947" s="6" t="s">
        <v>4168</v>
      </c>
      <c r="R947" s="6" t="s">
        <v>3461</v>
      </c>
      <c r="S947" s="6" t="s">
        <v>4169</v>
      </c>
      <c r="T947" s="6">
        <v>1</v>
      </c>
      <c r="U947" s="6">
        <v>0</v>
      </c>
      <c r="V947" s="6">
        <v>0</v>
      </c>
      <c r="W947" s="6">
        <v>0</v>
      </c>
      <c r="X947" s="6" t="s">
        <v>169</v>
      </c>
      <c r="Z947" s="6" t="s">
        <v>170</v>
      </c>
      <c r="AA947" s="6" t="s">
        <v>171</v>
      </c>
      <c r="AB947" s="6">
        <v>0</v>
      </c>
      <c r="AC947" s="6" t="str">
        <f>"KEY-014"</f>
        <v>KEY-014</v>
      </c>
      <c r="AQ947" s="6" t="str">
        <f>""</f>
        <v/>
      </c>
      <c r="AR947" s="6" t="s">
        <v>1584</v>
      </c>
      <c r="AS947" s="6">
        <v>0</v>
      </c>
      <c r="AT947" s="6">
        <v>1</v>
      </c>
    </row>
    <row r="948" spans="2:46">
      <c r="B948" s="6" t="s">
        <v>111</v>
      </c>
      <c r="D948" s="6" t="s">
        <v>3316</v>
      </c>
      <c r="F948" s="6" t="s">
        <v>4170</v>
      </c>
      <c r="G948" s="6" t="str">
        <f>"3177252104399208"</f>
        <v>3177252104399208</v>
      </c>
      <c r="I948" s="6" t="s">
        <v>4171</v>
      </c>
      <c r="J948" s="6" t="str">
        <f>"17 LINE OPS"</f>
        <v>17 LINE OPS</v>
      </c>
      <c r="K948" s="6">
        <v>0</v>
      </c>
      <c r="L948" s="6">
        <v>0</v>
      </c>
      <c r="M948" s="6">
        <v>0</v>
      </c>
      <c r="N948" s="6" t="str">
        <f>""</f>
        <v/>
      </c>
      <c r="O948" s="6">
        <v>32205</v>
      </c>
      <c r="P948" s="6" t="s">
        <v>4172</v>
      </c>
      <c r="R948" s="6" t="s">
        <v>3450</v>
      </c>
      <c r="S948" s="6" t="s">
        <v>4173</v>
      </c>
      <c r="T948" s="6">
        <v>1</v>
      </c>
      <c r="U948" s="6">
        <v>0</v>
      </c>
      <c r="V948" s="6">
        <v>0</v>
      </c>
      <c r="W948" s="6">
        <v>0</v>
      </c>
      <c r="X948" s="6" t="s">
        <v>169</v>
      </c>
      <c r="Z948" s="6" t="s">
        <v>170</v>
      </c>
      <c r="AA948" s="6" t="s">
        <v>171</v>
      </c>
      <c r="AB948" s="6">
        <v>0</v>
      </c>
      <c r="AC948" s="6" t="str">
        <f>"KEY-044"</f>
        <v>KEY-044</v>
      </c>
      <c r="AQ948" s="6" t="str">
        <f>""</f>
        <v/>
      </c>
      <c r="AR948" s="6" t="s">
        <v>1567</v>
      </c>
      <c r="AS948" s="6">
        <v>0</v>
      </c>
      <c r="AT948" s="6">
        <v>1</v>
      </c>
    </row>
    <row r="949" spans="2:46">
      <c r="B949" s="6" t="s">
        <v>111</v>
      </c>
      <c r="D949" s="6" t="s">
        <v>3316</v>
      </c>
      <c r="F949" s="6" t="s">
        <v>4174</v>
      </c>
      <c r="G949" s="6" t="str">
        <f>"3177252104306208"</f>
        <v>3177252104306208</v>
      </c>
      <c r="H949" s="6">
        <v>3177252104306200</v>
      </c>
      <c r="I949" s="6" t="s">
        <v>4171</v>
      </c>
      <c r="J949" s="6" t="str">
        <f>"17 LINE OPS"</f>
        <v>17 LINE OPS</v>
      </c>
      <c r="K949" s="6">
        <v>0</v>
      </c>
      <c r="L949" s="6">
        <v>0</v>
      </c>
      <c r="M949" s="6">
        <v>0</v>
      </c>
      <c r="N949" s="6" t="str">
        <f>""</f>
        <v/>
      </c>
      <c r="O949" s="6">
        <v>32204</v>
      </c>
      <c r="P949" s="6" t="s">
        <v>4175</v>
      </c>
      <c r="R949" s="6" t="s">
        <v>3563</v>
      </c>
      <c r="S949" s="6" t="s">
        <v>4176</v>
      </c>
      <c r="T949" s="6">
        <v>0</v>
      </c>
      <c r="U949" s="6">
        <v>0</v>
      </c>
      <c r="V949" s="6">
        <v>0</v>
      </c>
      <c r="W949" s="6">
        <v>0</v>
      </c>
      <c r="X949" s="6" t="s">
        <v>169</v>
      </c>
      <c r="Z949" s="6" t="s">
        <v>170</v>
      </c>
      <c r="AA949" s="6" t="s">
        <v>171</v>
      </c>
      <c r="AB949" s="6">
        <v>0</v>
      </c>
      <c r="AC949" s="6" t="str">
        <f>""</f>
        <v/>
      </c>
      <c r="AS949" s="6">
        <v>0</v>
      </c>
      <c r="AT949" s="6">
        <v>0</v>
      </c>
    </row>
    <row r="950" spans="2:46">
      <c r="B950" s="6" t="s">
        <v>111</v>
      </c>
      <c r="D950" s="6" t="s">
        <v>3316</v>
      </c>
      <c r="F950" s="6" t="s">
        <v>4177</v>
      </c>
      <c r="G950" s="6" t="str">
        <f>"3177252104030120"</f>
        <v>3177252104030120</v>
      </c>
      <c r="H950" s="6">
        <v>3177252104030120</v>
      </c>
      <c r="I950" s="6" t="s">
        <v>4178</v>
      </c>
      <c r="J950" s="6" t="str">
        <f>"17 SD OPS"</f>
        <v>17 SD OPS</v>
      </c>
      <c r="K950" s="6">
        <v>0</v>
      </c>
      <c r="L950" s="6">
        <v>0</v>
      </c>
      <c r="M950" s="6">
        <v>0</v>
      </c>
      <c r="N950" s="6" t="str">
        <f>""</f>
        <v/>
      </c>
      <c r="O950" s="6">
        <v>32202</v>
      </c>
      <c r="P950" s="6" t="s">
        <v>4179</v>
      </c>
      <c r="R950" s="6" t="s">
        <v>3470</v>
      </c>
      <c r="S950" s="6" t="s">
        <v>4180</v>
      </c>
      <c r="T950" s="6">
        <v>0</v>
      </c>
      <c r="U950" s="6">
        <v>0</v>
      </c>
      <c r="V950" s="6">
        <v>0</v>
      </c>
      <c r="W950" s="6">
        <v>0</v>
      </c>
      <c r="X950" s="6" t="s">
        <v>169</v>
      </c>
      <c r="Z950" s="6" t="s">
        <v>170</v>
      </c>
      <c r="AA950" s="6" t="s">
        <v>171</v>
      </c>
      <c r="AB950" s="6">
        <v>0</v>
      </c>
      <c r="AC950" s="6" t="str">
        <f>""</f>
        <v/>
      </c>
      <c r="AS950" s="6">
        <v>0</v>
      </c>
      <c r="AT950" s="6">
        <v>0</v>
      </c>
    </row>
    <row r="951" spans="2:46">
      <c r="B951" s="6" t="s">
        <v>111</v>
      </c>
      <c r="D951" s="6" t="s">
        <v>3316</v>
      </c>
      <c r="F951" s="6" t="s">
        <v>4181</v>
      </c>
      <c r="G951" s="6" t="str">
        <f>"3177252104025120"</f>
        <v>3177252104025120</v>
      </c>
      <c r="I951" s="6" t="s">
        <v>4178</v>
      </c>
      <c r="J951" s="6" t="str">
        <f>"17 SD OPS"</f>
        <v>17 SD OPS</v>
      </c>
      <c r="K951" s="6">
        <v>0</v>
      </c>
      <c r="L951" s="6">
        <v>0</v>
      </c>
      <c r="M951" s="6">
        <v>0</v>
      </c>
      <c r="N951" s="6" t="str">
        <f>""</f>
        <v/>
      </c>
      <c r="O951" s="6">
        <v>32201</v>
      </c>
      <c r="P951" s="6" t="s">
        <v>4182</v>
      </c>
      <c r="R951" s="6" t="s">
        <v>3461</v>
      </c>
      <c r="S951" s="6" t="s">
        <v>4183</v>
      </c>
      <c r="T951" s="6">
        <v>1</v>
      </c>
      <c r="U951" s="6">
        <v>0</v>
      </c>
      <c r="V951" s="6">
        <v>0</v>
      </c>
      <c r="W951" s="6">
        <v>0</v>
      </c>
      <c r="X951" s="6" t="s">
        <v>169</v>
      </c>
      <c r="Z951" s="6" t="s">
        <v>170</v>
      </c>
      <c r="AA951" s="6" t="s">
        <v>171</v>
      </c>
      <c r="AB951" s="6">
        <v>0</v>
      </c>
      <c r="AC951" s="6" t="str">
        <f>"KEY-049"</f>
        <v>KEY-049</v>
      </c>
      <c r="AQ951" s="6" t="str">
        <f>""</f>
        <v/>
      </c>
      <c r="AR951" s="6" t="s">
        <v>1567</v>
      </c>
      <c r="AS951" s="6">
        <v>0</v>
      </c>
      <c r="AT951" s="6">
        <v>1</v>
      </c>
    </row>
    <row r="952" spans="2:46">
      <c r="B952" s="6" t="s">
        <v>111</v>
      </c>
      <c r="D952" s="6" t="s">
        <v>3316</v>
      </c>
      <c r="F952" s="6" t="s">
        <v>4184</v>
      </c>
      <c r="G952" s="6" t="str">
        <f>"3177252103099208"</f>
        <v>3177252103099208</v>
      </c>
      <c r="H952" s="6">
        <v>3177252103099200</v>
      </c>
      <c r="I952" s="6" t="s">
        <v>4185</v>
      </c>
      <c r="J952" s="6" t="str">
        <f>"17 C-LINE HOODY"</f>
        <v>17 C-LINE HOODY</v>
      </c>
      <c r="K952" s="6">
        <v>0</v>
      </c>
      <c r="L952" s="6">
        <v>0</v>
      </c>
      <c r="M952" s="6">
        <v>0</v>
      </c>
      <c r="N952" s="6" t="str">
        <f>""</f>
        <v/>
      </c>
      <c r="O952" s="6">
        <v>32199</v>
      </c>
      <c r="P952" s="6" t="s">
        <v>4186</v>
      </c>
      <c r="R952" s="6" t="s">
        <v>3450</v>
      </c>
      <c r="S952" s="6" t="s">
        <v>4187</v>
      </c>
      <c r="T952" s="6">
        <v>0</v>
      </c>
      <c r="U952" s="6">
        <v>0</v>
      </c>
      <c r="V952" s="6">
        <v>0</v>
      </c>
      <c r="W952" s="6">
        <v>0</v>
      </c>
      <c r="X952" s="6" t="s">
        <v>169</v>
      </c>
      <c r="Z952" s="6" t="s">
        <v>170</v>
      </c>
      <c r="AA952" s="6" t="s">
        <v>171</v>
      </c>
      <c r="AB952" s="6">
        <v>0</v>
      </c>
      <c r="AC952" s="6" t="str">
        <f>""</f>
        <v/>
      </c>
      <c r="AS952" s="6">
        <v>0</v>
      </c>
      <c r="AT952" s="6">
        <v>0</v>
      </c>
    </row>
    <row r="953" spans="2:46">
      <c r="B953" s="6" t="s">
        <v>111</v>
      </c>
      <c r="D953" s="6" t="s">
        <v>3316</v>
      </c>
      <c r="F953" s="6" t="s">
        <v>4188</v>
      </c>
      <c r="G953" s="6" t="str">
        <f>"3177252103025208"</f>
        <v>3177252103025208</v>
      </c>
      <c r="H953" s="6">
        <v>3177252103025200</v>
      </c>
      <c r="I953" s="6" t="s">
        <v>4185</v>
      </c>
      <c r="J953" s="6" t="str">
        <f>"17 C-LINE HOODY"</f>
        <v>17 C-LINE HOODY</v>
      </c>
      <c r="K953" s="6">
        <v>0</v>
      </c>
      <c r="L953" s="6">
        <v>0</v>
      </c>
      <c r="M953" s="6">
        <v>0</v>
      </c>
      <c r="N953" s="6" t="str">
        <f>""</f>
        <v/>
      </c>
      <c r="O953" s="6">
        <v>32198</v>
      </c>
      <c r="P953" s="6" t="s">
        <v>4189</v>
      </c>
      <c r="R953" s="6" t="s">
        <v>3461</v>
      </c>
      <c r="S953" s="6" t="s">
        <v>4190</v>
      </c>
      <c r="T953" s="6">
        <v>0</v>
      </c>
      <c r="U953" s="6">
        <v>0</v>
      </c>
      <c r="V953" s="6">
        <v>0</v>
      </c>
      <c r="W953" s="6">
        <v>0</v>
      </c>
      <c r="X953" s="6" t="s">
        <v>169</v>
      </c>
      <c r="Z953" s="6" t="s">
        <v>170</v>
      </c>
      <c r="AA953" s="6" t="s">
        <v>171</v>
      </c>
      <c r="AB953" s="6">
        <v>0</v>
      </c>
      <c r="AC953" s="6" t="str">
        <f>""</f>
        <v/>
      </c>
      <c r="AS953" s="6">
        <v>0</v>
      </c>
      <c r="AT953" s="6">
        <v>0</v>
      </c>
    </row>
    <row r="954" spans="2:46">
      <c r="B954" s="6" t="s">
        <v>111</v>
      </c>
      <c r="D954" s="6" t="s">
        <v>3316</v>
      </c>
      <c r="F954" s="6" t="s">
        <v>4191</v>
      </c>
      <c r="G954" s="6" t="str">
        <f>"3177252103001208"</f>
        <v>3177252103001208</v>
      </c>
      <c r="I954" s="6" t="s">
        <v>4185</v>
      </c>
      <c r="J954" s="6" t="str">
        <f>"17 C-LINE HOODY"</f>
        <v>17 C-LINE HOODY</v>
      </c>
      <c r="K954" s="6">
        <v>0</v>
      </c>
      <c r="L954" s="6">
        <v>0</v>
      </c>
      <c r="M954" s="6">
        <v>0</v>
      </c>
      <c r="N954" s="6" t="str">
        <f>""</f>
        <v/>
      </c>
      <c r="O954" s="6">
        <v>32197</v>
      </c>
      <c r="P954" s="6" t="s">
        <v>4192</v>
      </c>
      <c r="R954" s="6" t="s">
        <v>3445</v>
      </c>
      <c r="S954" s="6" t="s">
        <v>4193</v>
      </c>
      <c r="T954" s="6">
        <v>1</v>
      </c>
      <c r="U954" s="6">
        <v>0</v>
      </c>
      <c r="V954" s="6">
        <v>0</v>
      </c>
      <c r="W954" s="6">
        <v>0</v>
      </c>
      <c r="X954" s="6" t="s">
        <v>169</v>
      </c>
      <c r="Z954" s="6" t="s">
        <v>170</v>
      </c>
      <c r="AA954" s="6" t="s">
        <v>171</v>
      </c>
      <c r="AB954" s="6">
        <v>0</v>
      </c>
      <c r="AC954" s="6" t="str">
        <f>"KEY-043"</f>
        <v>KEY-043</v>
      </c>
      <c r="AQ954" s="6" t="str">
        <f>""</f>
        <v/>
      </c>
      <c r="AR954" s="6" t="s">
        <v>1567</v>
      </c>
      <c r="AS954" s="6">
        <v>0</v>
      </c>
      <c r="AT954" s="6">
        <v>1</v>
      </c>
    </row>
    <row r="955" spans="2:46">
      <c r="B955" s="6" t="s">
        <v>111</v>
      </c>
      <c r="D955" s="6" t="s">
        <v>3316</v>
      </c>
      <c r="F955" s="6" t="s">
        <v>4194</v>
      </c>
      <c r="G955" s="6" t="str">
        <f>"3177252104230208"</f>
        <v>3177252104230208</v>
      </c>
      <c r="H955" s="6">
        <v>3177252104230200</v>
      </c>
      <c r="I955" s="6" t="s">
        <v>4195</v>
      </c>
      <c r="J955" s="6" t="str">
        <f>"17 C-LINE OPS"</f>
        <v>17 C-LINE OPS</v>
      </c>
      <c r="K955" s="6">
        <v>0</v>
      </c>
      <c r="L955" s="6">
        <v>0</v>
      </c>
      <c r="M955" s="6">
        <v>0</v>
      </c>
      <c r="N955" s="6" t="str">
        <f>""</f>
        <v/>
      </c>
      <c r="O955" s="6">
        <v>32195</v>
      </c>
      <c r="P955" s="6" t="s">
        <v>4196</v>
      </c>
      <c r="R955" s="6" t="s">
        <v>3470</v>
      </c>
      <c r="S955" s="6" t="s">
        <v>4197</v>
      </c>
      <c r="T955" s="6">
        <v>0</v>
      </c>
      <c r="U955" s="6">
        <v>0</v>
      </c>
      <c r="V955" s="6">
        <v>0</v>
      </c>
      <c r="W955" s="6">
        <v>0</v>
      </c>
      <c r="X955" s="6" t="s">
        <v>169</v>
      </c>
      <c r="Z955" s="6" t="s">
        <v>170</v>
      </c>
      <c r="AA955" s="6" t="s">
        <v>171</v>
      </c>
      <c r="AB955" s="6">
        <v>0</v>
      </c>
      <c r="AC955" s="6" t="str">
        <f>""</f>
        <v/>
      </c>
      <c r="AS955" s="6">
        <v>0</v>
      </c>
      <c r="AT955" s="6">
        <v>0</v>
      </c>
    </row>
    <row r="956" spans="2:46">
      <c r="B956" s="6" t="s">
        <v>111</v>
      </c>
      <c r="D956" s="6" t="s">
        <v>3316</v>
      </c>
      <c r="F956" s="6" t="s">
        <v>4198</v>
      </c>
      <c r="G956" s="6" t="str">
        <f>"3177252104274208"</f>
        <v>3177252104274208</v>
      </c>
      <c r="H956" s="6">
        <v>3177252104274200</v>
      </c>
      <c r="I956" s="6" t="s">
        <v>4195</v>
      </c>
      <c r="J956" s="6" t="str">
        <f>"17 C-LINE OPS"</f>
        <v>17 C-LINE OPS</v>
      </c>
      <c r="K956" s="6">
        <v>0</v>
      </c>
      <c r="L956" s="6">
        <v>0</v>
      </c>
      <c r="M956" s="6">
        <v>0</v>
      </c>
      <c r="N956" s="6" t="str">
        <f>""</f>
        <v/>
      </c>
      <c r="O956" s="6">
        <v>32194</v>
      </c>
      <c r="P956" s="6" t="s">
        <v>4199</v>
      </c>
      <c r="R956" s="6" t="s">
        <v>3465</v>
      </c>
      <c r="S956" s="6" t="s">
        <v>4200</v>
      </c>
      <c r="T956" s="6">
        <v>0</v>
      </c>
      <c r="U956" s="6">
        <v>0</v>
      </c>
      <c r="V956" s="6">
        <v>0</v>
      </c>
      <c r="W956" s="6">
        <v>0</v>
      </c>
      <c r="X956" s="6" t="s">
        <v>169</v>
      </c>
      <c r="Z956" s="6" t="s">
        <v>170</v>
      </c>
      <c r="AA956" s="6" t="s">
        <v>171</v>
      </c>
      <c r="AB956" s="6">
        <v>0</v>
      </c>
      <c r="AC956" s="6" t="str">
        <f>""</f>
        <v/>
      </c>
      <c r="AS956" s="6">
        <v>0</v>
      </c>
      <c r="AT956" s="6">
        <v>0</v>
      </c>
    </row>
    <row r="957" spans="2:46">
      <c r="B957" s="6" t="s">
        <v>111</v>
      </c>
      <c r="D957" s="6" t="s">
        <v>3316</v>
      </c>
      <c r="F957" s="6" t="s">
        <v>4201</v>
      </c>
      <c r="G957" s="6" t="str">
        <f>"3177222108230208"</f>
        <v>3177222108230208</v>
      </c>
      <c r="H957" s="6">
        <v>3177222108230200</v>
      </c>
      <c r="I957" s="6" t="s">
        <v>4202</v>
      </c>
      <c r="J957" s="6" t="str">
        <f>"17 M KNIT"</f>
        <v>17 M KNIT</v>
      </c>
      <c r="K957" s="6">
        <v>0</v>
      </c>
      <c r="L957" s="6">
        <v>0</v>
      </c>
      <c r="M957" s="6">
        <v>0</v>
      </c>
      <c r="N957" s="6" t="str">
        <f>""</f>
        <v/>
      </c>
      <c r="O957" s="6">
        <v>32192</v>
      </c>
      <c r="P957" s="6" t="s">
        <v>4203</v>
      </c>
      <c r="R957" s="6" t="s">
        <v>3470</v>
      </c>
      <c r="S957" s="6" t="s">
        <v>4204</v>
      </c>
      <c r="T957" s="6">
        <v>0</v>
      </c>
      <c r="U957" s="6">
        <v>0</v>
      </c>
      <c r="V957" s="6">
        <v>0</v>
      </c>
      <c r="W957" s="6">
        <v>0</v>
      </c>
      <c r="X957" s="6" t="s">
        <v>169</v>
      </c>
      <c r="Z957" s="6" t="s">
        <v>170</v>
      </c>
      <c r="AA957" s="6" t="s">
        <v>171</v>
      </c>
      <c r="AB957" s="6">
        <v>0</v>
      </c>
      <c r="AC957" s="6" t="str">
        <f>""</f>
        <v/>
      </c>
      <c r="AS957" s="6">
        <v>0</v>
      </c>
      <c r="AT957" s="6">
        <v>0</v>
      </c>
    </row>
    <row r="958" spans="2:46">
      <c r="B958" s="6" t="s">
        <v>111</v>
      </c>
      <c r="D958" s="6" t="s">
        <v>3316</v>
      </c>
      <c r="F958" s="6" t="s">
        <v>4205</v>
      </c>
      <c r="G958" s="6" t="str">
        <f>"3177222108206208"</f>
        <v>3177222108206208</v>
      </c>
      <c r="H958" s="6">
        <v>3177222108206200</v>
      </c>
      <c r="I958" s="6" t="s">
        <v>4202</v>
      </c>
      <c r="J958" s="6" t="str">
        <f>"17 M KNIT"</f>
        <v>17 M KNIT</v>
      </c>
      <c r="K958" s="6">
        <v>0</v>
      </c>
      <c r="L958" s="6">
        <v>0</v>
      </c>
      <c r="M958" s="6">
        <v>0</v>
      </c>
      <c r="N958" s="6" t="str">
        <f>""</f>
        <v/>
      </c>
      <c r="O958" s="6">
        <v>32191</v>
      </c>
      <c r="P958" s="6" t="s">
        <v>4206</v>
      </c>
      <c r="R958" s="6" t="s">
        <v>3563</v>
      </c>
      <c r="S958" s="6" t="s">
        <v>4207</v>
      </c>
      <c r="T958" s="6">
        <v>0</v>
      </c>
      <c r="U958" s="6">
        <v>0</v>
      </c>
      <c r="V958" s="6">
        <v>0</v>
      </c>
      <c r="W958" s="6">
        <v>0</v>
      </c>
      <c r="X958" s="6" t="s">
        <v>169</v>
      </c>
      <c r="Z958" s="6" t="s">
        <v>170</v>
      </c>
      <c r="AA958" s="6" t="s">
        <v>171</v>
      </c>
      <c r="AB958" s="6">
        <v>0</v>
      </c>
      <c r="AC958" s="6" t="str">
        <f>""</f>
        <v/>
      </c>
      <c r="AS958" s="6">
        <v>0</v>
      </c>
      <c r="AT958" s="6">
        <v>0</v>
      </c>
    </row>
    <row r="959" spans="2:46">
      <c r="B959" s="6" t="s">
        <v>111</v>
      </c>
      <c r="D959" s="6" t="s">
        <v>3316</v>
      </c>
      <c r="F959" s="6" t="s">
        <v>4208</v>
      </c>
      <c r="G959" s="6" t="str">
        <f>"3177222108245208"</f>
        <v>3177222108245208</v>
      </c>
      <c r="H959" s="6">
        <v>3177222108245200</v>
      </c>
      <c r="I959" s="6" t="s">
        <v>4202</v>
      </c>
      <c r="J959" s="6" t="str">
        <f>"17 M KNIT"</f>
        <v>17 M KNIT</v>
      </c>
      <c r="K959" s="6">
        <v>0</v>
      </c>
      <c r="L959" s="6">
        <v>0</v>
      </c>
      <c r="M959" s="6">
        <v>0</v>
      </c>
      <c r="N959" s="6" t="str">
        <f>""</f>
        <v/>
      </c>
      <c r="O959" s="6">
        <v>32190</v>
      </c>
      <c r="P959" s="6" t="s">
        <v>4209</v>
      </c>
      <c r="R959" s="6" t="s">
        <v>3441</v>
      </c>
      <c r="S959" s="6" t="s">
        <v>4210</v>
      </c>
      <c r="T959" s="6">
        <v>0</v>
      </c>
      <c r="U959" s="6">
        <v>0</v>
      </c>
      <c r="V959" s="6">
        <v>0</v>
      </c>
      <c r="W959" s="6">
        <v>0</v>
      </c>
      <c r="X959" s="6" t="s">
        <v>169</v>
      </c>
      <c r="Z959" s="6" t="s">
        <v>170</v>
      </c>
      <c r="AA959" s="6" t="s">
        <v>171</v>
      </c>
      <c r="AB959" s="6">
        <v>0</v>
      </c>
      <c r="AC959" s="6" t="str">
        <f>""</f>
        <v/>
      </c>
      <c r="AS959" s="6">
        <v>0</v>
      </c>
      <c r="AT959" s="6">
        <v>0</v>
      </c>
    </row>
    <row r="960" spans="2:46">
      <c r="B960" s="6" t="s">
        <v>111</v>
      </c>
      <c r="D960" s="6" t="s">
        <v>3316</v>
      </c>
      <c r="F960" s="6" t="s">
        <v>4211</v>
      </c>
      <c r="G960" s="6" t="str">
        <f>"3177222102299208"</f>
        <v>3177222102299208</v>
      </c>
      <c r="H960" s="6">
        <v>3177222102299200</v>
      </c>
      <c r="I960" s="6" t="s">
        <v>4212</v>
      </c>
      <c r="J960" s="6" t="str">
        <f>"17 BELL SLEEVE TS"</f>
        <v>17 BELL SLEEVE TS</v>
      </c>
      <c r="K960" s="6">
        <v>0</v>
      </c>
      <c r="L960" s="6">
        <v>0</v>
      </c>
      <c r="M960" s="6">
        <v>0</v>
      </c>
      <c r="N960" s="6" t="str">
        <f>""</f>
        <v/>
      </c>
      <c r="O960" s="6">
        <v>32188</v>
      </c>
      <c r="P960" s="6" t="s">
        <v>4213</v>
      </c>
      <c r="R960" s="6" t="s">
        <v>3450</v>
      </c>
      <c r="S960" s="6" t="s">
        <v>4214</v>
      </c>
      <c r="T960" s="6">
        <v>0</v>
      </c>
      <c r="U960" s="6">
        <v>0</v>
      </c>
      <c r="V960" s="6">
        <v>0</v>
      </c>
      <c r="W960" s="6">
        <v>0</v>
      </c>
      <c r="X960" s="6" t="s">
        <v>169</v>
      </c>
      <c r="Z960" s="6" t="s">
        <v>170</v>
      </c>
      <c r="AA960" s="6" t="s">
        <v>171</v>
      </c>
      <c r="AB960" s="6">
        <v>0</v>
      </c>
      <c r="AC960" s="6" t="str">
        <f>""</f>
        <v/>
      </c>
      <c r="AS960" s="6">
        <v>0</v>
      </c>
      <c r="AT960" s="6">
        <v>0</v>
      </c>
    </row>
    <row r="961" spans="2:46">
      <c r="B961" s="6" t="s">
        <v>111</v>
      </c>
      <c r="D961" s="6" t="s">
        <v>3316</v>
      </c>
      <c r="F961" s="6" t="s">
        <v>4215</v>
      </c>
      <c r="G961" s="6" t="str">
        <f>"3177222102225208"</f>
        <v>3177222102225208</v>
      </c>
      <c r="H961" s="6">
        <v>3177222102225200</v>
      </c>
      <c r="I961" s="6" t="s">
        <v>4212</v>
      </c>
      <c r="J961" s="6" t="str">
        <f>"17 BELL SLEEVE TS"</f>
        <v>17 BELL SLEEVE TS</v>
      </c>
      <c r="K961" s="6">
        <v>0</v>
      </c>
      <c r="L961" s="6">
        <v>0</v>
      </c>
      <c r="M961" s="6">
        <v>0</v>
      </c>
      <c r="N961" s="6" t="str">
        <f>""</f>
        <v/>
      </c>
      <c r="O961" s="6">
        <v>32187</v>
      </c>
      <c r="P961" s="6" t="s">
        <v>4216</v>
      </c>
      <c r="R961" s="6" t="s">
        <v>3461</v>
      </c>
      <c r="S961" s="6" t="s">
        <v>4217</v>
      </c>
      <c r="T961" s="6">
        <v>0</v>
      </c>
      <c r="U961" s="6">
        <v>0</v>
      </c>
      <c r="V961" s="6">
        <v>0</v>
      </c>
      <c r="W961" s="6">
        <v>0</v>
      </c>
      <c r="X961" s="6" t="s">
        <v>169</v>
      </c>
      <c r="Z961" s="6" t="s">
        <v>170</v>
      </c>
      <c r="AA961" s="6" t="s">
        <v>171</v>
      </c>
      <c r="AB961" s="6">
        <v>0</v>
      </c>
      <c r="AC961" s="6" t="str">
        <f>""</f>
        <v/>
      </c>
      <c r="AS961" s="6">
        <v>0</v>
      </c>
      <c r="AT961" s="6">
        <v>0</v>
      </c>
    </row>
    <row r="962" spans="2:46">
      <c r="B962" s="6" t="s">
        <v>111</v>
      </c>
      <c r="D962" s="6" t="s">
        <v>3316</v>
      </c>
      <c r="F962" s="6" t="s">
        <v>4218</v>
      </c>
      <c r="G962" s="6" t="str">
        <f>"3177222102274208"</f>
        <v>3177222102274208</v>
      </c>
      <c r="H962" s="6">
        <v>3177222102274200</v>
      </c>
      <c r="I962" s="6" t="s">
        <v>4212</v>
      </c>
      <c r="J962" s="6" t="str">
        <f>"17 BELL SLEEVE TS"</f>
        <v>17 BELL SLEEVE TS</v>
      </c>
      <c r="K962" s="6">
        <v>0</v>
      </c>
      <c r="L962" s="6">
        <v>0</v>
      </c>
      <c r="M962" s="6">
        <v>0</v>
      </c>
      <c r="N962" s="6" t="str">
        <f>""</f>
        <v/>
      </c>
      <c r="O962" s="6">
        <v>32186</v>
      </c>
      <c r="P962" s="6" t="s">
        <v>4219</v>
      </c>
      <c r="R962" s="6" t="s">
        <v>3465</v>
      </c>
      <c r="S962" s="6" t="s">
        <v>4220</v>
      </c>
      <c r="T962" s="6">
        <v>0</v>
      </c>
      <c r="U962" s="6">
        <v>0</v>
      </c>
      <c r="V962" s="6">
        <v>0</v>
      </c>
      <c r="W962" s="6">
        <v>0</v>
      </c>
      <c r="X962" s="6" t="s">
        <v>169</v>
      </c>
      <c r="Z962" s="6" t="s">
        <v>170</v>
      </c>
      <c r="AA962" s="6" t="s">
        <v>171</v>
      </c>
      <c r="AB962" s="6">
        <v>0</v>
      </c>
      <c r="AC962" s="6" t="str">
        <f>""</f>
        <v/>
      </c>
      <c r="AS962" s="6">
        <v>0</v>
      </c>
      <c r="AT962" s="6">
        <v>0</v>
      </c>
    </row>
    <row r="963" spans="2:46">
      <c r="B963" s="6" t="s">
        <v>111</v>
      </c>
      <c r="D963" s="6" t="s">
        <v>3316</v>
      </c>
      <c r="F963" s="6" t="s">
        <v>4221</v>
      </c>
      <c r="G963" s="6" t="str">
        <f>"3177222104430208"</f>
        <v>3177222104430208</v>
      </c>
      <c r="H963" s="6">
        <v>3177222104430200</v>
      </c>
      <c r="I963" s="6" t="s">
        <v>55</v>
      </c>
      <c r="J963" s="6" t="str">
        <f>"17 S/T CROP TS"</f>
        <v>17 S/T CROP TS</v>
      </c>
      <c r="K963" s="6">
        <v>0</v>
      </c>
      <c r="L963" s="6">
        <v>0</v>
      </c>
      <c r="M963" s="6">
        <v>0</v>
      </c>
      <c r="N963" s="6" t="str">
        <f>""</f>
        <v/>
      </c>
      <c r="O963" s="6">
        <v>32184</v>
      </c>
      <c r="P963" s="6" t="s">
        <v>4222</v>
      </c>
      <c r="R963" s="6" t="s">
        <v>3470</v>
      </c>
      <c r="S963" s="6" t="s">
        <v>4223</v>
      </c>
      <c r="T963" s="6">
        <v>0</v>
      </c>
      <c r="U963" s="6">
        <v>0</v>
      </c>
      <c r="V963" s="6">
        <v>0</v>
      </c>
      <c r="W963" s="6">
        <v>0</v>
      </c>
      <c r="X963" s="6" t="s">
        <v>169</v>
      </c>
      <c r="Z963" s="6" t="s">
        <v>170</v>
      </c>
      <c r="AA963" s="6" t="s">
        <v>171</v>
      </c>
      <c r="AB963" s="6">
        <v>0</v>
      </c>
      <c r="AC963" s="6" t="str">
        <f>""</f>
        <v/>
      </c>
      <c r="AS963" s="6">
        <v>0</v>
      </c>
      <c r="AT963" s="6">
        <v>0</v>
      </c>
    </row>
    <row r="964" spans="2:46">
      <c r="B964" s="6" t="s">
        <v>111</v>
      </c>
      <c r="D964" s="6" t="s">
        <v>3316</v>
      </c>
      <c r="F964" s="6" t="s">
        <v>4224</v>
      </c>
      <c r="G964" s="6" t="str">
        <f>"3177222104425208"</f>
        <v>3177222104425208</v>
      </c>
      <c r="I964" s="6" t="s">
        <v>55</v>
      </c>
      <c r="J964" s="6" t="str">
        <f>"17 S/T CROP TS"</f>
        <v>17 S/T CROP TS</v>
      </c>
      <c r="K964" s="6">
        <v>0</v>
      </c>
      <c r="L964" s="6">
        <v>0</v>
      </c>
      <c r="M964" s="6">
        <v>0</v>
      </c>
      <c r="N964" s="6" t="str">
        <f>""</f>
        <v/>
      </c>
      <c r="O964" s="6">
        <v>32183</v>
      </c>
      <c r="P964" s="6" t="s">
        <v>54</v>
      </c>
      <c r="R964" s="6" t="s">
        <v>3461</v>
      </c>
      <c r="S964" s="6" t="s">
        <v>4225</v>
      </c>
      <c r="T964" s="6">
        <v>0</v>
      </c>
      <c r="U964" s="6">
        <v>0</v>
      </c>
      <c r="V964" s="6">
        <v>0</v>
      </c>
      <c r="W964" s="6">
        <v>0</v>
      </c>
      <c r="X964" s="6" t="s">
        <v>169</v>
      </c>
      <c r="Z964" s="6" t="s">
        <v>170</v>
      </c>
      <c r="AA964" s="6" t="s">
        <v>171</v>
      </c>
      <c r="AB964" s="6">
        <v>0</v>
      </c>
      <c r="AC964" s="6" t="str">
        <f>"KEY-024"</f>
        <v>KEY-024</v>
      </c>
      <c r="AQ964" s="6" t="str">
        <f>""</f>
        <v/>
      </c>
      <c r="AR964" s="6" t="s">
        <v>1472</v>
      </c>
      <c r="AS964" s="6">
        <v>0</v>
      </c>
      <c r="AT964" s="6">
        <v>0</v>
      </c>
    </row>
    <row r="965" spans="2:46">
      <c r="B965" s="6" t="s">
        <v>111</v>
      </c>
      <c r="D965" s="6" t="s">
        <v>3316</v>
      </c>
      <c r="F965" s="6" t="s">
        <v>4226</v>
      </c>
      <c r="G965" s="6" t="str">
        <f>"3177222104461208"</f>
        <v>3177222104461208</v>
      </c>
      <c r="I965" s="6" t="s">
        <v>55</v>
      </c>
      <c r="J965" s="6" t="str">
        <f>"17 S/T CROP TS"</f>
        <v>17 S/T CROP TS</v>
      </c>
      <c r="K965" s="6">
        <v>0</v>
      </c>
      <c r="L965" s="6">
        <v>0</v>
      </c>
      <c r="M965" s="6">
        <v>0</v>
      </c>
      <c r="N965" s="6" t="str">
        <f>""</f>
        <v/>
      </c>
      <c r="O965" s="6">
        <v>32182</v>
      </c>
      <c r="P965" s="6" t="s">
        <v>4227</v>
      </c>
      <c r="R965" s="6" t="s">
        <v>3545</v>
      </c>
      <c r="S965" s="6" t="s">
        <v>4228</v>
      </c>
      <c r="T965" s="6">
        <v>1</v>
      </c>
      <c r="U965" s="6">
        <v>0</v>
      </c>
      <c r="V965" s="6">
        <v>0</v>
      </c>
      <c r="W965" s="6">
        <v>0</v>
      </c>
      <c r="X965" s="6" t="s">
        <v>169</v>
      </c>
      <c r="Z965" s="6" t="s">
        <v>170</v>
      </c>
      <c r="AA965" s="6" t="s">
        <v>171</v>
      </c>
      <c r="AB965" s="6">
        <v>0</v>
      </c>
      <c r="AC965" s="6" t="str">
        <f>"KEY-022"</f>
        <v>KEY-022</v>
      </c>
      <c r="AQ965" s="6" t="str">
        <f>""</f>
        <v/>
      </c>
      <c r="AR965" s="6" t="s">
        <v>1567</v>
      </c>
      <c r="AS965" s="6">
        <v>0</v>
      </c>
      <c r="AT965" s="6">
        <v>1</v>
      </c>
    </row>
    <row r="966" spans="2:46">
      <c r="B966" s="6" t="s">
        <v>111</v>
      </c>
      <c r="D966" s="6" t="s">
        <v>3316</v>
      </c>
      <c r="F966" s="6" t="s">
        <v>4229</v>
      </c>
      <c r="G966" s="6" t="str">
        <f>"3177222104599208"</f>
        <v>3177222104599208</v>
      </c>
      <c r="I966" s="6" t="s">
        <v>4230</v>
      </c>
      <c r="J966" s="6" t="str">
        <f>"17 F-MOM MTM"</f>
        <v>17 F-MOM MTM</v>
      </c>
      <c r="K966" s="6">
        <v>0</v>
      </c>
      <c r="L966" s="6">
        <v>0</v>
      </c>
      <c r="M966" s="6">
        <v>0</v>
      </c>
      <c r="N966" s="6" t="str">
        <f>""</f>
        <v/>
      </c>
      <c r="O966" s="6">
        <v>32180</v>
      </c>
      <c r="P966" s="6" t="s">
        <v>4231</v>
      </c>
      <c r="R966" s="6" t="s">
        <v>3450</v>
      </c>
      <c r="S966" s="6" t="s">
        <v>4232</v>
      </c>
      <c r="T966" s="6">
        <v>1</v>
      </c>
      <c r="U966" s="6">
        <v>0</v>
      </c>
      <c r="V966" s="6">
        <v>0</v>
      </c>
      <c r="W966" s="6">
        <v>0</v>
      </c>
      <c r="X966" s="6" t="s">
        <v>169</v>
      </c>
      <c r="Z966" s="6" t="s">
        <v>170</v>
      </c>
      <c r="AA966" s="6" t="s">
        <v>171</v>
      </c>
      <c r="AB966" s="6">
        <v>0</v>
      </c>
      <c r="AC966" s="6" t="str">
        <f>"KEY-038"</f>
        <v>KEY-038</v>
      </c>
      <c r="AQ966" s="6" t="str">
        <f>""</f>
        <v/>
      </c>
      <c r="AR966" s="6" t="s">
        <v>1567</v>
      </c>
      <c r="AS966" s="6">
        <v>0</v>
      </c>
      <c r="AT966" s="6">
        <v>1</v>
      </c>
    </row>
    <row r="967" spans="2:46">
      <c r="B967" s="6" t="s">
        <v>111</v>
      </c>
      <c r="D967" s="6" t="s">
        <v>3316</v>
      </c>
      <c r="F967" s="6" t="s">
        <v>4233</v>
      </c>
      <c r="G967" s="6" t="str">
        <f>"3177222104525208"</f>
        <v>3177222104525208</v>
      </c>
      <c r="H967" s="6">
        <v>3177222104525200</v>
      </c>
      <c r="I967" s="6" t="s">
        <v>4230</v>
      </c>
      <c r="J967" s="6" t="str">
        <f>"17 F-MOM MTM"</f>
        <v>17 F-MOM MTM</v>
      </c>
      <c r="K967" s="6">
        <v>0</v>
      </c>
      <c r="L967" s="6">
        <v>0</v>
      </c>
      <c r="M967" s="6">
        <v>0</v>
      </c>
      <c r="N967" s="6" t="str">
        <f>""</f>
        <v/>
      </c>
      <c r="O967" s="6">
        <v>32179</v>
      </c>
      <c r="P967" s="6" t="s">
        <v>4234</v>
      </c>
      <c r="R967" s="6" t="s">
        <v>3461</v>
      </c>
      <c r="S967" s="6" t="s">
        <v>4235</v>
      </c>
      <c r="T967" s="6">
        <v>0</v>
      </c>
      <c r="U967" s="6">
        <v>0</v>
      </c>
      <c r="V967" s="6">
        <v>0</v>
      </c>
      <c r="W967" s="6">
        <v>0</v>
      </c>
      <c r="X967" s="6" t="s">
        <v>169</v>
      </c>
      <c r="Z967" s="6" t="s">
        <v>170</v>
      </c>
      <c r="AA967" s="6" t="s">
        <v>171</v>
      </c>
      <c r="AB967" s="6">
        <v>0</v>
      </c>
      <c r="AC967" s="6" t="str">
        <f>""</f>
        <v/>
      </c>
      <c r="AS967" s="6">
        <v>0</v>
      </c>
      <c r="AT967" s="6">
        <v>0</v>
      </c>
    </row>
    <row r="968" spans="2:46">
      <c r="B968" s="6" t="s">
        <v>111</v>
      </c>
      <c r="D968" s="6" t="s">
        <v>3316</v>
      </c>
      <c r="F968" s="6" t="s">
        <v>4236</v>
      </c>
      <c r="G968" s="6" t="str">
        <f>"3177222104562208"</f>
        <v>3177222104562208</v>
      </c>
      <c r="H968" s="6">
        <v>3177222104562200</v>
      </c>
      <c r="I968" s="6" t="s">
        <v>4230</v>
      </c>
      <c r="J968" s="6" t="str">
        <f>"17 F-MOM MTM"</f>
        <v>17 F-MOM MTM</v>
      </c>
      <c r="K968" s="6">
        <v>0</v>
      </c>
      <c r="L968" s="6">
        <v>0</v>
      </c>
      <c r="M968" s="6">
        <v>0</v>
      </c>
      <c r="N968" s="6" t="str">
        <f>""</f>
        <v/>
      </c>
      <c r="O968" s="6">
        <v>32178</v>
      </c>
      <c r="P968" s="6" t="s">
        <v>4237</v>
      </c>
      <c r="R968" s="6" t="s">
        <v>3517</v>
      </c>
      <c r="S968" s="6" t="s">
        <v>4238</v>
      </c>
      <c r="T968" s="6">
        <v>0</v>
      </c>
      <c r="U968" s="6">
        <v>0</v>
      </c>
      <c r="V968" s="6">
        <v>0</v>
      </c>
      <c r="W968" s="6">
        <v>0</v>
      </c>
      <c r="X968" s="6" t="s">
        <v>169</v>
      </c>
      <c r="Z968" s="6" t="s">
        <v>170</v>
      </c>
      <c r="AA968" s="6" t="s">
        <v>171</v>
      </c>
      <c r="AB968" s="6">
        <v>0</v>
      </c>
      <c r="AC968" s="6" t="str">
        <f>""</f>
        <v/>
      </c>
      <c r="AS968" s="6">
        <v>0</v>
      </c>
      <c r="AT968" s="6">
        <v>0</v>
      </c>
    </row>
    <row r="969" spans="2:46">
      <c r="B969" s="6" t="s">
        <v>111</v>
      </c>
      <c r="D969" s="6" t="s">
        <v>3316</v>
      </c>
      <c r="F969" s="6" t="s">
        <v>4239</v>
      </c>
      <c r="G969" s="6" t="str">
        <f>"3177222104830208"</f>
        <v>3177222104830208</v>
      </c>
      <c r="H969" s="6">
        <v>3177222104830200</v>
      </c>
      <c r="I969" s="6" t="s">
        <v>4240</v>
      </c>
      <c r="J969" s="6" t="str">
        <f>"17 3SECTION TS"</f>
        <v>17 3SECTION TS</v>
      </c>
      <c r="K969" s="6">
        <v>0</v>
      </c>
      <c r="L969" s="6">
        <v>0</v>
      </c>
      <c r="M969" s="6">
        <v>0</v>
      </c>
      <c r="N969" s="6" t="str">
        <f>""</f>
        <v/>
      </c>
      <c r="O969" s="6">
        <v>32176</v>
      </c>
      <c r="P969" s="6" t="s">
        <v>4241</v>
      </c>
      <c r="R969" s="6" t="s">
        <v>3470</v>
      </c>
      <c r="S969" s="6" t="s">
        <v>4242</v>
      </c>
      <c r="T969" s="6">
        <v>0</v>
      </c>
      <c r="U969" s="6">
        <v>0</v>
      </c>
      <c r="V969" s="6">
        <v>0</v>
      </c>
      <c r="W969" s="6">
        <v>0</v>
      </c>
      <c r="X969" s="6" t="s">
        <v>169</v>
      </c>
      <c r="Z969" s="6" t="s">
        <v>170</v>
      </c>
      <c r="AA969" s="6" t="s">
        <v>171</v>
      </c>
      <c r="AB969" s="6">
        <v>0</v>
      </c>
      <c r="AC969" s="6" t="str">
        <f>""</f>
        <v/>
      </c>
      <c r="AS969" s="6">
        <v>0</v>
      </c>
      <c r="AT969" s="6">
        <v>0</v>
      </c>
    </row>
    <row r="970" spans="2:46">
      <c r="B970" s="6" t="s">
        <v>111</v>
      </c>
      <c r="D970" s="6" t="s">
        <v>3316</v>
      </c>
      <c r="F970" s="6" t="s">
        <v>4243</v>
      </c>
      <c r="G970" s="6" t="str">
        <f>"3177222104869208"</f>
        <v>3177222104869208</v>
      </c>
      <c r="H970" s="6">
        <v>3177222104869200</v>
      </c>
      <c r="I970" s="6" t="s">
        <v>4240</v>
      </c>
      <c r="J970" s="6" t="str">
        <f>"17 3SECTION TS"</f>
        <v>17 3SECTION TS</v>
      </c>
      <c r="K970" s="6">
        <v>0</v>
      </c>
      <c r="L970" s="6">
        <v>0</v>
      </c>
      <c r="M970" s="6">
        <v>0</v>
      </c>
      <c r="N970" s="6" t="str">
        <f>""</f>
        <v/>
      </c>
      <c r="O970" s="6">
        <v>32175</v>
      </c>
      <c r="P970" s="6" t="s">
        <v>4244</v>
      </c>
      <c r="R970" s="6" t="s">
        <v>3481</v>
      </c>
      <c r="S970" s="6" t="s">
        <v>4245</v>
      </c>
      <c r="T970" s="6">
        <v>0</v>
      </c>
      <c r="U970" s="6">
        <v>0</v>
      </c>
      <c r="V970" s="6">
        <v>0</v>
      </c>
      <c r="W970" s="6">
        <v>0</v>
      </c>
      <c r="X970" s="6" t="s">
        <v>169</v>
      </c>
      <c r="Z970" s="6" t="s">
        <v>170</v>
      </c>
      <c r="AA970" s="6" t="s">
        <v>171</v>
      </c>
      <c r="AB970" s="6">
        <v>0</v>
      </c>
      <c r="AC970" s="6" t="str">
        <f>""</f>
        <v/>
      </c>
      <c r="AS970" s="6">
        <v>0</v>
      </c>
      <c r="AT970" s="6">
        <v>0</v>
      </c>
    </row>
    <row r="971" spans="2:46">
      <c r="B971" s="6" t="s">
        <v>111</v>
      </c>
      <c r="D971" s="6" t="s">
        <v>3316</v>
      </c>
      <c r="F971" s="6" t="s">
        <v>4246</v>
      </c>
      <c r="G971" s="6" t="str">
        <f>"3177222102130208"</f>
        <v>3177222102130208</v>
      </c>
      <c r="I971" s="6" t="s">
        <v>4247</v>
      </c>
      <c r="J971" s="6" t="str">
        <f>"17 LINE M MTM"</f>
        <v>17 LINE M MTM</v>
      </c>
      <c r="K971" s="6">
        <v>0</v>
      </c>
      <c r="L971" s="6">
        <v>0</v>
      </c>
      <c r="M971" s="6">
        <v>0</v>
      </c>
      <c r="N971" s="6" t="str">
        <f>""</f>
        <v/>
      </c>
      <c r="O971" s="6">
        <v>32173</v>
      </c>
      <c r="P971" s="6" t="s">
        <v>4248</v>
      </c>
      <c r="R971" s="6" t="s">
        <v>3470</v>
      </c>
      <c r="S971" s="6" t="s">
        <v>4249</v>
      </c>
      <c r="T971" s="6">
        <v>1</v>
      </c>
      <c r="U971" s="6">
        <v>0</v>
      </c>
      <c r="V971" s="6">
        <v>0</v>
      </c>
      <c r="W971" s="6">
        <v>0</v>
      </c>
      <c r="X971" s="6" t="s">
        <v>169</v>
      </c>
      <c r="Z971" s="6" t="s">
        <v>170</v>
      </c>
      <c r="AA971" s="6" t="s">
        <v>171</v>
      </c>
      <c r="AB971" s="6">
        <v>0</v>
      </c>
      <c r="AC971" s="6" t="str">
        <f>"KEY-038"</f>
        <v>KEY-038</v>
      </c>
      <c r="AQ971" s="6" t="str">
        <f>""</f>
        <v/>
      </c>
      <c r="AR971" s="6" t="s">
        <v>1567</v>
      </c>
      <c r="AS971" s="6">
        <v>0</v>
      </c>
      <c r="AT971" s="6">
        <v>1</v>
      </c>
    </row>
    <row r="972" spans="2:46">
      <c r="B972" s="6" t="s">
        <v>111</v>
      </c>
      <c r="D972" s="6" t="s">
        <v>3316</v>
      </c>
      <c r="F972" s="6" t="s">
        <v>4250</v>
      </c>
      <c r="G972" s="6" t="str">
        <f>"3177222102169208"</f>
        <v>3177222102169208</v>
      </c>
      <c r="H972" s="6">
        <v>3177222102169200</v>
      </c>
      <c r="I972" s="6" t="s">
        <v>4247</v>
      </c>
      <c r="J972" s="6" t="str">
        <f>"17 LINE M MTM"</f>
        <v>17 LINE M MTM</v>
      </c>
      <c r="K972" s="6">
        <v>0</v>
      </c>
      <c r="L972" s="6">
        <v>0</v>
      </c>
      <c r="M972" s="6">
        <v>0</v>
      </c>
      <c r="N972" s="6" t="str">
        <f>""</f>
        <v/>
      </c>
      <c r="O972" s="6">
        <v>32172</v>
      </c>
      <c r="P972" s="6" t="s">
        <v>4251</v>
      </c>
      <c r="R972" s="6" t="s">
        <v>3481</v>
      </c>
      <c r="S972" s="6" t="s">
        <v>4252</v>
      </c>
      <c r="T972" s="6">
        <v>0</v>
      </c>
      <c r="U972" s="6">
        <v>0</v>
      </c>
      <c r="V972" s="6">
        <v>0</v>
      </c>
      <c r="W972" s="6">
        <v>0</v>
      </c>
      <c r="X972" s="6" t="s">
        <v>169</v>
      </c>
      <c r="Z972" s="6" t="s">
        <v>170</v>
      </c>
      <c r="AA972" s="6" t="s">
        <v>171</v>
      </c>
      <c r="AB972" s="6">
        <v>0</v>
      </c>
      <c r="AC972" s="6" t="str">
        <f>""</f>
        <v/>
      </c>
      <c r="AS972" s="6">
        <v>0</v>
      </c>
      <c r="AT972" s="6">
        <v>0</v>
      </c>
    </row>
    <row r="973" spans="2:46">
      <c r="B973" s="6" t="s">
        <v>111</v>
      </c>
      <c r="D973" s="6" t="s">
        <v>3316</v>
      </c>
      <c r="F973" s="6" t="s">
        <v>4253</v>
      </c>
      <c r="G973" s="6" t="str">
        <f>"3177222104930208"</f>
        <v>3177222104930208</v>
      </c>
      <c r="H973" s="6">
        <v>3177222104930200</v>
      </c>
      <c r="I973" s="6" t="s">
        <v>4254</v>
      </c>
      <c r="J973" s="6" t="str">
        <f>"17 BIAS CROP TS"</f>
        <v>17 BIAS CROP TS</v>
      </c>
      <c r="K973" s="6">
        <v>0</v>
      </c>
      <c r="L973" s="6">
        <v>0</v>
      </c>
      <c r="M973" s="6">
        <v>0</v>
      </c>
      <c r="N973" s="6" t="str">
        <f>""</f>
        <v/>
      </c>
      <c r="O973" s="6">
        <v>32170</v>
      </c>
      <c r="P973" s="6" t="s">
        <v>4255</v>
      </c>
      <c r="R973" s="6" t="s">
        <v>3470</v>
      </c>
      <c r="S973" s="6" t="s">
        <v>4256</v>
      </c>
      <c r="T973" s="6">
        <v>0</v>
      </c>
      <c r="U973" s="6">
        <v>0</v>
      </c>
      <c r="V973" s="6">
        <v>0</v>
      </c>
      <c r="W973" s="6">
        <v>0</v>
      </c>
      <c r="X973" s="6" t="s">
        <v>169</v>
      </c>
      <c r="Z973" s="6" t="s">
        <v>170</v>
      </c>
      <c r="AA973" s="6" t="s">
        <v>171</v>
      </c>
      <c r="AB973" s="6">
        <v>0</v>
      </c>
      <c r="AC973" s="6" t="str">
        <f>""</f>
        <v/>
      </c>
      <c r="AS973" s="6">
        <v>0</v>
      </c>
      <c r="AT973" s="6">
        <v>0</v>
      </c>
    </row>
    <row r="974" spans="2:46">
      <c r="B974" s="6" t="s">
        <v>111</v>
      </c>
      <c r="D974" s="6" t="s">
        <v>3316</v>
      </c>
      <c r="F974" s="6" t="s">
        <v>4257</v>
      </c>
      <c r="G974" s="6" t="str">
        <f>"3177222104901208"</f>
        <v>3177222104901208</v>
      </c>
      <c r="I974" s="6" t="s">
        <v>4254</v>
      </c>
      <c r="J974" s="6" t="str">
        <f>"17 BIAS CROP TS"</f>
        <v>17 BIAS CROP TS</v>
      </c>
      <c r="K974" s="6">
        <v>0</v>
      </c>
      <c r="L974" s="6">
        <v>0</v>
      </c>
      <c r="M974" s="6">
        <v>0</v>
      </c>
      <c r="N974" s="6" t="str">
        <f>""</f>
        <v/>
      </c>
      <c r="O974" s="6">
        <v>32169</v>
      </c>
      <c r="P974" s="6" t="s">
        <v>4258</v>
      </c>
      <c r="R974" s="6" t="s">
        <v>3445</v>
      </c>
      <c r="S974" s="6" t="s">
        <v>4259</v>
      </c>
      <c r="T974" s="6">
        <v>1</v>
      </c>
      <c r="U974" s="6">
        <v>0</v>
      </c>
      <c r="V974" s="6">
        <v>0</v>
      </c>
      <c r="W974" s="6">
        <v>0</v>
      </c>
      <c r="X974" s="6" t="s">
        <v>169</v>
      </c>
      <c r="Z974" s="6" t="s">
        <v>170</v>
      </c>
      <c r="AA974" s="6" t="s">
        <v>171</v>
      </c>
      <c r="AB974" s="6">
        <v>0</v>
      </c>
      <c r="AC974" s="6" t="str">
        <f>"KEY-039"</f>
        <v>KEY-039</v>
      </c>
      <c r="AQ974" s="6" t="str">
        <f>""</f>
        <v/>
      </c>
      <c r="AR974" s="6" t="s">
        <v>1567</v>
      </c>
      <c r="AS974" s="6">
        <v>0</v>
      </c>
      <c r="AT974" s="6">
        <v>1</v>
      </c>
    </row>
    <row r="975" spans="2:46">
      <c r="B975" s="6" t="s">
        <v>111</v>
      </c>
      <c r="D975" s="6" t="s">
        <v>3316</v>
      </c>
      <c r="F975" s="6" t="s">
        <v>4260</v>
      </c>
      <c r="G975" s="6" t="str">
        <f>"3177222104699208"</f>
        <v>3177222104699208</v>
      </c>
      <c r="H975" s="6">
        <v>3177222104699200</v>
      </c>
      <c r="I975" s="6" t="s">
        <v>4261</v>
      </c>
      <c r="J975" s="6" t="str">
        <f>"17 POCKET MTM"</f>
        <v>17 POCKET MTM</v>
      </c>
      <c r="K975" s="6">
        <v>0</v>
      </c>
      <c r="L975" s="6">
        <v>0</v>
      </c>
      <c r="M975" s="6">
        <v>0</v>
      </c>
      <c r="N975" s="6" t="str">
        <f>""</f>
        <v/>
      </c>
      <c r="O975" s="6">
        <v>32167</v>
      </c>
      <c r="P975" s="6" t="s">
        <v>4262</v>
      </c>
      <c r="R975" s="6" t="s">
        <v>3450</v>
      </c>
      <c r="S975" s="6" t="s">
        <v>4263</v>
      </c>
      <c r="T975" s="6">
        <v>0</v>
      </c>
      <c r="U975" s="6">
        <v>0</v>
      </c>
      <c r="V975" s="6">
        <v>0</v>
      </c>
      <c r="W975" s="6">
        <v>0</v>
      </c>
      <c r="X975" s="6" t="s">
        <v>169</v>
      </c>
      <c r="Z975" s="6" t="s">
        <v>170</v>
      </c>
      <c r="AA975" s="6" t="s">
        <v>171</v>
      </c>
      <c r="AB975" s="6">
        <v>0</v>
      </c>
      <c r="AC975" s="6" t="str">
        <f>""</f>
        <v/>
      </c>
      <c r="AS975" s="6">
        <v>0</v>
      </c>
      <c r="AT975" s="6">
        <v>0</v>
      </c>
    </row>
    <row r="976" spans="2:46">
      <c r="B976" s="6" t="s">
        <v>111</v>
      </c>
      <c r="D976" s="6" t="s">
        <v>3316</v>
      </c>
      <c r="F976" s="6" t="s">
        <v>4264</v>
      </c>
      <c r="G976" s="6" t="str">
        <f>"3177222104641208"</f>
        <v>3177222104641208</v>
      </c>
      <c r="I976" s="6" t="s">
        <v>4261</v>
      </c>
      <c r="J976" s="6" t="str">
        <f>"17 POCKET MTM"</f>
        <v>17 POCKET MTM</v>
      </c>
      <c r="K976" s="6">
        <v>0</v>
      </c>
      <c r="L976" s="6">
        <v>0</v>
      </c>
      <c r="M976" s="6">
        <v>0</v>
      </c>
      <c r="N976" s="6" t="str">
        <f>""</f>
        <v/>
      </c>
      <c r="O976" s="6">
        <v>32166</v>
      </c>
      <c r="P976" s="6" t="s">
        <v>4265</v>
      </c>
      <c r="R976" s="6" t="s">
        <v>4266</v>
      </c>
      <c r="S976" s="6" t="s">
        <v>4267</v>
      </c>
      <c r="T976" s="6">
        <v>1</v>
      </c>
      <c r="U976" s="6">
        <v>0</v>
      </c>
      <c r="V976" s="6">
        <v>0</v>
      </c>
      <c r="W976" s="6">
        <v>0</v>
      </c>
      <c r="X976" s="6" t="s">
        <v>169</v>
      </c>
      <c r="Z976" s="6" t="s">
        <v>170</v>
      </c>
      <c r="AA976" s="6" t="s">
        <v>171</v>
      </c>
      <c r="AB976" s="6">
        <v>0</v>
      </c>
      <c r="AC976" s="6" t="str">
        <f>"KEY-008"</f>
        <v>KEY-008</v>
      </c>
      <c r="AQ976" s="6" t="str">
        <f>""</f>
        <v/>
      </c>
      <c r="AR976" s="6" t="s">
        <v>1584</v>
      </c>
      <c r="AS976" s="6">
        <v>0</v>
      </c>
      <c r="AT976" s="6">
        <v>1</v>
      </c>
    </row>
    <row r="977" spans="2:46">
      <c r="B977" s="6" t="s">
        <v>111</v>
      </c>
      <c r="D977" s="6" t="s">
        <v>3316</v>
      </c>
      <c r="F977" s="6" t="s">
        <v>4268</v>
      </c>
      <c r="G977" s="6" t="str">
        <f>"3177222104399208"</f>
        <v>3177222104399208</v>
      </c>
      <c r="H977" s="6">
        <v>3177222104399200</v>
      </c>
      <c r="I977" s="6" t="s">
        <v>4269</v>
      </c>
      <c r="J977" s="6" t="str">
        <f>"17 BASIC S/T TS"</f>
        <v>17 BASIC S/T TS</v>
      </c>
      <c r="K977" s="6">
        <v>0</v>
      </c>
      <c r="L977" s="6">
        <v>0</v>
      </c>
      <c r="M977" s="6">
        <v>0</v>
      </c>
      <c r="N977" s="6" t="str">
        <f>""</f>
        <v/>
      </c>
      <c r="O977" s="6">
        <v>32164</v>
      </c>
      <c r="P977" s="6" t="s">
        <v>4270</v>
      </c>
      <c r="R977" s="6" t="s">
        <v>3450</v>
      </c>
      <c r="S977" s="6" t="s">
        <v>4271</v>
      </c>
      <c r="T977" s="6">
        <v>0</v>
      </c>
      <c r="U977" s="6">
        <v>0</v>
      </c>
      <c r="V977" s="6">
        <v>0</v>
      </c>
      <c r="W977" s="6">
        <v>0</v>
      </c>
      <c r="X977" s="6" t="s">
        <v>169</v>
      </c>
      <c r="Z977" s="6" t="s">
        <v>170</v>
      </c>
      <c r="AA977" s="6" t="s">
        <v>171</v>
      </c>
      <c r="AB977" s="6">
        <v>0</v>
      </c>
      <c r="AC977" s="6" t="str">
        <f>""</f>
        <v/>
      </c>
      <c r="AS977" s="6">
        <v>0</v>
      </c>
      <c r="AT977" s="6">
        <v>0</v>
      </c>
    </row>
    <row r="978" spans="2:46">
      <c r="B978" s="6" t="s">
        <v>111</v>
      </c>
      <c r="D978" s="6" t="s">
        <v>3316</v>
      </c>
      <c r="F978" s="6" t="s">
        <v>4272</v>
      </c>
      <c r="G978" s="6" t="str">
        <f>"3177222104361208"</f>
        <v>3177222104361208</v>
      </c>
      <c r="H978" s="6">
        <v>3177222104361200</v>
      </c>
      <c r="I978" s="6" t="s">
        <v>4269</v>
      </c>
      <c r="J978" s="6" t="str">
        <f>"17 BASIC S/T TS"</f>
        <v>17 BASIC S/T TS</v>
      </c>
      <c r="K978" s="6">
        <v>0</v>
      </c>
      <c r="L978" s="6">
        <v>0</v>
      </c>
      <c r="M978" s="6">
        <v>0</v>
      </c>
      <c r="N978" s="6" t="str">
        <f>""</f>
        <v/>
      </c>
      <c r="O978" s="6">
        <v>32163</v>
      </c>
      <c r="P978" s="6" t="s">
        <v>4273</v>
      </c>
      <c r="R978" s="6" t="s">
        <v>3545</v>
      </c>
      <c r="S978" s="6" t="s">
        <v>4274</v>
      </c>
      <c r="T978" s="6">
        <v>0</v>
      </c>
      <c r="U978" s="6">
        <v>0</v>
      </c>
      <c r="V978" s="6">
        <v>0</v>
      </c>
      <c r="W978" s="6">
        <v>0</v>
      </c>
      <c r="X978" s="6" t="s">
        <v>169</v>
      </c>
      <c r="Z978" s="6" t="s">
        <v>170</v>
      </c>
      <c r="AA978" s="6" t="s">
        <v>171</v>
      </c>
      <c r="AB978" s="6">
        <v>0</v>
      </c>
      <c r="AC978" s="6" t="str">
        <f>""</f>
        <v/>
      </c>
      <c r="AS978" s="6">
        <v>0</v>
      </c>
      <c r="AT978" s="6">
        <v>0</v>
      </c>
    </row>
    <row r="979" spans="2:46">
      <c r="B979" s="6" t="s">
        <v>111</v>
      </c>
      <c r="D979" s="6" t="s">
        <v>3316</v>
      </c>
      <c r="F979" s="6" t="s">
        <v>4275</v>
      </c>
      <c r="G979" s="6" t="str">
        <f>"3177222104345208"</f>
        <v>3177222104345208</v>
      </c>
      <c r="I979" s="6" t="s">
        <v>4269</v>
      </c>
      <c r="J979" s="6" t="str">
        <f>"17 BASIC S/T TS"</f>
        <v>17 BASIC S/T TS</v>
      </c>
      <c r="K979" s="6">
        <v>0</v>
      </c>
      <c r="L979" s="6">
        <v>0</v>
      </c>
      <c r="M979" s="6">
        <v>0</v>
      </c>
      <c r="N979" s="6" t="str">
        <f>""</f>
        <v/>
      </c>
      <c r="O979" s="6">
        <v>32162</v>
      </c>
      <c r="P979" s="6" t="s">
        <v>4276</v>
      </c>
      <c r="R979" s="6" t="s">
        <v>3441</v>
      </c>
      <c r="S979" s="6" t="s">
        <v>4277</v>
      </c>
      <c r="T979" s="6">
        <v>1</v>
      </c>
      <c r="U979" s="6">
        <v>0</v>
      </c>
      <c r="V979" s="6">
        <v>0</v>
      </c>
      <c r="W979" s="6">
        <v>0</v>
      </c>
      <c r="X979" s="6" t="s">
        <v>169</v>
      </c>
      <c r="Z979" s="6" t="s">
        <v>170</v>
      </c>
      <c r="AA979" s="6" t="s">
        <v>171</v>
      </c>
      <c r="AB979" s="6">
        <v>0</v>
      </c>
      <c r="AC979" s="6" t="str">
        <f>"KEY-038"</f>
        <v>KEY-038</v>
      </c>
      <c r="AQ979" s="6" t="str">
        <f>""</f>
        <v/>
      </c>
      <c r="AR979" s="6" t="s">
        <v>1567</v>
      </c>
      <c r="AS979" s="6">
        <v>0</v>
      </c>
      <c r="AT979" s="6">
        <v>1</v>
      </c>
    </row>
    <row r="980" spans="2:46">
      <c r="B980" s="6" t="s">
        <v>111</v>
      </c>
      <c r="D980" s="6" t="s">
        <v>3316</v>
      </c>
      <c r="F980" s="6" t="s">
        <v>4278</v>
      </c>
      <c r="G980" s="6" t="str">
        <f>"3177222104725208"</f>
        <v>3177222104725208</v>
      </c>
      <c r="H980" s="6">
        <v>3177222104725200</v>
      </c>
      <c r="I980" s="6" t="s">
        <v>4279</v>
      </c>
      <c r="J980" s="6" t="str">
        <f>"17 COLOR MTM"</f>
        <v>17 COLOR MTM</v>
      </c>
      <c r="K980" s="6">
        <v>0</v>
      </c>
      <c r="L980" s="6">
        <v>0</v>
      </c>
      <c r="M980" s="6">
        <v>0</v>
      </c>
      <c r="N980" s="6" t="str">
        <f>""</f>
        <v/>
      </c>
      <c r="O980" s="6">
        <v>32160</v>
      </c>
      <c r="P980" s="6" t="s">
        <v>4280</v>
      </c>
      <c r="R980" s="6" t="s">
        <v>3461</v>
      </c>
      <c r="S980" s="6" t="s">
        <v>4281</v>
      </c>
      <c r="T980" s="6">
        <v>0</v>
      </c>
      <c r="U980" s="6">
        <v>0</v>
      </c>
      <c r="V980" s="6">
        <v>0</v>
      </c>
      <c r="W980" s="6">
        <v>0</v>
      </c>
      <c r="X980" s="6" t="s">
        <v>169</v>
      </c>
      <c r="Z980" s="6" t="s">
        <v>170</v>
      </c>
      <c r="AA980" s="6" t="s">
        <v>171</v>
      </c>
      <c r="AB980" s="6">
        <v>0</v>
      </c>
      <c r="AC980" s="6" t="str">
        <f>""</f>
        <v/>
      </c>
      <c r="AS980" s="6">
        <v>0</v>
      </c>
      <c r="AT980" s="6">
        <v>0</v>
      </c>
    </row>
    <row r="981" spans="2:46">
      <c r="B981" s="6" t="s">
        <v>111</v>
      </c>
      <c r="D981" s="6" t="s">
        <v>3316</v>
      </c>
      <c r="F981" s="6" t="s">
        <v>4282</v>
      </c>
      <c r="G981" s="6" t="str">
        <f>"3177222104761208"</f>
        <v>3177222104761208</v>
      </c>
      <c r="H981" s="6">
        <v>3177222104761200</v>
      </c>
      <c r="I981" s="6" t="s">
        <v>4279</v>
      </c>
      <c r="J981" s="6" t="str">
        <f>"17 COLOR MTM"</f>
        <v>17 COLOR MTM</v>
      </c>
      <c r="K981" s="6">
        <v>0</v>
      </c>
      <c r="L981" s="6">
        <v>0</v>
      </c>
      <c r="M981" s="6">
        <v>0</v>
      </c>
      <c r="N981" s="6" t="str">
        <f>""</f>
        <v/>
      </c>
      <c r="O981" s="6">
        <v>32159</v>
      </c>
      <c r="P981" s="6" t="s">
        <v>4283</v>
      </c>
      <c r="R981" s="6" t="s">
        <v>3545</v>
      </c>
      <c r="S981" s="6" t="s">
        <v>4284</v>
      </c>
      <c r="T981" s="6">
        <v>0</v>
      </c>
      <c r="U981" s="6">
        <v>0</v>
      </c>
      <c r="V981" s="6">
        <v>0</v>
      </c>
      <c r="W981" s="6">
        <v>0</v>
      </c>
      <c r="X981" s="6" t="s">
        <v>169</v>
      </c>
      <c r="Z981" s="6" t="s">
        <v>170</v>
      </c>
      <c r="AA981" s="6" t="s">
        <v>171</v>
      </c>
      <c r="AB981" s="6">
        <v>0</v>
      </c>
      <c r="AC981" s="6" t="str">
        <f>""</f>
        <v/>
      </c>
      <c r="AS981" s="6">
        <v>0</v>
      </c>
      <c r="AT981" s="6">
        <v>0</v>
      </c>
    </row>
    <row r="982" spans="2:46">
      <c r="B982" s="6" t="s">
        <v>111</v>
      </c>
      <c r="D982" s="6" t="s">
        <v>3316</v>
      </c>
      <c r="F982" s="6" t="s">
        <v>4285</v>
      </c>
      <c r="G982" s="6" t="str">
        <f>"3177112101275120"</f>
        <v>3177112101275120</v>
      </c>
      <c r="H982" s="6">
        <v>3177112101275120</v>
      </c>
      <c r="I982" s="6" t="s">
        <v>4286</v>
      </c>
      <c r="J982" s="6" t="str">
        <f>"17 WING TRENCH"</f>
        <v>17 WING TRENCH</v>
      </c>
      <c r="K982" s="6">
        <v>0</v>
      </c>
      <c r="L982" s="6">
        <v>0</v>
      </c>
      <c r="M982" s="6">
        <v>0</v>
      </c>
      <c r="N982" s="6" t="str">
        <f>""</f>
        <v/>
      </c>
      <c r="O982" s="6">
        <v>32157</v>
      </c>
      <c r="P982" s="6" t="s">
        <v>4287</v>
      </c>
      <c r="R982" s="6" t="s">
        <v>3436</v>
      </c>
      <c r="S982" s="6" t="s">
        <v>4288</v>
      </c>
      <c r="T982" s="6">
        <v>0</v>
      </c>
      <c r="U982" s="6">
        <v>0</v>
      </c>
      <c r="V982" s="6">
        <v>0</v>
      </c>
      <c r="W982" s="6">
        <v>0</v>
      </c>
      <c r="X982" s="6" t="s">
        <v>169</v>
      </c>
      <c r="Z982" s="6" t="s">
        <v>170</v>
      </c>
      <c r="AA982" s="6" t="s">
        <v>171</v>
      </c>
      <c r="AB982" s="6">
        <v>0</v>
      </c>
      <c r="AC982" s="6" t="str">
        <f>""</f>
        <v/>
      </c>
      <c r="AS982" s="6">
        <v>0</v>
      </c>
      <c r="AT982" s="6">
        <v>0</v>
      </c>
    </row>
    <row r="983" spans="2:46">
      <c r="B983" s="6" t="s">
        <v>111</v>
      </c>
      <c r="D983" s="6" t="s">
        <v>3316</v>
      </c>
      <c r="F983" s="6" t="s">
        <v>4289</v>
      </c>
      <c r="G983" s="6" t="str">
        <f>"3177132103599120"</f>
        <v>3177132103599120</v>
      </c>
      <c r="H983" s="6">
        <v>3177132103599120</v>
      </c>
      <c r="I983" s="6" t="s">
        <v>4290</v>
      </c>
      <c r="J983" s="6" t="str">
        <f>"17 JC FRILL JK"</f>
        <v>17 JC FRILL JK</v>
      </c>
      <c r="K983" s="6">
        <v>0</v>
      </c>
      <c r="L983" s="6">
        <v>0</v>
      </c>
      <c r="M983" s="6">
        <v>0</v>
      </c>
      <c r="N983" s="6" t="str">
        <f>""</f>
        <v/>
      </c>
      <c r="O983" s="6">
        <v>32155</v>
      </c>
      <c r="P983" s="6" t="s">
        <v>4291</v>
      </c>
      <c r="R983" s="6" t="s">
        <v>3450</v>
      </c>
      <c r="S983" s="6" t="s">
        <v>4292</v>
      </c>
      <c r="T983" s="6">
        <v>0</v>
      </c>
      <c r="U983" s="6">
        <v>0</v>
      </c>
      <c r="V983" s="6">
        <v>0</v>
      </c>
      <c r="W983" s="6">
        <v>0</v>
      </c>
      <c r="X983" s="6" t="s">
        <v>169</v>
      </c>
      <c r="Z983" s="6" t="s">
        <v>170</v>
      </c>
      <c r="AA983" s="6" t="s">
        <v>171</v>
      </c>
      <c r="AB983" s="6">
        <v>0</v>
      </c>
      <c r="AC983" s="6" t="str">
        <f>""</f>
        <v/>
      </c>
      <c r="AS983" s="6">
        <v>0</v>
      </c>
      <c r="AT983" s="6">
        <v>0</v>
      </c>
    </row>
    <row r="984" spans="2:46">
      <c r="B984" s="6" t="s">
        <v>111</v>
      </c>
      <c r="D984" s="6" t="s">
        <v>3316</v>
      </c>
      <c r="F984" s="6" t="s">
        <v>4293</v>
      </c>
      <c r="G984" s="6" t="str">
        <f>"3177132103501120"</f>
        <v>3177132103501120</v>
      </c>
      <c r="H984" s="6">
        <v>3177132103501120</v>
      </c>
      <c r="I984" s="6" t="s">
        <v>4290</v>
      </c>
      <c r="J984" s="6" t="str">
        <f>"17 JC FRILL JK"</f>
        <v>17 JC FRILL JK</v>
      </c>
      <c r="K984" s="6">
        <v>0</v>
      </c>
      <c r="L984" s="6">
        <v>0</v>
      </c>
      <c r="M984" s="6">
        <v>0</v>
      </c>
      <c r="N984" s="6" t="str">
        <f>""</f>
        <v/>
      </c>
      <c r="O984" s="6">
        <v>32154</v>
      </c>
      <c r="P984" s="6" t="s">
        <v>4294</v>
      </c>
      <c r="R984" s="6" t="s">
        <v>3445</v>
      </c>
      <c r="S984" s="6" t="s">
        <v>4295</v>
      </c>
      <c r="T984" s="6">
        <v>0</v>
      </c>
      <c r="U984" s="6">
        <v>0</v>
      </c>
      <c r="V984" s="6">
        <v>0</v>
      </c>
      <c r="W984" s="6">
        <v>0</v>
      </c>
      <c r="X984" s="6" t="s">
        <v>169</v>
      </c>
      <c r="Z984" s="6" t="s">
        <v>170</v>
      </c>
      <c r="AA984" s="6" t="s">
        <v>171</v>
      </c>
      <c r="AB984" s="6">
        <v>0</v>
      </c>
      <c r="AC984" s="6" t="str">
        <f>""</f>
        <v/>
      </c>
      <c r="AS984" s="6">
        <v>0</v>
      </c>
      <c r="AT984" s="6">
        <v>0</v>
      </c>
    </row>
    <row r="985" spans="2:46">
      <c r="B985" s="6" t="s">
        <v>111</v>
      </c>
      <c r="D985" s="6" t="s">
        <v>3316</v>
      </c>
      <c r="F985" s="6" t="s">
        <v>4296</v>
      </c>
      <c r="G985" s="6" t="str">
        <f>"3177524202699120"</f>
        <v>3177524202699120</v>
      </c>
      <c r="I985" s="6" t="s">
        <v>4297</v>
      </c>
      <c r="J985" s="6" t="str">
        <f>"17 B CAP"</f>
        <v>17 B CAP</v>
      </c>
      <c r="K985" s="6">
        <v>0</v>
      </c>
      <c r="L985" s="6">
        <v>0</v>
      </c>
      <c r="M985" s="6">
        <v>0</v>
      </c>
      <c r="N985" s="6" t="str">
        <f>""</f>
        <v/>
      </c>
      <c r="O985" s="6">
        <v>32152</v>
      </c>
      <c r="P985" s="6" t="s">
        <v>4298</v>
      </c>
      <c r="R985" s="6" t="s">
        <v>2106</v>
      </c>
      <c r="S985" s="6" t="s">
        <v>4299</v>
      </c>
      <c r="T985" s="6">
        <v>1</v>
      </c>
      <c r="U985" s="6">
        <v>0</v>
      </c>
      <c r="V985" s="6">
        <v>0</v>
      </c>
      <c r="W985" s="6">
        <v>0</v>
      </c>
      <c r="X985" s="6" t="s">
        <v>169</v>
      </c>
      <c r="Z985" s="6" t="s">
        <v>170</v>
      </c>
      <c r="AA985" s="6" t="s">
        <v>171</v>
      </c>
      <c r="AB985" s="6">
        <v>0</v>
      </c>
      <c r="AC985" s="6" t="str">
        <f>"KEY-053"</f>
        <v>KEY-053</v>
      </c>
      <c r="AQ985" s="6" t="str">
        <f>""</f>
        <v/>
      </c>
      <c r="AR985" s="6" t="s">
        <v>1567</v>
      </c>
      <c r="AS985" s="6">
        <v>0</v>
      </c>
      <c r="AT985" s="6">
        <v>1</v>
      </c>
    </row>
    <row r="986" spans="2:46">
      <c r="B986" s="6" t="s">
        <v>111</v>
      </c>
      <c r="D986" s="6" t="s">
        <v>3316</v>
      </c>
      <c r="F986" s="6" t="s">
        <v>4300</v>
      </c>
      <c r="G986" s="6" t="str">
        <f>"3177524202695120"</f>
        <v>3177524202695120</v>
      </c>
      <c r="H986" s="6">
        <v>3177524202695120</v>
      </c>
      <c r="I986" s="6" t="s">
        <v>4297</v>
      </c>
      <c r="J986" s="6" t="str">
        <f>"17 B CAP"</f>
        <v>17 B CAP</v>
      </c>
      <c r="K986" s="6">
        <v>0</v>
      </c>
      <c r="L986" s="6">
        <v>0</v>
      </c>
      <c r="M986" s="6">
        <v>0</v>
      </c>
      <c r="N986" s="6" t="str">
        <f>""</f>
        <v/>
      </c>
      <c r="O986" s="6">
        <v>32151</v>
      </c>
      <c r="P986" s="6" t="s">
        <v>4301</v>
      </c>
      <c r="R986" s="6" t="s">
        <v>2187</v>
      </c>
      <c r="S986" s="6" t="s">
        <v>4302</v>
      </c>
      <c r="T986" s="6">
        <v>0</v>
      </c>
      <c r="U986" s="6">
        <v>0</v>
      </c>
      <c r="V986" s="6">
        <v>0</v>
      </c>
      <c r="W986" s="6">
        <v>0</v>
      </c>
      <c r="X986" s="6" t="s">
        <v>169</v>
      </c>
      <c r="Z986" s="6" t="s">
        <v>170</v>
      </c>
      <c r="AA986" s="6" t="s">
        <v>171</v>
      </c>
      <c r="AB986" s="6">
        <v>0</v>
      </c>
      <c r="AC986" s="6" t="str">
        <f>""</f>
        <v/>
      </c>
      <c r="AS986" s="6">
        <v>0</v>
      </c>
      <c r="AT986" s="6">
        <v>0</v>
      </c>
    </row>
    <row r="987" spans="2:46">
      <c r="B987" s="6" t="s">
        <v>111</v>
      </c>
      <c r="D987" s="6" t="s">
        <v>3316</v>
      </c>
      <c r="F987" s="6" t="s">
        <v>4303</v>
      </c>
      <c r="G987" s="6" t="str">
        <f>"3177524202691120"</f>
        <v>3177524202691120</v>
      </c>
      <c r="I987" s="6" t="s">
        <v>4297</v>
      </c>
      <c r="J987" s="6" t="str">
        <f>"17 B CAP"</f>
        <v>17 B CAP</v>
      </c>
      <c r="K987" s="6">
        <v>0</v>
      </c>
      <c r="L987" s="6">
        <v>0</v>
      </c>
      <c r="M987" s="6">
        <v>0</v>
      </c>
      <c r="N987" s="6" t="str">
        <f>""</f>
        <v/>
      </c>
      <c r="O987" s="6">
        <v>32150</v>
      </c>
      <c r="P987" s="6" t="s">
        <v>4304</v>
      </c>
      <c r="R987" s="6" t="s">
        <v>2167</v>
      </c>
      <c r="S987" s="6" t="s">
        <v>4305</v>
      </c>
      <c r="T987" s="6">
        <v>1</v>
      </c>
      <c r="U987" s="6">
        <v>0</v>
      </c>
      <c r="V987" s="6">
        <v>0</v>
      </c>
      <c r="W987" s="6">
        <v>0</v>
      </c>
      <c r="X987" s="6" t="s">
        <v>169</v>
      </c>
      <c r="Z987" s="6" t="s">
        <v>170</v>
      </c>
      <c r="AA987" s="6" t="s">
        <v>171</v>
      </c>
      <c r="AB987" s="6">
        <v>0</v>
      </c>
      <c r="AC987" s="6" t="str">
        <f>"KEY-053"</f>
        <v>KEY-053</v>
      </c>
      <c r="AQ987" s="6" t="str">
        <f>""</f>
        <v/>
      </c>
      <c r="AR987" s="6" t="s">
        <v>1567</v>
      </c>
      <c r="AS987" s="6">
        <v>0</v>
      </c>
      <c r="AT987" s="6">
        <v>1</v>
      </c>
    </row>
    <row r="988" spans="2:46">
      <c r="B988" s="6" t="s">
        <v>111</v>
      </c>
      <c r="D988" s="6" t="s">
        <v>3316</v>
      </c>
      <c r="F988" s="6" t="s">
        <v>4306</v>
      </c>
      <c r="G988" s="6" t="str">
        <f>"3177554200499120"</f>
        <v>3177554200499120</v>
      </c>
      <c r="H988" s="6">
        <v>3177554200499120</v>
      </c>
      <c r="I988" s="6" t="s">
        <v>4307</v>
      </c>
      <c r="J988" s="6" t="str">
        <f>"17 DUAL MUFFLER"</f>
        <v>17 DUAL MUFFLER</v>
      </c>
      <c r="K988" s="6">
        <v>0</v>
      </c>
      <c r="L988" s="6">
        <v>0</v>
      </c>
      <c r="M988" s="6">
        <v>0</v>
      </c>
      <c r="N988" s="6" t="str">
        <f>""</f>
        <v/>
      </c>
      <c r="O988" s="6">
        <v>32148</v>
      </c>
      <c r="P988" s="6" t="s">
        <v>4308</v>
      </c>
      <c r="R988" s="6" t="s">
        <v>2106</v>
      </c>
      <c r="S988" s="6" t="s">
        <v>4309</v>
      </c>
      <c r="T988" s="6">
        <v>0</v>
      </c>
      <c r="U988" s="6">
        <v>0</v>
      </c>
      <c r="V988" s="6">
        <v>0</v>
      </c>
      <c r="W988" s="6">
        <v>0</v>
      </c>
      <c r="X988" s="6" t="s">
        <v>169</v>
      </c>
      <c r="Z988" s="6" t="s">
        <v>170</v>
      </c>
      <c r="AA988" s="6" t="s">
        <v>171</v>
      </c>
      <c r="AB988" s="6">
        <v>0</v>
      </c>
      <c r="AC988" s="6" t="str">
        <f>""</f>
        <v/>
      </c>
      <c r="AS988" s="6">
        <v>0</v>
      </c>
      <c r="AT988" s="6">
        <v>0</v>
      </c>
    </row>
    <row r="989" spans="2:46">
      <c r="B989" s="6" t="s">
        <v>111</v>
      </c>
      <c r="D989" s="6" t="s">
        <v>3316</v>
      </c>
      <c r="F989" s="6" t="s">
        <v>4310</v>
      </c>
      <c r="G989" s="6" t="str">
        <f>"3177554200465120"</f>
        <v>3177554200465120</v>
      </c>
      <c r="H989" s="6">
        <v>3177554200465120</v>
      </c>
      <c r="I989" s="6" t="s">
        <v>4307</v>
      </c>
      <c r="J989" s="6" t="str">
        <f>"17 DUAL MUFFLER"</f>
        <v>17 DUAL MUFFLER</v>
      </c>
      <c r="K989" s="6">
        <v>0</v>
      </c>
      <c r="L989" s="6">
        <v>0</v>
      </c>
      <c r="M989" s="6">
        <v>0</v>
      </c>
      <c r="N989" s="6" t="str">
        <f>""</f>
        <v/>
      </c>
      <c r="O989" s="6">
        <v>32147</v>
      </c>
      <c r="P989" s="6" t="s">
        <v>4311</v>
      </c>
      <c r="R989" s="6" t="s">
        <v>2570</v>
      </c>
      <c r="S989" s="6" t="s">
        <v>4312</v>
      </c>
      <c r="T989" s="6">
        <v>0</v>
      </c>
      <c r="U989" s="6">
        <v>0</v>
      </c>
      <c r="V989" s="6">
        <v>0</v>
      </c>
      <c r="W989" s="6">
        <v>0</v>
      </c>
      <c r="X989" s="6" t="s">
        <v>169</v>
      </c>
      <c r="Z989" s="6" t="s">
        <v>170</v>
      </c>
      <c r="AA989" s="6" t="s">
        <v>171</v>
      </c>
      <c r="AB989" s="6">
        <v>0</v>
      </c>
      <c r="AC989" s="6" t="str">
        <f>""</f>
        <v/>
      </c>
      <c r="AS989" s="6">
        <v>0</v>
      </c>
      <c r="AT989" s="6">
        <v>0</v>
      </c>
    </row>
    <row r="990" spans="2:46">
      <c r="B990" s="6" t="s">
        <v>111</v>
      </c>
      <c r="D990" s="6" t="s">
        <v>3316</v>
      </c>
      <c r="F990" s="6" t="s">
        <v>4313</v>
      </c>
      <c r="G990" s="6" t="str">
        <f>"3177554200474120"</f>
        <v>3177554200474120</v>
      </c>
      <c r="H990" s="6">
        <v>3177554200474120</v>
      </c>
      <c r="I990" s="6" t="s">
        <v>4307</v>
      </c>
      <c r="J990" s="6" t="str">
        <f>"17 DUAL MUFFLER"</f>
        <v>17 DUAL MUFFLER</v>
      </c>
      <c r="K990" s="6">
        <v>0</v>
      </c>
      <c r="L990" s="6">
        <v>0</v>
      </c>
      <c r="M990" s="6">
        <v>0</v>
      </c>
      <c r="N990" s="6" t="str">
        <f>""</f>
        <v/>
      </c>
      <c r="O990" s="6">
        <v>32146</v>
      </c>
      <c r="P990" s="6" t="s">
        <v>4314</v>
      </c>
      <c r="R990" s="6" t="s">
        <v>2102</v>
      </c>
      <c r="S990" s="6" t="s">
        <v>4315</v>
      </c>
      <c r="T990" s="6">
        <v>0</v>
      </c>
      <c r="U990" s="6">
        <v>0</v>
      </c>
      <c r="V990" s="6">
        <v>0</v>
      </c>
      <c r="W990" s="6">
        <v>0</v>
      </c>
      <c r="X990" s="6" t="s">
        <v>169</v>
      </c>
      <c r="Z990" s="6" t="s">
        <v>170</v>
      </c>
      <c r="AA990" s="6" t="s">
        <v>171</v>
      </c>
      <c r="AB990" s="6">
        <v>0</v>
      </c>
      <c r="AC990" s="6" t="str">
        <f>""</f>
        <v/>
      </c>
      <c r="AS990" s="6">
        <v>0</v>
      </c>
      <c r="AT990" s="6">
        <v>0</v>
      </c>
    </row>
    <row r="991" spans="2:46">
      <c r="B991" s="6" t="s">
        <v>111</v>
      </c>
      <c r="D991" s="6" t="s">
        <v>3316</v>
      </c>
      <c r="F991" s="6" t="s">
        <v>4316</v>
      </c>
      <c r="G991" s="6" t="str">
        <f>"3177554200599120"</f>
        <v>3177554200599120</v>
      </c>
      <c r="I991" s="6" t="s">
        <v>4317</v>
      </c>
      <c r="J991" s="6" t="str">
        <f>"17 CDR MUFFLER"</f>
        <v>17 CDR MUFFLER</v>
      </c>
      <c r="K991" s="6">
        <v>0</v>
      </c>
      <c r="L991" s="6">
        <v>0</v>
      </c>
      <c r="M991" s="6">
        <v>0</v>
      </c>
      <c r="N991" s="6" t="str">
        <f>""</f>
        <v/>
      </c>
      <c r="O991" s="6">
        <v>32144</v>
      </c>
      <c r="P991" s="6" t="s">
        <v>4318</v>
      </c>
      <c r="R991" s="6" t="s">
        <v>2106</v>
      </c>
      <c r="S991" s="6" t="s">
        <v>4319</v>
      </c>
      <c r="T991" s="6">
        <v>2</v>
      </c>
      <c r="U991" s="6">
        <v>0</v>
      </c>
      <c r="V991" s="6">
        <v>0</v>
      </c>
      <c r="W991" s="6">
        <v>0</v>
      </c>
      <c r="X991" s="6" t="s">
        <v>169</v>
      </c>
      <c r="Z991" s="6" t="s">
        <v>170</v>
      </c>
      <c r="AA991" s="6" t="s">
        <v>171</v>
      </c>
      <c r="AB991" s="6">
        <v>0</v>
      </c>
      <c r="AC991" s="6" t="str">
        <f>"KEY-043"</f>
        <v>KEY-043</v>
      </c>
      <c r="AQ991" s="6" t="str">
        <f>""</f>
        <v/>
      </c>
      <c r="AR991" s="6" t="s">
        <v>1567</v>
      </c>
      <c r="AS991" s="6">
        <v>0</v>
      </c>
      <c r="AT991" s="6">
        <v>2</v>
      </c>
    </row>
    <row r="992" spans="2:46">
      <c r="B992" s="6" t="s">
        <v>111</v>
      </c>
      <c r="D992" s="6" t="s">
        <v>3316</v>
      </c>
      <c r="F992" s="6" t="s">
        <v>4320</v>
      </c>
      <c r="G992" s="6" t="str">
        <f>"3177554200561120"</f>
        <v>3177554200561120</v>
      </c>
      <c r="H992" s="6">
        <v>3177554200561120</v>
      </c>
      <c r="I992" s="6" t="s">
        <v>4317</v>
      </c>
      <c r="J992" s="6" t="str">
        <f>"17 CDR MUFFLER"</f>
        <v>17 CDR MUFFLER</v>
      </c>
      <c r="K992" s="6">
        <v>0</v>
      </c>
      <c r="L992" s="6">
        <v>0</v>
      </c>
      <c r="M992" s="6">
        <v>0</v>
      </c>
      <c r="N992" s="6" t="str">
        <f>""</f>
        <v/>
      </c>
      <c r="O992" s="6">
        <v>32143</v>
      </c>
      <c r="P992" s="6" t="s">
        <v>4321</v>
      </c>
      <c r="R992" s="6" t="s">
        <v>2309</v>
      </c>
      <c r="S992" s="6" t="s">
        <v>4322</v>
      </c>
      <c r="T992" s="6">
        <v>0</v>
      </c>
      <c r="U992" s="6">
        <v>0</v>
      </c>
      <c r="V992" s="6">
        <v>0</v>
      </c>
      <c r="W992" s="6">
        <v>0</v>
      </c>
      <c r="X992" s="6" t="s">
        <v>169</v>
      </c>
      <c r="Z992" s="6" t="s">
        <v>170</v>
      </c>
      <c r="AA992" s="6" t="s">
        <v>171</v>
      </c>
      <c r="AB992" s="6">
        <v>0</v>
      </c>
      <c r="AC992" s="6" t="str">
        <f>""</f>
        <v/>
      </c>
      <c r="AS992" s="6">
        <v>0</v>
      </c>
      <c r="AT992" s="6">
        <v>0</v>
      </c>
    </row>
    <row r="993" spans="2:46">
      <c r="B993" s="6" t="s">
        <v>111</v>
      </c>
      <c r="D993" s="6" t="s">
        <v>3316</v>
      </c>
      <c r="F993" s="6" t="s">
        <v>4323</v>
      </c>
      <c r="G993" s="6" t="str">
        <f>"3177554200574120"</f>
        <v>3177554200574120</v>
      </c>
      <c r="I993" s="6" t="s">
        <v>4317</v>
      </c>
      <c r="J993" s="6" t="str">
        <f>"17 CDR MUFFLER"</f>
        <v>17 CDR MUFFLER</v>
      </c>
      <c r="K993" s="6">
        <v>0</v>
      </c>
      <c r="L993" s="6">
        <v>0</v>
      </c>
      <c r="M993" s="6">
        <v>0</v>
      </c>
      <c r="N993" s="6" t="str">
        <f>""</f>
        <v/>
      </c>
      <c r="O993" s="6">
        <v>32142</v>
      </c>
      <c r="P993" s="6" t="s">
        <v>4324</v>
      </c>
      <c r="R993" s="6" t="s">
        <v>2102</v>
      </c>
      <c r="S993" s="6" t="s">
        <v>4325</v>
      </c>
      <c r="T993" s="6">
        <v>1</v>
      </c>
      <c r="U993" s="6">
        <v>0</v>
      </c>
      <c r="V993" s="6">
        <v>0</v>
      </c>
      <c r="W993" s="6">
        <v>0</v>
      </c>
      <c r="X993" s="6" t="s">
        <v>169</v>
      </c>
      <c r="Z993" s="6" t="s">
        <v>170</v>
      </c>
      <c r="AA993" s="6" t="s">
        <v>171</v>
      </c>
      <c r="AB993" s="6">
        <v>0</v>
      </c>
      <c r="AC993" s="6" t="str">
        <f>"KEY-048"</f>
        <v>KEY-048</v>
      </c>
      <c r="AQ993" s="6" t="str">
        <f>""</f>
        <v/>
      </c>
      <c r="AR993" s="6" t="s">
        <v>1567</v>
      </c>
      <c r="AS993" s="6">
        <v>0</v>
      </c>
      <c r="AT993" s="6">
        <v>1</v>
      </c>
    </row>
    <row r="994" spans="2:46">
      <c r="B994" s="6" t="s">
        <v>111</v>
      </c>
      <c r="D994" s="6" t="s">
        <v>3316</v>
      </c>
      <c r="F994" s="6" t="s">
        <v>4326</v>
      </c>
      <c r="G994" s="6" t="str">
        <f>"3177544200199120"</f>
        <v>3177544200199120</v>
      </c>
      <c r="H994" s="6">
        <v>3177544200199120</v>
      </c>
      <c r="I994" s="6" t="s">
        <v>4327</v>
      </c>
      <c r="J994" s="6" t="str">
        <f>"17 TAPPING BELT"</f>
        <v>17 TAPPING BELT</v>
      </c>
      <c r="K994" s="6">
        <v>0</v>
      </c>
      <c r="L994" s="6">
        <v>0</v>
      </c>
      <c r="M994" s="6">
        <v>0</v>
      </c>
      <c r="N994" s="6" t="str">
        <f>""</f>
        <v/>
      </c>
      <c r="O994" s="6">
        <v>32140</v>
      </c>
      <c r="P994" s="6" t="s">
        <v>4328</v>
      </c>
      <c r="R994" s="6" t="s">
        <v>2106</v>
      </c>
      <c r="S994" s="6" t="s">
        <v>4329</v>
      </c>
      <c r="T994" s="6">
        <v>0</v>
      </c>
      <c r="U994" s="6">
        <v>0</v>
      </c>
      <c r="V994" s="6">
        <v>0</v>
      </c>
      <c r="W994" s="6">
        <v>0</v>
      </c>
      <c r="X994" s="6" t="s">
        <v>169</v>
      </c>
      <c r="Z994" s="6" t="s">
        <v>170</v>
      </c>
      <c r="AA994" s="6" t="s">
        <v>171</v>
      </c>
      <c r="AB994" s="6">
        <v>0</v>
      </c>
      <c r="AC994" s="6" t="str">
        <f>""</f>
        <v/>
      </c>
      <c r="AS994" s="6">
        <v>0</v>
      </c>
      <c r="AT994" s="6">
        <v>0</v>
      </c>
    </row>
    <row r="995" spans="2:46">
      <c r="B995" s="6" t="s">
        <v>111</v>
      </c>
      <c r="D995" s="6" t="s">
        <v>3316</v>
      </c>
      <c r="F995" s="6" t="s">
        <v>4330</v>
      </c>
      <c r="G995" s="6" t="str">
        <f>"3177544200145120"</f>
        <v>3177544200145120</v>
      </c>
      <c r="H995" s="6">
        <v>3177544200145120</v>
      </c>
      <c r="I995" s="6" t="s">
        <v>4327</v>
      </c>
      <c r="J995" s="6" t="str">
        <f>"17 TAPPING BELT"</f>
        <v>17 TAPPING BELT</v>
      </c>
      <c r="K995" s="6">
        <v>0</v>
      </c>
      <c r="L995" s="6">
        <v>0</v>
      </c>
      <c r="M995" s="6">
        <v>0</v>
      </c>
      <c r="N995" s="6" t="str">
        <f>""</f>
        <v/>
      </c>
      <c r="O995" s="6">
        <v>32139</v>
      </c>
      <c r="P995" s="6" t="s">
        <v>4331</v>
      </c>
      <c r="R995" s="6" t="s">
        <v>2512</v>
      </c>
      <c r="S995" s="6" t="s">
        <v>4332</v>
      </c>
      <c r="T995" s="6">
        <v>0</v>
      </c>
      <c r="U995" s="6">
        <v>0</v>
      </c>
      <c r="V995" s="6">
        <v>0</v>
      </c>
      <c r="W995" s="6">
        <v>0</v>
      </c>
      <c r="X995" s="6" t="s">
        <v>169</v>
      </c>
      <c r="Z995" s="6" t="s">
        <v>170</v>
      </c>
      <c r="AA995" s="6" t="s">
        <v>171</v>
      </c>
      <c r="AB995" s="6">
        <v>0</v>
      </c>
      <c r="AC995" s="6" t="str">
        <f>""</f>
        <v/>
      </c>
      <c r="AS995" s="6">
        <v>0</v>
      </c>
      <c r="AT995" s="6">
        <v>0</v>
      </c>
    </row>
    <row r="996" spans="2:46">
      <c r="B996" s="6" t="s">
        <v>111</v>
      </c>
      <c r="D996" s="6" t="s">
        <v>3316</v>
      </c>
      <c r="F996" s="6" t="s">
        <v>4333</v>
      </c>
      <c r="G996" s="6" t="str">
        <f>"3177524202599120"</f>
        <v>3177524202599120</v>
      </c>
      <c r="H996" s="6">
        <v>3177524202599120</v>
      </c>
      <c r="I996" s="6" t="s">
        <v>4334</v>
      </c>
      <c r="J996" s="6" t="str">
        <f>"17 BOWLS CAP"</f>
        <v>17 BOWLS CAP</v>
      </c>
      <c r="K996" s="6">
        <v>0</v>
      </c>
      <c r="L996" s="6">
        <v>0</v>
      </c>
      <c r="M996" s="6">
        <v>0</v>
      </c>
      <c r="N996" s="6" t="str">
        <f>""</f>
        <v/>
      </c>
      <c r="O996" s="6">
        <v>32137</v>
      </c>
      <c r="P996" s="6" t="s">
        <v>4335</v>
      </c>
      <c r="R996" s="6" t="s">
        <v>2106</v>
      </c>
      <c r="S996" s="6" t="s">
        <v>4336</v>
      </c>
      <c r="T996" s="6">
        <v>0</v>
      </c>
      <c r="U996" s="6">
        <v>0</v>
      </c>
      <c r="V996" s="6">
        <v>0</v>
      </c>
      <c r="W996" s="6">
        <v>0</v>
      </c>
      <c r="X996" s="6" t="s">
        <v>169</v>
      </c>
      <c r="Z996" s="6" t="s">
        <v>170</v>
      </c>
      <c r="AA996" s="6" t="s">
        <v>171</v>
      </c>
      <c r="AB996" s="6">
        <v>0</v>
      </c>
      <c r="AC996" s="6" t="str">
        <f>""</f>
        <v/>
      </c>
      <c r="AS996" s="6">
        <v>0</v>
      </c>
      <c r="AT996" s="6">
        <v>0</v>
      </c>
    </row>
    <row r="997" spans="2:46">
      <c r="B997" s="6" t="s">
        <v>111</v>
      </c>
      <c r="D997" s="6" t="s">
        <v>3316</v>
      </c>
      <c r="F997" s="6" t="s">
        <v>4337</v>
      </c>
      <c r="G997" s="6" t="str">
        <f>"3177524202574120"</f>
        <v>3177524202574120</v>
      </c>
      <c r="H997" s="6">
        <v>3177524202574120</v>
      </c>
      <c r="I997" s="6" t="s">
        <v>4334</v>
      </c>
      <c r="J997" s="6" t="str">
        <f>"17 BOWLS CAP"</f>
        <v>17 BOWLS CAP</v>
      </c>
      <c r="K997" s="6">
        <v>0</v>
      </c>
      <c r="L997" s="6">
        <v>0</v>
      </c>
      <c r="M997" s="6">
        <v>0</v>
      </c>
      <c r="N997" s="6" t="str">
        <f>""</f>
        <v/>
      </c>
      <c r="O997" s="6">
        <v>32136</v>
      </c>
      <c r="P997" s="6" t="s">
        <v>4338</v>
      </c>
      <c r="R997" s="6" t="s">
        <v>2102</v>
      </c>
      <c r="S997" s="6" t="s">
        <v>4339</v>
      </c>
      <c r="T997" s="6">
        <v>0</v>
      </c>
      <c r="U997" s="6">
        <v>0</v>
      </c>
      <c r="V997" s="6">
        <v>0</v>
      </c>
      <c r="W997" s="6">
        <v>0</v>
      </c>
      <c r="X997" s="6" t="s">
        <v>169</v>
      </c>
      <c r="Z997" s="6" t="s">
        <v>170</v>
      </c>
      <c r="AA997" s="6" t="s">
        <v>171</v>
      </c>
      <c r="AB997" s="6">
        <v>0</v>
      </c>
      <c r="AC997" s="6" t="str">
        <f>""</f>
        <v/>
      </c>
      <c r="AS997" s="6">
        <v>0</v>
      </c>
      <c r="AT997" s="6">
        <v>0</v>
      </c>
    </row>
    <row r="998" spans="2:46">
      <c r="B998" s="6" t="s">
        <v>111</v>
      </c>
      <c r="D998" s="6" t="s">
        <v>3316</v>
      </c>
      <c r="F998" s="6" t="s">
        <v>4340</v>
      </c>
      <c r="G998" s="6" t="str">
        <f>"3177524202591120"</f>
        <v>3177524202591120</v>
      </c>
      <c r="I998" s="6" t="s">
        <v>4334</v>
      </c>
      <c r="J998" s="6" t="str">
        <f>"17 BOWLS CAP"</f>
        <v>17 BOWLS CAP</v>
      </c>
      <c r="K998" s="6">
        <v>0</v>
      </c>
      <c r="L998" s="6">
        <v>0</v>
      </c>
      <c r="M998" s="6">
        <v>0</v>
      </c>
      <c r="N998" s="6" t="str">
        <f>""</f>
        <v/>
      </c>
      <c r="O998" s="6">
        <v>32135</v>
      </c>
      <c r="P998" s="6" t="s">
        <v>4341</v>
      </c>
      <c r="R998" s="6" t="s">
        <v>2167</v>
      </c>
      <c r="S998" s="6" t="s">
        <v>4342</v>
      </c>
      <c r="T998" s="6">
        <v>1</v>
      </c>
      <c r="U998" s="6">
        <v>0</v>
      </c>
      <c r="V998" s="6">
        <v>0</v>
      </c>
      <c r="W998" s="6">
        <v>0</v>
      </c>
      <c r="X998" s="6" t="s">
        <v>169</v>
      </c>
      <c r="Z998" s="6" t="s">
        <v>170</v>
      </c>
      <c r="AA998" s="6" t="s">
        <v>171</v>
      </c>
      <c r="AB998" s="6">
        <v>0</v>
      </c>
      <c r="AC998" s="6" t="str">
        <f>"KEY-012"</f>
        <v>KEY-012</v>
      </c>
      <c r="AQ998" s="6" t="str">
        <f>""</f>
        <v/>
      </c>
      <c r="AR998" s="6" t="s">
        <v>1584</v>
      </c>
      <c r="AS998" s="6">
        <v>0</v>
      </c>
      <c r="AT998" s="6">
        <v>1</v>
      </c>
    </row>
    <row r="999" spans="2:46">
      <c r="B999" s="6" t="s">
        <v>111</v>
      </c>
      <c r="D999" s="6" t="s">
        <v>3316</v>
      </c>
      <c r="F999" s="6" t="s">
        <v>4343</v>
      </c>
      <c r="G999" s="6" t="str">
        <f>"3177544200299120"</f>
        <v>3177544200299120</v>
      </c>
      <c r="H999" s="6">
        <v>3177544200299120</v>
      </c>
      <c r="I999" s="6" t="s">
        <v>4344</v>
      </c>
      <c r="J999" s="6" t="str">
        <f>"17 SB BELT"</f>
        <v>17 SB BELT</v>
      </c>
      <c r="K999" s="6">
        <v>0</v>
      </c>
      <c r="L999" s="6">
        <v>0</v>
      </c>
      <c r="M999" s="6">
        <v>0</v>
      </c>
      <c r="N999" s="6" t="str">
        <f>""</f>
        <v/>
      </c>
      <c r="O999" s="6">
        <v>32133</v>
      </c>
      <c r="P999" s="6" t="s">
        <v>4345</v>
      </c>
      <c r="R999" s="6" t="s">
        <v>2106</v>
      </c>
      <c r="S999" s="6" t="s">
        <v>4346</v>
      </c>
      <c r="T999" s="6">
        <v>0</v>
      </c>
      <c r="U999" s="6">
        <v>0</v>
      </c>
      <c r="V999" s="6">
        <v>0</v>
      </c>
      <c r="W999" s="6">
        <v>0</v>
      </c>
      <c r="X999" s="6" t="s">
        <v>169</v>
      </c>
      <c r="Z999" s="6" t="s">
        <v>170</v>
      </c>
      <c r="AA999" s="6" t="s">
        <v>171</v>
      </c>
      <c r="AB999" s="6">
        <v>0</v>
      </c>
      <c r="AC999" s="6" t="str">
        <f>""</f>
        <v/>
      </c>
      <c r="AS999" s="6">
        <v>0</v>
      </c>
      <c r="AT999" s="6">
        <v>0</v>
      </c>
    </row>
    <row r="1000" spans="2:46">
      <c r="B1000" s="6" t="s">
        <v>111</v>
      </c>
      <c r="D1000" s="6" t="s">
        <v>3316</v>
      </c>
      <c r="F1000" s="6" t="s">
        <v>4347</v>
      </c>
      <c r="G1000" s="6" t="str">
        <f>"3177544200225120"</f>
        <v>3177544200225120</v>
      </c>
      <c r="H1000" s="6">
        <v>3177544200225120</v>
      </c>
      <c r="I1000" s="6" t="s">
        <v>4344</v>
      </c>
      <c r="J1000" s="6" t="str">
        <f>"17 SB BELT"</f>
        <v>17 SB BELT</v>
      </c>
      <c r="K1000" s="6">
        <v>0</v>
      </c>
      <c r="L1000" s="6">
        <v>0</v>
      </c>
      <c r="M1000" s="6">
        <v>0</v>
      </c>
      <c r="N1000" s="6" t="str">
        <f>""</f>
        <v/>
      </c>
      <c r="O1000" s="6">
        <v>32132</v>
      </c>
      <c r="P1000" s="6" t="s">
        <v>4348</v>
      </c>
      <c r="R1000" s="6" t="s">
        <v>2175</v>
      </c>
      <c r="S1000" s="6" t="s">
        <v>4349</v>
      </c>
      <c r="T1000" s="6">
        <v>0</v>
      </c>
      <c r="U1000" s="6">
        <v>0</v>
      </c>
      <c r="V1000" s="6">
        <v>0</v>
      </c>
      <c r="W1000" s="6">
        <v>0</v>
      </c>
      <c r="X1000" s="6" t="s">
        <v>169</v>
      </c>
      <c r="Z1000" s="6" t="s">
        <v>170</v>
      </c>
      <c r="AA1000" s="6" t="s">
        <v>171</v>
      </c>
      <c r="AB1000" s="6">
        <v>0</v>
      </c>
      <c r="AC1000" s="6" t="str">
        <f>""</f>
        <v/>
      </c>
      <c r="AS1000" s="6">
        <v>0</v>
      </c>
      <c r="AT1000" s="6">
        <v>0</v>
      </c>
    </row>
    <row r="1001" spans="2:46">
      <c r="B1001" s="6" t="s">
        <v>111</v>
      </c>
      <c r="D1001" s="6" t="s">
        <v>3316</v>
      </c>
      <c r="F1001" s="6" t="s">
        <v>4350</v>
      </c>
      <c r="G1001" s="6" t="str">
        <f>"3177332102461320"</f>
        <v>3177332102461320</v>
      </c>
      <c r="I1001" s="6" t="s">
        <v>4351</v>
      </c>
      <c r="J1001" s="6" t="str">
        <f>"17 VC SK"</f>
        <v>17 VC SK</v>
      </c>
      <c r="K1001" s="6">
        <v>0</v>
      </c>
      <c r="L1001" s="6">
        <v>0</v>
      </c>
      <c r="M1001" s="6">
        <v>0</v>
      </c>
      <c r="N1001" s="6" t="str">
        <f>""</f>
        <v/>
      </c>
      <c r="O1001" s="6">
        <v>32130</v>
      </c>
      <c r="P1001" s="6" t="s">
        <v>4352</v>
      </c>
      <c r="R1001" s="6" t="s">
        <v>2309</v>
      </c>
      <c r="S1001" s="6" t="s">
        <v>4353</v>
      </c>
      <c r="T1001" s="6">
        <v>1</v>
      </c>
      <c r="U1001" s="6">
        <v>0</v>
      </c>
      <c r="V1001" s="6">
        <v>0</v>
      </c>
      <c r="W1001" s="6">
        <v>0</v>
      </c>
      <c r="X1001" s="6" t="s">
        <v>169</v>
      </c>
      <c r="Z1001" s="6" t="s">
        <v>170</v>
      </c>
      <c r="AA1001" s="6" t="s">
        <v>171</v>
      </c>
      <c r="AB1001" s="6">
        <v>0</v>
      </c>
      <c r="AC1001" s="6" t="str">
        <f>"KEY-047"</f>
        <v>KEY-047</v>
      </c>
      <c r="AQ1001" s="6" t="str">
        <f>""</f>
        <v/>
      </c>
      <c r="AR1001" s="6" t="s">
        <v>1567</v>
      </c>
      <c r="AS1001" s="6">
        <v>0</v>
      </c>
      <c r="AT1001" s="6">
        <v>1</v>
      </c>
    </row>
    <row r="1002" spans="2:46">
      <c r="B1002" s="6" t="s">
        <v>111</v>
      </c>
      <c r="D1002" s="6" t="s">
        <v>3316</v>
      </c>
      <c r="F1002" s="6" t="s">
        <v>4354</v>
      </c>
      <c r="G1002" s="6" t="str">
        <f>"3177332102445320"</f>
        <v>3177332102445320</v>
      </c>
      <c r="I1002" s="6" t="s">
        <v>4351</v>
      </c>
      <c r="J1002" s="6" t="str">
        <f>"17 VC SK"</f>
        <v>17 VC SK</v>
      </c>
      <c r="K1002" s="6">
        <v>0</v>
      </c>
      <c r="L1002" s="6">
        <v>0</v>
      </c>
      <c r="M1002" s="6">
        <v>0</v>
      </c>
      <c r="N1002" s="6" t="str">
        <f>""</f>
        <v/>
      </c>
      <c r="O1002" s="6">
        <v>32129</v>
      </c>
      <c r="P1002" s="6" t="s">
        <v>4355</v>
      </c>
      <c r="R1002" s="6" t="s">
        <v>2512</v>
      </c>
      <c r="S1002" s="6" t="s">
        <v>4356</v>
      </c>
      <c r="T1002" s="6">
        <v>1</v>
      </c>
      <c r="U1002" s="6">
        <v>0</v>
      </c>
      <c r="V1002" s="6">
        <v>0</v>
      </c>
      <c r="W1002" s="6">
        <v>0</v>
      </c>
      <c r="X1002" s="6" t="s">
        <v>169</v>
      </c>
      <c r="Z1002" s="6" t="s">
        <v>170</v>
      </c>
      <c r="AA1002" s="6" t="s">
        <v>171</v>
      </c>
      <c r="AB1002" s="6">
        <v>0</v>
      </c>
      <c r="AC1002" s="6" t="str">
        <f>"KEY-047"</f>
        <v>KEY-047</v>
      </c>
      <c r="AQ1002" s="6" t="str">
        <f>""</f>
        <v/>
      </c>
      <c r="AR1002" s="6" t="s">
        <v>1567</v>
      </c>
      <c r="AS1002" s="6">
        <v>0</v>
      </c>
      <c r="AT1002" s="6">
        <v>1</v>
      </c>
    </row>
    <row r="1003" spans="2:46">
      <c r="B1003" s="6" t="s">
        <v>111</v>
      </c>
      <c r="D1003" s="6" t="s">
        <v>3316</v>
      </c>
      <c r="F1003" s="6" t="s">
        <v>4357</v>
      </c>
      <c r="G1003" s="6" t="str">
        <f>"3177332101430320"</f>
        <v>3177332101430320</v>
      </c>
      <c r="I1003" s="6" t="s">
        <v>4358</v>
      </c>
      <c r="J1003" s="6" t="str">
        <f>"17 SOFT H SK"</f>
        <v>17 SOFT H SK</v>
      </c>
      <c r="K1003" s="6">
        <v>0</v>
      </c>
      <c r="L1003" s="6">
        <v>0</v>
      </c>
      <c r="M1003" s="6">
        <v>0</v>
      </c>
      <c r="N1003" s="6" t="str">
        <f>""</f>
        <v/>
      </c>
      <c r="O1003" s="6">
        <v>32127</v>
      </c>
      <c r="P1003" s="6" t="s">
        <v>4359</v>
      </c>
      <c r="R1003" s="6" t="s">
        <v>2111</v>
      </c>
      <c r="S1003" s="6" t="s">
        <v>4360</v>
      </c>
      <c r="T1003" s="6">
        <v>1</v>
      </c>
      <c r="U1003" s="6">
        <v>0</v>
      </c>
      <c r="V1003" s="6">
        <v>0</v>
      </c>
      <c r="W1003" s="6">
        <v>0</v>
      </c>
      <c r="X1003" s="6" t="s">
        <v>169</v>
      </c>
      <c r="Z1003" s="6" t="s">
        <v>170</v>
      </c>
      <c r="AA1003" s="6" t="s">
        <v>171</v>
      </c>
      <c r="AB1003" s="6">
        <v>0</v>
      </c>
      <c r="AC1003" s="6" t="str">
        <f>"KEY-047"</f>
        <v>KEY-047</v>
      </c>
      <c r="AQ1003" s="6" t="str">
        <f>""</f>
        <v/>
      </c>
      <c r="AR1003" s="6" t="s">
        <v>1567</v>
      </c>
      <c r="AS1003" s="6">
        <v>0</v>
      </c>
      <c r="AT1003" s="6">
        <v>1</v>
      </c>
    </row>
    <row r="1004" spans="2:46">
      <c r="B1004" s="6" t="s">
        <v>111</v>
      </c>
      <c r="D1004" s="6" t="s">
        <v>3316</v>
      </c>
      <c r="F1004" s="6" t="s">
        <v>4361</v>
      </c>
      <c r="G1004" s="6" t="str">
        <f>"3177332101475320"</f>
        <v>3177332101475320</v>
      </c>
      <c r="I1004" s="6" t="s">
        <v>4358</v>
      </c>
      <c r="J1004" s="6" t="str">
        <f>"17 SOFT H SK"</f>
        <v>17 SOFT H SK</v>
      </c>
      <c r="K1004" s="6">
        <v>0</v>
      </c>
      <c r="L1004" s="6">
        <v>0</v>
      </c>
      <c r="M1004" s="6">
        <v>0</v>
      </c>
      <c r="N1004" s="6" t="str">
        <f>""</f>
        <v/>
      </c>
      <c r="O1004" s="6">
        <v>32126</v>
      </c>
      <c r="P1004" s="6" t="s">
        <v>4362</v>
      </c>
      <c r="R1004" s="6" t="s">
        <v>2119</v>
      </c>
      <c r="S1004" s="6" t="s">
        <v>4363</v>
      </c>
      <c r="T1004" s="6">
        <v>1</v>
      </c>
      <c r="U1004" s="6">
        <v>0</v>
      </c>
      <c r="V1004" s="6">
        <v>0</v>
      </c>
      <c r="W1004" s="6">
        <v>0</v>
      </c>
      <c r="X1004" s="6" t="s">
        <v>169</v>
      </c>
      <c r="Z1004" s="6" t="s">
        <v>170</v>
      </c>
      <c r="AA1004" s="6" t="s">
        <v>171</v>
      </c>
      <c r="AB1004" s="6">
        <v>0</v>
      </c>
      <c r="AC1004" s="6" t="str">
        <f>"KEY-045"</f>
        <v>KEY-045</v>
      </c>
      <c r="AQ1004" s="6" t="str">
        <f>""</f>
        <v/>
      </c>
      <c r="AR1004" s="6" t="s">
        <v>1567</v>
      </c>
      <c r="AS1004" s="6">
        <v>0</v>
      </c>
      <c r="AT1004" s="6">
        <v>1</v>
      </c>
    </row>
    <row r="1005" spans="2:46">
      <c r="B1005" s="6" t="s">
        <v>111</v>
      </c>
      <c r="D1005" s="6" t="s">
        <v>3316</v>
      </c>
      <c r="F1005" s="6" t="s">
        <v>4364</v>
      </c>
      <c r="G1005" s="6" t="str">
        <f>"3177332102975320"</f>
        <v>3177332102975320</v>
      </c>
      <c r="I1005" s="6" t="s">
        <v>4365</v>
      </c>
      <c r="J1005" s="6" t="str">
        <f>"17 VARIOUS CK SK"</f>
        <v>17 VARIOUS CK SK</v>
      </c>
      <c r="K1005" s="6">
        <v>0</v>
      </c>
      <c r="L1005" s="6">
        <v>0</v>
      </c>
      <c r="M1005" s="6">
        <v>0</v>
      </c>
      <c r="N1005" s="6" t="str">
        <f>""</f>
        <v/>
      </c>
      <c r="O1005" s="6">
        <v>32124</v>
      </c>
      <c r="P1005" s="6" t="s">
        <v>4366</v>
      </c>
      <c r="R1005" s="6" t="s">
        <v>2119</v>
      </c>
      <c r="S1005" s="6" t="s">
        <v>4367</v>
      </c>
      <c r="T1005" s="6">
        <v>1</v>
      </c>
      <c r="U1005" s="6">
        <v>0</v>
      </c>
      <c r="V1005" s="6">
        <v>0</v>
      </c>
      <c r="W1005" s="6">
        <v>0</v>
      </c>
      <c r="X1005" s="6" t="s">
        <v>169</v>
      </c>
      <c r="Z1005" s="6" t="s">
        <v>170</v>
      </c>
      <c r="AA1005" s="6" t="s">
        <v>171</v>
      </c>
      <c r="AB1005" s="6">
        <v>0</v>
      </c>
      <c r="AC1005" s="6" t="str">
        <f>"KEY-045"</f>
        <v>KEY-045</v>
      </c>
      <c r="AQ1005" s="6" t="str">
        <f>""</f>
        <v/>
      </c>
      <c r="AR1005" s="6" t="s">
        <v>1567</v>
      </c>
      <c r="AS1005" s="6">
        <v>0</v>
      </c>
      <c r="AT1005" s="6">
        <v>1</v>
      </c>
    </row>
    <row r="1006" spans="2:46">
      <c r="B1006" s="6" t="s">
        <v>111</v>
      </c>
      <c r="D1006" s="6" t="s">
        <v>3316</v>
      </c>
      <c r="F1006" s="6" t="s">
        <v>4368</v>
      </c>
      <c r="G1006" s="6" t="str">
        <f>"3177332102995320"</f>
        <v>3177332102995320</v>
      </c>
      <c r="H1006" s="6">
        <v>3177332102995320</v>
      </c>
      <c r="I1006" s="6" t="s">
        <v>4365</v>
      </c>
      <c r="J1006" s="6" t="str">
        <f>"17 VARIOUS CK SK"</f>
        <v>17 VARIOUS CK SK</v>
      </c>
      <c r="K1006" s="6">
        <v>0</v>
      </c>
      <c r="L1006" s="6">
        <v>0</v>
      </c>
      <c r="M1006" s="6">
        <v>0</v>
      </c>
      <c r="N1006" s="6" t="str">
        <f>""</f>
        <v/>
      </c>
      <c r="O1006" s="6">
        <v>32123</v>
      </c>
      <c r="P1006" s="6" t="s">
        <v>4369</v>
      </c>
      <c r="R1006" s="6" t="s">
        <v>2187</v>
      </c>
      <c r="S1006" s="6" t="s">
        <v>4370</v>
      </c>
      <c r="T1006" s="6">
        <v>0</v>
      </c>
      <c r="U1006" s="6">
        <v>0</v>
      </c>
      <c r="V1006" s="6">
        <v>0</v>
      </c>
      <c r="W1006" s="6">
        <v>0</v>
      </c>
      <c r="X1006" s="6" t="s">
        <v>169</v>
      </c>
      <c r="Z1006" s="6" t="s">
        <v>170</v>
      </c>
      <c r="AA1006" s="6" t="s">
        <v>171</v>
      </c>
      <c r="AB1006" s="6">
        <v>0</v>
      </c>
      <c r="AC1006" s="6" t="str">
        <f>""</f>
        <v/>
      </c>
      <c r="AS1006" s="6">
        <v>0</v>
      </c>
      <c r="AT1006" s="6">
        <v>0</v>
      </c>
    </row>
    <row r="1007" spans="2:46">
      <c r="B1007" s="6" t="s">
        <v>111</v>
      </c>
      <c r="D1007" s="6" t="s">
        <v>3316</v>
      </c>
      <c r="F1007" s="6" t="s">
        <v>4371</v>
      </c>
      <c r="G1007" s="6" t="str">
        <f>"3177332100899320"</f>
        <v>3177332100899320</v>
      </c>
      <c r="H1007" s="6">
        <v>3177332100899320</v>
      </c>
      <c r="I1007" s="6" t="s">
        <v>4372</v>
      </c>
      <c r="J1007" s="6" t="str">
        <f>"17 MESH FRILL SKIRT"</f>
        <v>17 MESH FRILL SKIRT</v>
      </c>
      <c r="K1007" s="6">
        <v>0</v>
      </c>
      <c r="L1007" s="6">
        <v>0</v>
      </c>
      <c r="M1007" s="6">
        <v>0</v>
      </c>
      <c r="N1007" s="6" t="str">
        <f>""</f>
        <v/>
      </c>
      <c r="O1007" s="6">
        <v>32121</v>
      </c>
      <c r="P1007" s="6" t="s">
        <v>4373</v>
      </c>
      <c r="R1007" s="6" t="s">
        <v>2106</v>
      </c>
      <c r="S1007" s="6" t="s">
        <v>4374</v>
      </c>
      <c r="T1007" s="6">
        <v>0</v>
      </c>
      <c r="U1007" s="6">
        <v>0</v>
      </c>
      <c r="V1007" s="6">
        <v>0</v>
      </c>
      <c r="W1007" s="6">
        <v>0</v>
      </c>
      <c r="X1007" s="6" t="s">
        <v>169</v>
      </c>
      <c r="Z1007" s="6" t="s">
        <v>170</v>
      </c>
      <c r="AA1007" s="6" t="s">
        <v>171</v>
      </c>
      <c r="AB1007" s="6">
        <v>0</v>
      </c>
      <c r="AC1007" s="6" t="str">
        <f>""</f>
        <v/>
      </c>
      <c r="AS1007" s="6">
        <v>0</v>
      </c>
      <c r="AT1007" s="6">
        <v>0</v>
      </c>
    </row>
    <row r="1008" spans="2:46">
      <c r="B1008" s="6" t="s">
        <v>111</v>
      </c>
      <c r="D1008" s="6" t="s">
        <v>3316</v>
      </c>
      <c r="F1008" s="6" t="s">
        <v>4375</v>
      </c>
      <c r="G1008" s="6" t="str">
        <f>"3177332100874320"</f>
        <v>3177332100874320</v>
      </c>
      <c r="I1008" s="6" t="s">
        <v>4372</v>
      </c>
      <c r="J1008" s="6" t="str">
        <f>"17 MESH FRILL SKIRT"</f>
        <v>17 MESH FRILL SKIRT</v>
      </c>
      <c r="K1008" s="6">
        <v>0</v>
      </c>
      <c r="L1008" s="6">
        <v>0</v>
      </c>
      <c r="M1008" s="6">
        <v>0</v>
      </c>
      <c r="N1008" s="6" t="str">
        <f>""</f>
        <v/>
      </c>
      <c r="O1008" s="6">
        <v>32120</v>
      </c>
      <c r="P1008" s="6" t="s">
        <v>4376</v>
      </c>
      <c r="R1008" s="6" t="s">
        <v>2102</v>
      </c>
      <c r="S1008" s="6" t="s">
        <v>4377</v>
      </c>
      <c r="T1008" s="6">
        <v>1</v>
      </c>
      <c r="U1008" s="6">
        <v>0</v>
      </c>
      <c r="V1008" s="6">
        <v>0</v>
      </c>
      <c r="W1008" s="6">
        <v>0</v>
      </c>
      <c r="X1008" s="6" t="s">
        <v>169</v>
      </c>
      <c r="Z1008" s="6" t="s">
        <v>170</v>
      </c>
      <c r="AA1008" s="6" t="s">
        <v>171</v>
      </c>
      <c r="AB1008" s="6">
        <v>0</v>
      </c>
      <c r="AC1008" s="6" t="str">
        <f>"KEY-043"</f>
        <v>KEY-043</v>
      </c>
      <c r="AQ1008" s="6" t="str">
        <f>""</f>
        <v/>
      </c>
      <c r="AR1008" s="6" t="s">
        <v>1567</v>
      </c>
      <c r="AS1008" s="6">
        <v>0</v>
      </c>
      <c r="AT1008" s="6">
        <v>1</v>
      </c>
    </row>
    <row r="1009" spans="2:46">
      <c r="B1009" s="6" t="s">
        <v>111</v>
      </c>
      <c r="D1009" s="6" t="s">
        <v>3316</v>
      </c>
      <c r="F1009" s="6" t="s">
        <v>4378</v>
      </c>
      <c r="G1009" s="6" t="str">
        <f>"3177312101230320"</f>
        <v>3177312101230320</v>
      </c>
      <c r="H1009" s="6">
        <v>3177312101230320</v>
      </c>
      <c r="I1009" s="6" t="s">
        <v>4379</v>
      </c>
      <c r="J1009" s="6" t="str">
        <f>"17 CN WIDE PT"</f>
        <v>17 CN WIDE PT</v>
      </c>
      <c r="K1009" s="6">
        <v>0</v>
      </c>
      <c r="L1009" s="6">
        <v>0</v>
      </c>
      <c r="M1009" s="6">
        <v>0</v>
      </c>
      <c r="N1009" s="6" t="str">
        <f>""</f>
        <v/>
      </c>
      <c r="O1009" s="6">
        <v>32118</v>
      </c>
      <c r="P1009" s="6" t="s">
        <v>4380</v>
      </c>
      <c r="R1009" s="6" t="s">
        <v>571</v>
      </c>
      <c r="S1009" s="6" t="s">
        <v>4381</v>
      </c>
      <c r="T1009" s="6">
        <v>0</v>
      </c>
      <c r="U1009" s="6">
        <v>0</v>
      </c>
      <c r="V1009" s="6">
        <v>0</v>
      </c>
      <c r="W1009" s="6">
        <v>0</v>
      </c>
      <c r="X1009" s="6" t="s">
        <v>169</v>
      </c>
      <c r="Z1009" s="6" t="s">
        <v>170</v>
      </c>
      <c r="AA1009" s="6" t="s">
        <v>171</v>
      </c>
      <c r="AB1009" s="6">
        <v>0</v>
      </c>
      <c r="AC1009" s="6" t="str">
        <f>""</f>
        <v/>
      </c>
      <c r="AS1009" s="6">
        <v>0</v>
      </c>
      <c r="AT1009" s="6">
        <v>0</v>
      </c>
    </row>
    <row r="1010" spans="2:46">
      <c r="B1010" s="6" t="s">
        <v>111</v>
      </c>
      <c r="D1010" s="6" t="s">
        <v>3316</v>
      </c>
      <c r="F1010" s="6" t="s">
        <v>4382</v>
      </c>
      <c r="G1010" s="6" t="str">
        <f>"3177312101130320"</f>
        <v>3177312101130320</v>
      </c>
      <c r="I1010" s="6" t="s">
        <v>4379</v>
      </c>
      <c r="J1010" s="6" t="str">
        <f>"17 CN WIDE PT"</f>
        <v>17 CN WIDE PT</v>
      </c>
      <c r="K1010" s="6">
        <v>0</v>
      </c>
      <c r="L1010" s="6">
        <v>0</v>
      </c>
      <c r="M1010" s="6">
        <v>0</v>
      </c>
      <c r="N1010" s="6" t="str">
        <f>""</f>
        <v/>
      </c>
      <c r="O1010" s="6">
        <v>32117</v>
      </c>
      <c r="P1010" s="6" t="s">
        <v>4383</v>
      </c>
      <c r="R1010" s="6" t="s">
        <v>566</v>
      </c>
      <c r="S1010" s="6" t="s">
        <v>4384</v>
      </c>
      <c r="T1010" s="6">
        <v>1</v>
      </c>
      <c r="U1010" s="6">
        <v>0</v>
      </c>
      <c r="V1010" s="6">
        <v>0</v>
      </c>
      <c r="W1010" s="6">
        <v>0</v>
      </c>
      <c r="X1010" s="6" t="s">
        <v>169</v>
      </c>
      <c r="Z1010" s="6" t="s">
        <v>170</v>
      </c>
      <c r="AA1010" s="6" t="s">
        <v>171</v>
      </c>
      <c r="AB1010" s="6">
        <v>0</v>
      </c>
      <c r="AC1010" s="6" t="str">
        <f>"KEY-049"</f>
        <v>KEY-049</v>
      </c>
      <c r="AQ1010" s="6" t="str">
        <f>""</f>
        <v/>
      </c>
      <c r="AR1010" s="6" t="s">
        <v>1567</v>
      </c>
      <c r="AS1010" s="6">
        <v>0</v>
      </c>
      <c r="AT1010" s="6">
        <v>1</v>
      </c>
    </row>
    <row r="1011" spans="2:46">
      <c r="B1011" s="6" t="s">
        <v>111</v>
      </c>
      <c r="D1011" s="6" t="s">
        <v>3316</v>
      </c>
      <c r="F1011" s="6" t="s">
        <v>4385</v>
      </c>
      <c r="G1011" s="6" t="str">
        <f>"3177312101274320"</f>
        <v>3177312101274320</v>
      </c>
      <c r="I1011" s="6" t="s">
        <v>4379</v>
      </c>
      <c r="J1011" s="6" t="str">
        <f>"17 CN WIDE PT"</f>
        <v>17 CN WIDE PT</v>
      </c>
      <c r="K1011" s="6">
        <v>0</v>
      </c>
      <c r="L1011" s="6">
        <v>0</v>
      </c>
      <c r="M1011" s="6">
        <v>0</v>
      </c>
      <c r="N1011" s="6" t="str">
        <f>""</f>
        <v/>
      </c>
      <c r="O1011" s="6">
        <v>32116</v>
      </c>
      <c r="P1011" s="6" t="s">
        <v>4386</v>
      </c>
      <c r="R1011" s="6" t="s">
        <v>639</v>
      </c>
      <c r="S1011" s="6" t="s">
        <v>4387</v>
      </c>
      <c r="T1011" s="6">
        <v>1</v>
      </c>
      <c r="U1011" s="6">
        <v>0</v>
      </c>
      <c r="V1011" s="6">
        <v>0</v>
      </c>
      <c r="W1011" s="6">
        <v>0</v>
      </c>
      <c r="X1011" s="6" t="s">
        <v>169</v>
      </c>
      <c r="Z1011" s="6" t="s">
        <v>170</v>
      </c>
      <c r="AA1011" s="6" t="s">
        <v>171</v>
      </c>
      <c r="AB1011" s="6">
        <v>0</v>
      </c>
      <c r="AC1011" s="6" t="str">
        <f>"KEY-049"</f>
        <v>KEY-049</v>
      </c>
      <c r="AQ1011" s="6" t="str">
        <f>""</f>
        <v/>
      </c>
      <c r="AR1011" s="6" t="s">
        <v>1567</v>
      </c>
      <c r="AS1011" s="6">
        <v>0</v>
      </c>
      <c r="AT1011" s="6">
        <v>1</v>
      </c>
    </row>
    <row r="1012" spans="2:46">
      <c r="B1012" s="6" t="s">
        <v>111</v>
      </c>
      <c r="D1012" s="6" t="s">
        <v>3316</v>
      </c>
      <c r="F1012" s="6" t="s">
        <v>4388</v>
      </c>
      <c r="G1012" s="6" t="str">
        <f>"3177312101174320"</f>
        <v>3177312101174320</v>
      </c>
      <c r="I1012" s="6" t="s">
        <v>4379</v>
      </c>
      <c r="J1012" s="6" t="str">
        <f>"17 CN WIDE PT"</f>
        <v>17 CN WIDE PT</v>
      </c>
      <c r="K1012" s="6">
        <v>0</v>
      </c>
      <c r="L1012" s="6">
        <v>0</v>
      </c>
      <c r="M1012" s="6">
        <v>0</v>
      </c>
      <c r="N1012" s="6" t="str">
        <f>""</f>
        <v/>
      </c>
      <c r="O1012" s="6">
        <v>32115</v>
      </c>
      <c r="P1012" s="6" t="s">
        <v>4389</v>
      </c>
      <c r="R1012" s="6" t="s">
        <v>644</v>
      </c>
      <c r="S1012" s="6" t="s">
        <v>4390</v>
      </c>
      <c r="T1012" s="6">
        <v>1</v>
      </c>
      <c r="U1012" s="6">
        <v>0</v>
      </c>
      <c r="V1012" s="6">
        <v>0</v>
      </c>
      <c r="W1012" s="6">
        <v>0</v>
      </c>
      <c r="X1012" s="6" t="s">
        <v>169</v>
      </c>
      <c r="Z1012" s="6" t="s">
        <v>170</v>
      </c>
      <c r="AA1012" s="6" t="s">
        <v>171</v>
      </c>
      <c r="AB1012" s="6">
        <v>0</v>
      </c>
      <c r="AC1012" s="6" t="str">
        <f>"KEY-049"</f>
        <v>KEY-049</v>
      </c>
      <c r="AQ1012" s="6" t="str">
        <f>""</f>
        <v/>
      </c>
      <c r="AR1012" s="6" t="s">
        <v>1567</v>
      </c>
      <c r="AS1012" s="6">
        <v>0</v>
      </c>
      <c r="AT1012" s="6">
        <v>1</v>
      </c>
    </row>
    <row r="1013" spans="2:46">
      <c r="B1013" s="6" t="s">
        <v>111</v>
      </c>
      <c r="D1013" s="6" t="s">
        <v>3316</v>
      </c>
      <c r="F1013" s="6" t="s">
        <v>4391</v>
      </c>
      <c r="G1013" s="6" t="str">
        <f>"3177312100785320"</f>
        <v>3177312100785320</v>
      </c>
      <c r="I1013" s="6" t="s">
        <v>4392</v>
      </c>
      <c r="J1013" s="6" t="str">
        <f>"17 LOVE CDR PT"</f>
        <v>17 LOVE CDR PT</v>
      </c>
      <c r="K1013" s="6">
        <v>0</v>
      </c>
      <c r="L1013" s="6">
        <v>0</v>
      </c>
      <c r="M1013" s="6">
        <v>0</v>
      </c>
      <c r="N1013" s="6" t="str">
        <f>""</f>
        <v/>
      </c>
      <c r="O1013" s="6">
        <v>32113</v>
      </c>
      <c r="P1013" s="6" t="s">
        <v>4393</v>
      </c>
      <c r="R1013" s="6" t="s">
        <v>3576</v>
      </c>
      <c r="S1013" s="6" t="s">
        <v>4394</v>
      </c>
      <c r="T1013" s="6">
        <v>1</v>
      </c>
      <c r="U1013" s="6">
        <v>0</v>
      </c>
      <c r="V1013" s="6">
        <v>0</v>
      </c>
      <c r="W1013" s="6">
        <v>0</v>
      </c>
      <c r="X1013" s="6" t="s">
        <v>169</v>
      </c>
      <c r="Z1013" s="6" t="s">
        <v>170</v>
      </c>
      <c r="AA1013" s="6" t="s">
        <v>171</v>
      </c>
      <c r="AB1013" s="6">
        <v>0</v>
      </c>
      <c r="AC1013" s="6" t="str">
        <f>"KEY-045"</f>
        <v>KEY-045</v>
      </c>
      <c r="AQ1013" s="6" t="str">
        <f>""</f>
        <v/>
      </c>
      <c r="AR1013" s="6" t="s">
        <v>1567</v>
      </c>
      <c r="AS1013" s="6">
        <v>0</v>
      </c>
      <c r="AT1013" s="6">
        <v>1</v>
      </c>
    </row>
    <row r="1014" spans="2:46">
      <c r="B1014" s="6" t="s">
        <v>111</v>
      </c>
      <c r="D1014" s="6" t="s">
        <v>3316</v>
      </c>
      <c r="F1014" s="6" t="s">
        <v>4395</v>
      </c>
      <c r="G1014" s="6" t="str">
        <f>"3177312100775320"</f>
        <v>3177312100775320</v>
      </c>
      <c r="I1014" s="6" t="s">
        <v>4392</v>
      </c>
      <c r="J1014" s="6" t="str">
        <f>"17 LOVE CDR PT"</f>
        <v>17 LOVE CDR PT</v>
      </c>
      <c r="K1014" s="6">
        <v>0</v>
      </c>
      <c r="L1014" s="6">
        <v>0</v>
      </c>
      <c r="M1014" s="6">
        <v>0</v>
      </c>
      <c r="N1014" s="6" t="str">
        <f>""</f>
        <v/>
      </c>
      <c r="O1014" s="6">
        <v>32112</v>
      </c>
      <c r="P1014" s="6" t="s">
        <v>4396</v>
      </c>
      <c r="R1014" s="6" t="s">
        <v>2119</v>
      </c>
      <c r="S1014" s="6" t="s">
        <v>4397</v>
      </c>
      <c r="T1014" s="6">
        <v>1</v>
      </c>
      <c r="U1014" s="6">
        <v>0</v>
      </c>
      <c r="V1014" s="6">
        <v>0</v>
      </c>
      <c r="W1014" s="6">
        <v>0</v>
      </c>
      <c r="X1014" s="6" t="s">
        <v>169</v>
      </c>
      <c r="Z1014" s="6" t="s">
        <v>170</v>
      </c>
      <c r="AA1014" s="6" t="s">
        <v>171</v>
      </c>
      <c r="AB1014" s="6">
        <v>0</v>
      </c>
      <c r="AC1014" s="6" t="str">
        <f>"KEY-042"</f>
        <v>KEY-042</v>
      </c>
      <c r="AQ1014" s="6" t="str">
        <f>""</f>
        <v/>
      </c>
      <c r="AR1014" s="6" t="s">
        <v>1567</v>
      </c>
      <c r="AS1014" s="6">
        <v>0</v>
      </c>
      <c r="AT1014" s="6">
        <v>1</v>
      </c>
    </row>
    <row r="1015" spans="2:46">
      <c r="B1015" s="6" t="s">
        <v>111</v>
      </c>
      <c r="D1015" s="6" t="s">
        <v>3316</v>
      </c>
      <c r="F1015" s="6" t="s">
        <v>4398</v>
      </c>
      <c r="G1015" s="6" t="str">
        <f>"3177312100699320"</f>
        <v>3177312100699320</v>
      </c>
      <c r="I1015" s="6" t="s">
        <v>4399</v>
      </c>
      <c r="J1015" s="6" t="str">
        <f>"17 SOFT WIDE PT"</f>
        <v>17 SOFT WIDE PT</v>
      </c>
      <c r="K1015" s="6">
        <v>0</v>
      </c>
      <c r="L1015" s="6">
        <v>0</v>
      </c>
      <c r="M1015" s="6">
        <v>0</v>
      </c>
      <c r="N1015" s="6" t="str">
        <f>""</f>
        <v/>
      </c>
      <c r="O1015" s="6">
        <v>32110</v>
      </c>
      <c r="P1015" s="6" t="s">
        <v>4400</v>
      </c>
      <c r="R1015" s="6" t="s">
        <v>2106</v>
      </c>
      <c r="S1015" s="6" t="s">
        <v>4401</v>
      </c>
      <c r="T1015" s="6">
        <v>1</v>
      </c>
      <c r="U1015" s="6">
        <v>0</v>
      </c>
      <c r="V1015" s="6">
        <v>0</v>
      </c>
      <c r="W1015" s="6">
        <v>0</v>
      </c>
      <c r="X1015" s="6" t="s">
        <v>169</v>
      </c>
      <c r="Z1015" s="6" t="s">
        <v>170</v>
      </c>
      <c r="AA1015" s="6" t="s">
        <v>171</v>
      </c>
      <c r="AB1015" s="6">
        <v>0</v>
      </c>
      <c r="AC1015" s="6" t="str">
        <f>"KEY-044"</f>
        <v>KEY-044</v>
      </c>
      <c r="AQ1015" s="6" t="str">
        <f>""</f>
        <v/>
      </c>
      <c r="AR1015" s="6" t="s">
        <v>1567</v>
      </c>
      <c r="AS1015" s="6">
        <v>0</v>
      </c>
      <c r="AT1015" s="6">
        <v>1</v>
      </c>
    </row>
    <row r="1016" spans="2:46">
      <c r="B1016" s="6" t="s">
        <v>111</v>
      </c>
      <c r="D1016" s="6" t="s">
        <v>3316</v>
      </c>
      <c r="F1016" s="6" t="s">
        <v>4402</v>
      </c>
      <c r="G1016" s="6" t="str">
        <f>"3177312100674320"</f>
        <v>3177312100674320</v>
      </c>
      <c r="I1016" s="6" t="s">
        <v>4399</v>
      </c>
      <c r="J1016" s="6" t="str">
        <f>"17 SOFT WIDE PT"</f>
        <v>17 SOFT WIDE PT</v>
      </c>
      <c r="K1016" s="6">
        <v>0</v>
      </c>
      <c r="L1016" s="6">
        <v>0</v>
      </c>
      <c r="M1016" s="6">
        <v>0</v>
      </c>
      <c r="N1016" s="6" t="str">
        <f>""</f>
        <v/>
      </c>
      <c r="O1016" s="6">
        <v>32109</v>
      </c>
      <c r="P1016" s="6" t="s">
        <v>4403</v>
      </c>
      <c r="R1016" s="6" t="s">
        <v>2102</v>
      </c>
      <c r="S1016" s="6" t="s">
        <v>4404</v>
      </c>
      <c r="T1016" s="6">
        <v>1</v>
      </c>
      <c r="U1016" s="6">
        <v>0</v>
      </c>
      <c r="V1016" s="6">
        <v>0</v>
      </c>
      <c r="W1016" s="6">
        <v>0</v>
      </c>
      <c r="X1016" s="6" t="s">
        <v>169</v>
      </c>
      <c r="Z1016" s="6" t="s">
        <v>170</v>
      </c>
      <c r="AA1016" s="6" t="s">
        <v>171</v>
      </c>
      <c r="AB1016" s="6">
        <v>0</v>
      </c>
      <c r="AC1016" s="6" t="str">
        <f>"KEY-043"</f>
        <v>KEY-043</v>
      </c>
      <c r="AQ1016" s="6" t="str">
        <f>""</f>
        <v/>
      </c>
      <c r="AR1016" s="6" t="s">
        <v>1567</v>
      </c>
      <c r="AS1016" s="6">
        <v>0</v>
      </c>
      <c r="AT1016" s="6">
        <v>1</v>
      </c>
    </row>
    <row r="1017" spans="2:46">
      <c r="B1017" s="6" t="s">
        <v>111</v>
      </c>
      <c r="D1017" s="6" t="s">
        <v>3316</v>
      </c>
      <c r="F1017" s="6" t="s">
        <v>4405</v>
      </c>
      <c r="G1017" s="6" t="str">
        <f>"3177252102899208"</f>
        <v>3177252102899208</v>
      </c>
      <c r="H1017" s="6">
        <v>3177252102899200</v>
      </c>
      <c r="I1017" s="6" t="s">
        <v>4406</v>
      </c>
      <c r="J1017" s="6" t="str">
        <f>"17 SHIRRING OPS"</f>
        <v>17 SHIRRING OPS</v>
      </c>
      <c r="K1017" s="6">
        <v>0</v>
      </c>
      <c r="L1017" s="6">
        <v>0</v>
      </c>
      <c r="M1017" s="6">
        <v>0</v>
      </c>
      <c r="N1017" s="6" t="str">
        <f>""</f>
        <v/>
      </c>
      <c r="O1017" s="6">
        <v>32107</v>
      </c>
      <c r="P1017" s="6" t="s">
        <v>4407</v>
      </c>
      <c r="R1017" s="6" t="s">
        <v>2106</v>
      </c>
      <c r="S1017" s="6" t="s">
        <v>4408</v>
      </c>
      <c r="T1017" s="6">
        <v>0</v>
      </c>
      <c r="U1017" s="6">
        <v>0</v>
      </c>
      <c r="V1017" s="6">
        <v>0</v>
      </c>
      <c r="W1017" s="6">
        <v>0</v>
      </c>
      <c r="X1017" s="6" t="s">
        <v>169</v>
      </c>
      <c r="Z1017" s="6" t="s">
        <v>170</v>
      </c>
      <c r="AA1017" s="6" t="s">
        <v>171</v>
      </c>
      <c r="AB1017" s="6">
        <v>0</v>
      </c>
      <c r="AC1017" s="6" t="str">
        <f>""</f>
        <v/>
      </c>
      <c r="AS1017" s="6">
        <v>0</v>
      </c>
      <c r="AT1017" s="6">
        <v>0</v>
      </c>
    </row>
    <row r="1018" spans="2:46">
      <c r="B1018" s="6" t="s">
        <v>111</v>
      </c>
      <c r="D1018" s="6" t="s">
        <v>3316</v>
      </c>
      <c r="F1018" s="6" t="s">
        <v>4409</v>
      </c>
      <c r="G1018" s="6" t="str">
        <f>"3177252102869208"</f>
        <v>3177252102869208</v>
      </c>
      <c r="I1018" s="6" t="s">
        <v>4406</v>
      </c>
      <c r="J1018" s="6" t="str">
        <f>"17 SHIRRING OPS"</f>
        <v>17 SHIRRING OPS</v>
      </c>
      <c r="K1018" s="6">
        <v>0</v>
      </c>
      <c r="L1018" s="6">
        <v>0</v>
      </c>
      <c r="M1018" s="6">
        <v>0</v>
      </c>
      <c r="N1018" s="6" t="str">
        <f>""</f>
        <v/>
      </c>
      <c r="O1018" s="6">
        <v>32106</v>
      </c>
      <c r="P1018" s="6" t="s">
        <v>4410</v>
      </c>
      <c r="R1018" s="6" t="s">
        <v>2356</v>
      </c>
      <c r="S1018" s="6" t="s">
        <v>4411</v>
      </c>
      <c r="T1018" s="6">
        <v>1</v>
      </c>
      <c r="U1018" s="6">
        <v>0</v>
      </c>
      <c r="V1018" s="6">
        <v>0</v>
      </c>
      <c r="W1018" s="6">
        <v>0</v>
      </c>
      <c r="X1018" s="6" t="s">
        <v>169</v>
      </c>
      <c r="Z1018" s="6" t="s">
        <v>170</v>
      </c>
      <c r="AA1018" s="6" t="s">
        <v>171</v>
      </c>
      <c r="AB1018" s="6">
        <v>0</v>
      </c>
      <c r="AC1018" s="6" t="str">
        <f>"KEY-044"</f>
        <v>KEY-044</v>
      </c>
      <c r="AQ1018" s="6" t="str">
        <f>""</f>
        <v/>
      </c>
      <c r="AR1018" s="6" t="s">
        <v>1567</v>
      </c>
      <c r="AS1018" s="6">
        <v>0</v>
      </c>
      <c r="AT1018" s="6">
        <v>1</v>
      </c>
    </row>
    <row r="1019" spans="2:46">
      <c r="B1019" s="6" t="s">
        <v>111</v>
      </c>
      <c r="D1019" s="6" t="s">
        <v>3316</v>
      </c>
      <c r="F1019" s="6" t="s">
        <v>4412</v>
      </c>
      <c r="G1019" s="6" t="str">
        <f>"3177252102530208"</f>
        <v>3177252102530208</v>
      </c>
      <c r="H1019" s="6">
        <v>3177252102530200</v>
      </c>
      <c r="I1019" s="6" t="s">
        <v>4413</v>
      </c>
      <c r="J1019" s="6" t="str">
        <f>"17 V - FRILL OPS"</f>
        <v>17 V - FRILL OPS</v>
      </c>
      <c r="K1019" s="6">
        <v>0</v>
      </c>
      <c r="L1019" s="6">
        <v>0</v>
      </c>
      <c r="M1019" s="6">
        <v>0</v>
      </c>
      <c r="N1019" s="6" t="str">
        <f>""</f>
        <v/>
      </c>
      <c r="O1019" s="6">
        <v>32104</v>
      </c>
      <c r="P1019" s="6" t="s">
        <v>4414</v>
      </c>
      <c r="R1019" s="6" t="s">
        <v>2111</v>
      </c>
      <c r="S1019" s="6" t="s">
        <v>4415</v>
      </c>
      <c r="T1019" s="6">
        <v>0</v>
      </c>
      <c r="U1019" s="6">
        <v>0</v>
      </c>
      <c r="V1019" s="6">
        <v>0</v>
      </c>
      <c r="W1019" s="6">
        <v>0</v>
      </c>
      <c r="X1019" s="6" t="s">
        <v>169</v>
      </c>
      <c r="Z1019" s="6" t="s">
        <v>170</v>
      </c>
      <c r="AA1019" s="6" t="s">
        <v>171</v>
      </c>
      <c r="AB1019" s="6">
        <v>0</v>
      </c>
      <c r="AC1019" s="6" t="str">
        <f>""</f>
        <v/>
      </c>
      <c r="AS1019" s="6">
        <v>0</v>
      </c>
      <c r="AT1019" s="6">
        <v>0</v>
      </c>
    </row>
    <row r="1020" spans="2:46">
      <c r="B1020" s="6" t="s">
        <v>111</v>
      </c>
      <c r="D1020" s="6" t="s">
        <v>3316</v>
      </c>
      <c r="F1020" s="6" t="s">
        <v>4416</v>
      </c>
      <c r="G1020" s="6" t="str">
        <f>"3177252102501208"</f>
        <v>3177252102501208</v>
      </c>
      <c r="I1020" s="6" t="s">
        <v>4413</v>
      </c>
      <c r="J1020" s="6" t="str">
        <f>"17 V - FRILL OPS"</f>
        <v>17 V - FRILL OPS</v>
      </c>
      <c r="K1020" s="6">
        <v>0</v>
      </c>
      <c r="L1020" s="6">
        <v>0</v>
      </c>
      <c r="M1020" s="6">
        <v>0</v>
      </c>
      <c r="N1020" s="6" t="str">
        <f>""</f>
        <v/>
      </c>
      <c r="O1020" s="6">
        <v>32103</v>
      </c>
      <c r="P1020" s="6" t="s">
        <v>4417</v>
      </c>
      <c r="R1020" s="6" t="s">
        <v>2446</v>
      </c>
      <c r="S1020" s="6" t="s">
        <v>4418</v>
      </c>
      <c r="T1020" s="6">
        <v>1</v>
      </c>
      <c r="U1020" s="6">
        <v>0</v>
      </c>
      <c r="V1020" s="6">
        <v>0</v>
      </c>
      <c r="W1020" s="6">
        <v>0</v>
      </c>
      <c r="X1020" s="6" t="s">
        <v>169</v>
      </c>
      <c r="Z1020" s="6" t="s">
        <v>170</v>
      </c>
      <c r="AA1020" s="6" t="s">
        <v>171</v>
      </c>
      <c r="AB1020" s="6">
        <v>0</v>
      </c>
      <c r="AC1020" s="6" t="str">
        <f>"KEY-055"</f>
        <v>KEY-055</v>
      </c>
      <c r="AQ1020" s="6" t="str">
        <f>""</f>
        <v/>
      </c>
      <c r="AR1020" s="6" t="s">
        <v>1567</v>
      </c>
      <c r="AS1020" s="6">
        <v>0</v>
      </c>
      <c r="AT1020" s="6">
        <v>1</v>
      </c>
    </row>
    <row r="1021" spans="2:46">
      <c r="B1021" s="6" t="s">
        <v>111</v>
      </c>
      <c r="D1021" s="6" t="s">
        <v>3316</v>
      </c>
      <c r="F1021" s="6" t="s">
        <v>4419</v>
      </c>
      <c r="G1021" s="6" t="str">
        <f>"3177252102574208"</f>
        <v>3177252102574208</v>
      </c>
      <c r="H1021" s="6">
        <v>3177252102574200</v>
      </c>
      <c r="I1021" s="6" t="s">
        <v>4413</v>
      </c>
      <c r="J1021" s="6" t="str">
        <f>"17 V - FRILL OPS"</f>
        <v>17 V - FRILL OPS</v>
      </c>
      <c r="K1021" s="6">
        <v>0</v>
      </c>
      <c r="L1021" s="6">
        <v>0</v>
      </c>
      <c r="M1021" s="6">
        <v>0</v>
      </c>
      <c r="N1021" s="6" t="str">
        <f>""</f>
        <v/>
      </c>
      <c r="O1021" s="6">
        <v>32102</v>
      </c>
      <c r="P1021" s="6" t="s">
        <v>4420</v>
      </c>
      <c r="R1021" s="6" t="s">
        <v>2102</v>
      </c>
      <c r="S1021" s="6" t="s">
        <v>4421</v>
      </c>
      <c r="T1021" s="6">
        <v>0</v>
      </c>
      <c r="U1021" s="6">
        <v>0</v>
      </c>
      <c r="V1021" s="6">
        <v>0</v>
      </c>
      <c r="W1021" s="6">
        <v>0</v>
      </c>
      <c r="X1021" s="6" t="s">
        <v>169</v>
      </c>
      <c r="Z1021" s="6" t="s">
        <v>170</v>
      </c>
      <c r="AA1021" s="6" t="s">
        <v>171</v>
      </c>
      <c r="AB1021" s="6">
        <v>0</v>
      </c>
      <c r="AC1021" s="6" t="str">
        <f>""</f>
        <v/>
      </c>
      <c r="AS1021" s="6">
        <v>0</v>
      </c>
      <c r="AT1021" s="6">
        <v>0</v>
      </c>
    </row>
    <row r="1022" spans="2:46">
      <c r="B1022" s="6" t="s">
        <v>111</v>
      </c>
      <c r="D1022" s="6" t="s">
        <v>3316</v>
      </c>
      <c r="F1022" s="6" t="s">
        <v>4422</v>
      </c>
      <c r="G1022" s="6" t="str">
        <f>"3177252102775208"</f>
        <v>3177252102775208</v>
      </c>
      <c r="H1022" s="6">
        <v>3177252102775200</v>
      </c>
      <c r="I1022" s="6" t="s">
        <v>4423</v>
      </c>
      <c r="J1022" s="6" t="str">
        <f>"17 POCKET S/T OPS"</f>
        <v>17 POCKET S/T OPS</v>
      </c>
      <c r="K1022" s="6">
        <v>0</v>
      </c>
      <c r="L1022" s="6">
        <v>0</v>
      </c>
      <c r="M1022" s="6">
        <v>0</v>
      </c>
      <c r="N1022" s="6" t="str">
        <f>""</f>
        <v/>
      </c>
      <c r="O1022" s="6">
        <v>32100</v>
      </c>
      <c r="P1022" s="6" t="s">
        <v>4424</v>
      </c>
      <c r="R1022" s="6" t="s">
        <v>2119</v>
      </c>
      <c r="S1022" s="6" t="s">
        <v>4425</v>
      </c>
      <c r="T1022" s="6">
        <v>0</v>
      </c>
      <c r="U1022" s="6">
        <v>0</v>
      </c>
      <c r="V1022" s="6">
        <v>0</v>
      </c>
      <c r="W1022" s="6">
        <v>0</v>
      </c>
      <c r="X1022" s="6" t="s">
        <v>169</v>
      </c>
      <c r="Z1022" s="6" t="s">
        <v>170</v>
      </c>
      <c r="AA1022" s="6" t="s">
        <v>171</v>
      </c>
      <c r="AB1022" s="6">
        <v>0</v>
      </c>
      <c r="AC1022" s="6" t="str">
        <f>""</f>
        <v/>
      </c>
      <c r="AS1022" s="6">
        <v>0</v>
      </c>
      <c r="AT1022" s="6">
        <v>0</v>
      </c>
    </row>
    <row r="1023" spans="2:46">
      <c r="B1023" s="6" t="s">
        <v>111</v>
      </c>
      <c r="D1023" s="6" t="s">
        <v>3316</v>
      </c>
      <c r="F1023" s="6" t="s">
        <v>4426</v>
      </c>
      <c r="G1023" s="6" t="str">
        <f>"3177252102730208"</f>
        <v>3177252102730208</v>
      </c>
      <c r="H1023" s="6">
        <v>3177252102730200</v>
      </c>
      <c r="I1023" s="6" t="s">
        <v>4423</v>
      </c>
      <c r="J1023" s="6" t="str">
        <f>"17 POCKET S/T OPS"</f>
        <v>17 POCKET S/T OPS</v>
      </c>
      <c r="K1023" s="6">
        <v>0</v>
      </c>
      <c r="L1023" s="6">
        <v>0</v>
      </c>
      <c r="M1023" s="6">
        <v>0</v>
      </c>
      <c r="N1023" s="6" t="str">
        <f>""</f>
        <v/>
      </c>
      <c r="O1023" s="6">
        <v>32099</v>
      </c>
      <c r="P1023" s="6" t="s">
        <v>4427</v>
      </c>
      <c r="R1023" s="6" t="s">
        <v>2111</v>
      </c>
      <c r="S1023" s="6" t="s">
        <v>4428</v>
      </c>
      <c r="T1023" s="6">
        <v>0</v>
      </c>
      <c r="U1023" s="6">
        <v>0</v>
      </c>
      <c r="V1023" s="6">
        <v>0</v>
      </c>
      <c r="W1023" s="6">
        <v>0</v>
      </c>
      <c r="X1023" s="6" t="s">
        <v>169</v>
      </c>
      <c r="Z1023" s="6" t="s">
        <v>170</v>
      </c>
      <c r="AA1023" s="6" t="s">
        <v>171</v>
      </c>
      <c r="AB1023" s="6">
        <v>0</v>
      </c>
      <c r="AC1023" s="6" t="str">
        <f>""</f>
        <v/>
      </c>
      <c r="AS1023" s="6">
        <v>0</v>
      </c>
      <c r="AT1023" s="6">
        <v>0</v>
      </c>
    </row>
    <row r="1024" spans="2:46">
      <c r="B1024" s="6" t="s">
        <v>111</v>
      </c>
      <c r="D1024" s="6" t="s">
        <v>3316</v>
      </c>
      <c r="F1024" s="6" t="s">
        <v>4429</v>
      </c>
      <c r="G1024" s="6" t="str">
        <f>"3177252101025208"</f>
        <v>3177252101025208</v>
      </c>
      <c r="I1024" s="6" t="s">
        <v>4430</v>
      </c>
      <c r="J1024" s="6" t="str">
        <f>"17 PAPER RIBBON OPS"</f>
        <v>17 PAPER RIBBON OPS</v>
      </c>
      <c r="K1024" s="6">
        <v>0</v>
      </c>
      <c r="L1024" s="6">
        <v>0</v>
      </c>
      <c r="M1024" s="6">
        <v>0</v>
      </c>
      <c r="N1024" s="6" t="str">
        <f>""</f>
        <v/>
      </c>
      <c r="O1024" s="6">
        <v>32097</v>
      </c>
      <c r="P1024" s="6" t="s">
        <v>4431</v>
      </c>
      <c r="R1024" s="6" t="s">
        <v>2175</v>
      </c>
      <c r="S1024" s="6" t="s">
        <v>4432</v>
      </c>
      <c r="T1024" s="6">
        <v>1</v>
      </c>
      <c r="U1024" s="6">
        <v>0</v>
      </c>
      <c r="V1024" s="6">
        <v>0</v>
      </c>
      <c r="W1024" s="6">
        <v>0</v>
      </c>
      <c r="X1024" s="6" t="s">
        <v>169</v>
      </c>
      <c r="Z1024" s="6" t="s">
        <v>170</v>
      </c>
      <c r="AA1024" s="6" t="s">
        <v>171</v>
      </c>
      <c r="AB1024" s="6">
        <v>0</v>
      </c>
      <c r="AC1024" s="6" t="str">
        <f>"KEY-039"</f>
        <v>KEY-039</v>
      </c>
      <c r="AQ1024" s="6" t="str">
        <f>""</f>
        <v/>
      </c>
      <c r="AR1024" s="6" t="s">
        <v>1567</v>
      </c>
      <c r="AS1024" s="6">
        <v>0</v>
      </c>
      <c r="AT1024" s="6">
        <v>1</v>
      </c>
    </row>
    <row r="1025" spans="2:46">
      <c r="B1025" s="6" t="s">
        <v>111</v>
      </c>
      <c r="D1025" s="6" t="s">
        <v>3316</v>
      </c>
      <c r="F1025" s="6" t="s">
        <v>4433</v>
      </c>
      <c r="G1025" s="6" t="str">
        <f>"3177252101091208"</f>
        <v>3177252101091208</v>
      </c>
      <c r="H1025" s="6">
        <v>3177252101091200</v>
      </c>
      <c r="I1025" s="6" t="s">
        <v>4430</v>
      </c>
      <c r="J1025" s="6" t="str">
        <f>"17 PAPER RIBBON OPS"</f>
        <v>17 PAPER RIBBON OPS</v>
      </c>
      <c r="K1025" s="6">
        <v>0</v>
      </c>
      <c r="L1025" s="6">
        <v>0</v>
      </c>
      <c r="M1025" s="6">
        <v>0</v>
      </c>
      <c r="N1025" s="6" t="str">
        <f>""</f>
        <v/>
      </c>
      <c r="O1025" s="6">
        <v>32096</v>
      </c>
      <c r="P1025" s="6" t="s">
        <v>4434</v>
      </c>
      <c r="R1025" s="6" t="s">
        <v>2167</v>
      </c>
      <c r="S1025" s="6" t="s">
        <v>4435</v>
      </c>
      <c r="T1025" s="6">
        <v>0</v>
      </c>
      <c r="U1025" s="6">
        <v>0</v>
      </c>
      <c r="V1025" s="6">
        <v>0</v>
      </c>
      <c r="W1025" s="6">
        <v>0</v>
      </c>
      <c r="X1025" s="6" t="s">
        <v>169</v>
      </c>
      <c r="Z1025" s="6" t="s">
        <v>170</v>
      </c>
      <c r="AA1025" s="6" t="s">
        <v>171</v>
      </c>
      <c r="AB1025" s="6">
        <v>0</v>
      </c>
      <c r="AC1025" s="6" t="str">
        <f>""</f>
        <v/>
      </c>
      <c r="AS1025" s="6">
        <v>0</v>
      </c>
      <c r="AT1025" s="6">
        <v>0</v>
      </c>
    </row>
    <row r="1026" spans="2:46">
      <c r="B1026" s="6" t="s">
        <v>111</v>
      </c>
      <c r="D1026" s="6" t="s">
        <v>3316</v>
      </c>
      <c r="F1026" s="6" t="s">
        <v>4436</v>
      </c>
      <c r="G1026" s="6" t="str">
        <f>"3177252102699208"</f>
        <v>3177252102699208</v>
      </c>
      <c r="H1026" s="6">
        <v>3177252102699200</v>
      </c>
      <c r="I1026" s="6" t="s">
        <v>4437</v>
      </c>
      <c r="J1026" s="6" t="str">
        <f>"17 MESH FRILL OPS"</f>
        <v>17 MESH FRILL OPS</v>
      </c>
      <c r="K1026" s="6">
        <v>0</v>
      </c>
      <c r="L1026" s="6">
        <v>0</v>
      </c>
      <c r="M1026" s="6">
        <v>0</v>
      </c>
      <c r="N1026" s="6" t="str">
        <f>""</f>
        <v/>
      </c>
      <c r="O1026" s="6">
        <v>32094</v>
      </c>
      <c r="P1026" s="6" t="s">
        <v>4438</v>
      </c>
      <c r="R1026" s="6" t="s">
        <v>2106</v>
      </c>
      <c r="S1026" s="6" t="s">
        <v>4439</v>
      </c>
      <c r="T1026" s="6">
        <v>0</v>
      </c>
      <c r="U1026" s="6">
        <v>0</v>
      </c>
      <c r="V1026" s="6">
        <v>0</v>
      </c>
      <c r="W1026" s="6">
        <v>0</v>
      </c>
      <c r="X1026" s="6" t="s">
        <v>169</v>
      </c>
      <c r="Z1026" s="6" t="s">
        <v>170</v>
      </c>
      <c r="AA1026" s="6" t="s">
        <v>171</v>
      </c>
      <c r="AB1026" s="6">
        <v>0</v>
      </c>
      <c r="AC1026" s="6" t="str">
        <f>""</f>
        <v/>
      </c>
      <c r="AS1026" s="6">
        <v>0</v>
      </c>
      <c r="AT1026" s="6">
        <v>0</v>
      </c>
    </row>
    <row r="1027" spans="2:46">
      <c r="B1027" s="6" t="s">
        <v>111</v>
      </c>
      <c r="D1027" s="6" t="s">
        <v>3316</v>
      </c>
      <c r="F1027" s="6" t="s">
        <v>4440</v>
      </c>
      <c r="G1027" s="6" t="str">
        <f>"3177252102674208"</f>
        <v>3177252102674208</v>
      </c>
      <c r="I1027" s="6" t="s">
        <v>4437</v>
      </c>
      <c r="J1027" s="6" t="str">
        <f>"17 MESH FRILL OPS"</f>
        <v>17 MESH FRILL OPS</v>
      </c>
      <c r="K1027" s="6">
        <v>0</v>
      </c>
      <c r="L1027" s="6">
        <v>0</v>
      </c>
      <c r="M1027" s="6">
        <v>0</v>
      </c>
      <c r="N1027" s="6" t="str">
        <f>""</f>
        <v/>
      </c>
      <c r="O1027" s="6">
        <v>32093</v>
      </c>
      <c r="P1027" s="6" t="s">
        <v>4441</v>
      </c>
      <c r="R1027" s="6" t="s">
        <v>2102</v>
      </c>
      <c r="S1027" s="6" t="s">
        <v>4442</v>
      </c>
      <c r="T1027" s="6">
        <v>1</v>
      </c>
      <c r="U1027" s="6">
        <v>0</v>
      </c>
      <c r="V1027" s="6">
        <v>0</v>
      </c>
      <c r="W1027" s="6">
        <v>0</v>
      </c>
      <c r="X1027" s="6" t="s">
        <v>169</v>
      </c>
      <c r="Z1027" s="6" t="s">
        <v>170</v>
      </c>
      <c r="AA1027" s="6" t="s">
        <v>171</v>
      </c>
      <c r="AB1027" s="6">
        <v>0</v>
      </c>
      <c r="AC1027" s="6" t="str">
        <f>"KEY-038"</f>
        <v>KEY-038</v>
      </c>
      <c r="AQ1027" s="6" t="str">
        <f>""</f>
        <v/>
      </c>
      <c r="AR1027" s="6" t="s">
        <v>1567</v>
      </c>
      <c r="AS1027" s="6">
        <v>0</v>
      </c>
      <c r="AT1027" s="6">
        <v>1</v>
      </c>
    </row>
    <row r="1028" spans="2:46">
      <c r="B1028" s="6" t="s">
        <v>111</v>
      </c>
      <c r="D1028" s="6" t="s">
        <v>3316</v>
      </c>
      <c r="F1028" s="6" t="s">
        <v>4443</v>
      </c>
      <c r="G1028" s="6" t="str">
        <f>"3177242100761208"</f>
        <v>3177242100761208</v>
      </c>
      <c r="I1028" s="6" t="s">
        <v>4444</v>
      </c>
      <c r="J1028" s="6" t="str">
        <f>"17 VC BL"</f>
        <v>17 VC BL</v>
      </c>
      <c r="K1028" s="6">
        <v>0</v>
      </c>
      <c r="L1028" s="6">
        <v>0</v>
      </c>
      <c r="M1028" s="6">
        <v>0</v>
      </c>
      <c r="N1028" s="6" t="str">
        <f>""</f>
        <v/>
      </c>
      <c r="O1028" s="6">
        <v>32091</v>
      </c>
      <c r="P1028" s="6" t="s">
        <v>4445</v>
      </c>
      <c r="R1028" s="6" t="s">
        <v>2309</v>
      </c>
      <c r="S1028" s="6" t="s">
        <v>4446</v>
      </c>
      <c r="T1028" s="6">
        <v>1</v>
      </c>
      <c r="U1028" s="6">
        <v>0</v>
      </c>
      <c r="V1028" s="6">
        <v>0</v>
      </c>
      <c r="W1028" s="6">
        <v>0</v>
      </c>
      <c r="X1028" s="6" t="s">
        <v>169</v>
      </c>
      <c r="Z1028" s="6" t="s">
        <v>170</v>
      </c>
      <c r="AA1028" s="6" t="s">
        <v>171</v>
      </c>
      <c r="AB1028" s="6">
        <v>0</v>
      </c>
      <c r="AC1028" s="6" t="str">
        <f>"KEY-042"</f>
        <v>KEY-042</v>
      </c>
      <c r="AQ1028" s="6" t="str">
        <f>""</f>
        <v/>
      </c>
      <c r="AR1028" s="6" t="s">
        <v>1567</v>
      </c>
      <c r="AS1028" s="6">
        <v>0</v>
      </c>
      <c r="AT1028" s="6">
        <v>1</v>
      </c>
    </row>
    <row r="1029" spans="2:46">
      <c r="B1029" s="6" t="s">
        <v>111</v>
      </c>
      <c r="D1029" s="6" t="s">
        <v>3316</v>
      </c>
      <c r="F1029" s="6" t="s">
        <v>4447</v>
      </c>
      <c r="G1029" s="6" t="str">
        <f>"3177242100745208"</f>
        <v>3177242100745208</v>
      </c>
      <c r="I1029" s="6" t="s">
        <v>4444</v>
      </c>
      <c r="J1029" s="6" t="str">
        <f>"17 VC BL"</f>
        <v>17 VC BL</v>
      </c>
      <c r="K1029" s="6">
        <v>0</v>
      </c>
      <c r="L1029" s="6">
        <v>0</v>
      </c>
      <c r="M1029" s="6">
        <v>0</v>
      </c>
      <c r="N1029" s="6" t="str">
        <f>""</f>
        <v/>
      </c>
      <c r="O1029" s="6">
        <v>32090</v>
      </c>
      <c r="P1029" s="6" t="s">
        <v>4448</v>
      </c>
      <c r="R1029" s="6" t="s">
        <v>2512</v>
      </c>
      <c r="S1029" s="6" t="s">
        <v>4449</v>
      </c>
      <c r="T1029" s="6">
        <v>1</v>
      </c>
      <c r="U1029" s="6">
        <v>0</v>
      </c>
      <c r="V1029" s="6">
        <v>0</v>
      </c>
      <c r="W1029" s="6">
        <v>0</v>
      </c>
      <c r="X1029" s="6" t="s">
        <v>169</v>
      </c>
      <c r="Z1029" s="6" t="s">
        <v>170</v>
      </c>
      <c r="AA1029" s="6" t="s">
        <v>171</v>
      </c>
      <c r="AB1029" s="6">
        <v>0</v>
      </c>
      <c r="AC1029" s="6" t="str">
        <f>"KEY-054"</f>
        <v>KEY-054</v>
      </c>
      <c r="AQ1029" s="6" t="str">
        <f>""</f>
        <v/>
      </c>
      <c r="AR1029" s="6" t="s">
        <v>1567</v>
      </c>
      <c r="AS1029" s="6">
        <v>0</v>
      </c>
      <c r="AT1029" s="6">
        <v>1</v>
      </c>
    </row>
    <row r="1030" spans="2:46">
      <c r="B1030" s="6" t="s">
        <v>111</v>
      </c>
      <c r="D1030" s="6" t="s">
        <v>3316</v>
      </c>
      <c r="F1030" s="6" t="s">
        <v>4450</v>
      </c>
      <c r="G1030" s="6" t="str">
        <f>"3177242100875208"</f>
        <v>3177242100875208</v>
      </c>
      <c r="H1030" s="6">
        <v>3177242100875200</v>
      </c>
      <c r="I1030" s="6" t="s">
        <v>4451</v>
      </c>
      <c r="J1030" s="6" t="str">
        <f>"17 CK RIBBON BL"</f>
        <v>17 CK RIBBON BL</v>
      </c>
      <c r="K1030" s="6">
        <v>0</v>
      </c>
      <c r="L1030" s="6">
        <v>0</v>
      </c>
      <c r="M1030" s="6">
        <v>0</v>
      </c>
      <c r="N1030" s="6" t="str">
        <f>""</f>
        <v/>
      </c>
      <c r="O1030" s="6">
        <v>32088</v>
      </c>
      <c r="P1030" s="6" t="s">
        <v>4452</v>
      </c>
      <c r="R1030" s="6" t="s">
        <v>2119</v>
      </c>
      <c r="S1030" s="6" t="s">
        <v>4453</v>
      </c>
      <c r="T1030" s="6">
        <v>0</v>
      </c>
      <c r="U1030" s="6">
        <v>0</v>
      </c>
      <c r="V1030" s="6">
        <v>0</v>
      </c>
      <c r="W1030" s="6">
        <v>0</v>
      </c>
      <c r="X1030" s="6" t="s">
        <v>169</v>
      </c>
      <c r="Z1030" s="6" t="s">
        <v>170</v>
      </c>
      <c r="AA1030" s="6" t="s">
        <v>171</v>
      </c>
      <c r="AB1030" s="6">
        <v>0</v>
      </c>
      <c r="AC1030" s="6" t="str">
        <f>""</f>
        <v/>
      </c>
      <c r="AS1030" s="6">
        <v>0</v>
      </c>
      <c r="AT1030" s="6">
        <v>0</v>
      </c>
    </row>
    <row r="1031" spans="2:46">
      <c r="B1031" s="6" t="s">
        <v>111</v>
      </c>
      <c r="D1031" s="6" t="s">
        <v>3316</v>
      </c>
      <c r="F1031" s="6" t="s">
        <v>4454</v>
      </c>
      <c r="G1031" s="6" t="str">
        <f>"3177242100825208"</f>
        <v>3177242100825208</v>
      </c>
      <c r="I1031" s="6" t="s">
        <v>4451</v>
      </c>
      <c r="J1031" s="6" t="str">
        <f>"17 CK RIBBON BL"</f>
        <v>17 CK RIBBON BL</v>
      </c>
      <c r="K1031" s="6">
        <v>0</v>
      </c>
      <c r="L1031" s="6">
        <v>0</v>
      </c>
      <c r="M1031" s="6">
        <v>0</v>
      </c>
      <c r="N1031" s="6" t="str">
        <f>""</f>
        <v/>
      </c>
      <c r="O1031" s="6">
        <v>32087</v>
      </c>
      <c r="P1031" s="6" t="s">
        <v>4455</v>
      </c>
      <c r="R1031" s="6" t="s">
        <v>2175</v>
      </c>
      <c r="S1031" s="6" t="s">
        <v>4456</v>
      </c>
      <c r="T1031" s="6">
        <v>38</v>
      </c>
      <c r="U1031" s="6">
        <v>0</v>
      </c>
      <c r="V1031" s="6">
        <v>0</v>
      </c>
      <c r="W1031" s="6">
        <v>0</v>
      </c>
      <c r="X1031" s="6" t="s">
        <v>169</v>
      </c>
      <c r="Z1031" s="6" t="s">
        <v>170</v>
      </c>
      <c r="AA1031" s="6" t="s">
        <v>171</v>
      </c>
      <c r="AB1031" s="6">
        <v>0</v>
      </c>
      <c r="AC1031" s="6" t="str">
        <f>"KEY-041"</f>
        <v>KEY-041</v>
      </c>
      <c r="AQ1031" s="6" t="str">
        <f>""</f>
        <v/>
      </c>
      <c r="AR1031" s="6" t="s">
        <v>1567</v>
      </c>
      <c r="AS1031" s="6">
        <v>0</v>
      </c>
      <c r="AT1031" s="6">
        <v>38</v>
      </c>
    </row>
    <row r="1032" spans="2:46">
      <c r="B1032" s="6" t="s">
        <v>111</v>
      </c>
      <c r="D1032" s="6" t="s">
        <v>3316</v>
      </c>
      <c r="F1032" s="6" t="s">
        <v>4457</v>
      </c>
      <c r="G1032" s="6" t="str">
        <f>"3177242100425208"</f>
        <v>3177242100425208</v>
      </c>
      <c r="I1032" s="6" t="s">
        <v>4458</v>
      </c>
      <c r="J1032" s="6" t="str">
        <f>"17 PAPER FRILL BL"</f>
        <v>17 PAPER FRILL BL</v>
      </c>
      <c r="K1032" s="6">
        <v>0</v>
      </c>
      <c r="L1032" s="6">
        <v>0</v>
      </c>
      <c r="M1032" s="6">
        <v>0</v>
      </c>
      <c r="N1032" s="6" t="str">
        <f>""</f>
        <v/>
      </c>
      <c r="O1032" s="6">
        <v>32085</v>
      </c>
      <c r="P1032" s="6" t="s">
        <v>4459</v>
      </c>
      <c r="R1032" s="6" t="s">
        <v>2175</v>
      </c>
      <c r="S1032" s="6" t="s">
        <v>4460</v>
      </c>
      <c r="T1032" s="6">
        <v>1</v>
      </c>
      <c r="U1032" s="6">
        <v>0</v>
      </c>
      <c r="V1032" s="6">
        <v>0</v>
      </c>
      <c r="W1032" s="6">
        <v>0</v>
      </c>
      <c r="X1032" s="6" t="s">
        <v>169</v>
      </c>
      <c r="Z1032" s="6" t="s">
        <v>170</v>
      </c>
      <c r="AA1032" s="6" t="s">
        <v>171</v>
      </c>
      <c r="AB1032" s="6">
        <v>0</v>
      </c>
      <c r="AC1032" s="6" t="str">
        <f>"KEY-042"</f>
        <v>KEY-042</v>
      </c>
      <c r="AQ1032" s="6" t="str">
        <f>""</f>
        <v/>
      </c>
      <c r="AR1032" s="6" t="s">
        <v>1567</v>
      </c>
      <c r="AS1032" s="6">
        <v>0</v>
      </c>
      <c r="AT1032" s="6">
        <v>1</v>
      </c>
    </row>
    <row r="1033" spans="2:46">
      <c r="B1033" s="6" t="s">
        <v>111</v>
      </c>
      <c r="D1033" s="6" t="s">
        <v>3316</v>
      </c>
      <c r="F1033" s="6" t="s">
        <v>4461</v>
      </c>
      <c r="G1033" s="6" t="str">
        <f>"3177242100491208"</f>
        <v>3177242100491208</v>
      </c>
      <c r="H1033" s="6">
        <v>3177242100491200</v>
      </c>
      <c r="I1033" s="6" t="s">
        <v>4458</v>
      </c>
      <c r="J1033" s="6" t="str">
        <f>"17 PAPER FRILL BL"</f>
        <v>17 PAPER FRILL BL</v>
      </c>
      <c r="K1033" s="6">
        <v>0</v>
      </c>
      <c r="L1033" s="6">
        <v>0</v>
      </c>
      <c r="M1033" s="6">
        <v>0</v>
      </c>
      <c r="N1033" s="6" t="str">
        <f>""</f>
        <v/>
      </c>
      <c r="O1033" s="6">
        <v>32084</v>
      </c>
      <c r="P1033" s="6" t="s">
        <v>4462</v>
      </c>
      <c r="R1033" s="6" t="s">
        <v>2167</v>
      </c>
      <c r="S1033" s="6" t="s">
        <v>4463</v>
      </c>
      <c r="T1033" s="6">
        <v>0</v>
      </c>
      <c r="U1033" s="6">
        <v>0</v>
      </c>
      <c r="V1033" s="6">
        <v>0</v>
      </c>
      <c r="W1033" s="6">
        <v>0</v>
      </c>
      <c r="X1033" s="6" t="s">
        <v>169</v>
      </c>
      <c r="Z1033" s="6" t="s">
        <v>170</v>
      </c>
      <c r="AA1033" s="6" t="s">
        <v>171</v>
      </c>
      <c r="AB1033" s="6">
        <v>0</v>
      </c>
      <c r="AC1033" s="6" t="str">
        <f>""</f>
        <v/>
      </c>
      <c r="AS1033" s="6">
        <v>0</v>
      </c>
      <c r="AT1033" s="6">
        <v>0</v>
      </c>
    </row>
    <row r="1034" spans="2:46">
      <c r="B1034" s="6" t="s">
        <v>111</v>
      </c>
      <c r="D1034" s="6" t="s">
        <v>3316</v>
      </c>
      <c r="F1034" s="6" t="s">
        <v>4464</v>
      </c>
      <c r="G1034" s="6" t="str">
        <f>"3177242100299208"</f>
        <v>3177242100299208</v>
      </c>
      <c r="H1034" s="6">
        <v>3177242100299200</v>
      </c>
      <c r="I1034" s="6" t="s">
        <v>4465</v>
      </c>
      <c r="J1034" s="6" t="str">
        <f>"17 MOM BLOUSE"</f>
        <v>17 MOM BLOUSE</v>
      </c>
      <c r="K1034" s="6">
        <v>0</v>
      </c>
      <c r="L1034" s="6">
        <v>0</v>
      </c>
      <c r="M1034" s="6">
        <v>0</v>
      </c>
      <c r="N1034" s="6" t="str">
        <f>""</f>
        <v/>
      </c>
      <c r="O1034" s="6">
        <v>32082</v>
      </c>
      <c r="P1034" s="6" t="s">
        <v>4466</v>
      </c>
      <c r="R1034" s="6" t="s">
        <v>2106</v>
      </c>
      <c r="S1034" s="6" t="s">
        <v>4467</v>
      </c>
      <c r="T1034" s="6">
        <v>0</v>
      </c>
      <c r="U1034" s="6">
        <v>0</v>
      </c>
      <c r="V1034" s="6">
        <v>0</v>
      </c>
      <c r="W1034" s="6">
        <v>0</v>
      </c>
      <c r="X1034" s="6" t="s">
        <v>169</v>
      </c>
      <c r="Z1034" s="6" t="s">
        <v>170</v>
      </c>
      <c r="AA1034" s="6" t="s">
        <v>171</v>
      </c>
      <c r="AB1034" s="6">
        <v>0</v>
      </c>
      <c r="AC1034" s="6" t="str">
        <f>""</f>
        <v/>
      </c>
      <c r="AS1034" s="6">
        <v>0</v>
      </c>
      <c r="AT1034" s="6">
        <v>0</v>
      </c>
    </row>
    <row r="1035" spans="2:46">
      <c r="B1035" s="6" t="s">
        <v>111</v>
      </c>
      <c r="D1035" s="6" t="s">
        <v>3316</v>
      </c>
      <c r="F1035" s="6" t="s">
        <v>4468</v>
      </c>
      <c r="G1035" s="6" t="str">
        <f>"3177242100201208"</f>
        <v>3177242100201208</v>
      </c>
      <c r="I1035" s="6" t="s">
        <v>4465</v>
      </c>
      <c r="J1035" s="6" t="str">
        <f>"17 MOM BLOUSE"</f>
        <v>17 MOM BLOUSE</v>
      </c>
      <c r="K1035" s="6">
        <v>0</v>
      </c>
      <c r="L1035" s="6">
        <v>0</v>
      </c>
      <c r="M1035" s="6">
        <v>0</v>
      </c>
      <c r="N1035" s="6" t="str">
        <f>""</f>
        <v/>
      </c>
      <c r="O1035" s="6">
        <v>32081</v>
      </c>
      <c r="P1035" s="6" t="s">
        <v>4469</v>
      </c>
      <c r="R1035" s="6" t="s">
        <v>2446</v>
      </c>
      <c r="S1035" s="6" t="s">
        <v>4470</v>
      </c>
      <c r="T1035" s="6">
        <v>1</v>
      </c>
      <c r="U1035" s="6">
        <v>0</v>
      </c>
      <c r="V1035" s="6">
        <v>0</v>
      </c>
      <c r="W1035" s="6">
        <v>0</v>
      </c>
      <c r="X1035" s="6" t="s">
        <v>169</v>
      </c>
      <c r="Z1035" s="6" t="s">
        <v>170</v>
      </c>
      <c r="AA1035" s="6" t="s">
        <v>171</v>
      </c>
      <c r="AB1035" s="6">
        <v>0</v>
      </c>
      <c r="AC1035" s="6" t="str">
        <f>"KEY-048"</f>
        <v>KEY-048</v>
      </c>
      <c r="AQ1035" s="6" t="str">
        <f>""</f>
        <v/>
      </c>
      <c r="AR1035" s="6" t="s">
        <v>1567</v>
      </c>
      <c r="AS1035" s="6">
        <v>0</v>
      </c>
      <c r="AT1035" s="6">
        <v>1</v>
      </c>
    </row>
    <row r="1036" spans="2:46">
      <c r="B1036" s="6" t="s">
        <v>111</v>
      </c>
      <c r="D1036" s="6" t="s">
        <v>3316</v>
      </c>
      <c r="F1036" s="6" t="s">
        <v>4471</v>
      </c>
      <c r="G1036" s="6" t="str">
        <f>"3177212100199208"</f>
        <v>3177212100199208</v>
      </c>
      <c r="H1036" s="6">
        <v>3177212100199200</v>
      </c>
      <c r="I1036" s="6" t="s">
        <v>4472</v>
      </c>
      <c r="J1036" s="6" t="str">
        <f>"17 BOYFRIEND RIBBON SHIRT"</f>
        <v>17 BOYFRIEND RIBBON SHIRT</v>
      </c>
      <c r="K1036" s="6">
        <v>0</v>
      </c>
      <c r="L1036" s="6">
        <v>0</v>
      </c>
      <c r="M1036" s="6">
        <v>0</v>
      </c>
      <c r="N1036" s="6" t="str">
        <f>""</f>
        <v/>
      </c>
      <c r="O1036" s="6">
        <v>32079</v>
      </c>
      <c r="P1036" s="6" t="s">
        <v>4473</v>
      </c>
      <c r="R1036" s="6" t="s">
        <v>2106</v>
      </c>
      <c r="S1036" s="6" t="s">
        <v>4474</v>
      </c>
      <c r="T1036" s="6">
        <v>0</v>
      </c>
      <c r="U1036" s="6">
        <v>0</v>
      </c>
      <c r="V1036" s="6">
        <v>0</v>
      </c>
      <c r="W1036" s="6">
        <v>0</v>
      </c>
      <c r="X1036" s="6" t="s">
        <v>169</v>
      </c>
      <c r="Z1036" s="6" t="s">
        <v>170</v>
      </c>
      <c r="AA1036" s="6" t="s">
        <v>171</v>
      </c>
      <c r="AB1036" s="6">
        <v>0</v>
      </c>
      <c r="AC1036" s="6" t="str">
        <f>""</f>
        <v/>
      </c>
      <c r="AS1036" s="6">
        <v>0</v>
      </c>
      <c r="AT1036" s="6">
        <v>0</v>
      </c>
    </row>
    <row r="1037" spans="2:46">
      <c r="B1037" s="6" t="s">
        <v>111</v>
      </c>
      <c r="D1037" s="6" t="s">
        <v>3316</v>
      </c>
      <c r="F1037" s="6" t="s">
        <v>4475</v>
      </c>
      <c r="G1037" s="6" t="str">
        <f>"3177212100169208"</f>
        <v>3177212100169208</v>
      </c>
      <c r="H1037" s="6">
        <v>3177212100169200</v>
      </c>
      <c r="I1037" s="6" t="s">
        <v>4472</v>
      </c>
      <c r="J1037" s="6" t="str">
        <f>"17 BOYFRIEND RIBBON SHIRT"</f>
        <v>17 BOYFRIEND RIBBON SHIRT</v>
      </c>
      <c r="K1037" s="6">
        <v>0</v>
      </c>
      <c r="L1037" s="6">
        <v>0</v>
      </c>
      <c r="M1037" s="6">
        <v>0</v>
      </c>
      <c r="N1037" s="6" t="str">
        <f>""</f>
        <v/>
      </c>
      <c r="O1037" s="6">
        <v>32078</v>
      </c>
      <c r="P1037" s="6" t="s">
        <v>4476</v>
      </c>
      <c r="R1037" s="6" t="s">
        <v>2356</v>
      </c>
      <c r="S1037" s="6" t="s">
        <v>4477</v>
      </c>
      <c r="T1037" s="6">
        <v>0</v>
      </c>
      <c r="U1037" s="6">
        <v>0</v>
      </c>
      <c r="V1037" s="6">
        <v>0</v>
      </c>
      <c r="W1037" s="6">
        <v>0</v>
      </c>
      <c r="X1037" s="6" t="s">
        <v>169</v>
      </c>
      <c r="Z1037" s="6" t="s">
        <v>170</v>
      </c>
      <c r="AA1037" s="6" t="s">
        <v>171</v>
      </c>
      <c r="AB1037" s="6">
        <v>0</v>
      </c>
      <c r="AC1037" s="6" t="str">
        <f>""</f>
        <v/>
      </c>
      <c r="AS1037" s="6">
        <v>0</v>
      </c>
      <c r="AT1037" s="6">
        <v>0</v>
      </c>
    </row>
    <row r="1038" spans="2:46">
      <c r="B1038" s="6" t="s">
        <v>111</v>
      </c>
      <c r="D1038" s="6" t="s">
        <v>3316</v>
      </c>
      <c r="F1038" s="6" t="s">
        <v>4478</v>
      </c>
      <c r="G1038" s="6" t="str">
        <f>"3177242100599208"</f>
        <v>3177242100599208</v>
      </c>
      <c r="H1038" s="6">
        <v>3177242100599200</v>
      </c>
      <c r="I1038" s="6" t="s">
        <v>4479</v>
      </c>
      <c r="J1038" s="6" t="str">
        <f>"17 COVER BUSTIER"</f>
        <v>17 COVER BUSTIER</v>
      </c>
      <c r="K1038" s="6">
        <v>0</v>
      </c>
      <c r="L1038" s="6">
        <v>0</v>
      </c>
      <c r="M1038" s="6">
        <v>0</v>
      </c>
      <c r="N1038" s="6" t="str">
        <f>""</f>
        <v/>
      </c>
      <c r="O1038" s="6">
        <v>32076</v>
      </c>
      <c r="P1038" s="6" t="s">
        <v>4480</v>
      </c>
      <c r="R1038" s="6" t="s">
        <v>2106</v>
      </c>
      <c r="S1038" s="6" t="s">
        <v>4481</v>
      </c>
      <c r="T1038" s="6">
        <v>0</v>
      </c>
      <c r="U1038" s="6">
        <v>0</v>
      </c>
      <c r="V1038" s="6">
        <v>0</v>
      </c>
      <c r="W1038" s="6">
        <v>0</v>
      </c>
      <c r="X1038" s="6" t="s">
        <v>169</v>
      </c>
      <c r="Z1038" s="6" t="s">
        <v>170</v>
      </c>
      <c r="AA1038" s="6" t="s">
        <v>171</v>
      </c>
      <c r="AB1038" s="6">
        <v>0</v>
      </c>
      <c r="AC1038" s="6" t="str">
        <f>""</f>
        <v/>
      </c>
      <c r="AS1038" s="6">
        <v>0</v>
      </c>
      <c r="AT1038" s="6">
        <v>0</v>
      </c>
    </row>
    <row r="1039" spans="2:46">
      <c r="B1039" s="6" t="s">
        <v>111</v>
      </c>
      <c r="D1039" s="6" t="s">
        <v>3316</v>
      </c>
      <c r="F1039" s="6" t="s">
        <v>4482</v>
      </c>
      <c r="G1039" s="6" t="str">
        <f>"3177242100574208"</f>
        <v>3177242100574208</v>
      </c>
      <c r="H1039" s="6">
        <v>3177242100574200</v>
      </c>
      <c r="I1039" s="6" t="s">
        <v>4479</v>
      </c>
      <c r="J1039" s="6" t="str">
        <f>"17 COVER BUSTIER"</f>
        <v>17 COVER BUSTIER</v>
      </c>
      <c r="K1039" s="6">
        <v>0</v>
      </c>
      <c r="L1039" s="6">
        <v>0</v>
      </c>
      <c r="M1039" s="6">
        <v>0</v>
      </c>
      <c r="N1039" s="6" t="str">
        <f>""</f>
        <v/>
      </c>
      <c r="O1039" s="6">
        <v>32075</v>
      </c>
      <c r="P1039" s="6" t="s">
        <v>4483</v>
      </c>
      <c r="R1039" s="6" t="s">
        <v>2102</v>
      </c>
      <c r="S1039" s="6" t="s">
        <v>4484</v>
      </c>
      <c r="T1039" s="6">
        <v>0</v>
      </c>
      <c r="U1039" s="6">
        <v>0</v>
      </c>
      <c r="V1039" s="6">
        <v>0</v>
      </c>
      <c r="W1039" s="6">
        <v>0</v>
      </c>
      <c r="X1039" s="6" t="s">
        <v>169</v>
      </c>
      <c r="Z1039" s="6" t="s">
        <v>170</v>
      </c>
      <c r="AA1039" s="6" t="s">
        <v>171</v>
      </c>
      <c r="AB1039" s="6">
        <v>0</v>
      </c>
      <c r="AC1039" s="6" t="str">
        <f>""</f>
        <v/>
      </c>
      <c r="AS1039" s="6">
        <v>0</v>
      </c>
      <c r="AT1039" s="6">
        <v>0</v>
      </c>
    </row>
    <row r="1040" spans="2:46">
      <c r="B1040" s="6" t="s">
        <v>111</v>
      </c>
      <c r="D1040" s="6" t="s">
        <v>3316</v>
      </c>
      <c r="F1040" s="6" t="s">
        <v>4485</v>
      </c>
      <c r="G1040" s="6" t="str">
        <f>"3177222101869208"</f>
        <v>3177222101869208</v>
      </c>
      <c r="H1040" s="6">
        <v>3177222101869200</v>
      </c>
      <c r="I1040" s="6" t="s">
        <v>4486</v>
      </c>
      <c r="J1040" s="6" t="str">
        <f>"17 F - CRACK TS"</f>
        <v>17 F - CRACK TS</v>
      </c>
      <c r="K1040" s="6">
        <v>0</v>
      </c>
      <c r="L1040" s="6">
        <v>0</v>
      </c>
      <c r="M1040" s="6">
        <v>0</v>
      </c>
      <c r="N1040" s="6" t="str">
        <f>""</f>
        <v/>
      </c>
      <c r="O1040" s="6">
        <v>32073</v>
      </c>
      <c r="P1040" s="6" t="s">
        <v>4487</v>
      </c>
      <c r="R1040" s="6" t="s">
        <v>2356</v>
      </c>
      <c r="S1040" s="6" t="s">
        <v>4488</v>
      </c>
      <c r="T1040" s="6">
        <v>0</v>
      </c>
      <c r="U1040" s="6">
        <v>0</v>
      </c>
      <c r="V1040" s="6">
        <v>0</v>
      </c>
      <c r="W1040" s="6">
        <v>0</v>
      </c>
      <c r="X1040" s="6" t="s">
        <v>169</v>
      </c>
      <c r="Z1040" s="6" t="s">
        <v>170</v>
      </c>
      <c r="AA1040" s="6" t="s">
        <v>171</v>
      </c>
      <c r="AB1040" s="6">
        <v>0</v>
      </c>
      <c r="AC1040" s="6" t="str">
        <f>""</f>
        <v/>
      </c>
      <c r="AS1040" s="6">
        <v>0</v>
      </c>
      <c r="AT1040" s="6">
        <v>0</v>
      </c>
    </row>
    <row r="1041" spans="2:46">
      <c r="B1041" s="6" t="s">
        <v>111</v>
      </c>
      <c r="D1041" s="6" t="s">
        <v>3316</v>
      </c>
      <c r="F1041" s="6" t="s">
        <v>4489</v>
      </c>
      <c r="G1041" s="6" t="str">
        <f>"3177222100499208"</f>
        <v>3177222100499208</v>
      </c>
      <c r="H1041" s="6">
        <v>3177222100499200</v>
      </c>
      <c r="I1041" s="6" t="s">
        <v>4490</v>
      </c>
      <c r="J1041" s="6" t="str">
        <f>"17 MOM TURTLENECK TS"</f>
        <v>17 MOM TURTLENECK TS</v>
      </c>
      <c r="K1041" s="6">
        <v>0</v>
      </c>
      <c r="L1041" s="6">
        <v>0</v>
      </c>
      <c r="M1041" s="6">
        <v>0</v>
      </c>
      <c r="N1041" s="6" t="str">
        <f>""</f>
        <v/>
      </c>
      <c r="O1041" s="6">
        <v>32071</v>
      </c>
      <c r="P1041" s="6" t="s">
        <v>4491</v>
      </c>
      <c r="R1041" s="6" t="s">
        <v>2106</v>
      </c>
      <c r="S1041" s="6" t="s">
        <v>4492</v>
      </c>
      <c r="T1041" s="6">
        <v>0</v>
      </c>
      <c r="U1041" s="6">
        <v>0</v>
      </c>
      <c r="V1041" s="6">
        <v>0</v>
      </c>
      <c r="W1041" s="6">
        <v>0</v>
      </c>
      <c r="X1041" s="6" t="s">
        <v>169</v>
      </c>
      <c r="Z1041" s="6" t="s">
        <v>170</v>
      </c>
      <c r="AA1041" s="6" t="s">
        <v>171</v>
      </c>
      <c r="AB1041" s="6">
        <v>0</v>
      </c>
      <c r="AC1041" s="6" t="str">
        <f>""</f>
        <v/>
      </c>
      <c r="AS1041" s="6">
        <v>0</v>
      </c>
      <c r="AT1041" s="6">
        <v>0</v>
      </c>
    </row>
    <row r="1042" spans="2:46">
      <c r="B1042" s="6" t="s">
        <v>111</v>
      </c>
      <c r="D1042" s="6" t="s">
        <v>3316</v>
      </c>
      <c r="F1042" s="6" t="s">
        <v>4493</v>
      </c>
      <c r="G1042" s="6" t="str">
        <f>"3177222100474208"</f>
        <v>3177222100474208</v>
      </c>
      <c r="H1042" s="6">
        <v>3177222100474200</v>
      </c>
      <c r="I1042" s="6" t="s">
        <v>4490</v>
      </c>
      <c r="J1042" s="6" t="str">
        <f>"17 MOM TURTLENECK TS"</f>
        <v>17 MOM TURTLENECK TS</v>
      </c>
      <c r="K1042" s="6">
        <v>0</v>
      </c>
      <c r="L1042" s="6">
        <v>0</v>
      </c>
      <c r="M1042" s="6">
        <v>0</v>
      </c>
      <c r="N1042" s="6" t="str">
        <f>""</f>
        <v/>
      </c>
      <c r="O1042" s="6">
        <v>32070</v>
      </c>
      <c r="P1042" s="6" t="s">
        <v>4494</v>
      </c>
      <c r="R1042" s="6" t="s">
        <v>2102</v>
      </c>
      <c r="S1042" s="6" t="s">
        <v>4495</v>
      </c>
      <c r="T1042" s="6">
        <v>0</v>
      </c>
      <c r="U1042" s="6">
        <v>0</v>
      </c>
      <c r="V1042" s="6">
        <v>0</v>
      </c>
      <c r="W1042" s="6">
        <v>0</v>
      </c>
      <c r="X1042" s="6" t="s">
        <v>169</v>
      </c>
      <c r="Z1042" s="6" t="s">
        <v>170</v>
      </c>
      <c r="AA1042" s="6" t="s">
        <v>171</v>
      </c>
      <c r="AB1042" s="6">
        <v>0</v>
      </c>
      <c r="AC1042" s="6" t="str">
        <f>""</f>
        <v/>
      </c>
      <c r="AS1042" s="6">
        <v>0</v>
      </c>
      <c r="AT1042" s="6">
        <v>0</v>
      </c>
    </row>
    <row r="1043" spans="2:46">
      <c r="B1043" s="6" t="s">
        <v>111</v>
      </c>
      <c r="D1043" s="6" t="s">
        <v>3316</v>
      </c>
      <c r="F1043" s="6" t="s">
        <v>4496</v>
      </c>
      <c r="G1043" s="6" t="str">
        <f>"3177222100469208"</f>
        <v>3177222100469208</v>
      </c>
      <c r="H1043" s="6">
        <v>3177222100469200</v>
      </c>
      <c r="I1043" s="6" t="s">
        <v>4490</v>
      </c>
      <c r="J1043" s="6" t="str">
        <f>"17 MOM TURTLENECK TS"</f>
        <v>17 MOM TURTLENECK TS</v>
      </c>
      <c r="K1043" s="6">
        <v>0</v>
      </c>
      <c r="L1043" s="6">
        <v>0</v>
      </c>
      <c r="M1043" s="6">
        <v>0</v>
      </c>
      <c r="N1043" s="6" t="str">
        <f>""</f>
        <v/>
      </c>
      <c r="O1043" s="6">
        <v>32069</v>
      </c>
      <c r="P1043" s="6" t="s">
        <v>4497</v>
      </c>
      <c r="R1043" s="6" t="s">
        <v>2356</v>
      </c>
      <c r="S1043" s="6" t="s">
        <v>4498</v>
      </c>
      <c r="T1043" s="6">
        <v>0</v>
      </c>
      <c r="U1043" s="6">
        <v>0</v>
      </c>
      <c r="V1043" s="6">
        <v>0</v>
      </c>
      <c r="W1043" s="6">
        <v>0</v>
      </c>
      <c r="X1043" s="6" t="s">
        <v>169</v>
      </c>
      <c r="Z1043" s="6" t="s">
        <v>170</v>
      </c>
      <c r="AA1043" s="6" t="s">
        <v>171</v>
      </c>
      <c r="AB1043" s="6">
        <v>0</v>
      </c>
      <c r="AC1043" s="6" t="str">
        <f>""</f>
        <v/>
      </c>
      <c r="AS1043" s="6">
        <v>0</v>
      </c>
      <c r="AT1043" s="6">
        <v>0</v>
      </c>
    </row>
    <row r="1044" spans="2:46">
      <c r="B1044" s="6" t="s">
        <v>111</v>
      </c>
      <c r="D1044" s="6" t="s">
        <v>3316</v>
      </c>
      <c r="F1044" s="6" t="s">
        <v>4499</v>
      </c>
      <c r="G1044" s="6" t="str">
        <f>"3177222101475208"</f>
        <v>3177222101475208</v>
      </c>
      <c r="H1044" s="6">
        <v>3177222101475200</v>
      </c>
      <c r="I1044" s="6" t="s">
        <v>4500</v>
      </c>
      <c r="J1044" s="6" t="str">
        <f>"17 SIGNATURE ST TS"</f>
        <v>17 SIGNATURE ST TS</v>
      </c>
      <c r="K1044" s="6">
        <v>0</v>
      </c>
      <c r="L1044" s="6">
        <v>0</v>
      </c>
      <c r="M1044" s="6">
        <v>0</v>
      </c>
      <c r="N1044" s="6" t="str">
        <f>""</f>
        <v/>
      </c>
      <c r="O1044" s="6">
        <v>32067</v>
      </c>
      <c r="P1044" s="6" t="s">
        <v>4501</v>
      </c>
      <c r="R1044" s="6" t="s">
        <v>2119</v>
      </c>
      <c r="S1044" s="6" t="s">
        <v>4502</v>
      </c>
      <c r="T1044" s="6">
        <v>0</v>
      </c>
      <c r="U1044" s="6">
        <v>0</v>
      </c>
      <c r="V1044" s="6">
        <v>0</v>
      </c>
      <c r="W1044" s="6">
        <v>0</v>
      </c>
      <c r="X1044" s="6" t="s">
        <v>169</v>
      </c>
      <c r="Z1044" s="6" t="s">
        <v>170</v>
      </c>
      <c r="AA1044" s="6" t="s">
        <v>171</v>
      </c>
      <c r="AB1044" s="6">
        <v>0</v>
      </c>
      <c r="AC1044" s="6" t="str">
        <f>""</f>
        <v/>
      </c>
      <c r="AS1044" s="6">
        <v>0</v>
      </c>
      <c r="AT1044" s="6">
        <v>0</v>
      </c>
    </row>
    <row r="1045" spans="2:46">
      <c r="B1045" s="6" t="s">
        <v>111</v>
      </c>
      <c r="D1045" s="6" t="s">
        <v>3316</v>
      </c>
      <c r="F1045" s="6" t="s">
        <v>4503</v>
      </c>
      <c r="G1045" s="6" t="str">
        <f>"3177222101430208"</f>
        <v>3177222101430208</v>
      </c>
      <c r="H1045" s="6">
        <v>3177222101430200</v>
      </c>
      <c r="I1045" s="6" t="s">
        <v>4500</v>
      </c>
      <c r="J1045" s="6" t="str">
        <f>"17 SIGNATURE ST TS"</f>
        <v>17 SIGNATURE ST TS</v>
      </c>
      <c r="K1045" s="6">
        <v>0</v>
      </c>
      <c r="L1045" s="6">
        <v>0</v>
      </c>
      <c r="M1045" s="6">
        <v>0</v>
      </c>
      <c r="N1045" s="6" t="str">
        <f>""</f>
        <v/>
      </c>
      <c r="O1045" s="6">
        <v>32066</v>
      </c>
      <c r="P1045" s="6" t="s">
        <v>4504</v>
      </c>
      <c r="R1045" s="6" t="s">
        <v>2111</v>
      </c>
      <c r="S1045" s="6" t="s">
        <v>4505</v>
      </c>
      <c r="T1045" s="6">
        <v>0</v>
      </c>
      <c r="U1045" s="6">
        <v>0</v>
      </c>
      <c r="V1045" s="6">
        <v>0</v>
      </c>
      <c r="W1045" s="6">
        <v>0</v>
      </c>
      <c r="X1045" s="6" t="s">
        <v>169</v>
      </c>
      <c r="Z1045" s="6" t="s">
        <v>170</v>
      </c>
      <c r="AA1045" s="6" t="s">
        <v>171</v>
      </c>
      <c r="AB1045" s="6">
        <v>0</v>
      </c>
      <c r="AC1045" s="6" t="str">
        <f>""</f>
        <v/>
      </c>
      <c r="AS1045" s="6">
        <v>0</v>
      </c>
      <c r="AT1045" s="6">
        <v>0</v>
      </c>
    </row>
    <row r="1046" spans="2:46">
      <c r="B1046" s="6" t="s">
        <v>111</v>
      </c>
      <c r="D1046" s="6" t="s">
        <v>3316</v>
      </c>
      <c r="F1046" s="6" t="s">
        <v>4506</v>
      </c>
      <c r="G1046" s="6" t="str">
        <f>"3177242100130208"</f>
        <v>3177242100130208</v>
      </c>
      <c r="I1046" s="6" t="s">
        <v>4507</v>
      </c>
      <c r="J1046" s="6" t="str">
        <f>"17 SOFT VEST"</f>
        <v>17 SOFT VEST</v>
      </c>
      <c r="K1046" s="6">
        <v>0</v>
      </c>
      <c r="L1046" s="6">
        <v>0</v>
      </c>
      <c r="M1046" s="6">
        <v>0</v>
      </c>
      <c r="N1046" s="6" t="str">
        <f>""</f>
        <v/>
      </c>
      <c r="O1046" s="6">
        <v>32064</v>
      </c>
      <c r="P1046" s="6" t="s">
        <v>4508</v>
      </c>
      <c r="R1046" s="6" t="s">
        <v>2111</v>
      </c>
      <c r="S1046" s="6" t="s">
        <v>4509</v>
      </c>
      <c r="T1046" s="6">
        <v>1</v>
      </c>
      <c r="U1046" s="6">
        <v>0</v>
      </c>
      <c r="V1046" s="6">
        <v>0</v>
      </c>
      <c r="W1046" s="6">
        <v>0</v>
      </c>
      <c r="X1046" s="6" t="s">
        <v>169</v>
      </c>
      <c r="Z1046" s="6" t="s">
        <v>170</v>
      </c>
      <c r="AA1046" s="6" t="s">
        <v>171</v>
      </c>
      <c r="AB1046" s="6">
        <v>0</v>
      </c>
      <c r="AC1046" s="6" t="str">
        <f>"KEY-042"</f>
        <v>KEY-042</v>
      </c>
      <c r="AQ1046" s="6" t="str">
        <f>""</f>
        <v/>
      </c>
      <c r="AR1046" s="6" t="s">
        <v>1567</v>
      </c>
      <c r="AS1046" s="6">
        <v>0</v>
      </c>
      <c r="AT1046" s="6">
        <v>1</v>
      </c>
    </row>
    <row r="1047" spans="2:46">
      <c r="B1047" s="6" t="s">
        <v>111</v>
      </c>
      <c r="D1047" s="6" t="s">
        <v>3316</v>
      </c>
      <c r="F1047" s="6" t="s">
        <v>4510</v>
      </c>
      <c r="G1047" s="6" t="str">
        <f>"3177242100175200"</f>
        <v>3177242100175200</v>
      </c>
      <c r="I1047" s="6" t="s">
        <v>4507</v>
      </c>
      <c r="J1047" s="6" t="str">
        <f>"17 SOFT VEST"</f>
        <v>17 SOFT VEST</v>
      </c>
      <c r="K1047" s="6">
        <v>0</v>
      </c>
      <c r="L1047" s="6">
        <v>0</v>
      </c>
      <c r="M1047" s="6">
        <v>0</v>
      </c>
      <c r="N1047" s="6" t="str">
        <f>""</f>
        <v/>
      </c>
      <c r="O1047" s="6">
        <v>32063</v>
      </c>
      <c r="P1047" s="6" t="s">
        <v>4511</v>
      </c>
      <c r="R1047" s="6" t="s">
        <v>2119</v>
      </c>
      <c r="S1047" s="6" t="s">
        <v>4512</v>
      </c>
      <c r="T1047" s="6">
        <v>1</v>
      </c>
      <c r="U1047" s="6">
        <v>0</v>
      </c>
      <c r="V1047" s="6">
        <v>0</v>
      </c>
      <c r="W1047" s="6">
        <v>0</v>
      </c>
      <c r="X1047" s="6" t="s">
        <v>169</v>
      </c>
      <c r="Z1047" s="6" t="s">
        <v>170</v>
      </c>
      <c r="AA1047" s="6" t="s">
        <v>171</v>
      </c>
      <c r="AB1047" s="6">
        <v>0</v>
      </c>
      <c r="AC1047" s="6" t="str">
        <f>"KEY-048"</f>
        <v>KEY-048</v>
      </c>
      <c r="AQ1047" s="6" t="str">
        <f>""</f>
        <v/>
      </c>
      <c r="AR1047" s="6" t="s">
        <v>1567</v>
      </c>
      <c r="AS1047" s="6">
        <v>0</v>
      </c>
      <c r="AT1047" s="6">
        <v>1</v>
      </c>
    </row>
    <row r="1048" spans="2:46">
      <c r="B1048" s="6" t="s">
        <v>111</v>
      </c>
      <c r="D1048" s="6" t="s">
        <v>3316</v>
      </c>
      <c r="F1048" s="6" t="s">
        <v>4513</v>
      </c>
      <c r="G1048" s="6" t="str">
        <f>"3177222100399208"</f>
        <v>3177222100399208</v>
      </c>
      <c r="H1048" s="6">
        <v>3177222100399200</v>
      </c>
      <c r="I1048" s="6" t="s">
        <v>4514</v>
      </c>
      <c r="J1048" s="6" t="str">
        <f>"17 MESH TOP"</f>
        <v>17 MESH TOP</v>
      </c>
      <c r="K1048" s="6">
        <v>0</v>
      </c>
      <c r="L1048" s="6">
        <v>0</v>
      </c>
      <c r="M1048" s="6">
        <v>0</v>
      </c>
      <c r="N1048" s="6" t="str">
        <f>""</f>
        <v/>
      </c>
      <c r="O1048" s="6">
        <v>32061</v>
      </c>
      <c r="P1048" s="6" t="s">
        <v>4515</v>
      </c>
      <c r="R1048" s="6" t="s">
        <v>601</v>
      </c>
      <c r="S1048" s="6" t="s">
        <v>4516</v>
      </c>
      <c r="T1048" s="6">
        <v>0</v>
      </c>
      <c r="U1048" s="6">
        <v>0</v>
      </c>
      <c r="V1048" s="6">
        <v>0</v>
      </c>
      <c r="W1048" s="6">
        <v>0</v>
      </c>
      <c r="X1048" s="6" t="s">
        <v>169</v>
      </c>
      <c r="Z1048" s="6" t="s">
        <v>170</v>
      </c>
      <c r="AA1048" s="6" t="s">
        <v>171</v>
      </c>
      <c r="AB1048" s="6">
        <v>0</v>
      </c>
      <c r="AC1048" s="6" t="str">
        <f>""</f>
        <v/>
      </c>
      <c r="AS1048" s="6">
        <v>0</v>
      </c>
      <c r="AT1048" s="6">
        <v>0</v>
      </c>
    </row>
    <row r="1049" spans="2:46">
      <c r="B1049" s="6" t="s">
        <v>111</v>
      </c>
      <c r="D1049" s="6" t="s">
        <v>3316</v>
      </c>
      <c r="F1049" s="6" t="s">
        <v>4517</v>
      </c>
      <c r="G1049" s="6" t="str">
        <f>"3177222100299208"</f>
        <v>3177222100299208</v>
      </c>
      <c r="H1049" s="6">
        <v>3177222100299200</v>
      </c>
      <c r="I1049" s="6" t="s">
        <v>4514</v>
      </c>
      <c r="J1049" s="6" t="str">
        <f>"17 MESH TOP"</f>
        <v>17 MESH TOP</v>
      </c>
      <c r="K1049" s="6">
        <v>0</v>
      </c>
      <c r="L1049" s="6">
        <v>0</v>
      </c>
      <c r="M1049" s="6">
        <v>0</v>
      </c>
      <c r="N1049" s="6" t="str">
        <f>""</f>
        <v/>
      </c>
      <c r="O1049" s="6">
        <v>32060</v>
      </c>
      <c r="P1049" s="6" t="s">
        <v>4518</v>
      </c>
      <c r="R1049" s="6" t="s">
        <v>606</v>
      </c>
      <c r="S1049" s="6" t="s">
        <v>4519</v>
      </c>
      <c r="T1049" s="6">
        <v>0</v>
      </c>
      <c r="U1049" s="6">
        <v>0</v>
      </c>
      <c r="V1049" s="6">
        <v>0</v>
      </c>
      <c r="W1049" s="6">
        <v>0</v>
      </c>
      <c r="X1049" s="6" t="s">
        <v>169</v>
      </c>
      <c r="Z1049" s="6" t="s">
        <v>170</v>
      </c>
      <c r="AA1049" s="6" t="s">
        <v>171</v>
      </c>
      <c r="AB1049" s="6">
        <v>0</v>
      </c>
      <c r="AC1049" s="6" t="str">
        <f>""</f>
        <v/>
      </c>
      <c r="AS1049" s="6">
        <v>0</v>
      </c>
      <c r="AT1049" s="6">
        <v>0</v>
      </c>
    </row>
    <row r="1050" spans="2:46">
      <c r="B1050" s="6" t="s">
        <v>111</v>
      </c>
      <c r="D1050" s="6" t="s">
        <v>3316</v>
      </c>
      <c r="F1050" s="6" t="s">
        <v>4520</v>
      </c>
      <c r="G1050" s="6" t="str">
        <f>"3177222100374208"</f>
        <v>3177222100374208</v>
      </c>
      <c r="H1050" s="6">
        <v>3177222100374200</v>
      </c>
      <c r="I1050" s="6" t="s">
        <v>4514</v>
      </c>
      <c r="J1050" s="6" t="str">
        <f>"17 MESH TOP"</f>
        <v>17 MESH TOP</v>
      </c>
      <c r="K1050" s="6">
        <v>0</v>
      </c>
      <c r="L1050" s="6">
        <v>0</v>
      </c>
      <c r="M1050" s="6">
        <v>0</v>
      </c>
      <c r="N1050" s="6" t="str">
        <f>""</f>
        <v/>
      </c>
      <c r="O1050" s="6">
        <v>32059</v>
      </c>
      <c r="P1050" s="6" t="s">
        <v>4521</v>
      </c>
      <c r="R1050" s="6" t="s">
        <v>639</v>
      </c>
      <c r="S1050" s="6" t="s">
        <v>4522</v>
      </c>
      <c r="T1050" s="6">
        <v>0</v>
      </c>
      <c r="U1050" s="6">
        <v>0</v>
      </c>
      <c r="V1050" s="6">
        <v>0</v>
      </c>
      <c r="W1050" s="6">
        <v>0</v>
      </c>
      <c r="X1050" s="6" t="s">
        <v>169</v>
      </c>
      <c r="Z1050" s="6" t="s">
        <v>170</v>
      </c>
      <c r="AA1050" s="6" t="s">
        <v>171</v>
      </c>
      <c r="AB1050" s="6">
        <v>0</v>
      </c>
      <c r="AC1050" s="6" t="str">
        <f>""</f>
        <v/>
      </c>
      <c r="AS1050" s="6">
        <v>0</v>
      </c>
      <c r="AT1050" s="6">
        <v>0</v>
      </c>
    </row>
    <row r="1051" spans="2:46">
      <c r="B1051" s="6" t="s">
        <v>111</v>
      </c>
      <c r="D1051" s="6" t="s">
        <v>3316</v>
      </c>
      <c r="F1051" s="6" t="s">
        <v>4523</v>
      </c>
      <c r="G1051" s="6" t="str">
        <f>"3177222100274208"</f>
        <v>3177222100274208</v>
      </c>
      <c r="I1051" s="6" t="s">
        <v>4514</v>
      </c>
      <c r="J1051" s="6" t="str">
        <f>"17 MESH TOP"</f>
        <v>17 MESH TOP</v>
      </c>
      <c r="K1051" s="6">
        <v>0</v>
      </c>
      <c r="L1051" s="6">
        <v>0</v>
      </c>
      <c r="M1051" s="6">
        <v>0</v>
      </c>
      <c r="N1051" s="6" t="str">
        <f>""</f>
        <v/>
      </c>
      <c r="O1051" s="6">
        <v>32058</v>
      </c>
      <c r="P1051" s="6" t="s">
        <v>4524</v>
      </c>
      <c r="R1051" s="6" t="s">
        <v>644</v>
      </c>
      <c r="S1051" s="6" t="s">
        <v>4525</v>
      </c>
      <c r="T1051" s="6">
        <v>1</v>
      </c>
      <c r="U1051" s="6">
        <v>0</v>
      </c>
      <c r="V1051" s="6">
        <v>0</v>
      </c>
      <c r="W1051" s="6">
        <v>0</v>
      </c>
      <c r="X1051" s="6" t="s">
        <v>169</v>
      </c>
      <c r="Z1051" s="6" t="s">
        <v>170</v>
      </c>
      <c r="AA1051" s="6" t="s">
        <v>171</v>
      </c>
      <c r="AB1051" s="6">
        <v>0</v>
      </c>
      <c r="AC1051" s="6" t="str">
        <f>"KEY-042"</f>
        <v>KEY-042</v>
      </c>
      <c r="AQ1051" s="6" t="str">
        <f>""</f>
        <v/>
      </c>
      <c r="AR1051" s="6" t="s">
        <v>1567</v>
      </c>
      <c r="AS1051" s="6">
        <v>0</v>
      </c>
      <c r="AT1051" s="6">
        <v>1</v>
      </c>
    </row>
    <row r="1052" spans="2:46">
      <c r="B1052" s="6" t="s">
        <v>111</v>
      </c>
      <c r="D1052" s="6" t="s">
        <v>3316</v>
      </c>
      <c r="F1052" s="6" t="s">
        <v>4526</v>
      </c>
      <c r="G1052" s="6" t="str">
        <f>"3177112101030208"</f>
        <v>3177112101030208</v>
      </c>
      <c r="I1052" s="6" t="s">
        <v>4527</v>
      </c>
      <c r="J1052" s="6" t="str">
        <f>"17 JC TRENCH"</f>
        <v>17 JC TRENCH</v>
      </c>
      <c r="K1052" s="6">
        <v>0</v>
      </c>
      <c r="L1052" s="6">
        <v>0</v>
      </c>
      <c r="M1052" s="6">
        <v>0</v>
      </c>
      <c r="N1052" s="6" t="str">
        <f>""</f>
        <v/>
      </c>
      <c r="O1052" s="6">
        <v>32056</v>
      </c>
      <c r="P1052" s="6" t="s">
        <v>4528</v>
      </c>
      <c r="R1052" s="6" t="s">
        <v>2111</v>
      </c>
      <c r="S1052" s="6" t="s">
        <v>4529</v>
      </c>
      <c r="T1052" s="6">
        <v>1</v>
      </c>
      <c r="U1052" s="6">
        <v>0</v>
      </c>
      <c r="V1052" s="6">
        <v>0</v>
      </c>
      <c r="W1052" s="6">
        <v>0</v>
      </c>
      <c r="X1052" s="6" t="s">
        <v>169</v>
      </c>
      <c r="Z1052" s="6" t="s">
        <v>170</v>
      </c>
      <c r="AA1052" s="6" t="s">
        <v>171</v>
      </c>
      <c r="AB1052" s="6">
        <v>0</v>
      </c>
      <c r="AC1052" s="6" t="str">
        <f>"KEY-060"</f>
        <v>KEY-060</v>
      </c>
      <c r="AQ1052" s="6" t="str">
        <f>""</f>
        <v/>
      </c>
      <c r="AR1052" s="6" t="s">
        <v>1567</v>
      </c>
      <c r="AS1052" s="6">
        <v>0</v>
      </c>
      <c r="AT1052" s="6">
        <v>1</v>
      </c>
    </row>
    <row r="1053" spans="2:46">
      <c r="B1053" s="6" t="s">
        <v>111</v>
      </c>
      <c r="D1053" s="6" t="s">
        <v>3316</v>
      </c>
      <c r="F1053" s="6" t="s">
        <v>4530</v>
      </c>
      <c r="G1053" s="6" t="str">
        <f>"3177112101001208"</f>
        <v>3177112101001208</v>
      </c>
      <c r="H1053" s="6">
        <v>3177112101001200</v>
      </c>
      <c r="I1053" s="6" t="s">
        <v>4527</v>
      </c>
      <c r="J1053" s="6" t="str">
        <f>"17 JC TRENCH"</f>
        <v>17 JC TRENCH</v>
      </c>
      <c r="K1053" s="6">
        <v>0</v>
      </c>
      <c r="L1053" s="6">
        <v>0</v>
      </c>
      <c r="M1053" s="6">
        <v>0</v>
      </c>
      <c r="N1053" s="6" t="str">
        <f>""</f>
        <v/>
      </c>
      <c r="O1053" s="6">
        <v>32055</v>
      </c>
      <c r="P1053" s="6" t="s">
        <v>4531</v>
      </c>
      <c r="R1053" s="6" t="s">
        <v>2446</v>
      </c>
      <c r="S1053" s="6" t="s">
        <v>4532</v>
      </c>
      <c r="T1053" s="6">
        <v>0</v>
      </c>
      <c r="U1053" s="6">
        <v>0</v>
      </c>
      <c r="V1053" s="6">
        <v>0</v>
      </c>
      <c r="W1053" s="6">
        <v>0</v>
      </c>
      <c r="X1053" s="6" t="s">
        <v>169</v>
      </c>
      <c r="Z1053" s="6" t="s">
        <v>170</v>
      </c>
      <c r="AA1053" s="6" t="s">
        <v>171</v>
      </c>
      <c r="AB1053" s="6">
        <v>0</v>
      </c>
      <c r="AC1053" s="6" t="str">
        <f>""</f>
        <v/>
      </c>
      <c r="AS1053" s="6">
        <v>0</v>
      </c>
      <c r="AT1053" s="6">
        <v>0</v>
      </c>
    </row>
    <row r="1054" spans="2:46">
      <c r="B1054" s="6" t="s">
        <v>111</v>
      </c>
      <c r="D1054" s="6" t="s">
        <v>3316</v>
      </c>
      <c r="F1054" s="6" t="s">
        <v>4533</v>
      </c>
      <c r="G1054" s="6" t="str">
        <f>"3177112102401120"</f>
        <v>3177112102401120</v>
      </c>
      <c r="H1054" s="6">
        <v>3177112102401120</v>
      </c>
      <c r="I1054" s="6" t="s">
        <v>4534</v>
      </c>
      <c r="J1054" s="6" t="str">
        <f>"17 JC RIBBON TRENCH"</f>
        <v>17 JC RIBBON TRENCH</v>
      </c>
      <c r="K1054" s="6">
        <v>0</v>
      </c>
      <c r="L1054" s="6">
        <v>0</v>
      </c>
      <c r="M1054" s="6">
        <v>0</v>
      </c>
      <c r="N1054" s="6" t="str">
        <f>""</f>
        <v/>
      </c>
      <c r="O1054" s="6">
        <v>32053</v>
      </c>
      <c r="P1054" s="6" t="s">
        <v>4535</v>
      </c>
      <c r="R1054" s="6" t="s">
        <v>2446</v>
      </c>
      <c r="S1054" s="6" t="s">
        <v>4536</v>
      </c>
      <c r="T1054" s="6">
        <v>0</v>
      </c>
      <c r="U1054" s="6">
        <v>0</v>
      </c>
      <c r="V1054" s="6">
        <v>0</v>
      </c>
      <c r="W1054" s="6">
        <v>0</v>
      </c>
      <c r="X1054" s="6" t="s">
        <v>169</v>
      </c>
      <c r="Z1054" s="6" t="s">
        <v>170</v>
      </c>
      <c r="AA1054" s="6" t="s">
        <v>171</v>
      </c>
      <c r="AB1054" s="6">
        <v>0</v>
      </c>
      <c r="AC1054" s="6" t="str">
        <f>""</f>
        <v/>
      </c>
      <c r="AS1054" s="6">
        <v>0</v>
      </c>
      <c r="AT1054" s="6">
        <v>0</v>
      </c>
    </row>
    <row r="1055" spans="2:46">
      <c r="B1055" s="6" t="s">
        <v>111</v>
      </c>
      <c r="D1055" s="6" t="s">
        <v>3316</v>
      </c>
      <c r="F1055" s="6" t="s">
        <v>4537</v>
      </c>
      <c r="G1055" s="6" t="str">
        <f>"3177132100299208"</f>
        <v>3177132100299208</v>
      </c>
      <c r="H1055" s="6">
        <v>3177132100299200</v>
      </c>
      <c r="I1055" s="6" t="s">
        <v>4538</v>
      </c>
      <c r="J1055" s="6" t="str">
        <f>"17 SOFT CARDIGAN"</f>
        <v>17 SOFT CARDIGAN</v>
      </c>
      <c r="K1055" s="6">
        <v>0</v>
      </c>
      <c r="L1055" s="6">
        <v>0</v>
      </c>
      <c r="M1055" s="6">
        <v>0</v>
      </c>
      <c r="N1055" s="6" t="str">
        <f>""</f>
        <v/>
      </c>
      <c r="O1055" s="6">
        <v>32051</v>
      </c>
      <c r="P1055" s="6" t="s">
        <v>4539</v>
      </c>
      <c r="R1055" s="6" t="s">
        <v>2106</v>
      </c>
      <c r="S1055" s="6" t="s">
        <v>4540</v>
      </c>
      <c r="T1055" s="6">
        <v>0</v>
      </c>
      <c r="U1055" s="6">
        <v>0</v>
      </c>
      <c r="V1055" s="6">
        <v>0</v>
      </c>
      <c r="W1055" s="6">
        <v>0</v>
      </c>
      <c r="X1055" s="6" t="s">
        <v>169</v>
      </c>
      <c r="Z1055" s="6" t="s">
        <v>170</v>
      </c>
      <c r="AA1055" s="6" t="s">
        <v>171</v>
      </c>
      <c r="AB1055" s="6">
        <v>0</v>
      </c>
      <c r="AC1055" s="6" t="str">
        <f>""</f>
        <v/>
      </c>
      <c r="AS1055" s="6">
        <v>0</v>
      </c>
      <c r="AT1055" s="6">
        <v>0</v>
      </c>
    </row>
    <row r="1056" spans="2:46">
      <c r="B1056" s="6" t="s">
        <v>111</v>
      </c>
      <c r="D1056" s="6" t="s">
        <v>3316</v>
      </c>
      <c r="F1056" s="6" t="s">
        <v>4541</v>
      </c>
      <c r="G1056" s="6" t="str">
        <f>"3177132100274208"</f>
        <v>3177132100274208</v>
      </c>
      <c r="H1056" s="6">
        <v>3177132100274200</v>
      </c>
      <c r="I1056" s="6" t="s">
        <v>4538</v>
      </c>
      <c r="J1056" s="6" t="str">
        <f>"17 SOFT CARDIGAN"</f>
        <v>17 SOFT CARDIGAN</v>
      </c>
      <c r="K1056" s="6">
        <v>0</v>
      </c>
      <c r="L1056" s="6">
        <v>0</v>
      </c>
      <c r="M1056" s="6">
        <v>0</v>
      </c>
      <c r="N1056" s="6" t="str">
        <f>""</f>
        <v/>
      </c>
      <c r="O1056" s="6">
        <v>32050</v>
      </c>
      <c r="P1056" s="6" t="s">
        <v>4542</v>
      </c>
      <c r="R1056" s="6" t="s">
        <v>2102</v>
      </c>
      <c r="S1056" s="6" t="s">
        <v>4543</v>
      </c>
      <c r="T1056" s="6">
        <v>0</v>
      </c>
      <c r="U1056" s="6">
        <v>0</v>
      </c>
      <c r="V1056" s="6">
        <v>0</v>
      </c>
      <c r="W1056" s="6">
        <v>0</v>
      </c>
      <c r="X1056" s="6" t="s">
        <v>169</v>
      </c>
      <c r="Z1056" s="6" t="s">
        <v>170</v>
      </c>
      <c r="AA1056" s="6" t="s">
        <v>171</v>
      </c>
      <c r="AB1056" s="6">
        <v>0</v>
      </c>
      <c r="AC1056" s="6" t="str">
        <f>""</f>
        <v/>
      </c>
      <c r="AS1056" s="6">
        <v>0</v>
      </c>
      <c r="AT1056" s="6">
        <v>0</v>
      </c>
    </row>
    <row r="1057" spans="2:46">
      <c r="B1057" s="6" t="s">
        <v>111</v>
      </c>
      <c r="D1057" s="6" t="s">
        <v>3316</v>
      </c>
      <c r="F1057" s="6" t="s">
        <v>4544</v>
      </c>
      <c r="G1057" s="6" t="str">
        <f>"3177112100930208"</f>
        <v>3177112100930208</v>
      </c>
      <c r="H1057" s="6">
        <v>3177112100930200</v>
      </c>
      <c r="I1057" s="6" t="s">
        <v>4545</v>
      </c>
      <c r="J1057" s="6" t="str">
        <f>"17 CN TRENCH"</f>
        <v>17 CN TRENCH</v>
      </c>
      <c r="K1057" s="6">
        <v>0</v>
      </c>
      <c r="L1057" s="6">
        <v>0</v>
      </c>
      <c r="M1057" s="6">
        <v>0</v>
      </c>
      <c r="N1057" s="6" t="str">
        <f>""</f>
        <v/>
      </c>
      <c r="O1057" s="6">
        <v>32048</v>
      </c>
      <c r="P1057" s="6" t="s">
        <v>4546</v>
      </c>
      <c r="R1057" s="6" t="s">
        <v>2111</v>
      </c>
      <c r="S1057" s="6" t="s">
        <v>4547</v>
      </c>
      <c r="T1057" s="6">
        <v>0</v>
      </c>
      <c r="U1057" s="6">
        <v>0</v>
      </c>
      <c r="V1057" s="6">
        <v>0</v>
      </c>
      <c r="W1057" s="6">
        <v>0</v>
      </c>
      <c r="X1057" s="6" t="s">
        <v>169</v>
      </c>
      <c r="Z1057" s="6" t="s">
        <v>170</v>
      </c>
      <c r="AA1057" s="6" t="s">
        <v>171</v>
      </c>
      <c r="AB1057" s="6">
        <v>0</v>
      </c>
      <c r="AC1057" s="6" t="str">
        <f>""</f>
        <v/>
      </c>
      <c r="AS1057" s="6">
        <v>0</v>
      </c>
      <c r="AT1057" s="6">
        <v>0</v>
      </c>
    </row>
    <row r="1058" spans="2:46">
      <c r="B1058" s="6" t="s">
        <v>111</v>
      </c>
      <c r="D1058" s="6" t="s">
        <v>3316</v>
      </c>
      <c r="F1058" s="6" t="s">
        <v>4548</v>
      </c>
      <c r="G1058" s="6" t="str">
        <f>"3177112100974208"</f>
        <v>3177112100974208</v>
      </c>
      <c r="I1058" s="6" t="s">
        <v>4545</v>
      </c>
      <c r="J1058" s="6" t="str">
        <f>"17 CN TRENCH"</f>
        <v>17 CN TRENCH</v>
      </c>
      <c r="K1058" s="6">
        <v>0</v>
      </c>
      <c r="L1058" s="6">
        <v>0</v>
      </c>
      <c r="M1058" s="6">
        <v>0</v>
      </c>
      <c r="N1058" s="6" t="str">
        <f>""</f>
        <v/>
      </c>
      <c r="O1058" s="6">
        <v>32047</v>
      </c>
      <c r="P1058" s="6" t="s">
        <v>4549</v>
      </c>
      <c r="R1058" s="6" t="s">
        <v>2102</v>
      </c>
      <c r="S1058" s="6" t="s">
        <v>4550</v>
      </c>
      <c r="T1058" s="6">
        <v>1</v>
      </c>
      <c r="U1058" s="6">
        <v>0</v>
      </c>
      <c r="V1058" s="6">
        <v>0</v>
      </c>
      <c r="W1058" s="6">
        <v>0</v>
      </c>
      <c r="X1058" s="6" t="s">
        <v>169</v>
      </c>
      <c r="Z1058" s="6" t="s">
        <v>170</v>
      </c>
      <c r="AA1058" s="6" t="s">
        <v>171</v>
      </c>
      <c r="AB1058" s="6">
        <v>0</v>
      </c>
      <c r="AC1058" s="6" t="str">
        <f>"KEY-060"</f>
        <v>KEY-060</v>
      </c>
      <c r="AQ1058" s="6" t="str">
        <f>""</f>
        <v/>
      </c>
      <c r="AR1058" s="6" t="s">
        <v>1567</v>
      </c>
      <c r="AS1058" s="6">
        <v>0</v>
      </c>
      <c r="AT1058" s="6">
        <v>1</v>
      </c>
    </row>
    <row r="1059" spans="2:46">
      <c r="B1059" s="6" t="s">
        <v>111</v>
      </c>
      <c r="D1059" s="6" t="s">
        <v>3316</v>
      </c>
      <c r="F1059" s="6" t="s">
        <v>4551</v>
      </c>
      <c r="G1059" s="6" t="str">
        <f>"3167222102798208"</f>
        <v>3167222102798208</v>
      </c>
      <c r="I1059" s="6" t="s">
        <v>4552</v>
      </c>
      <c r="J1059" s="6" t="str">
        <f>"BEER STRIPE TS"</f>
        <v>BEER STRIPE TS</v>
      </c>
      <c r="K1059" s="6">
        <v>0</v>
      </c>
      <c r="L1059" s="6">
        <v>0</v>
      </c>
      <c r="M1059" s="6">
        <v>0</v>
      </c>
      <c r="N1059" s="6" t="str">
        <f>""</f>
        <v/>
      </c>
      <c r="O1059" s="6">
        <v>32045</v>
      </c>
      <c r="P1059" s="6" t="s">
        <v>4553</v>
      </c>
      <c r="R1059" s="6" t="s">
        <v>2595</v>
      </c>
      <c r="S1059" s="6" t="s">
        <v>4554</v>
      </c>
      <c r="T1059" s="6">
        <v>1</v>
      </c>
      <c r="U1059" s="6">
        <v>0</v>
      </c>
      <c r="V1059" s="6">
        <v>0</v>
      </c>
      <c r="W1059" s="6">
        <v>0</v>
      </c>
      <c r="X1059" s="6" t="s">
        <v>169</v>
      </c>
      <c r="Z1059" s="6" t="s">
        <v>170</v>
      </c>
      <c r="AA1059" s="6" t="s">
        <v>171</v>
      </c>
      <c r="AB1059" s="6">
        <v>0</v>
      </c>
      <c r="AC1059" s="6" t="str">
        <f>"KEY-055"</f>
        <v>KEY-055</v>
      </c>
      <c r="AQ1059" s="6" t="str">
        <f>""</f>
        <v/>
      </c>
      <c r="AR1059" s="6" t="s">
        <v>1567</v>
      </c>
      <c r="AS1059" s="6">
        <v>0</v>
      </c>
      <c r="AT1059" s="6">
        <v>1</v>
      </c>
    </row>
    <row r="1060" spans="2:46">
      <c r="B1060" s="6" t="s">
        <v>111</v>
      </c>
      <c r="D1060" s="6" t="s">
        <v>3316</v>
      </c>
      <c r="F1060" s="6" t="s">
        <v>4555</v>
      </c>
      <c r="G1060" s="6" t="str">
        <f>"3167222102795208"</f>
        <v>3167222102795208</v>
      </c>
      <c r="H1060" s="6">
        <v>3167222102795200</v>
      </c>
      <c r="I1060" s="6" t="s">
        <v>4552</v>
      </c>
      <c r="J1060" s="6" t="str">
        <f>"BEER STRIPE TS"</f>
        <v>BEER STRIPE TS</v>
      </c>
      <c r="K1060" s="6">
        <v>0</v>
      </c>
      <c r="L1060" s="6">
        <v>0</v>
      </c>
      <c r="M1060" s="6">
        <v>0</v>
      </c>
      <c r="N1060" s="6" t="str">
        <f>""</f>
        <v/>
      </c>
      <c r="O1060" s="6">
        <v>32044</v>
      </c>
      <c r="P1060" s="6" t="s">
        <v>4556</v>
      </c>
      <c r="R1060" s="6" t="s">
        <v>2187</v>
      </c>
      <c r="S1060" s="6" t="s">
        <v>4557</v>
      </c>
      <c r="T1060" s="6">
        <v>0</v>
      </c>
      <c r="U1060" s="6">
        <v>0</v>
      </c>
      <c r="V1060" s="6">
        <v>0</v>
      </c>
      <c r="W1060" s="6">
        <v>0</v>
      </c>
      <c r="X1060" s="6" t="s">
        <v>169</v>
      </c>
      <c r="Z1060" s="6" t="s">
        <v>170</v>
      </c>
      <c r="AA1060" s="6" t="s">
        <v>171</v>
      </c>
      <c r="AB1060" s="6">
        <v>0</v>
      </c>
      <c r="AC1060" s="6" t="str">
        <f>""</f>
        <v/>
      </c>
      <c r="AS1060" s="6">
        <v>0</v>
      </c>
      <c r="AT1060" s="6">
        <v>0</v>
      </c>
    </row>
    <row r="1061" spans="2:46">
      <c r="B1061" s="6" t="s">
        <v>111</v>
      </c>
      <c r="D1061" s="6" t="s">
        <v>3316</v>
      </c>
      <c r="F1061" s="6" t="s">
        <v>4558</v>
      </c>
      <c r="G1061" s="6" t="str">
        <f>"3167212101299208"</f>
        <v>3167212101299208</v>
      </c>
      <c r="I1061" s="6" t="s">
        <v>4559</v>
      </c>
      <c r="J1061" s="6" t="str">
        <f>"RAINBOW DENIM SHIRT"</f>
        <v>RAINBOW DENIM SHIRT</v>
      </c>
      <c r="K1061" s="6">
        <v>0</v>
      </c>
      <c r="L1061" s="6">
        <v>0</v>
      </c>
      <c r="M1061" s="6">
        <v>0</v>
      </c>
      <c r="N1061" s="6" t="str">
        <f>""</f>
        <v/>
      </c>
      <c r="O1061" s="6">
        <v>32042</v>
      </c>
      <c r="P1061" s="6" t="s">
        <v>4560</v>
      </c>
      <c r="R1061" s="6" t="s">
        <v>2106</v>
      </c>
      <c r="S1061" s="6" t="s">
        <v>4561</v>
      </c>
      <c r="T1061" s="6">
        <v>1</v>
      </c>
      <c r="U1061" s="6">
        <v>0</v>
      </c>
      <c r="V1061" s="6">
        <v>0</v>
      </c>
      <c r="W1061" s="6">
        <v>0</v>
      </c>
      <c r="X1061" s="6" t="s">
        <v>169</v>
      </c>
      <c r="Z1061" s="6" t="s">
        <v>170</v>
      </c>
      <c r="AA1061" s="6" t="s">
        <v>171</v>
      </c>
      <c r="AB1061" s="6">
        <v>0</v>
      </c>
      <c r="AC1061" s="6" t="str">
        <f>"KEY-039"</f>
        <v>KEY-039</v>
      </c>
      <c r="AQ1061" s="6" t="str">
        <f>""</f>
        <v/>
      </c>
      <c r="AR1061" s="6" t="s">
        <v>1567</v>
      </c>
      <c r="AS1061" s="6">
        <v>0</v>
      </c>
      <c r="AT1061" s="6">
        <v>1</v>
      </c>
    </row>
    <row r="1062" spans="2:46">
      <c r="B1062" s="6" t="s">
        <v>111</v>
      </c>
      <c r="D1062" s="6" t="s">
        <v>3316</v>
      </c>
      <c r="F1062" s="6" t="s">
        <v>4562</v>
      </c>
      <c r="G1062" s="6" t="str">
        <f>"3167222102830208"</f>
        <v>3167222102830208</v>
      </c>
      <c r="H1062" s="6">
        <v>3167222102830200</v>
      </c>
      <c r="I1062" s="6" t="s">
        <v>4563</v>
      </c>
      <c r="J1062" s="6" t="str">
        <f>"GOOD BASIC TS"</f>
        <v>GOOD BASIC TS</v>
      </c>
      <c r="K1062" s="6">
        <v>0</v>
      </c>
      <c r="L1062" s="6">
        <v>0</v>
      </c>
      <c r="M1062" s="6">
        <v>0</v>
      </c>
      <c r="N1062" s="6" t="str">
        <f>""</f>
        <v/>
      </c>
      <c r="O1062" s="6">
        <v>32040</v>
      </c>
      <c r="P1062" s="6" t="s">
        <v>4564</v>
      </c>
      <c r="R1062" s="6" t="s">
        <v>2111</v>
      </c>
      <c r="S1062" s="6" t="s">
        <v>4565</v>
      </c>
      <c r="T1062" s="6">
        <v>0</v>
      </c>
      <c r="U1062" s="6">
        <v>0</v>
      </c>
      <c r="V1062" s="6">
        <v>0</v>
      </c>
      <c r="W1062" s="6">
        <v>0</v>
      </c>
      <c r="X1062" s="6" t="s">
        <v>169</v>
      </c>
      <c r="Z1062" s="6" t="s">
        <v>170</v>
      </c>
      <c r="AA1062" s="6" t="s">
        <v>171</v>
      </c>
      <c r="AB1062" s="6">
        <v>0</v>
      </c>
      <c r="AC1062" s="6" t="str">
        <f>""</f>
        <v/>
      </c>
      <c r="AS1062" s="6">
        <v>0</v>
      </c>
      <c r="AT1062" s="6">
        <v>0</v>
      </c>
    </row>
    <row r="1063" spans="2:46">
      <c r="B1063" s="6" t="s">
        <v>111</v>
      </c>
      <c r="D1063" s="6" t="s">
        <v>3316</v>
      </c>
      <c r="F1063" s="6" t="s">
        <v>4566</v>
      </c>
      <c r="G1063" s="6" t="str">
        <f>"3167212101425208"</f>
        <v>3167212101425208</v>
      </c>
      <c r="I1063" s="6" t="s">
        <v>4567</v>
      </c>
      <c r="J1063" s="6" t="str">
        <f>"CK SHIRT"</f>
        <v>CK SHIRT</v>
      </c>
      <c r="K1063" s="6">
        <v>0</v>
      </c>
      <c r="L1063" s="6">
        <v>0</v>
      </c>
      <c r="M1063" s="6">
        <v>0</v>
      </c>
      <c r="N1063" s="6" t="str">
        <f>""</f>
        <v/>
      </c>
      <c r="O1063" s="6">
        <v>32038</v>
      </c>
      <c r="P1063" s="6" t="s">
        <v>4568</v>
      </c>
      <c r="R1063" s="6" t="s">
        <v>2175</v>
      </c>
      <c r="S1063" s="6" t="s">
        <v>4569</v>
      </c>
      <c r="T1063" s="6">
        <v>2</v>
      </c>
      <c r="U1063" s="6">
        <v>0</v>
      </c>
      <c r="V1063" s="6">
        <v>0</v>
      </c>
      <c r="W1063" s="6">
        <v>0</v>
      </c>
      <c r="X1063" s="6" t="s">
        <v>169</v>
      </c>
      <c r="Z1063" s="6" t="s">
        <v>170</v>
      </c>
      <c r="AA1063" s="6" t="s">
        <v>171</v>
      </c>
      <c r="AB1063" s="6">
        <v>0</v>
      </c>
      <c r="AC1063" s="6" t="str">
        <f>"KEY-040"</f>
        <v>KEY-040</v>
      </c>
      <c r="AQ1063" s="6" t="str">
        <f>""</f>
        <v/>
      </c>
      <c r="AR1063" s="6" t="s">
        <v>1567</v>
      </c>
      <c r="AS1063" s="6">
        <v>0</v>
      </c>
      <c r="AT1063" s="6">
        <v>2</v>
      </c>
    </row>
    <row r="1064" spans="2:46">
      <c r="B1064" s="6" t="s">
        <v>111</v>
      </c>
      <c r="D1064" s="6" t="s">
        <v>3316</v>
      </c>
      <c r="F1064" s="6" t="s">
        <v>4570</v>
      </c>
      <c r="G1064" s="6" t="str">
        <f>"3167212101445208"</f>
        <v>3167212101445208</v>
      </c>
      <c r="I1064" s="6" t="s">
        <v>4567</v>
      </c>
      <c r="J1064" s="6" t="str">
        <f>"CK SHIRT"</f>
        <v>CK SHIRT</v>
      </c>
      <c r="K1064" s="6">
        <v>0</v>
      </c>
      <c r="L1064" s="6">
        <v>0</v>
      </c>
      <c r="M1064" s="6">
        <v>0</v>
      </c>
      <c r="N1064" s="6" t="str">
        <f>""</f>
        <v/>
      </c>
      <c r="O1064" s="6">
        <v>32037</v>
      </c>
      <c r="P1064" s="6" t="s">
        <v>4571</v>
      </c>
      <c r="R1064" s="6" t="s">
        <v>2512</v>
      </c>
      <c r="S1064" s="6" t="s">
        <v>4572</v>
      </c>
      <c r="T1064" s="6">
        <v>2</v>
      </c>
      <c r="U1064" s="6">
        <v>0</v>
      </c>
      <c r="V1064" s="6">
        <v>0</v>
      </c>
      <c r="W1064" s="6">
        <v>0</v>
      </c>
      <c r="X1064" s="6" t="s">
        <v>169</v>
      </c>
      <c r="Z1064" s="6" t="s">
        <v>170</v>
      </c>
      <c r="AA1064" s="6" t="s">
        <v>171</v>
      </c>
      <c r="AB1064" s="6">
        <v>0</v>
      </c>
      <c r="AC1064" s="6" t="str">
        <f>"KEY-040"</f>
        <v>KEY-040</v>
      </c>
      <c r="AQ1064" s="6" t="str">
        <f>""</f>
        <v/>
      </c>
      <c r="AR1064" s="6" t="s">
        <v>1567</v>
      </c>
      <c r="AS1064" s="6">
        <v>0</v>
      </c>
      <c r="AT1064" s="6">
        <v>2</v>
      </c>
    </row>
    <row r="1065" spans="2:46">
      <c r="B1065" s="6" t="s">
        <v>111</v>
      </c>
      <c r="D1065" s="6" t="s">
        <v>3316</v>
      </c>
      <c r="F1065" s="6" t="s">
        <v>4573</v>
      </c>
      <c r="G1065" s="6" t="str">
        <f>"3167252102599208"</f>
        <v>3167252102599208</v>
      </c>
      <c r="I1065" s="6" t="s">
        <v>4574</v>
      </c>
      <c r="J1065" s="6" t="str">
        <f>"BTG OPS"</f>
        <v>BTG OPS</v>
      </c>
      <c r="K1065" s="6">
        <v>0</v>
      </c>
      <c r="L1065" s="6">
        <v>0</v>
      </c>
      <c r="M1065" s="6">
        <v>0</v>
      </c>
      <c r="N1065" s="6" t="str">
        <f>""</f>
        <v/>
      </c>
      <c r="O1065" s="6">
        <v>32035</v>
      </c>
      <c r="P1065" s="6" t="s">
        <v>4575</v>
      </c>
      <c r="R1065" s="6" t="s">
        <v>2106</v>
      </c>
      <c r="S1065" s="6" t="s">
        <v>4576</v>
      </c>
      <c r="T1065" s="6">
        <v>2</v>
      </c>
      <c r="U1065" s="6">
        <v>0</v>
      </c>
      <c r="V1065" s="6">
        <v>0</v>
      </c>
      <c r="W1065" s="6">
        <v>0</v>
      </c>
      <c r="X1065" s="6" t="s">
        <v>169</v>
      </c>
      <c r="Z1065" s="6" t="s">
        <v>170</v>
      </c>
      <c r="AA1065" s="6" t="s">
        <v>171</v>
      </c>
      <c r="AB1065" s="6">
        <v>0</v>
      </c>
      <c r="AC1065" s="6" t="str">
        <f>"KEY-045"</f>
        <v>KEY-045</v>
      </c>
      <c r="AQ1065" s="6" t="str">
        <f>""</f>
        <v/>
      </c>
      <c r="AR1065" s="6" t="s">
        <v>1567</v>
      </c>
      <c r="AS1065" s="6">
        <v>0</v>
      </c>
      <c r="AT1065" s="6">
        <v>2</v>
      </c>
    </row>
    <row r="1066" spans="2:46">
      <c r="B1066" s="6" t="s">
        <v>111</v>
      </c>
      <c r="D1066" s="6" t="s">
        <v>3316</v>
      </c>
      <c r="F1066" s="6" t="s">
        <v>4577</v>
      </c>
      <c r="G1066" s="6" t="str">
        <f>"3167252102595208"</f>
        <v>3167252102595208</v>
      </c>
      <c r="I1066" s="6" t="s">
        <v>4574</v>
      </c>
      <c r="J1066" s="6" t="str">
        <f>"BTG OPS"</f>
        <v>BTG OPS</v>
      </c>
      <c r="K1066" s="6">
        <v>0</v>
      </c>
      <c r="L1066" s="6">
        <v>0</v>
      </c>
      <c r="M1066" s="6">
        <v>0</v>
      </c>
      <c r="N1066" s="6" t="str">
        <f>""</f>
        <v/>
      </c>
      <c r="O1066" s="6">
        <v>32034</v>
      </c>
      <c r="P1066" s="6" t="s">
        <v>4578</v>
      </c>
      <c r="R1066" s="6" t="s">
        <v>2187</v>
      </c>
      <c r="S1066" s="6" t="s">
        <v>4579</v>
      </c>
      <c r="T1066" s="6">
        <v>2</v>
      </c>
      <c r="U1066" s="6">
        <v>0</v>
      </c>
      <c r="V1066" s="6">
        <v>0</v>
      </c>
      <c r="W1066" s="6">
        <v>0</v>
      </c>
      <c r="X1066" s="6" t="s">
        <v>169</v>
      </c>
      <c r="Z1066" s="6" t="s">
        <v>170</v>
      </c>
      <c r="AA1066" s="6" t="s">
        <v>171</v>
      </c>
      <c r="AB1066" s="6">
        <v>0</v>
      </c>
      <c r="AC1066" s="6" t="str">
        <f>"KEY-044"</f>
        <v>KEY-044</v>
      </c>
      <c r="AQ1066" s="6" t="str">
        <f>""</f>
        <v/>
      </c>
      <c r="AR1066" s="6" t="s">
        <v>1567</v>
      </c>
      <c r="AS1066" s="6">
        <v>0</v>
      </c>
      <c r="AT1066" s="6">
        <v>2</v>
      </c>
    </row>
    <row r="1067" spans="2:46">
      <c r="B1067" s="6" t="s">
        <v>111</v>
      </c>
      <c r="D1067" s="6" t="s">
        <v>3316</v>
      </c>
      <c r="F1067" s="6" t="s">
        <v>4580</v>
      </c>
      <c r="G1067" s="6" t="str">
        <f>"3167252102569208"</f>
        <v>3167252102569208</v>
      </c>
      <c r="I1067" s="6" t="s">
        <v>4574</v>
      </c>
      <c r="J1067" s="6" t="str">
        <f>"BTG OPS"</f>
        <v>BTG OPS</v>
      </c>
      <c r="K1067" s="6">
        <v>0</v>
      </c>
      <c r="L1067" s="6">
        <v>0</v>
      </c>
      <c r="M1067" s="6">
        <v>0</v>
      </c>
      <c r="N1067" s="6" t="str">
        <f>""</f>
        <v/>
      </c>
      <c r="O1067" s="6">
        <v>32033</v>
      </c>
      <c r="P1067" s="6" t="s">
        <v>4581</v>
      </c>
      <c r="R1067" s="6" t="s">
        <v>2356</v>
      </c>
      <c r="S1067" s="6" t="s">
        <v>4582</v>
      </c>
      <c r="T1067" s="6">
        <v>2</v>
      </c>
      <c r="U1067" s="6">
        <v>0</v>
      </c>
      <c r="V1067" s="6">
        <v>0</v>
      </c>
      <c r="W1067" s="6">
        <v>0</v>
      </c>
      <c r="X1067" s="6" t="s">
        <v>169</v>
      </c>
      <c r="Z1067" s="6" t="s">
        <v>170</v>
      </c>
      <c r="AA1067" s="6" t="s">
        <v>171</v>
      </c>
      <c r="AB1067" s="6">
        <v>0</v>
      </c>
      <c r="AC1067" s="6" t="str">
        <f>"KEY-044"</f>
        <v>KEY-044</v>
      </c>
      <c r="AQ1067" s="6" t="str">
        <f>""</f>
        <v/>
      </c>
      <c r="AR1067" s="6" t="s">
        <v>1567</v>
      </c>
      <c r="AS1067" s="6">
        <v>0</v>
      </c>
      <c r="AT1067" s="6">
        <v>2</v>
      </c>
    </row>
    <row r="1068" spans="2:46">
      <c r="B1068" s="6" t="s">
        <v>111</v>
      </c>
      <c r="D1068" s="6" t="s">
        <v>3316</v>
      </c>
      <c r="F1068" s="6" t="s">
        <v>4583</v>
      </c>
      <c r="G1068" s="6" t="str">
        <f>"316722103099208"</f>
        <v>316722103099208</v>
      </c>
      <c r="H1068" s="6">
        <v>316722103099208</v>
      </c>
      <c r="I1068" s="6" t="s">
        <v>4584</v>
      </c>
      <c r="J1068" s="6" t="str">
        <f>"5 STRIPE TS"</f>
        <v>5 STRIPE TS</v>
      </c>
      <c r="K1068" s="6">
        <v>0</v>
      </c>
      <c r="L1068" s="6">
        <v>0</v>
      </c>
      <c r="M1068" s="6">
        <v>0</v>
      </c>
      <c r="N1068" s="6" t="str">
        <f>""</f>
        <v/>
      </c>
      <c r="O1068" s="6">
        <v>32031</v>
      </c>
      <c r="P1068" s="6" t="s">
        <v>4585</v>
      </c>
      <c r="R1068" s="6" t="s">
        <v>2106</v>
      </c>
      <c r="S1068" s="6" t="s">
        <v>4586</v>
      </c>
      <c r="T1068" s="6">
        <v>0</v>
      </c>
      <c r="U1068" s="6">
        <v>0</v>
      </c>
      <c r="V1068" s="6">
        <v>0</v>
      </c>
      <c r="W1068" s="6">
        <v>0</v>
      </c>
      <c r="X1068" s="6" t="s">
        <v>169</v>
      </c>
      <c r="Z1068" s="6" t="s">
        <v>170</v>
      </c>
      <c r="AA1068" s="6" t="s">
        <v>171</v>
      </c>
      <c r="AB1068" s="6">
        <v>0</v>
      </c>
      <c r="AC1068" s="6" t="str">
        <f>""</f>
        <v/>
      </c>
      <c r="AS1068" s="6">
        <v>0</v>
      </c>
      <c r="AT1068" s="6">
        <v>2</v>
      </c>
    </row>
    <row r="1069" spans="2:46">
      <c r="B1069" s="6" t="s">
        <v>111</v>
      </c>
      <c r="D1069" s="6" t="s">
        <v>3316</v>
      </c>
      <c r="F1069" s="6" t="s">
        <v>4587</v>
      </c>
      <c r="G1069" s="6" t="str">
        <f>"3167222103065208"</f>
        <v>3167222103065208</v>
      </c>
      <c r="I1069" s="6" t="s">
        <v>4584</v>
      </c>
      <c r="J1069" s="6" t="str">
        <f>"5 STRIPE TS"</f>
        <v>5 STRIPE TS</v>
      </c>
      <c r="K1069" s="6">
        <v>0</v>
      </c>
      <c r="L1069" s="6">
        <v>0</v>
      </c>
      <c r="M1069" s="6">
        <v>0</v>
      </c>
      <c r="N1069" s="6" t="str">
        <f>""</f>
        <v/>
      </c>
      <c r="O1069" s="6">
        <v>32030</v>
      </c>
      <c r="P1069" s="6" t="s">
        <v>4588</v>
      </c>
      <c r="R1069" s="6" t="s">
        <v>2570</v>
      </c>
      <c r="S1069" s="6" t="s">
        <v>4589</v>
      </c>
      <c r="T1069" s="6">
        <v>2</v>
      </c>
      <c r="U1069" s="6">
        <v>0</v>
      </c>
      <c r="V1069" s="6">
        <v>0</v>
      </c>
      <c r="W1069" s="6">
        <v>0</v>
      </c>
      <c r="X1069" s="6" t="s">
        <v>169</v>
      </c>
      <c r="Z1069" s="6" t="s">
        <v>170</v>
      </c>
      <c r="AA1069" s="6" t="s">
        <v>171</v>
      </c>
      <c r="AB1069" s="6">
        <v>0</v>
      </c>
      <c r="AC1069" s="6" t="str">
        <f>"KEY-049"</f>
        <v>KEY-049</v>
      </c>
      <c r="AQ1069" s="6" t="str">
        <f>""</f>
        <v/>
      </c>
      <c r="AR1069" s="6" t="s">
        <v>1567</v>
      </c>
      <c r="AS1069" s="6">
        <v>0</v>
      </c>
      <c r="AT1069" s="6">
        <v>2</v>
      </c>
    </row>
    <row r="1070" spans="2:46">
      <c r="B1070" s="6" t="s">
        <v>111</v>
      </c>
      <c r="D1070" s="6" t="s">
        <v>3316</v>
      </c>
      <c r="F1070" s="6" t="s">
        <v>4590</v>
      </c>
      <c r="G1070" s="6" t="str">
        <f>"3167232101399208"</f>
        <v>3167232101399208</v>
      </c>
      <c r="I1070" s="6" t="s">
        <v>4591</v>
      </c>
      <c r="J1070" s="6" t="str">
        <f>"16 BASIC KNIT"</f>
        <v>16 BASIC KNIT</v>
      </c>
      <c r="K1070" s="6">
        <v>0</v>
      </c>
      <c r="L1070" s="6">
        <v>0</v>
      </c>
      <c r="M1070" s="6">
        <v>0</v>
      </c>
      <c r="N1070" s="6" t="str">
        <f>""</f>
        <v/>
      </c>
      <c r="O1070" s="6">
        <v>32028</v>
      </c>
      <c r="P1070" s="6" t="s">
        <v>4592</v>
      </c>
      <c r="R1070" s="6" t="s">
        <v>2106</v>
      </c>
      <c r="S1070" s="6" t="s">
        <v>4593</v>
      </c>
      <c r="T1070" s="6">
        <v>2</v>
      </c>
      <c r="U1070" s="6">
        <v>0</v>
      </c>
      <c r="V1070" s="6">
        <v>0</v>
      </c>
      <c r="W1070" s="6">
        <v>0</v>
      </c>
      <c r="X1070" s="6" t="s">
        <v>169</v>
      </c>
      <c r="Z1070" s="6" t="s">
        <v>170</v>
      </c>
      <c r="AA1070" s="6" t="s">
        <v>171</v>
      </c>
      <c r="AB1070" s="6">
        <v>0</v>
      </c>
      <c r="AC1070" s="6" t="str">
        <f>"KEY-067"</f>
        <v>KEY-067</v>
      </c>
      <c r="AQ1070" s="6" t="str">
        <f>""</f>
        <v/>
      </c>
      <c r="AR1070" s="6" t="s">
        <v>1567</v>
      </c>
      <c r="AS1070" s="6">
        <v>0</v>
      </c>
      <c r="AT1070" s="6">
        <v>2</v>
      </c>
    </row>
    <row r="1071" spans="2:46">
      <c r="B1071" s="6" t="s">
        <v>111</v>
      </c>
      <c r="D1071" s="6" t="s">
        <v>3316</v>
      </c>
      <c r="F1071" s="6" t="s">
        <v>4594</v>
      </c>
      <c r="G1071" s="6" t="str">
        <f>"3167232101369208"</f>
        <v>3167232101369208</v>
      </c>
      <c r="I1071" s="6" t="s">
        <v>4591</v>
      </c>
      <c r="J1071" s="6" t="str">
        <f>"16 BASIC KNIT"</f>
        <v>16 BASIC KNIT</v>
      </c>
      <c r="K1071" s="6">
        <v>0</v>
      </c>
      <c r="L1071" s="6">
        <v>0</v>
      </c>
      <c r="M1071" s="6">
        <v>0</v>
      </c>
      <c r="N1071" s="6" t="str">
        <f>""</f>
        <v/>
      </c>
      <c r="O1071" s="6">
        <v>32027</v>
      </c>
      <c r="P1071" s="6" t="s">
        <v>4595</v>
      </c>
      <c r="R1071" s="6" t="s">
        <v>2356</v>
      </c>
      <c r="S1071" s="6" t="s">
        <v>4596</v>
      </c>
      <c r="T1071" s="6">
        <v>1</v>
      </c>
      <c r="U1071" s="6">
        <v>0</v>
      </c>
      <c r="V1071" s="6">
        <v>0</v>
      </c>
      <c r="W1071" s="6">
        <v>0</v>
      </c>
      <c r="X1071" s="6" t="s">
        <v>169</v>
      </c>
      <c r="Z1071" s="6" t="s">
        <v>170</v>
      </c>
      <c r="AA1071" s="6" t="s">
        <v>171</v>
      </c>
      <c r="AB1071" s="6">
        <v>0</v>
      </c>
      <c r="AC1071" s="6" t="str">
        <f>"KEY-069"</f>
        <v>KEY-069</v>
      </c>
      <c r="AQ1071" s="6" t="str">
        <f>""</f>
        <v/>
      </c>
      <c r="AR1071" s="6" t="s">
        <v>1567</v>
      </c>
      <c r="AS1071" s="6">
        <v>0</v>
      </c>
      <c r="AT1071" s="6">
        <v>2</v>
      </c>
    </row>
    <row r="1072" spans="2:46">
      <c r="B1072" s="6" t="s">
        <v>111</v>
      </c>
      <c r="D1072" s="6" t="s">
        <v>3316</v>
      </c>
      <c r="F1072" s="6" t="s">
        <v>4597</v>
      </c>
      <c r="G1072" s="6" t="str">
        <f>"3167232101374208"</f>
        <v>3167232101374208</v>
      </c>
      <c r="I1072" s="6" t="s">
        <v>4591</v>
      </c>
      <c r="J1072" s="6" t="str">
        <f>"16 BASIC KNIT"</f>
        <v>16 BASIC KNIT</v>
      </c>
      <c r="K1072" s="6">
        <v>0</v>
      </c>
      <c r="L1072" s="6">
        <v>0</v>
      </c>
      <c r="M1072" s="6">
        <v>0</v>
      </c>
      <c r="N1072" s="6" t="str">
        <f>""</f>
        <v/>
      </c>
      <c r="O1072" s="6">
        <v>32026</v>
      </c>
      <c r="P1072" s="6" t="s">
        <v>4598</v>
      </c>
      <c r="R1072" s="6" t="s">
        <v>2102</v>
      </c>
      <c r="S1072" s="6" t="s">
        <v>4599</v>
      </c>
      <c r="T1072" s="6">
        <v>2</v>
      </c>
      <c r="U1072" s="6">
        <v>0</v>
      </c>
      <c r="V1072" s="6">
        <v>0</v>
      </c>
      <c r="W1072" s="6">
        <v>0</v>
      </c>
      <c r="X1072" s="6" t="s">
        <v>169</v>
      </c>
      <c r="Z1072" s="6" t="s">
        <v>170</v>
      </c>
      <c r="AA1072" s="6" t="s">
        <v>171</v>
      </c>
      <c r="AB1072" s="6">
        <v>0</v>
      </c>
      <c r="AC1072" s="6" t="str">
        <f>"KEY-068"</f>
        <v>KEY-068</v>
      </c>
      <c r="AQ1072" s="6" t="str">
        <f>""</f>
        <v/>
      </c>
      <c r="AR1072" s="6" t="s">
        <v>1567</v>
      </c>
      <c r="AS1072" s="6">
        <v>0</v>
      </c>
      <c r="AT1072" s="6">
        <v>2</v>
      </c>
    </row>
    <row r="1073" spans="2:46">
      <c r="B1073" s="6" t="s">
        <v>111</v>
      </c>
      <c r="D1073" s="6" t="s">
        <v>3316</v>
      </c>
      <c r="F1073" s="6" t="s">
        <v>4600</v>
      </c>
      <c r="G1073" s="6" t="str">
        <f>"3167222103295208"</f>
        <v>3167222103295208</v>
      </c>
      <c r="H1073" s="6">
        <v>3167222103295200</v>
      </c>
      <c r="I1073" s="6" t="s">
        <v>4601</v>
      </c>
      <c r="J1073" s="6" t="str">
        <f>"BETTER STRIPE TS"</f>
        <v>BETTER STRIPE TS</v>
      </c>
      <c r="K1073" s="6">
        <v>0</v>
      </c>
      <c r="L1073" s="6">
        <v>0</v>
      </c>
      <c r="M1073" s="6">
        <v>0</v>
      </c>
      <c r="N1073" s="6" t="str">
        <f>""</f>
        <v/>
      </c>
      <c r="O1073" s="6">
        <v>32024</v>
      </c>
      <c r="P1073" s="6" t="s">
        <v>4602</v>
      </c>
      <c r="R1073" s="6" t="s">
        <v>2187</v>
      </c>
      <c r="S1073" s="6" t="s">
        <v>4603</v>
      </c>
      <c r="T1073" s="6">
        <v>0</v>
      </c>
      <c r="U1073" s="6">
        <v>0</v>
      </c>
      <c r="V1073" s="6">
        <v>0</v>
      </c>
      <c r="W1073" s="6">
        <v>0</v>
      </c>
      <c r="X1073" s="6" t="s">
        <v>169</v>
      </c>
      <c r="Z1073" s="6" t="s">
        <v>170</v>
      </c>
      <c r="AA1073" s="6" t="s">
        <v>171</v>
      </c>
      <c r="AB1073" s="6">
        <v>0</v>
      </c>
      <c r="AC1073" s="6" t="str">
        <f>""</f>
        <v/>
      </c>
      <c r="AS1073" s="6">
        <v>0</v>
      </c>
      <c r="AT1073" s="6">
        <v>0</v>
      </c>
    </row>
    <row r="1074" spans="2:46">
      <c r="B1074" s="6" t="s">
        <v>111</v>
      </c>
      <c r="D1074" s="6" t="s">
        <v>3316</v>
      </c>
      <c r="F1074" s="6" t="s">
        <v>4604</v>
      </c>
      <c r="G1074" s="6" t="str">
        <f>"3167212101530208"</f>
        <v>3167212101530208</v>
      </c>
      <c r="H1074" s="6">
        <v>3167212101530200</v>
      </c>
      <c r="I1074" s="6" t="s">
        <v>4605</v>
      </c>
      <c r="J1074" s="6" t="str">
        <f>"POINT ST SHIRT"</f>
        <v>POINT ST SHIRT</v>
      </c>
      <c r="K1074" s="6">
        <v>0</v>
      </c>
      <c r="L1074" s="6">
        <v>0</v>
      </c>
      <c r="M1074" s="6">
        <v>0</v>
      </c>
      <c r="N1074" s="6" t="str">
        <f>""</f>
        <v/>
      </c>
      <c r="O1074" s="6">
        <v>32022</v>
      </c>
      <c r="P1074" s="6" t="s">
        <v>4606</v>
      </c>
      <c r="R1074" s="6" t="s">
        <v>2111</v>
      </c>
      <c r="S1074" s="6" t="s">
        <v>4607</v>
      </c>
      <c r="T1074" s="6">
        <v>0</v>
      </c>
      <c r="U1074" s="6">
        <v>0</v>
      </c>
      <c r="V1074" s="6">
        <v>0</v>
      </c>
      <c r="W1074" s="6">
        <v>0</v>
      </c>
      <c r="X1074" s="6" t="s">
        <v>169</v>
      </c>
      <c r="Z1074" s="6" t="s">
        <v>170</v>
      </c>
      <c r="AA1074" s="6" t="s">
        <v>171</v>
      </c>
      <c r="AB1074" s="6">
        <v>0</v>
      </c>
      <c r="AC1074" s="6" t="str">
        <f>""</f>
        <v/>
      </c>
      <c r="AS1074" s="6">
        <v>0</v>
      </c>
      <c r="AT1074" s="6">
        <v>0</v>
      </c>
    </row>
    <row r="1075" spans="2:46">
      <c r="B1075" s="6" t="s">
        <v>111</v>
      </c>
      <c r="D1075" s="6" t="s">
        <v>3316</v>
      </c>
      <c r="F1075" s="6" t="s">
        <v>4608</v>
      </c>
      <c r="G1075" s="6" t="str">
        <f>"3167212101595208"</f>
        <v>3167212101595208</v>
      </c>
      <c r="H1075" s="6">
        <v>3167212101595200</v>
      </c>
      <c r="I1075" s="6" t="s">
        <v>4605</v>
      </c>
      <c r="J1075" s="6" t="str">
        <f>"POINT ST SHIRT"</f>
        <v>POINT ST SHIRT</v>
      </c>
      <c r="K1075" s="6">
        <v>0</v>
      </c>
      <c r="L1075" s="6">
        <v>0</v>
      </c>
      <c r="M1075" s="6">
        <v>0</v>
      </c>
      <c r="N1075" s="6" t="str">
        <f>""</f>
        <v/>
      </c>
      <c r="O1075" s="6">
        <v>32021</v>
      </c>
      <c r="P1075" s="6" t="s">
        <v>4609</v>
      </c>
      <c r="R1075" s="6" t="s">
        <v>2187</v>
      </c>
      <c r="S1075" s="6" t="s">
        <v>4610</v>
      </c>
      <c r="T1075" s="6">
        <v>0</v>
      </c>
      <c r="U1075" s="6">
        <v>0</v>
      </c>
      <c r="V1075" s="6">
        <v>0</v>
      </c>
      <c r="W1075" s="6">
        <v>0</v>
      </c>
      <c r="X1075" s="6" t="s">
        <v>169</v>
      </c>
      <c r="Z1075" s="6" t="s">
        <v>170</v>
      </c>
      <c r="AA1075" s="6" t="s">
        <v>171</v>
      </c>
      <c r="AB1075" s="6">
        <v>0</v>
      </c>
      <c r="AC1075" s="6" t="str">
        <f>""</f>
        <v/>
      </c>
      <c r="AS1075" s="6">
        <v>0</v>
      </c>
      <c r="AT1075" s="6">
        <v>0</v>
      </c>
    </row>
    <row r="1076" spans="2:46">
      <c r="B1076" s="6" t="s">
        <v>111</v>
      </c>
      <c r="D1076" s="6" t="s">
        <v>3316</v>
      </c>
      <c r="F1076" s="6" t="s">
        <v>4611</v>
      </c>
      <c r="G1076" s="6" t="str">
        <f>"3167132100799208"</f>
        <v>3167132100799208</v>
      </c>
      <c r="I1076" s="6" t="s">
        <v>4612</v>
      </c>
      <c r="J1076" s="6" t="str">
        <f>"W COMFY CUT JK"</f>
        <v>W COMFY CUT JK</v>
      </c>
      <c r="K1076" s="6">
        <v>0</v>
      </c>
      <c r="L1076" s="6">
        <v>0</v>
      </c>
      <c r="M1076" s="6">
        <v>0</v>
      </c>
      <c r="N1076" s="6" t="str">
        <f>""</f>
        <v/>
      </c>
      <c r="O1076" s="6">
        <v>32019</v>
      </c>
      <c r="P1076" s="6" t="s">
        <v>4613</v>
      </c>
      <c r="R1076" s="6" t="s">
        <v>2106</v>
      </c>
      <c r="S1076" s="6" t="s">
        <v>4614</v>
      </c>
      <c r="T1076" s="6">
        <v>2</v>
      </c>
      <c r="U1076" s="6">
        <v>0</v>
      </c>
      <c r="V1076" s="6">
        <v>0</v>
      </c>
      <c r="W1076" s="6">
        <v>0</v>
      </c>
      <c r="X1076" s="6" t="s">
        <v>169</v>
      </c>
      <c r="Z1076" s="6" t="s">
        <v>170</v>
      </c>
      <c r="AA1076" s="6" t="s">
        <v>171</v>
      </c>
      <c r="AB1076" s="6">
        <v>0</v>
      </c>
      <c r="AC1076" s="6" t="str">
        <f>"KEY-044"</f>
        <v>KEY-044</v>
      </c>
      <c r="AQ1076" s="6" t="str">
        <f>""</f>
        <v/>
      </c>
      <c r="AR1076" s="6" t="s">
        <v>1567</v>
      </c>
      <c r="AS1076" s="6">
        <v>0</v>
      </c>
      <c r="AT1076" s="6">
        <v>2</v>
      </c>
    </row>
    <row r="1077" spans="2:46">
      <c r="B1077" s="6" t="s">
        <v>111</v>
      </c>
      <c r="D1077" s="6" t="s">
        <v>3316</v>
      </c>
      <c r="F1077" s="6" t="s">
        <v>4615</v>
      </c>
      <c r="G1077" s="6" t="str">
        <f>"3167112101299208"</f>
        <v>3167112101299208</v>
      </c>
      <c r="H1077" s="6">
        <v>3167112101299200</v>
      </c>
      <c r="I1077" s="6" t="s">
        <v>4616</v>
      </c>
      <c r="J1077" s="6" t="str">
        <f>"PLUS POCKET SAFARI"</f>
        <v>PLUS POCKET SAFARI</v>
      </c>
      <c r="K1077" s="6">
        <v>0</v>
      </c>
      <c r="L1077" s="6">
        <v>0</v>
      </c>
      <c r="M1077" s="6">
        <v>0</v>
      </c>
      <c r="N1077" s="6" t="str">
        <f>""</f>
        <v/>
      </c>
      <c r="O1077" s="6">
        <v>32017</v>
      </c>
      <c r="P1077" s="6" t="s">
        <v>4617</v>
      </c>
      <c r="R1077" s="6" t="s">
        <v>2106</v>
      </c>
      <c r="S1077" s="6" t="s">
        <v>4618</v>
      </c>
      <c r="T1077" s="6">
        <v>0</v>
      </c>
      <c r="U1077" s="6">
        <v>0</v>
      </c>
      <c r="V1077" s="6">
        <v>0</v>
      </c>
      <c r="W1077" s="6">
        <v>0</v>
      </c>
      <c r="X1077" s="6" t="s">
        <v>169</v>
      </c>
      <c r="Z1077" s="6" t="s">
        <v>170</v>
      </c>
      <c r="AA1077" s="6" t="s">
        <v>171</v>
      </c>
      <c r="AB1077" s="6">
        <v>0</v>
      </c>
      <c r="AC1077" s="6" t="str">
        <f>""</f>
        <v/>
      </c>
      <c r="AS1077" s="6">
        <v>0</v>
      </c>
      <c r="AT1077" s="6">
        <v>2</v>
      </c>
    </row>
    <row r="1078" spans="2:46">
      <c r="B1078" s="6" t="s">
        <v>111</v>
      </c>
      <c r="D1078" s="6" t="s">
        <v>3316</v>
      </c>
      <c r="F1078" s="6" t="s">
        <v>4619</v>
      </c>
      <c r="G1078" s="6" t="str">
        <f>"3167222103399208"</f>
        <v>3167222103399208</v>
      </c>
      <c r="I1078" s="6" t="s">
        <v>4620</v>
      </c>
      <c r="J1078" s="6" t="str">
        <f>"GLOSS TOP"</f>
        <v>GLOSS TOP</v>
      </c>
      <c r="K1078" s="6">
        <v>0</v>
      </c>
      <c r="L1078" s="6">
        <v>0</v>
      </c>
      <c r="M1078" s="6">
        <v>0</v>
      </c>
      <c r="N1078" s="6" t="str">
        <f>""</f>
        <v/>
      </c>
      <c r="O1078" s="6">
        <v>32015</v>
      </c>
      <c r="P1078" s="6" t="s">
        <v>4621</v>
      </c>
      <c r="R1078" s="6" t="s">
        <v>2106</v>
      </c>
      <c r="S1078" s="6" t="s">
        <v>4622</v>
      </c>
      <c r="T1078" s="6">
        <v>2</v>
      </c>
      <c r="U1078" s="6">
        <v>0</v>
      </c>
      <c r="V1078" s="6">
        <v>0</v>
      </c>
      <c r="W1078" s="6">
        <v>0</v>
      </c>
      <c r="X1078" s="6" t="s">
        <v>169</v>
      </c>
      <c r="Z1078" s="6" t="s">
        <v>170</v>
      </c>
      <c r="AA1078" s="6" t="s">
        <v>171</v>
      </c>
      <c r="AB1078" s="6">
        <v>0</v>
      </c>
      <c r="AC1078" s="6" t="str">
        <f>"KEY-044"</f>
        <v>KEY-044</v>
      </c>
      <c r="AQ1078" s="6" t="str">
        <f>""</f>
        <v/>
      </c>
      <c r="AR1078" s="6" t="s">
        <v>1567</v>
      </c>
      <c r="AS1078" s="6">
        <v>0</v>
      </c>
      <c r="AT1078" s="6">
        <v>2</v>
      </c>
    </row>
    <row r="1079" spans="2:46">
      <c r="B1079" s="6" t="s">
        <v>111</v>
      </c>
      <c r="D1079" s="6" t="s">
        <v>3316</v>
      </c>
      <c r="F1079" s="6" t="s">
        <v>4623</v>
      </c>
      <c r="G1079" s="6" t="str">
        <f>"3167222103309208"</f>
        <v>3167222103309208</v>
      </c>
      <c r="H1079" s="6">
        <v>3167222103309200</v>
      </c>
      <c r="I1079" s="6" t="s">
        <v>4620</v>
      </c>
      <c r="J1079" s="6" t="str">
        <f>"GLOSS TOP"</f>
        <v>GLOSS TOP</v>
      </c>
      <c r="K1079" s="6">
        <v>0</v>
      </c>
      <c r="L1079" s="6">
        <v>0</v>
      </c>
      <c r="M1079" s="6">
        <v>0</v>
      </c>
      <c r="N1079" s="6" t="str">
        <f>""</f>
        <v/>
      </c>
      <c r="O1079" s="6">
        <v>32014</v>
      </c>
      <c r="P1079" s="6" t="s">
        <v>4624</v>
      </c>
      <c r="R1079" s="6" t="s">
        <v>2913</v>
      </c>
      <c r="S1079" s="6" t="s">
        <v>4625</v>
      </c>
      <c r="T1079" s="6">
        <v>0</v>
      </c>
      <c r="U1079" s="6">
        <v>0</v>
      </c>
      <c r="V1079" s="6">
        <v>0</v>
      </c>
      <c r="W1079" s="6">
        <v>0</v>
      </c>
      <c r="X1079" s="6" t="s">
        <v>169</v>
      </c>
      <c r="Z1079" s="6" t="s">
        <v>170</v>
      </c>
      <c r="AA1079" s="6" t="s">
        <v>171</v>
      </c>
      <c r="AB1079" s="6">
        <v>0</v>
      </c>
      <c r="AC1079" s="6" t="str">
        <f>""</f>
        <v/>
      </c>
      <c r="AS1079" s="6">
        <v>0</v>
      </c>
      <c r="AT1079" s="6">
        <v>0</v>
      </c>
    </row>
    <row r="1080" spans="2:46">
      <c r="B1080" s="6" t="s">
        <v>111</v>
      </c>
      <c r="D1080" s="6" t="s">
        <v>3316</v>
      </c>
      <c r="F1080" s="6" t="s">
        <v>4626</v>
      </c>
      <c r="G1080" s="6" t="str">
        <f>"3167222103361208"</f>
        <v>3167222103361208</v>
      </c>
      <c r="I1080" s="6" t="s">
        <v>4620</v>
      </c>
      <c r="J1080" s="6" t="str">
        <f>"GLOSS TOP"</f>
        <v>GLOSS TOP</v>
      </c>
      <c r="K1080" s="6">
        <v>0</v>
      </c>
      <c r="L1080" s="6">
        <v>0</v>
      </c>
      <c r="M1080" s="6">
        <v>0</v>
      </c>
      <c r="N1080" s="6" t="str">
        <f>""</f>
        <v/>
      </c>
      <c r="O1080" s="6">
        <v>32013</v>
      </c>
      <c r="P1080" s="6" t="s">
        <v>4627</v>
      </c>
      <c r="R1080" s="6" t="s">
        <v>2309</v>
      </c>
      <c r="S1080" s="6" t="s">
        <v>4628</v>
      </c>
      <c r="T1080" s="6">
        <v>1</v>
      </c>
      <c r="U1080" s="6">
        <v>0</v>
      </c>
      <c r="V1080" s="6">
        <v>0</v>
      </c>
      <c r="W1080" s="6">
        <v>0</v>
      </c>
      <c r="X1080" s="6" t="s">
        <v>169</v>
      </c>
      <c r="Z1080" s="6" t="s">
        <v>170</v>
      </c>
      <c r="AA1080" s="6" t="s">
        <v>171</v>
      </c>
      <c r="AB1080" s="6">
        <v>0</v>
      </c>
      <c r="AC1080" s="6" t="str">
        <f>"KEY-047"</f>
        <v>KEY-047</v>
      </c>
      <c r="AQ1080" s="6" t="str">
        <f>""</f>
        <v/>
      </c>
      <c r="AR1080" s="6" t="s">
        <v>1567</v>
      </c>
      <c r="AS1080" s="6">
        <v>0</v>
      </c>
      <c r="AT1080" s="6">
        <v>1</v>
      </c>
    </row>
    <row r="1081" spans="2:46">
      <c r="B1081" s="6" t="s">
        <v>111</v>
      </c>
      <c r="D1081" s="6" t="s">
        <v>3316</v>
      </c>
      <c r="F1081" s="6" t="s">
        <v>4629</v>
      </c>
      <c r="G1081" s="6" t="str">
        <f>"3167222103599208"</f>
        <v>3167222103599208</v>
      </c>
      <c r="I1081" s="6" t="s">
        <v>4630</v>
      </c>
      <c r="J1081" s="6" t="str">
        <f>"16 CROP MtoM"</f>
        <v>16 CROP MtoM</v>
      </c>
      <c r="K1081" s="6">
        <v>0</v>
      </c>
      <c r="L1081" s="6">
        <v>0</v>
      </c>
      <c r="M1081" s="6">
        <v>0</v>
      </c>
      <c r="N1081" s="6" t="str">
        <f>""</f>
        <v/>
      </c>
      <c r="O1081" s="6">
        <v>32011</v>
      </c>
      <c r="P1081" s="6" t="s">
        <v>4631</v>
      </c>
      <c r="R1081" s="6" t="s">
        <v>2106</v>
      </c>
      <c r="S1081" s="6" t="s">
        <v>4632</v>
      </c>
      <c r="T1081" s="6">
        <v>1</v>
      </c>
      <c r="U1081" s="6">
        <v>0</v>
      </c>
      <c r="V1081" s="6">
        <v>0</v>
      </c>
      <c r="W1081" s="6">
        <v>0</v>
      </c>
      <c r="X1081" s="6" t="s">
        <v>169</v>
      </c>
      <c r="Z1081" s="6" t="s">
        <v>170</v>
      </c>
      <c r="AA1081" s="6" t="s">
        <v>171</v>
      </c>
      <c r="AB1081" s="6">
        <v>0</v>
      </c>
      <c r="AC1081" s="6" t="str">
        <f>"KEY-039"</f>
        <v>KEY-039</v>
      </c>
      <c r="AQ1081" s="6" t="str">
        <f>""</f>
        <v/>
      </c>
      <c r="AR1081" s="6" t="s">
        <v>1567</v>
      </c>
      <c r="AS1081" s="6">
        <v>0</v>
      </c>
      <c r="AT1081" s="6">
        <v>1</v>
      </c>
    </row>
    <row r="1082" spans="2:46">
      <c r="B1082" s="6" t="s">
        <v>111</v>
      </c>
      <c r="D1082" s="6" t="s">
        <v>3316</v>
      </c>
      <c r="F1082" s="6" t="s">
        <v>4633</v>
      </c>
      <c r="G1082" s="6" t="str">
        <f>"3167222103509208"</f>
        <v>3167222103509208</v>
      </c>
      <c r="H1082" s="6">
        <v>3167222103509200</v>
      </c>
      <c r="I1082" s="6" t="s">
        <v>4630</v>
      </c>
      <c r="J1082" s="6" t="str">
        <f>"16 CROP MtoM"</f>
        <v>16 CROP MtoM</v>
      </c>
      <c r="K1082" s="6">
        <v>0</v>
      </c>
      <c r="L1082" s="6">
        <v>0</v>
      </c>
      <c r="M1082" s="6">
        <v>0</v>
      </c>
      <c r="N1082" s="6" t="str">
        <f>""</f>
        <v/>
      </c>
      <c r="O1082" s="6">
        <v>32010</v>
      </c>
      <c r="P1082" s="6" t="s">
        <v>4634</v>
      </c>
      <c r="R1082" s="6" t="s">
        <v>2913</v>
      </c>
      <c r="S1082" s="6" t="s">
        <v>4635</v>
      </c>
      <c r="T1082" s="6">
        <v>0</v>
      </c>
      <c r="U1082" s="6">
        <v>0</v>
      </c>
      <c r="V1082" s="6">
        <v>0</v>
      </c>
      <c r="W1082" s="6">
        <v>0</v>
      </c>
      <c r="X1082" s="6" t="s">
        <v>169</v>
      </c>
      <c r="Z1082" s="6" t="s">
        <v>170</v>
      </c>
      <c r="AA1082" s="6" t="s">
        <v>171</v>
      </c>
      <c r="AB1082" s="6">
        <v>0</v>
      </c>
      <c r="AC1082" s="6" t="str">
        <f>""</f>
        <v/>
      </c>
      <c r="AS1082" s="6">
        <v>0</v>
      </c>
      <c r="AT1082" s="6">
        <v>0</v>
      </c>
    </row>
    <row r="1083" spans="2:46">
      <c r="B1083" s="6" t="s">
        <v>111</v>
      </c>
      <c r="D1083" s="6" t="s">
        <v>3316</v>
      </c>
      <c r="F1083" s="6" t="s">
        <v>4636</v>
      </c>
      <c r="G1083" s="6" t="str">
        <f>"3167222103699208"</f>
        <v>3167222103699208</v>
      </c>
      <c r="I1083" s="6" t="s">
        <v>4637</v>
      </c>
      <c r="J1083" s="6" t="str">
        <f>"7G VEST"</f>
        <v>7G VEST</v>
      </c>
      <c r="K1083" s="6">
        <v>0</v>
      </c>
      <c r="L1083" s="6">
        <v>0</v>
      </c>
      <c r="M1083" s="6">
        <v>0</v>
      </c>
      <c r="N1083" s="6" t="str">
        <f>""</f>
        <v/>
      </c>
      <c r="O1083" s="6">
        <v>32008</v>
      </c>
      <c r="P1083" s="6" t="s">
        <v>4638</v>
      </c>
      <c r="R1083" s="6" t="s">
        <v>2106</v>
      </c>
      <c r="S1083" s="6" t="s">
        <v>4639</v>
      </c>
      <c r="T1083" s="6">
        <v>2</v>
      </c>
      <c r="U1083" s="6">
        <v>0</v>
      </c>
      <c r="V1083" s="6">
        <v>0</v>
      </c>
      <c r="W1083" s="6">
        <v>0</v>
      </c>
      <c r="X1083" s="6" t="s">
        <v>169</v>
      </c>
      <c r="Z1083" s="6" t="s">
        <v>170</v>
      </c>
      <c r="AA1083" s="6" t="s">
        <v>171</v>
      </c>
      <c r="AB1083" s="6">
        <v>0</v>
      </c>
      <c r="AC1083" s="6" t="str">
        <f>"KEY-068"</f>
        <v>KEY-068</v>
      </c>
      <c r="AQ1083" s="6" t="str">
        <f>""</f>
        <v/>
      </c>
      <c r="AR1083" s="6" t="s">
        <v>1567</v>
      </c>
      <c r="AS1083" s="6">
        <v>0</v>
      </c>
      <c r="AT1083" s="6">
        <v>2</v>
      </c>
    </row>
    <row r="1084" spans="2:46">
      <c r="B1084" s="6" t="s">
        <v>111</v>
      </c>
      <c r="D1084" s="6" t="s">
        <v>3316</v>
      </c>
      <c r="F1084" s="6" t="s">
        <v>4640</v>
      </c>
      <c r="G1084" s="6" t="str">
        <f>"3167222103669208"</f>
        <v>3167222103669208</v>
      </c>
      <c r="I1084" s="6" t="s">
        <v>4637</v>
      </c>
      <c r="J1084" s="6" t="str">
        <f>"7G VEST"</f>
        <v>7G VEST</v>
      </c>
      <c r="K1084" s="6">
        <v>0</v>
      </c>
      <c r="L1084" s="6">
        <v>0</v>
      </c>
      <c r="M1084" s="6">
        <v>0</v>
      </c>
      <c r="N1084" s="6" t="str">
        <f>""</f>
        <v/>
      </c>
      <c r="O1084" s="6">
        <v>32007</v>
      </c>
      <c r="P1084" s="6" t="s">
        <v>4641</v>
      </c>
      <c r="R1084" s="6" t="s">
        <v>2356</v>
      </c>
      <c r="S1084" s="6" t="s">
        <v>4642</v>
      </c>
      <c r="T1084" s="6">
        <v>2</v>
      </c>
      <c r="U1084" s="6">
        <v>0</v>
      </c>
      <c r="V1084" s="6">
        <v>0</v>
      </c>
      <c r="W1084" s="6">
        <v>0</v>
      </c>
      <c r="X1084" s="6" t="s">
        <v>169</v>
      </c>
      <c r="Z1084" s="6" t="s">
        <v>170</v>
      </c>
      <c r="AA1084" s="6" t="s">
        <v>171</v>
      </c>
      <c r="AB1084" s="6">
        <v>0</v>
      </c>
      <c r="AC1084" s="6" t="str">
        <f>"KEY-068"</f>
        <v>KEY-068</v>
      </c>
      <c r="AQ1084" s="6" t="str">
        <f>""</f>
        <v/>
      </c>
      <c r="AR1084" s="6" t="s">
        <v>1567</v>
      </c>
      <c r="AS1084" s="6">
        <v>0</v>
      </c>
      <c r="AT1084" s="6">
        <v>2</v>
      </c>
    </row>
    <row r="1085" spans="2:46">
      <c r="B1085" s="6" t="s">
        <v>111</v>
      </c>
      <c r="D1085" s="6" t="s">
        <v>3316</v>
      </c>
      <c r="F1085" s="6" t="s">
        <v>4643</v>
      </c>
      <c r="G1085" s="6" t="str">
        <f>"3167252102874208"</f>
        <v>3167252102874208</v>
      </c>
      <c r="I1085" s="6" t="s">
        <v>4644</v>
      </c>
      <c r="J1085" s="6" t="str">
        <f>"A LINE ZIPPER OPS"</f>
        <v>A LINE ZIPPER OPS</v>
      </c>
      <c r="K1085" s="6">
        <v>0</v>
      </c>
      <c r="L1085" s="6">
        <v>0</v>
      </c>
      <c r="M1085" s="6">
        <v>0</v>
      </c>
      <c r="N1085" s="6" t="str">
        <f>""</f>
        <v/>
      </c>
      <c r="O1085" s="6">
        <v>32005</v>
      </c>
      <c r="P1085" s="6" t="s">
        <v>4645</v>
      </c>
      <c r="R1085" s="6" t="s">
        <v>2102</v>
      </c>
      <c r="S1085" s="6" t="s">
        <v>4646</v>
      </c>
      <c r="T1085" s="6">
        <v>1</v>
      </c>
      <c r="U1085" s="6">
        <v>0</v>
      </c>
      <c r="V1085" s="6">
        <v>0</v>
      </c>
      <c r="W1085" s="6">
        <v>0</v>
      </c>
      <c r="X1085" s="6" t="s">
        <v>169</v>
      </c>
      <c r="Z1085" s="6" t="s">
        <v>170</v>
      </c>
      <c r="AA1085" s="6" t="s">
        <v>171</v>
      </c>
      <c r="AB1085" s="6">
        <v>0</v>
      </c>
      <c r="AC1085" s="6" t="str">
        <f>"KEY-049"</f>
        <v>KEY-049</v>
      </c>
      <c r="AQ1085" s="6" t="str">
        <f>""</f>
        <v/>
      </c>
      <c r="AR1085" s="6" t="s">
        <v>1567</v>
      </c>
      <c r="AS1085" s="6">
        <v>0</v>
      </c>
      <c r="AT1085" s="6">
        <v>1</v>
      </c>
    </row>
    <row r="1086" spans="2:46">
      <c r="B1086" s="6" t="s">
        <v>111</v>
      </c>
      <c r="D1086" s="6" t="s">
        <v>3316</v>
      </c>
      <c r="F1086" s="6" t="s">
        <v>4647</v>
      </c>
      <c r="G1086" s="6" t="str">
        <f>"3167312100509320"</f>
        <v>3167312100509320</v>
      </c>
      <c r="H1086" s="6">
        <v>3167312100509320</v>
      </c>
      <c r="I1086" s="6" t="s">
        <v>4648</v>
      </c>
      <c r="J1086" s="6" t="str">
        <f>"BTG SWEAT PT"</f>
        <v>BTG SWEAT PT</v>
      </c>
      <c r="K1086" s="6">
        <v>0</v>
      </c>
      <c r="L1086" s="6">
        <v>0</v>
      </c>
      <c r="M1086" s="6">
        <v>0</v>
      </c>
      <c r="N1086" s="6" t="str">
        <f>""</f>
        <v/>
      </c>
      <c r="O1086" s="6">
        <v>32003</v>
      </c>
      <c r="P1086" s="6" t="s">
        <v>4649</v>
      </c>
      <c r="R1086" s="6" t="s">
        <v>2913</v>
      </c>
      <c r="S1086" s="6" t="s">
        <v>4650</v>
      </c>
      <c r="T1086" s="6">
        <v>0</v>
      </c>
      <c r="U1086" s="6">
        <v>0</v>
      </c>
      <c r="V1086" s="6">
        <v>0</v>
      </c>
      <c r="W1086" s="6">
        <v>0</v>
      </c>
      <c r="X1086" s="6" t="s">
        <v>169</v>
      </c>
      <c r="Z1086" s="6" t="s">
        <v>170</v>
      </c>
      <c r="AA1086" s="6" t="s">
        <v>171</v>
      </c>
      <c r="AB1086" s="6">
        <v>0</v>
      </c>
      <c r="AC1086" s="6" t="str">
        <f>""</f>
        <v/>
      </c>
      <c r="AS1086" s="6">
        <v>0</v>
      </c>
      <c r="AT1086" s="6">
        <v>0</v>
      </c>
    </row>
    <row r="1087" spans="2:46">
      <c r="B1087" s="6" t="s">
        <v>111</v>
      </c>
      <c r="D1087" s="6" t="s">
        <v>3316</v>
      </c>
      <c r="F1087" s="6" t="s">
        <v>4651</v>
      </c>
      <c r="G1087" s="6" t="str">
        <f>"3167312100565320"</f>
        <v>3167312100565320</v>
      </c>
      <c r="H1087" s="6">
        <v>3167312100565320</v>
      </c>
      <c r="I1087" s="6" t="s">
        <v>4648</v>
      </c>
      <c r="J1087" s="6" t="str">
        <f>"BTG SWEAT PT"</f>
        <v>BTG SWEAT PT</v>
      </c>
      <c r="K1087" s="6">
        <v>0</v>
      </c>
      <c r="L1087" s="6">
        <v>0</v>
      </c>
      <c r="M1087" s="6">
        <v>0</v>
      </c>
      <c r="N1087" s="6" t="str">
        <f>""</f>
        <v/>
      </c>
      <c r="O1087" s="6">
        <v>32002</v>
      </c>
      <c r="P1087" s="6" t="s">
        <v>4652</v>
      </c>
      <c r="R1087" s="6" t="s">
        <v>2570</v>
      </c>
      <c r="S1087" s="6" t="s">
        <v>4653</v>
      </c>
      <c r="T1087" s="6">
        <v>0</v>
      </c>
      <c r="U1087" s="6">
        <v>0</v>
      </c>
      <c r="V1087" s="6">
        <v>0</v>
      </c>
      <c r="W1087" s="6">
        <v>0</v>
      </c>
      <c r="X1087" s="6" t="s">
        <v>169</v>
      </c>
      <c r="Z1087" s="6" t="s">
        <v>170</v>
      </c>
      <c r="AA1087" s="6" t="s">
        <v>171</v>
      </c>
      <c r="AB1087" s="6">
        <v>0</v>
      </c>
      <c r="AC1087" s="6" t="str">
        <f>""</f>
        <v/>
      </c>
      <c r="AS1087" s="6">
        <v>0</v>
      </c>
      <c r="AT1087" s="6">
        <v>0</v>
      </c>
    </row>
    <row r="1088" spans="2:46">
      <c r="B1088" s="6" t="s">
        <v>111</v>
      </c>
      <c r="D1088" s="6" t="s">
        <v>3316</v>
      </c>
      <c r="F1088" s="6" t="s">
        <v>4654</v>
      </c>
      <c r="G1088" s="6" t="str">
        <f>"3167242102530208"</f>
        <v>3167242102530208</v>
      </c>
      <c r="I1088" s="6" t="s">
        <v>4655</v>
      </c>
      <c r="J1088" s="6" t="str">
        <f>"LETTERING BLOUSE"</f>
        <v>LETTERING BLOUSE</v>
      </c>
      <c r="K1088" s="6">
        <v>0</v>
      </c>
      <c r="L1088" s="6">
        <v>0</v>
      </c>
      <c r="M1088" s="6">
        <v>0</v>
      </c>
      <c r="N1088" s="6" t="str">
        <f>""</f>
        <v/>
      </c>
      <c r="O1088" s="6">
        <v>32000</v>
      </c>
      <c r="P1088" s="6" t="s">
        <v>4656</v>
      </c>
      <c r="R1088" s="6" t="s">
        <v>2111</v>
      </c>
      <c r="S1088" s="6" t="s">
        <v>4657</v>
      </c>
      <c r="T1088" s="6">
        <v>2</v>
      </c>
      <c r="U1088" s="6">
        <v>0</v>
      </c>
      <c r="V1088" s="6">
        <v>0</v>
      </c>
      <c r="W1088" s="6">
        <v>0</v>
      </c>
      <c r="X1088" s="6" t="s">
        <v>169</v>
      </c>
      <c r="Z1088" s="6" t="s">
        <v>170</v>
      </c>
      <c r="AA1088" s="6" t="s">
        <v>171</v>
      </c>
      <c r="AB1088" s="6">
        <v>0</v>
      </c>
      <c r="AC1088" s="6" t="str">
        <f>"KEY-014"</f>
        <v>KEY-014</v>
      </c>
      <c r="AQ1088" s="6" t="str">
        <f>""</f>
        <v/>
      </c>
      <c r="AR1088" s="6" t="s">
        <v>1584</v>
      </c>
      <c r="AS1088" s="6">
        <v>0</v>
      </c>
      <c r="AT1088" s="6">
        <v>2</v>
      </c>
    </row>
    <row r="1089" spans="2:46">
      <c r="B1089" s="6" t="s">
        <v>111</v>
      </c>
      <c r="D1089" s="6" t="s">
        <v>3316</v>
      </c>
      <c r="F1089" s="6" t="s">
        <v>4658</v>
      </c>
      <c r="G1089" s="6" t="str">
        <f>"3167242102574208"</f>
        <v>3167242102574208</v>
      </c>
      <c r="I1089" s="6" t="s">
        <v>4655</v>
      </c>
      <c r="J1089" s="6" t="str">
        <f>"LETTERING BLOUSE"</f>
        <v>LETTERING BLOUSE</v>
      </c>
      <c r="K1089" s="6">
        <v>0</v>
      </c>
      <c r="L1089" s="6">
        <v>0</v>
      </c>
      <c r="M1089" s="6">
        <v>0</v>
      </c>
      <c r="N1089" s="6" t="str">
        <f>""</f>
        <v/>
      </c>
      <c r="O1089" s="6">
        <v>31999</v>
      </c>
      <c r="P1089" s="6" t="s">
        <v>4659</v>
      </c>
      <c r="R1089" s="6" t="s">
        <v>2102</v>
      </c>
      <c r="S1089" s="6" t="s">
        <v>4660</v>
      </c>
      <c r="T1089" s="6">
        <v>1</v>
      </c>
      <c r="U1089" s="6">
        <v>0</v>
      </c>
      <c r="V1089" s="6">
        <v>0</v>
      </c>
      <c r="W1089" s="6">
        <v>0</v>
      </c>
      <c r="X1089" s="6" t="s">
        <v>169</v>
      </c>
      <c r="Z1089" s="6" t="s">
        <v>170</v>
      </c>
      <c r="AA1089" s="6" t="s">
        <v>171</v>
      </c>
      <c r="AB1089" s="6">
        <v>0</v>
      </c>
      <c r="AC1089" s="6" t="str">
        <f>"KEY-039"</f>
        <v>KEY-039</v>
      </c>
      <c r="AQ1089" s="6" t="str">
        <f>""</f>
        <v/>
      </c>
      <c r="AR1089" s="6" t="s">
        <v>1567</v>
      </c>
      <c r="AS1089" s="6">
        <v>0</v>
      </c>
      <c r="AT1089" s="6">
        <v>1</v>
      </c>
    </row>
    <row r="1090" spans="2:46">
      <c r="B1090" s="6" t="s">
        <v>111</v>
      </c>
      <c r="D1090" s="6" t="s">
        <v>3316</v>
      </c>
      <c r="F1090" s="6" t="s">
        <v>4661</v>
      </c>
      <c r="G1090" s="6" t="str">
        <f>"3167252102930208"</f>
        <v>3167252102930208</v>
      </c>
      <c r="I1090" s="6" t="s">
        <v>4662</v>
      </c>
      <c r="J1090" s="6" t="str">
        <f>"SLEEPY OPS"</f>
        <v>SLEEPY OPS</v>
      </c>
      <c r="K1090" s="6">
        <v>0</v>
      </c>
      <c r="L1090" s="6">
        <v>0</v>
      </c>
      <c r="M1090" s="6">
        <v>0</v>
      </c>
      <c r="N1090" s="6" t="str">
        <f>""</f>
        <v/>
      </c>
      <c r="O1090" s="6">
        <v>31997</v>
      </c>
      <c r="P1090" s="6" t="s">
        <v>4663</v>
      </c>
      <c r="R1090" s="6" t="s">
        <v>2111</v>
      </c>
      <c r="S1090" s="6" t="s">
        <v>4664</v>
      </c>
      <c r="T1090" s="6">
        <v>1</v>
      </c>
      <c r="U1090" s="6">
        <v>0</v>
      </c>
      <c r="V1090" s="6">
        <v>0</v>
      </c>
      <c r="W1090" s="6">
        <v>0</v>
      </c>
      <c r="X1090" s="6" t="s">
        <v>169</v>
      </c>
      <c r="Z1090" s="6" t="s">
        <v>170</v>
      </c>
      <c r="AA1090" s="6" t="s">
        <v>171</v>
      </c>
      <c r="AB1090" s="6">
        <v>0</v>
      </c>
      <c r="AC1090" s="6" t="str">
        <f>"KEY-068"</f>
        <v>KEY-068</v>
      </c>
      <c r="AQ1090" s="6" t="str">
        <f>""</f>
        <v/>
      </c>
      <c r="AR1090" s="6" t="s">
        <v>1567</v>
      </c>
      <c r="AS1090" s="6">
        <v>0</v>
      </c>
      <c r="AT1090" s="6">
        <v>1</v>
      </c>
    </row>
    <row r="1091" spans="2:46">
      <c r="B1091" s="6" t="s">
        <v>111</v>
      </c>
      <c r="D1091" s="6" t="s">
        <v>3316</v>
      </c>
      <c r="F1091" s="6" t="s">
        <v>4665</v>
      </c>
      <c r="G1091" s="6" t="str">
        <f>"3167252102969208"</f>
        <v>3167252102969208</v>
      </c>
      <c r="I1091" s="6" t="s">
        <v>4662</v>
      </c>
      <c r="J1091" s="6" t="str">
        <f>"SLEEPY OPS"</f>
        <v>SLEEPY OPS</v>
      </c>
      <c r="K1091" s="6">
        <v>0</v>
      </c>
      <c r="L1091" s="6">
        <v>0</v>
      </c>
      <c r="M1091" s="6">
        <v>0</v>
      </c>
      <c r="N1091" s="6" t="str">
        <f>""</f>
        <v/>
      </c>
      <c r="O1091" s="6">
        <v>31996</v>
      </c>
      <c r="P1091" s="6" t="s">
        <v>4666</v>
      </c>
      <c r="R1091" s="6" t="s">
        <v>2356</v>
      </c>
      <c r="S1091" s="6" t="s">
        <v>4667</v>
      </c>
      <c r="T1091" s="6">
        <v>2</v>
      </c>
      <c r="U1091" s="6">
        <v>0</v>
      </c>
      <c r="V1091" s="6">
        <v>0</v>
      </c>
      <c r="W1091" s="6">
        <v>0</v>
      </c>
      <c r="X1091" s="6" t="s">
        <v>169</v>
      </c>
      <c r="Z1091" s="6" t="s">
        <v>170</v>
      </c>
      <c r="AA1091" s="6" t="s">
        <v>171</v>
      </c>
      <c r="AB1091" s="6">
        <v>0</v>
      </c>
      <c r="AC1091" s="6" t="str">
        <f>"KEY-048"</f>
        <v>KEY-048</v>
      </c>
      <c r="AQ1091" s="6" t="str">
        <f>""</f>
        <v/>
      </c>
      <c r="AR1091" s="6" t="s">
        <v>1567</v>
      </c>
      <c r="AS1091" s="6">
        <v>0</v>
      </c>
      <c r="AT1091" s="6">
        <v>2</v>
      </c>
    </row>
    <row r="1092" spans="2:46">
      <c r="B1092" s="6" t="s">
        <v>111</v>
      </c>
      <c r="D1092" s="6" t="s">
        <v>3316</v>
      </c>
      <c r="F1092" s="6" t="s">
        <v>4668</v>
      </c>
      <c r="G1092" s="6" t="str">
        <f>"3167332102509320"</f>
        <v>3167332102509320</v>
      </c>
      <c r="H1092" s="6">
        <v>3167332102509320</v>
      </c>
      <c r="I1092" s="6" t="s">
        <v>4669</v>
      </c>
      <c r="J1092" s="6" t="str">
        <f>"BTG SKIRT"</f>
        <v>BTG SKIRT</v>
      </c>
      <c r="K1092" s="6">
        <v>0</v>
      </c>
      <c r="L1092" s="6">
        <v>0</v>
      </c>
      <c r="M1092" s="6">
        <v>0</v>
      </c>
      <c r="N1092" s="6" t="str">
        <f>""</f>
        <v/>
      </c>
      <c r="O1092" s="6">
        <v>31994</v>
      </c>
      <c r="P1092" s="6" t="s">
        <v>4670</v>
      </c>
      <c r="R1092" s="6" t="s">
        <v>2913</v>
      </c>
      <c r="S1092" s="6" t="s">
        <v>4671</v>
      </c>
      <c r="T1092" s="6">
        <v>0</v>
      </c>
      <c r="U1092" s="6">
        <v>0</v>
      </c>
      <c r="V1092" s="6">
        <v>0</v>
      </c>
      <c r="W1092" s="6">
        <v>0</v>
      </c>
      <c r="X1092" s="6" t="s">
        <v>169</v>
      </c>
      <c r="Z1092" s="6" t="s">
        <v>170</v>
      </c>
      <c r="AA1092" s="6" t="s">
        <v>171</v>
      </c>
      <c r="AB1092" s="6">
        <v>0</v>
      </c>
      <c r="AC1092" s="6" t="str">
        <f>""</f>
        <v/>
      </c>
      <c r="AS1092" s="6">
        <v>0</v>
      </c>
      <c r="AT1092" s="6">
        <v>0</v>
      </c>
    </row>
    <row r="1093" spans="2:46">
      <c r="B1093" s="6" t="s">
        <v>111</v>
      </c>
      <c r="D1093" s="6" t="s">
        <v>3316</v>
      </c>
      <c r="F1093" s="6" t="s">
        <v>4672</v>
      </c>
      <c r="G1093" s="6" t="str">
        <f>"3167312101130320"</f>
        <v>3167312101130320</v>
      </c>
      <c r="I1093" s="6" t="s">
        <v>4673</v>
      </c>
      <c r="J1093" s="6" t="str">
        <f>"LETTERING PANTS"</f>
        <v>LETTERING PANTS</v>
      </c>
      <c r="K1093" s="6">
        <v>0</v>
      </c>
      <c r="L1093" s="6">
        <v>0</v>
      </c>
      <c r="M1093" s="6">
        <v>0</v>
      </c>
      <c r="N1093" s="6" t="str">
        <f>""</f>
        <v/>
      </c>
      <c r="O1093" s="6">
        <v>31992</v>
      </c>
      <c r="P1093" s="6" t="s">
        <v>4674</v>
      </c>
      <c r="R1093" s="6" t="s">
        <v>2111</v>
      </c>
      <c r="S1093" s="6" t="s">
        <v>4675</v>
      </c>
      <c r="T1093" s="6">
        <v>1</v>
      </c>
      <c r="U1093" s="6">
        <v>0</v>
      </c>
      <c r="V1093" s="6">
        <v>0</v>
      </c>
      <c r="W1093" s="6">
        <v>0</v>
      </c>
      <c r="X1093" s="6" t="s">
        <v>169</v>
      </c>
      <c r="Z1093" s="6" t="s">
        <v>170</v>
      </c>
      <c r="AA1093" s="6" t="s">
        <v>171</v>
      </c>
      <c r="AB1093" s="6">
        <v>0</v>
      </c>
      <c r="AC1093" s="6" t="str">
        <f>"KEY-055"</f>
        <v>KEY-055</v>
      </c>
      <c r="AQ1093" s="6" t="str">
        <f>""</f>
        <v/>
      </c>
      <c r="AR1093" s="6" t="s">
        <v>1567</v>
      </c>
      <c r="AS1093" s="6">
        <v>0</v>
      </c>
      <c r="AT1093" s="6">
        <v>1</v>
      </c>
    </row>
    <row r="1094" spans="2:46">
      <c r="B1094" s="6" t="s">
        <v>111</v>
      </c>
      <c r="D1094" s="6" t="s">
        <v>3316</v>
      </c>
      <c r="F1094" s="6" t="s">
        <v>4676</v>
      </c>
      <c r="G1094" s="6" t="str">
        <f>"3167312101174320"</f>
        <v>3167312101174320</v>
      </c>
      <c r="I1094" s="6" t="s">
        <v>4673</v>
      </c>
      <c r="J1094" s="6" t="str">
        <f>"LETTERING PANTS"</f>
        <v>LETTERING PANTS</v>
      </c>
      <c r="K1094" s="6">
        <v>0</v>
      </c>
      <c r="L1094" s="6">
        <v>0</v>
      </c>
      <c r="M1094" s="6">
        <v>0</v>
      </c>
      <c r="N1094" s="6" t="str">
        <f>""</f>
        <v/>
      </c>
      <c r="O1094" s="6">
        <v>31991</v>
      </c>
      <c r="P1094" s="6" t="s">
        <v>4677</v>
      </c>
      <c r="R1094" s="6" t="s">
        <v>2102</v>
      </c>
      <c r="S1094" s="6" t="s">
        <v>4678</v>
      </c>
      <c r="T1094" s="6">
        <v>1</v>
      </c>
      <c r="U1094" s="6">
        <v>0</v>
      </c>
      <c r="V1094" s="6">
        <v>0</v>
      </c>
      <c r="W1094" s="6">
        <v>0</v>
      </c>
      <c r="X1094" s="6" t="s">
        <v>169</v>
      </c>
      <c r="Z1094" s="6" t="s">
        <v>170</v>
      </c>
      <c r="AA1094" s="6" t="s">
        <v>171</v>
      </c>
      <c r="AB1094" s="6">
        <v>0</v>
      </c>
      <c r="AC1094" s="6" t="str">
        <f>"KEY-049"</f>
        <v>KEY-049</v>
      </c>
      <c r="AQ1094" s="6" t="str">
        <f>""</f>
        <v/>
      </c>
      <c r="AR1094" s="6" t="s">
        <v>1567</v>
      </c>
      <c r="AS1094" s="6">
        <v>0</v>
      </c>
      <c r="AT1094" s="6">
        <v>1</v>
      </c>
    </row>
    <row r="1095" spans="2:46">
      <c r="B1095" s="6" t="s">
        <v>111</v>
      </c>
      <c r="D1095" s="6" t="s">
        <v>3316</v>
      </c>
      <c r="F1095" s="6" t="s">
        <v>4679</v>
      </c>
      <c r="G1095" s="6" t="str">
        <f>"3167222103725208"</f>
        <v>3167222103725208</v>
      </c>
      <c r="H1095" s="6">
        <v>3167222103725200</v>
      </c>
      <c r="I1095" s="6" t="s">
        <v>4680</v>
      </c>
      <c r="J1095" s="6" t="str">
        <f>"3 BLOCK TS"</f>
        <v>3 BLOCK TS</v>
      </c>
      <c r="K1095" s="6">
        <v>0</v>
      </c>
      <c r="L1095" s="6">
        <v>0</v>
      </c>
      <c r="M1095" s="6">
        <v>0</v>
      </c>
      <c r="N1095" s="6" t="str">
        <f>""</f>
        <v/>
      </c>
      <c r="O1095" s="6">
        <v>31989</v>
      </c>
      <c r="P1095" s="6" t="s">
        <v>4681</v>
      </c>
      <c r="R1095" s="6" t="s">
        <v>2175</v>
      </c>
      <c r="S1095" s="6" t="s">
        <v>4682</v>
      </c>
      <c r="T1095" s="6">
        <v>0</v>
      </c>
      <c r="U1095" s="6">
        <v>0</v>
      </c>
      <c r="V1095" s="6">
        <v>0</v>
      </c>
      <c r="W1095" s="6">
        <v>0</v>
      </c>
      <c r="X1095" s="6" t="s">
        <v>169</v>
      </c>
      <c r="Z1095" s="6" t="s">
        <v>170</v>
      </c>
      <c r="AA1095" s="6" t="s">
        <v>171</v>
      </c>
      <c r="AB1095" s="6">
        <v>0</v>
      </c>
      <c r="AC1095" s="6" t="str">
        <f>""</f>
        <v/>
      </c>
      <c r="AS1095" s="6">
        <v>0</v>
      </c>
      <c r="AT1095" s="6">
        <v>0</v>
      </c>
    </row>
    <row r="1096" spans="2:46">
      <c r="B1096" s="6" t="s">
        <v>111</v>
      </c>
      <c r="D1096" s="6" t="s">
        <v>3316</v>
      </c>
      <c r="F1096" s="6" t="s">
        <v>4683</v>
      </c>
      <c r="G1096" s="6" t="str">
        <f>"3167222103701208"</f>
        <v>3167222103701208</v>
      </c>
      <c r="H1096" s="6">
        <v>3167222103701200</v>
      </c>
      <c r="I1096" s="6" t="s">
        <v>4680</v>
      </c>
      <c r="J1096" s="6" t="str">
        <f>"3 BLOCK TS"</f>
        <v>3 BLOCK TS</v>
      </c>
      <c r="K1096" s="6">
        <v>0</v>
      </c>
      <c r="L1096" s="6">
        <v>0</v>
      </c>
      <c r="M1096" s="6">
        <v>0</v>
      </c>
      <c r="N1096" s="6" t="str">
        <f>""</f>
        <v/>
      </c>
      <c r="O1096" s="6">
        <v>31988</v>
      </c>
      <c r="P1096" s="6" t="s">
        <v>4684</v>
      </c>
      <c r="R1096" s="6" t="s">
        <v>2446</v>
      </c>
      <c r="S1096" s="6" t="s">
        <v>4685</v>
      </c>
      <c r="T1096" s="6">
        <v>0</v>
      </c>
      <c r="U1096" s="6">
        <v>0</v>
      </c>
      <c r="V1096" s="6">
        <v>0</v>
      </c>
      <c r="W1096" s="6">
        <v>0</v>
      </c>
      <c r="X1096" s="6" t="s">
        <v>169</v>
      </c>
      <c r="Z1096" s="6" t="s">
        <v>170</v>
      </c>
      <c r="AA1096" s="6" t="s">
        <v>171</v>
      </c>
      <c r="AB1096" s="6">
        <v>0</v>
      </c>
      <c r="AC1096" s="6" t="str">
        <f>""</f>
        <v/>
      </c>
      <c r="AS1096" s="6">
        <v>0</v>
      </c>
      <c r="AT1096" s="6">
        <v>0</v>
      </c>
    </row>
    <row r="1097" spans="2:46">
      <c r="B1097" s="6" t="s">
        <v>111</v>
      </c>
      <c r="D1097" s="6" t="s">
        <v>3316</v>
      </c>
      <c r="F1097" s="6" t="s">
        <v>4686</v>
      </c>
      <c r="G1097" s="6" t="str">
        <f>"3167112104999208"</f>
        <v>3167112104999208</v>
      </c>
      <c r="I1097" s="6" t="s">
        <v>4687</v>
      </c>
      <c r="J1097" s="6" t="str">
        <f>"CANDY COAT"</f>
        <v>CANDY COAT</v>
      </c>
      <c r="K1097" s="6">
        <v>0</v>
      </c>
      <c r="L1097" s="6">
        <v>0</v>
      </c>
      <c r="M1097" s="6">
        <v>0</v>
      </c>
      <c r="N1097" s="6" t="str">
        <f>""</f>
        <v/>
      </c>
      <c r="O1097" s="6">
        <v>31986</v>
      </c>
      <c r="P1097" s="6" t="s">
        <v>4688</v>
      </c>
      <c r="R1097" s="6" t="s">
        <v>2106</v>
      </c>
      <c r="S1097" s="6" t="s">
        <v>4689</v>
      </c>
      <c r="T1097" s="6">
        <v>1</v>
      </c>
      <c r="U1097" s="6">
        <v>0</v>
      </c>
      <c r="V1097" s="6">
        <v>0</v>
      </c>
      <c r="W1097" s="6">
        <v>0</v>
      </c>
      <c r="X1097" s="6" t="s">
        <v>169</v>
      </c>
      <c r="Z1097" s="6" t="s">
        <v>170</v>
      </c>
      <c r="AA1097" s="6" t="s">
        <v>171</v>
      </c>
      <c r="AB1097" s="6">
        <v>0</v>
      </c>
      <c r="AC1097" s="6" t="str">
        <f>"KEY-058"</f>
        <v>KEY-058</v>
      </c>
      <c r="AQ1097" s="6" t="str">
        <f>""</f>
        <v/>
      </c>
      <c r="AR1097" s="6" t="s">
        <v>1567</v>
      </c>
      <c r="AS1097" s="6">
        <v>0</v>
      </c>
      <c r="AT1097" s="6">
        <v>1</v>
      </c>
    </row>
    <row r="1098" spans="2:46">
      <c r="B1098" s="6" t="s">
        <v>111</v>
      </c>
      <c r="D1098" s="6" t="s">
        <v>3316</v>
      </c>
      <c r="F1098" s="6" t="s">
        <v>4690</v>
      </c>
      <c r="G1098" s="6" t="str">
        <f>"3167332110798320"</f>
        <v>3167332110798320</v>
      </c>
      <c r="I1098" s="6" t="s">
        <v>4691</v>
      </c>
      <c r="J1098" s="6" t="str">
        <f>"16 CORDUROY SKIRT"</f>
        <v>16 CORDUROY SKIRT</v>
      </c>
      <c r="K1098" s="6">
        <v>0</v>
      </c>
      <c r="L1098" s="6">
        <v>0</v>
      </c>
      <c r="M1098" s="6">
        <v>0</v>
      </c>
      <c r="N1098" s="6" t="str">
        <f>""</f>
        <v/>
      </c>
      <c r="O1098" s="6">
        <v>31984</v>
      </c>
      <c r="P1098" s="6" t="s">
        <v>4692</v>
      </c>
      <c r="R1098" s="6" t="s">
        <v>2595</v>
      </c>
      <c r="S1098" s="6" t="s">
        <v>4693</v>
      </c>
      <c r="T1098" s="6">
        <v>2</v>
      </c>
      <c r="U1098" s="6">
        <v>0</v>
      </c>
      <c r="V1098" s="6">
        <v>0</v>
      </c>
      <c r="W1098" s="6">
        <v>0</v>
      </c>
      <c r="X1098" s="6" t="s">
        <v>169</v>
      </c>
      <c r="Z1098" s="6" t="s">
        <v>170</v>
      </c>
      <c r="AA1098" s="6" t="s">
        <v>171</v>
      </c>
      <c r="AB1098" s="6">
        <v>0</v>
      </c>
      <c r="AC1098" s="6" t="str">
        <f>"KEY-055"</f>
        <v>KEY-055</v>
      </c>
      <c r="AQ1098" s="6" t="str">
        <f>""</f>
        <v/>
      </c>
      <c r="AR1098" s="6" t="s">
        <v>1567</v>
      </c>
      <c r="AS1098" s="6">
        <v>0</v>
      </c>
      <c r="AT1098" s="6">
        <v>2</v>
      </c>
    </row>
    <row r="1099" spans="2:46">
      <c r="B1099" s="6" t="s">
        <v>111</v>
      </c>
      <c r="D1099" s="6" t="s">
        <v>3316</v>
      </c>
      <c r="F1099" s="6" t="s">
        <v>4694</v>
      </c>
      <c r="G1099" s="6" t="str">
        <f>"3167332110701320"</f>
        <v>3167332110701320</v>
      </c>
      <c r="I1099" s="6" t="s">
        <v>4691</v>
      </c>
      <c r="J1099" s="6" t="str">
        <f>"16 CORDUROY SKIRT"</f>
        <v>16 CORDUROY SKIRT</v>
      </c>
      <c r="K1099" s="6">
        <v>0</v>
      </c>
      <c r="L1099" s="6">
        <v>0</v>
      </c>
      <c r="M1099" s="6">
        <v>0</v>
      </c>
      <c r="N1099" s="6" t="str">
        <f>""</f>
        <v/>
      </c>
      <c r="O1099" s="6">
        <v>31983</v>
      </c>
      <c r="P1099" s="6" t="s">
        <v>4695</v>
      </c>
      <c r="R1099" s="6" t="s">
        <v>2446</v>
      </c>
      <c r="S1099" s="6" t="s">
        <v>4696</v>
      </c>
      <c r="T1099" s="6">
        <v>1</v>
      </c>
      <c r="U1099" s="6">
        <v>0</v>
      </c>
      <c r="V1099" s="6">
        <v>0</v>
      </c>
      <c r="W1099" s="6">
        <v>0</v>
      </c>
      <c r="X1099" s="6" t="s">
        <v>169</v>
      </c>
      <c r="Z1099" s="6" t="s">
        <v>170</v>
      </c>
      <c r="AA1099" s="6" t="s">
        <v>171</v>
      </c>
      <c r="AB1099" s="6">
        <v>0</v>
      </c>
      <c r="AC1099" s="6" t="str">
        <f>"KEY-055"</f>
        <v>KEY-055</v>
      </c>
      <c r="AQ1099" s="6" t="str">
        <f>""</f>
        <v/>
      </c>
      <c r="AR1099" s="6" t="s">
        <v>1567</v>
      </c>
      <c r="AS1099" s="6">
        <v>0</v>
      </c>
      <c r="AT1099" s="6">
        <v>1</v>
      </c>
    </row>
    <row r="1100" spans="2:46">
      <c r="B1100" s="6" t="s">
        <v>111</v>
      </c>
      <c r="D1100" s="6" t="s">
        <v>3316</v>
      </c>
      <c r="F1100" s="6" t="s">
        <v>4697</v>
      </c>
      <c r="G1100" s="6" t="str">
        <f>"3167232109695208"</f>
        <v>3167232109695208</v>
      </c>
      <c r="H1100" s="6">
        <v>3167232109695200</v>
      </c>
      <c r="I1100" s="6" t="s">
        <v>4698</v>
      </c>
      <c r="J1100" s="6" t="str">
        <f>"RAINBOW TURTLENECK TS"</f>
        <v>RAINBOW TURTLENECK TS</v>
      </c>
      <c r="K1100" s="6">
        <v>0</v>
      </c>
      <c r="L1100" s="6">
        <v>0</v>
      </c>
      <c r="M1100" s="6">
        <v>0</v>
      </c>
      <c r="N1100" s="6" t="str">
        <f>""</f>
        <v/>
      </c>
      <c r="O1100" s="6">
        <v>31981</v>
      </c>
      <c r="P1100" s="6" t="s">
        <v>4699</v>
      </c>
      <c r="R1100" s="6" t="s">
        <v>2187</v>
      </c>
      <c r="S1100" s="6" t="s">
        <v>4700</v>
      </c>
      <c r="T1100" s="6">
        <v>0</v>
      </c>
      <c r="U1100" s="6">
        <v>0</v>
      </c>
      <c r="V1100" s="6">
        <v>0</v>
      </c>
      <c r="W1100" s="6">
        <v>0</v>
      </c>
      <c r="X1100" s="6" t="s">
        <v>169</v>
      </c>
      <c r="Z1100" s="6" t="s">
        <v>170</v>
      </c>
      <c r="AA1100" s="6" t="s">
        <v>171</v>
      </c>
      <c r="AB1100" s="6">
        <v>0</v>
      </c>
      <c r="AC1100" s="6" t="str">
        <f>""</f>
        <v/>
      </c>
      <c r="AS1100" s="6">
        <v>0</v>
      </c>
      <c r="AT1100" s="6">
        <v>0</v>
      </c>
    </row>
    <row r="1101" spans="2:46">
      <c r="B1101" s="6" t="s">
        <v>111</v>
      </c>
      <c r="D1101" s="6" t="s">
        <v>3316</v>
      </c>
      <c r="F1101" s="6" t="s">
        <v>4701</v>
      </c>
      <c r="G1101" s="6" t="str">
        <f>"3167232109625208"</f>
        <v>3167232109625208</v>
      </c>
      <c r="I1101" s="6" t="s">
        <v>4698</v>
      </c>
      <c r="J1101" s="6" t="str">
        <f>"RAINBOW TURTLENECK TS"</f>
        <v>RAINBOW TURTLENECK TS</v>
      </c>
      <c r="K1101" s="6">
        <v>0</v>
      </c>
      <c r="L1101" s="6">
        <v>0</v>
      </c>
      <c r="M1101" s="6">
        <v>0</v>
      </c>
      <c r="N1101" s="6" t="str">
        <f>""</f>
        <v/>
      </c>
      <c r="O1101" s="6">
        <v>31980</v>
      </c>
      <c r="P1101" s="6" t="s">
        <v>4702</v>
      </c>
      <c r="R1101" s="6" t="s">
        <v>2175</v>
      </c>
      <c r="S1101" s="6" t="s">
        <v>4703</v>
      </c>
      <c r="T1101" s="6">
        <v>2</v>
      </c>
      <c r="U1101" s="6">
        <v>0</v>
      </c>
      <c r="V1101" s="6">
        <v>0</v>
      </c>
      <c r="W1101" s="6">
        <v>0</v>
      </c>
      <c r="X1101" s="6" t="s">
        <v>169</v>
      </c>
      <c r="Z1101" s="6" t="s">
        <v>170</v>
      </c>
      <c r="AA1101" s="6" t="s">
        <v>171</v>
      </c>
      <c r="AB1101" s="6">
        <v>0</v>
      </c>
      <c r="AC1101" s="6" t="str">
        <f>"KEY-008"</f>
        <v>KEY-008</v>
      </c>
      <c r="AQ1101" s="6" t="str">
        <f>""</f>
        <v/>
      </c>
      <c r="AR1101" s="6" t="s">
        <v>1584</v>
      </c>
      <c r="AS1101" s="6">
        <v>0</v>
      </c>
      <c r="AT1101" s="6">
        <v>2</v>
      </c>
    </row>
    <row r="1102" spans="2:46">
      <c r="B1102" s="6" t="s">
        <v>111</v>
      </c>
      <c r="D1102" s="6" t="s">
        <v>3316</v>
      </c>
      <c r="F1102" s="6" t="s">
        <v>4704</v>
      </c>
      <c r="G1102" s="6" t="str">
        <f>"3167232102299208"</f>
        <v>3167232102299208</v>
      </c>
      <c r="I1102" s="6" t="s">
        <v>4705</v>
      </c>
      <c r="J1102" s="6" t="str">
        <f>"16 CONNECTING KNIT"</f>
        <v>16 CONNECTING KNIT</v>
      </c>
      <c r="K1102" s="6">
        <v>0</v>
      </c>
      <c r="L1102" s="6">
        <v>0</v>
      </c>
      <c r="M1102" s="6">
        <v>0</v>
      </c>
      <c r="N1102" s="6" t="str">
        <f>""</f>
        <v/>
      </c>
      <c r="O1102" s="6">
        <v>31978</v>
      </c>
      <c r="P1102" s="6" t="s">
        <v>4706</v>
      </c>
      <c r="R1102" s="6" t="s">
        <v>2106</v>
      </c>
      <c r="S1102" s="6" t="s">
        <v>4707</v>
      </c>
      <c r="T1102" s="6">
        <v>2</v>
      </c>
      <c r="U1102" s="6">
        <v>0</v>
      </c>
      <c r="V1102" s="6">
        <v>0</v>
      </c>
      <c r="W1102" s="6">
        <v>0</v>
      </c>
      <c r="X1102" s="6" t="s">
        <v>169</v>
      </c>
      <c r="Z1102" s="6" t="s">
        <v>170</v>
      </c>
      <c r="AA1102" s="6" t="s">
        <v>171</v>
      </c>
      <c r="AB1102" s="6">
        <v>0</v>
      </c>
      <c r="AC1102" s="6" t="str">
        <f>"KEY-045"</f>
        <v>KEY-045</v>
      </c>
      <c r="AQ1102" s="6" t="str">
        <f>""</f>
        <v/>
      </c>
      <c r="AR1102" s="6" t="s">
        <v>1567</v>
      </c>
      <c r="AS1102" s="6">
        <v>0</v>
      </c>
      <c r="AT1102" s="6">
        <v>2</v>
      </c>
    </row>
    <row r="1103" spans="2:46">
      <c r="B1103" s="6" t="s">
        <v>111</v>
      </c>
      <c r="D1103" s="6" t="s">
        <v>3316</v>
      </c>
      <c r="F1103" s="6" t="s">
        <v>4708</v>
      </c>
      <c r="G1103" s="6" t="str">
        <f>"3167232102274208"</f>
        <v>3167232102274208</v>
      </c>
      <c r="I1103" s="6" t="s">
        <v>4705</v>
      </c>
      <c r="J1103" s="6" t="str">
        <f>"16 CONNECTING KNIT"</f>
        <v>16 CONNECTING KNIT</v>
      </c>
      <c r="K1103" s="6">
        <v>0</v>
      </c>
      <c r="L1103" s="6">
        <v>0</v>
      </c>
      <c r="M1103" s="6">
        <v>0</v>
      </c>
      <c r="N1103" s="6" t="str">
        <f>""</f>
        <v/>
      </c>
      <c r="O1103" s="6">
        <v>31977</v>
      </c>
      <c r="P1103" s="6" t="s">
        <v>4709</v>
      </c>
      <c r="R1103" s="6" t="s">
        <v>2102</v>
      </c>
      <c r="S1103" s="6" t="s">
        <v>4710</v>
      </c>
      <c r="T1103" s="6">
        <v>1</v>
      </c>
      <c r="U1103" s="6">
        <v>0</v>
      </c>
      <c r="V1103" s="6">
        <v>0</v>
      </c>
      <c r="W1103" s="6">
        <v>0</v>
      </c>
      <c r="X1103" s="6" t="s">
        <v>169</v>
      </c>
      <c r="Z1103" s="6" t="s">
        <v>170</v>
      </c>
      <c r="AA1103" s="6" t="s">
        <v>171</v>
      </c>
      <c r="AB1103" s="6">
        <v>0</v>
      </c>
      <c r="AC1103" s="6" t="str">
        <f>"KEY-012"</f>
        <v>KEY-012</v>
      </c>
      <c r="AQ1103" s="6" t="str">
        <f>""</f>
        <v/>
      </c>
      <c r="AR1103" s="6" t="s">
        <v>1584</v>
      </c>
      <c r="AS1103" s="6">
        <v>0</v>
      </c>
      <c r="AT1103" s="6">
        <v>1</v>
      </c>
    </row>
    <row r="1104" spans="2:46">
      <c r="B1104" s="6" t="s">
        <v>111</v>
      </c>
      <c r="D1104" s="6" t="s">
        <v>3316</v>
      </c>
      <c r="F1104" s="6" t="s">
        <v>4711</v>
      </c>
      <c r="G1104" s="6" t="str">
        <f>"3167222126265208"</f>
        <v>3167222126265208</v>
      </c>
      <c r="H1104" s="6">
        <v>3167222126265200</v>
      </c>
      <c r="I1104" s="6" t="s">
        <v>4712</v>
      </c>
      <c r="J1104" s="6" t="str">
        <f>"VELOUR TURTL+F31:G31ENECK TS"</f>
        <v>VELOUR TURTL+F31:G31ENECK TS</v>
      </c>
      <c r="K1104" s="6">
        <v>0</v>
      </c>
      <c r="L1104" s="6">
        <v>0</v>
      </c>
      <c r="M1104" s="6">
        <v>0</v>
      </c>
      <c r="N1104" s="6" t="str">
        <f>""</f>
        <v/>
      </c>
      <c r="O1104" s="6">
        <v>31975</v>
      </c>
      <c r="P1104" s="6" t="s">
        <v>4713</v>
      </c>
      <c r="R1104" s="6" t="s">
        <v>2570</v>
      </c>
      <c r="S1104" s="6" t="s">
        <v>4714</v>
      </c>
      <c r="T1104" s="6">
        <v>0</v>
      </c>
      <c r="U1104" s="6">
        <v>0</v>
      </c>
      <c r="V1104" s="6">
        <v>0</v>
      </c>
      <c r="W1104" s="6">
        <v>0</v>
      </c>
      <c r="X1104" s="6" t="s">
        <v>169</v>
      </c>
      <c r="Z1104" s="6" t="s">
        <v>170</v>
      </c>
      <c r="AA1104" s="6" t="s">
        <v>171</v>
      </c>
      <c r="AB1104" s="6">
        <v>0</v>
      </c>
      <c r="AC1104" s="6" t="str">
        <f>""</f>
        <v/>
      </c>
      <c r="AS1104" s="6">
        <v>0</v>
      </c>
      <c r="AT1104" s="6">
        <v>0</v>
      </c>
    </row>
    <row r="1105" spans="2:46">
      <c r="B1105" s="6" t="s">
        <v>111</v>
      </c>
      <c r="D1105" s="6" t="s">
        <v>3316</v>
      </c>
      <c r="F1105" s="6" t="s">
        <v>4715</v>
      </c>
      <c r="G1105" s="6" t="str">
        <f>"3167222126261208"</f>
        <v>3167222126261208</v>
      </c>
      <c r="I1105" s="6" t="s">
        <v>4716</v>
      </c>
      <c r="J1105" s="6" t="str">
        <f>"VELOUR TURTLENECK TS"</f>
        <v>VELOUR TURTLENECK TS</v>
      </c>
      <c r="K1105" s="6">
        <v>0</v>
      </c>
      <c r="L1105" s="6">
        <v>0</v>
      </c>
      <c r="M1105" s="6">
        <v>0</v>
      </c>
      <c r="N1105" s="6" t="str">
        <f>""</f>
        <v/>
      </c>
      <c r="O1105" s="6">
        <v>31973</v>
      </c>
      <c r="P1105" s="6" t="s">
        <v>4717</v>
      </c>
      <c r="R1105" s="6" t="s">
        <v>2309</v>
      </c>
      <c r="S1105" s="6" t="s">
        <v>4718</v>
      </c>
      <c r="T1105" s="6">
        <v>1</v>
      </c>
      <c r="U1105" s="6">
        <v>0</v>
      </c>
      <c r="V1105" s="6">
        <v>0</v>
      </c>
      <c r="W1105" s="6">
        <v>0</v>
      </c>
      <c r="X1105" s="6" t="s">
        <v>169</v>
      </c>
      <c r="Z1105" s="6" t="s">
        <v>170</v>
      </c>
      <c r="AA1105" s="6" t="s">
        <v>171</v>
      </c>
      <c r="AB1105" s="6">
        <v>0</v>
      </c>
      <c r="AC1105" s="6" t="str">
        <f>"KEY-066"</f>
        <v>KEY-066</v>
      </c>
      <c r="AQ1105" s="6" t="str">
        <f>""</f>
        <v/>
      </c>
      <c r="AR1105" s="6" t="s">
        <v>1567</v>
      </c>
      <c r="AS1105" s="6">
        <v>0</v>
      </c>
      <c r="AT1105" s="6">
        <v>1</v>
      </c>
    </row>
    <row r="1106" spans="2:46">
      <c r="B1106" s="6" t="s">
        <v>111</v>
      </c>
      <c r="D1106" s="6" t="s">
        <v>3316</v>
      </c>
      <c r="F1106" s="6" t="s">
        <v>4719</v>
      </c>
      <c r="G1106" s="6" t="str">
        <f>"3167222126225208"</f>
        <v>3167222126225208</v>
      </c>
      <c r="I1106" s="6" t="s">
        <v>4716</v>
      </c>
      <c r="J1106" s="6" t="str">
        <f>"VELOUR TURTLENECK TS"</f>
        <v>VELOUR TURTLENECK TS</v>
      </c>
      <c r="K1106" s="6">
        <v>0</v>
      </c>
      <c r="L1106" s="6">
        <v>0</v>
      </c>
      <c r="M1106" s="6">
        <v>0</v>
      </c>
      <c r="N1106" s="6" t="str">
        <f>""</f>
        <v/>
      </c>
      <c r="O1106" s="6">
        <v>31972</v>
      </c>
      <c r="P1106" s="6" t="s">
        <v>4720</v>
      </c>
      <c r="R1106" s="6" t="s">
        <v>2175</v>
      </c>
      <c r="S1106" s="6" t="s">
        <v>4721</v>
      </c>
      <c r="T1106" s="6">
        <v>1</v>
      </c>
      <c r="U1106" s="6">
        <v>0</v>
      </c>
      <c r="V1106" s="6">
        <v>0</v>
      </c>
      <c r="W1106" s="6">
        <v>0</v>
      </c>
      <c r="X1106" s="6" t="s">
        <v>169</v>
      </c>
      <c r="Z1106" s="6" t="s">
        <v>170</v>
      </c>
      <c r="AA1106" s="6" t="s">
        <v>171</v>
      </c>
      <c r="AB1106" s="6">
        <v>0</v>
      </c>
      <c r="AC1106" s="6" t="str">
        <f>"KEY-022"</f>
        <v>KEY-022</v>
      </c>
      <c r="AQ1106" s="6" t="str">
        <f>""</f>
        <v/>
      </c>
      <c r="AR1106" s="6" t="s">
        <v>1567</v>
      </c>
      <c r="AS1106" s="6">
        <v>0</v>
      </c>
      <c r="AT1106" s="6">
        <v>1</v>
      </c>
    </row>
    <row r="1107" spans="2:46">
      <c r="B1107" s="6" t="s">
        <v>111</v>
      </c>
      <c r="D1107" s="6" t="s">
        <v>3316</v>
      </c>
      <c r="F1107" s="6" t="s">
        <v>4722</v>
      </c>
      <c r="G1107" s="6" t="str">
        <f>"3167232110074208"</f>
        <v>3167232110074208</v>
      </c>
      <c r="H1107" s="6">
        <v>3167232110074200</v>
      </c>
      <c r="I1107" s="6" t="s">
        <v>4723</v>
      </c>
      <c r="J1107" s="6" t="str">
        <f>"SNOW GLOSS TOP"</f>
        <v>SNOW GLOSS TOP</v>
      </c>
      <c r="K1107" s="6">
        <v>0</v>
      </c>
      <c r="L1107" s="6">
        <v>0</v>
      </c>
      <c r="M1107" s="6">
        <v>0</v>
      </c>
      <c r="N1107" s="6" t="str">
        <f>""</f>
        <v/>
      </c>
      <c r="O1107" s="6">
        <v>31970</v>
      </c>
      <c r="P1107" s="6" t="s">
        <v>4724</v>
      </c>
      <c r="R1107" s="6" t="s">
        <v>2102</v>
      </c>
      <c r="S1107" s="6" t="s">
        <v>4725</v>
      </c>
      <c r="T1107" s="6">
        <v>0</v>
      </c>
      <c r="U1107" s="6">
        <v>0</v>
      </c>
      <c r="V1107" s="6">
        <v>0</v>
      </c>
      <c r="W1107" s="6">
        <v>0</v>
      </c>
      <c r="X1107" s="6" t="s">
        <v>169</v>
      </c>
      <c r="Z1107" s="6" t="s">
        <v>170</v>
      </c>
      <c r="AA1107" s="6" t="s">
        <v>171</v>
      </c>
      <c r="AB1107" s="6">
        <v>0</v>
      </c>
      <c r="AC1107" s="6" t="str">
        <f>""</f>
        <v/>
      </c>
      <c r="AS1107" s="6">
        <v>0</v>
      </c>
      <c r="AT1107" s="6">
        <v>0</v>
      </c>
    </row>
    <row r="1108" spans="2:46">
      <c r="B1108" s="6" t="s">
        <v>111</v>
      </c>
      <c r="D1108" s="6" t="s">
        <v>3316</v>
      </c>
      <c r="F1108" s="6" t="s">
        <v>4726</v>
      </c>
      <c r="G1108" s="6" t="str">
        <f>"3167222132662208"</f>
        <v>3167222132662208</v>
      </c>
      <c r="H1108" s="6">
        <v>3167222132662200</v>
      </c>
      <c r="I1108" s="6" t="s">
        <v>4727</v>
      </c>
      <c r="J1108" s="6" t="str">
        <f>"CDR TURTLENECK TS"</f>
        <v>CDR TURTLENECK TS</v>
      </c>
      <c r="K1108" s="6">
        <v>0</v>
      </c>
      <c r="L1108" s="6">
        <v>0</v>
      </c>
      <c r="M1108" s="6">
        <v>0</v>
      </c>
      <c r="N1108" s="6" t="str">
        <f>""</f>
        <v/>
      </c>
      <c r="O1108" s="6">
        <v>31968</v>
      </c>
      <c r="P1108" s="6" t="s">
        <v>4728</v>
      </c>
      <c r="R1108" s="6" t="s">
        <v>2898</v>
      </c>
      <c r="S1108" s="6" t="s">
        <v>4729</v>
      </c>
      <c r="T1108" s="6">
        <v>0</v>
      </c>
      <c r="U1108" s="6">
        <v>0</v>
      </c>
      <c r="V1108" s="6">
        <v>0</v>
      </c>
      <c r="W1108" s="6">
        <v>0</v>
      </c>
      <c r="X1108" s="6" t="s">
        <v>169</v>
      </c>
      <c r="Z1108" s="6" t="s">
        <v>170</v>
      </c>
      <c r="AA1108" s="6" t="s">
        <v>171</v>
      </c>
      <c r="AB1108" s="6">
        <v>0</v>
      </c>
      <c r="AC1108" s="6" t="str">
        <f>""</f>
        <v/>
      </c>
      <c r="AS1108" s="6">
        <v>0</v>
      </c>
      <c r="AT1108" s="6">
        <v>0</v>
      </c>
    </row>
    <row r="1109" spans="2:46">
      <c r="B1109" s="6" t="s">
        <v>111</v>
      </c>
      <c r="D1109" s="6" t="s">
        <v>3316</v>
      </c>
      <c r="F1109" s="6" t="s">
        <v>4730</v>
      </c>
      <c r="G1109" s="6" t="str">
        <f>"3167222132625208"</f>
        <v>3167222132625208</v>
      </c>
      <c r="I1109" s="6" t="s">
        <v>4727</v>
      </c>
      <c r="J1109" s="6" t="str">
        <f>"CDR TURTLENECK TS"</f>
        <v>CDR TURTLENECK TS</v>
      </c>
      <c r="K1109" s="6">
        <v>0</v>
      </c>
      <c r="L1109" s="6">
        <v>0</v>
      </c>
      <c r="M1109" s="6">
        <v>0</v>
      </c>
      <c r="N1109" s="6" t="str">
        <f>""</f>
        <v/>
      </c>
      <c r="O1109" s="6">
        <v>31967</v>
      </c>
      <c r="P1109" s="6" t="s">
        <v>4731</v>
      </c>
      <c r="R1109" s="6" t="s">
        <v>2175</v>
      </c>
      <c r="S1109" s="6" t="s">
        <v>4732</v>
      </c>
      <c r="T1109" s="6">
        <v>1</v>
      </c>
      <c r="U1109" s="6">
        <v>0</v>
      </c>
      <c r="V1109" s="6">
        <v>0</v>
      </c>
      <c r="W1109" s="6">
        <v>0</v>
      </c>
      <c r="X1109" s="6" t="s">
        <v>169</v>
      </c>
      <c r="Z1109" s="6" t="s">
        <v>170</v>
      </c>
      <c r="AA1109" s="6" t="s">
        <v>171</v>
      </c>
      <c r="AB1109" s="6">
        <v>0</v>
      </c>
      <c r="AC1109" s="6" t="str">
        <f>"KEY-008"</f>
        <v>KEY-008</v>
      </c>
      <c r="AQ1109" s="6" t="str">
        <f>""</f>
        <v/>
      </c>
      <c r="AR1109" s="6" t="s">
        <v>1584</v>
      </c>
      <c r="AS1109" s="6">
        <v>0</v>
      </c>
      <c r="AT1109" s="6">
        <v>1</v>
      </c>
    </row>
    <row r="1110" spans="2:46">
      <c r="B1110" s="6" t="s">
        <v>111</v>
      </c>
      <c r="D1110" s="6" t="s">
        <v>3316</v>
      </c>
      <c r="F1110" s="6" t="s">
        <v>4733</v>
      </c>
      <c r="G1110" s="6" t="str">
        <f>"3167232110345208"</f>
        <v>3167232110345208</v>
      </c>
      <c r="H1110" s="6">
        <v>3167232110345200</v>
      </c>
      <c r="I1110" s="6" t="s">
        <v>4734</v>
      </c>
      <c r="J1110" s="6" t="str">
        <f>"PEACEFUL TURTLENECK TS"</f>
        <v>PEACEFUL TURTLENECK TS</v>
      </c>
      <c r="K1110" s="6">
        <v>0</v>
      </c>
      <c r="L1110" s="6">
        <v>0</v>
      </c>
      <c r="M1110" s="6">
        <v>0</v>
      </c>
      <c r="N1110" s="6" t="str">
        <f>""</f>
        <v/>
      </c>
      <c r="O1110" s="6">
        <v>31965</v>
      </c>
      <c r="P1110" s="6" t="s">
        <v>4735</v>
      </c>
      <c r="R1110" s="6" t="s">
        <v>2512</v>
      </c>
      <c r="S1110" s="6" t="s">
        <v>4736</v>
      </c>
      <c r="T1110" s="6">
        <v>0</v>
      </c>
      <c r="U1110" s="6">
        <v>0</v>
      </c>
      <c r="V1110" s="6">
        <v>0</v>
      </c>
      <c r="W1110" s="6">
        <v>0</v>
      </c>
      <c r="X1110" s="6" t="s">
        <v>169</v>
      </c>
      <c r="Z1110" s="6" t="s">
        <v>170</v>
      </c>
      <c r="AA1110" s="6" t="s">
        <v>171</v>
      </c>
      <c r="AB1110" s="6">
        <v>0</v>
      </c>
      <c r="AC1110" s="6" t="str">
        <f>""</f>
        <v/>
      </c>
      <c r="AS1110" s="6">
        <v>0</v>
      </c>
      <c r="AT1110" s="6">
        <v>0</v>
      </c>
    </row>
    <row r="1111" spans="2:46">
      <c r="B1111" s="6" t="s">
        <v>111</v>
      </c>
      <c r="D1111" s="6" t="s">
        <v>3316</v>
      </c>
      <c r="F1111" s="6" t="s">
        <v>4737</v>
      </c>
      <c r="G1111" s="6" t="str">
        <f>"3167232110374208"</f>
        <v>3167232110374208</v>
      </c>
      <c r="H1111" s="6">
        <v>3167232110374200</v>
      </c>
      <c r="I1111" s="6" t="s">
        <v>4734</v>
      </c>
      <c r="J1111" s="6" t="str">
        <f>"PEACEFUL TURTLENECK TS"</f>
        <v>PEACEFUL TURTLENECK TS</v>
      </c>
      <c r="K1111" s="6">
        <v>0</v>
      </c>
      <c r="L1111" s="6">
        <v>0</v>
      </c>
      <c r="M1111" s="6">
        <v>0</v>
      </c>
      <c r="N1111" s="6" t="str">
        <f>""</f>
        <v/>
      </c>
      <c r="O1111" s="6">
        <v>31964</v>
      </c>
      <c r="P1111" s="6" t="s">
        <v>4738</v>
      </c>
      <c r="R1111" s="6" t="s">
        <v>2102</v>
      </c>
      <c r="S1111" s="6" t="s">
        <v>4739</v>
      </c>
      <c r="T1111" s="6">
        <v>0</v>
      </c>
      <c r="U1111" s="6">
        <v>0</v>
      </c>
      <c r="V1111" s="6">
        <v>0</v>
      </c>
      <c r="W1111" s="6">
        <v>0</v>
      </c>
      <c r="X1111" s="6" t="s">
        <v>169</v>
      </c>
      <c r="Z1111" s="6" t="s">
        <v>170</v>
      </c>
      <c r="AA1111" s="6" t="s">
        <v>171</v>
      </c>
      <c r="AB1111" s="6">
        <v>0</v>
      </c>
      <c r="AC1111" s="6" t="str">
        <f>""</f>
        <v/>
      </c>
      <c r="AS1111" s="6">
        <v>0</v>
      </c>
      <c r="AT1111" s="6">
        <v>0</v>
      </c>
    </row>
    <row r="1112" spans="2:46">
      <c r="B1112" s="6" t="s">
        <v>111</v>
      </c>
      <c r="D1112" s="6" t="s">
        <v>3316</v>
      </c>
      <c r="F1112" s="6" t="s">
        <v>4740</v>
      </c>
      <c r="G1112" s="6" t="str">
        <f>"3167232110369208"</f>
        <v>3167232110369208</v>
      </c>
      <c r="H1112" s="6">
        <v>3167232110369200</v>
      </c>
      <c r="I1112" s="6" t="s">
        <v>4734</v>
      </c>
      <c r="J1112" s="6" t="str">
        <f>"PEACEFUL TURTLENECK TS"</f>
        <v>PEACEFUL TURTLENECK TS</v>
      </c>
      <c r="K1112" s="6">
        <v>0</v>
      </c>
      <c r="L1112" s="6">
        <v>0</v>
      </c>
      <c r="M1112" s="6">
        <v>0</v>
      </c>
      <c r="N1112" s="6" t="str">
        <f>""</f>
        <v/>
      </c>
      <c r="O1112" s="6">
        <v>31963</v>
      </c>
      <c r="P1112" s="6" t="s">
        <v>4741</v>
      </c>
      <c r="R1112" s="6" t="s">
        <v>2356</v>
      </c>
      <c r="S1112" s="6" t="s">
        <v>4742</v>
      </c>
      <c r="T1112" s="6">
        <v>0</v>
      </c>
      <c r="U1112" s="6">
        <v>0</v>
      </c>
      <c r="V1112" s="6">
        <v>0</v>
      </c>
      <c r="W1112" s="6">
        <v>0</v>
      </c>
      <c r="X1112" s="6" t="s">
        <v>169</v>
      </c>
      <c r="Z1112" s="6" t="s">
        <v>170</v>
      </c>
      <c r="AA1112" s="6" t="s">
        <v>171</v>
      </c>
      <c r="AB1112" s="6">
        <v>0</v>
      </c>
      <c r="AC1112" s="6" t="str">
        <f>""</f>
        <v/>
      </c>
      <c r="AS1112" s="6">
        <v>0</v>
      </c>
      <c r="AT1112" s="6">
        <v>0</v>
      </c>
    </row>
    <row r="1113" spans="2:46">
      <c r="B1113" s="6" t="s">
        <v>111</v>
      </c>
      <c r="D1113" s="6" t="s">
        <v>3316</v>
      </c>
      <c r="F1113" s="6" t="s">
        <v>4743</v>
      </c>
      <c r="G1113" s="6" t="str">
        <f>"3167112107461208"</f>
        <v>3167112107461208</v>
      </c>
      <c r="H1113" s="6">
        <v>3167112107461200</v>
      </c>
      <c r="I1113" s="6" t="s">
        <v>4744</v>
      </c>
      <c r="J1113" s="6" t="str">
        <f>"POINT COAT"</f>
        <v>POINT COAT</v>
      </c>
      <c r="K1113" s="6">
        <v>0</v>
      </c>
      <c r="L1113" s="6">
        <v>0</v>
      </c>
      <c r="M1113" s="6">
        <v>0</v>
      </c>
      <c r="N1113" s="6" t="str">
        <f>""</f>
        <v/>
      </c>
      <c r="O1113" s="6">
        <v>31961</v>
      </c>
      <c r="P1113" s="6" t="s">
        <v>4745</v>
      </c>
      <c r="R1113" s="6" t="s">
        <v>2309</v>
      </c>
      <c r="S1113" s="6" t="s">
        <v>4746</v>
      </c>
      <c r="T1113" s="6">
        <v>0</v>
      </c>
      <c r="U1113" s="6">
        <v>0</v>
      </c>
      <c r="V1113" s="6">
        <v>0</v>
      </c>
      <c r="W1113" s="6">
        <v>0</v>
      </c>
      <c r="X1113" s="6" t="s">
        <v>169</v>
      </c>
      <c r="Z1113" s="6" t="s">
        <v>170</v>
      </c>
      <c r="AA1113" s="6" t="s">
        <v>171</v>
      </c>
      <c r="AB1113" s="6">
        <v>0</v>
      </c>
      <c r="AC1113" s="6" t="str">
        <f>""</f>
        <v/>
      </c>
      <c r="AS1113" s="6">
        <v>0</v>
      </c>
      <c r="AT1113" s="6">
        <v>2</v>
      </c>
    </row>
    <row r="1114" spans="2:46">
      <c r="B1114" s="6" t="s">
        <v>111</v>
      </c>
      <c r="D1114" s="6" t="s">
        <v>3316</v>
      </c>
      <c r="F1114" s="6" t="s">
        <v>4747</v>
      </c>
      <c r="G1114" s="6" t="str">
        <f>"3167252105045208"</f>
        <v>3167252105045208</v>
      </c>
      <c r="H1114" s="6">
        <v>3167252105045200</v>
      </c>
      <c r="I1114" s="6" t="s">
        <v>4748</v>
      </c>
      <c r="J1114" s="6" t="str">
        <f>"VELVET FRILL OPS"</f>
        <v>VELVET FRILL OPS</v>
      </c>
      <c r="K1114" s="6">
        <v>0</v>
      </c>
      <c r="L1114" s="6">
        <v>0</v>
      </c>
      <c r="M1114" s="6">
        <v>0</v>
      </c>
      <c r="N1114" s="6" t="str">
        <f>""</f>
        <v/>
      </c>
      <c r="O1114" s="6">
        <v>31959</v>
      </c>
      <c r="P1114" s="6" t="s">
        <v>4749</v>
      </c>
      <c r="R1114" s="6" t="s">
        <v>2512</v>
      </c>
      <c r="S1114" s="6" t="s">
        <v>4750</v>
      </c>
      <c r="T1114" s="6">
        <v>0</v>
      </c>
      <c r="U1114" s="6">
        <v>0</v>
      </c>
      <c r="V1114" s="6">
        <v>0</v>
      </c>
      <c r="W1114" s="6">
        <v>0</v>
      </c>
      <c r="X1114" s="6" t="s">
        <v>169</v>
      </c>
      <c r="Z1114" s="6" t="s">
        <v>170</v>
      </c>
      <c r="AA1114" s="6" t="s">
        <v>171</v>
      </c>
      <c r="AB1114" s="6">
        <v>0</v>
      </c>
      <c r="AC1114" s="6" t="str">
        <f>""</f>
        <v/>
      </c>
      <c r="AS1114" s="6">
        <v>0</v>
      </c>
      <c r="AT1114" s="6">
        <v>0</v>
      </c>
    </row>
    <row r="1115" spans="2:46">
      <c r="B1115" s="6" t="s">
        <v>111</v>
      </c>
      <c r="D1115" s="6" t="s">
        <v>3316</v>
      </c>
      <c r="F1115" s="6" t="s">
        <v>4751</v>
      </c>
      <c r="G1115" s="6" t="str">
        <f>"3167222125599208"</f>
        <v>3167222125599208</v>
      </c>
      <c r="H1115" s="6">
        <v>3167222125599200</v>
      </c>
      <c r="I1115" s="6" t="s">
        <v>4752</v>
      </c>
      <c r="J1115" s="6" t="str">
        <f>"BTG GRAPHIC MTM"</f>
        <v>BTG GRAPHIC MTM</v>
      </c>
      <c r="K1115" s="6">
        <v>0</v>
      </c>
      <c r="L1115" s="6">
        <v>0</v>
      </c>
      <c r="M1115" s="6">
        <v>0</v>
      </c>
      <c r="N1115" s="6" t="str">
        <f>""</f>
        <v/>
      </c>
      <c r="O1115" s="6">
        <v>31957</v>
      </c>
      <c r="P1115" s="6" t="s">
        <v>4753</v>
      </c>
      <c r="R1115" s="6" t="s">
        <v>2106</v>
      </c>
      <c r="S1115" s="6" t="s">
        <v>4754</v>
      </c>
      <c r="T1115" s="6">
        <v>0</v>
      </c>
      <c r="U1115" s="6">
        <v>0</v>
      </c>
      <c r="V1115" s="6">
        <v>0</v>
      </c>
      <c r="W1115" s="6">
        <v>0</v>
      </c>
      <c r="X1115" s="6" t="s">
        <v>169</v>
      </c>
      <c r="Z1115" s="6" t="s">
        <v>170</v>
      </c>
      <c r="AA1115" s="6" t="s">
        <v>171</v>
      </c>
      <c r="AB1115" s="6">
        <v>0</v>
      </c>
      <c r="AC1115" s="6" t="str">
        <f>""</f>
        <v/>
      </c>
      <c r="AS1115" s="6">
        <v>0</v>
      </c>
      <c r="AT1115" s="6">
        <v>0</v>
      </c>
    </row>
    <row r="1116" spans="2:46">
      <c r="B1116" s="6" t="s">
        <v>111</v>
      </c>
      <c r="D1116" s="6" t="s">
        <v>3316</v>
      </c>
      <c r="F1116" s="6" t="s">
        <v>4755</v>
      </c>
      <c r="G1116" s="6" t="str">
        <f>"3167222125530208"</f>
        <v>3167222125530208</v>
      </c>
      <c r="H1116" s="6">
        <v>3167222125530200</v>
      </c>
      <c r="I1116" s="6" t="s">
        <v>4752</v>
      </c>
      <c r="J1116" s="6" t="str">
        <f>"BTG GRAPHIC MTM"</f>
        <v>BTG GRAPHIC MTM</v>
      </c>
      <c r="K1116" s="6">
        <v>0</v>
      </c>
      <c r="L1116" s="6">
        <v>0</v>
      </c>
      <c r="M1116" s="6">
        <v>0</v>
      </c>
      <c r="N1116" s="6" t="str">
        <f>""</f>
        <v/>
      </c>
      <c r="O1116" s="6">
        <v>31956</v>
      </c>
      <c r="P1116" s="6" t="s">
        <v>4756</v>
      </c>
      <c r="R1116" s="6" t="s">
        <v>2111</v>
      </c>
      <c r="S1116" s="6" t="s">
        <v>4757</v>
      </c>
      <c r="T1116" s="6">
        <v>0</v>
      </c>
      <c r="U1116" s="6">
        <v>0</v>
      </c>
      <c r="V1116" s="6">
        <v>0</v>
      </c>
      <c r="W1116" s="6">
        <v>0</v>
      </c>
      <c r="X1116" s="6" t="s">
        <v>169</v>
      </c>
      <c r="Z1116" s="6" t="s">
        <v>170</v>
      </c>
      <c r="AA1116" s="6" t="s">
        <v>171</v>
      </c>
      <c r="AB1116" s="6">
        <v>0</v>
      </c>
      <c r="AC1116" s="6" t="str">
        <f>""</f>
        <v/>
      </c>
      <c r="AS1116" s="6">
        <v>0</v>
      </c>
      <c r="AT1116" s="6">
        <v>0</v>
      </c>
    </row>
    <row r="1117" spans="2:46">
      <c r="B1117" s="6" t="s">
        <v>111</v>
      </c>
      <c r="D1117" s="6" t="s">
        <v>3316</v>
      </c>
      <c r="F1117" s="6" t="s">
        <v>4758</v>
      </c>
      <c r="G1117" s="6" t="str">
        <f>"3167222125569208"</f>
        <v>3167222125569208</v>
      </c>
      <c r="H1117" s="6">
        <v>3167222125569200</v>
      </c>
      <c r="I1117" s="6" t="s">
        <v>4752</v>
      </c>
      <c r="J1117" s="6" t="str">
        <f>"BTG GRAPHIC MTM"</f>
        <v>BTG GRAPHIC MTM</v>
      </c>
      <c r="K1117" s="6">
        <v>0</v>
      </c>
      <c r="L1117" s="6">
        <v>0</v>
      </c>
      <c r="M1117" s="6">
        <v>0</v>
      </c>
      <c r="N1117" s="6" t="str">
        <f>""</f>
        <v/>
      </c>
      <c r="O1117" s="6">
        <v>31955</v>
      </c>
      <c r="P1117" s="6" t="s">
        <v>4759</v>
      </c>
      <c r="R1117" s="6" t="s">
        <v>2356</v>
      </c>
      <c r="S1117" s="6" t="s">
        <v>4760</v>
      </c>
      <c r="T1117" s="6">
        <v>0</v>
      </c>
      <c r="U1117" s="6">
        <v>0</v>
      </c>
      <c r="V1117" s="6">
        <v>0</v>
      </c>
      <c r="W1117" s="6">
        <v>0</v>
      </c>
      <c r="X1117" s="6" t="s">
        <v>169</v>
      </c>
      <c r="Z1117" s="6" t="s">
        <v>170</v>
      </c>
      <c r="AA1117" s="6" t="s">
        <v>171</v>
      </c>
      <c r="AB1117" s="6">
        <v>0</v>
      </c>
      <c r="AC1117" s="6" t="str">
        <f>""</f>
        <v/>
      </c>
      <c r="AS1117" s="6">
        <v>0</v>
      </c>
      <c r="AT1117" s="6">
        <v>0</v>
      </c>
    </row>
    <row r="1118" spans="2:46">
      <c r="B1118" s="6" t="s">
        <v>111</v>
      </c>
      <c r="D1118" s="6" t="s">
        <v>3316</v>
      </c>
      <c r="F1118" s="6" t="s">
        <v>4761</v>
      </c>
      <c r="G1118" s="6" t="str">
        <f>"3167312111569320"</f>
        <v>3167312111569320</v>
      </c>
      <c r="I1118" s="6" t="s">
        <v>4762</v>
      </c>
      <c r="J1118" s="6" t="str">
        <f>"BTG GRAPHIC FLARE PT"</f>
        <v>BTG GRAPHIC FLARE PT</v>
      </c>
      <c r="K1118" s="6">
        <v>0</v>
      </c>
      <c r="L1118" s="6">
        <v>0</v>
      </c>
      <c r="M1118" s="6">
        <v>0</v>
      </c>
      <c r="N1118" s="6" t="str">
        <f>""</f>
        <v/>
      </c>
      <c r="O1118" s="6">
        <v>31953</v>
      </c>
      <c r="P1118" s="6" t="s">
        <v>4763</v>
      </c>
      <c r="R1118" s="6" t="s">
        <v>2356</v>
      </c>
      <c r="S1118" s="6" t="s">
        <v>4764</v>
      </c>
      <c r="T1118" s="6">
        <v>2</v>
      </c>
      <c r="U1118" s="6">
        <v>0</v>
      </c>
      <c r="V1118" s="6">
        <v>0</v>
      </c>
      <c r="W1118" s="6">
        <v>0</v>
      </c>
      <c r="X1118" s="6" t="s">
        <v>169</v>
      </c>
      <c r="Z1118" s="6" t="s">
        <v>170</v>
      </c>
      <c r="AA1118" s="6" t="s">
        <v>171</v>
      </c>
      <c r="AB1118" s="6">
        <v>0</v>
      </c>
      <c r="AC1118" s="6" t="str">
        <f>"KEY-050"</f>
        <v>KEY-050</v>
      </c>
      <c r="AQ1118" s="6" t="str">
        <f>""</f>
        <v/>
      </c>
      <c r="AR1118" s="6" t="s">
        <v>1567</v>
      </c>
      <c r="AS1118" s="6">
        <v>0</v>
      </c>
      <c r="AT1118" s="6">
        <v>2</v>
      </c>
    </row>
    <row r="1119" spans="2:46">
      <c r="B1119" s="6" t="s">
        <v>111</v>
      </c>
      <c r="D1119" s="6" t="s">
        <v>3316</v>
      </c>
      <c r="F1119" s="6" t="s">
        <v>4765</v>
      </c>
      <c r="G1119" s="6" t="str">
        <f>"3167222133530208"</f>
        <v>3167222133530208</v>
      </c>
      <c r="I1119" s="6" t="s">
        <v>4766</v>
      </c>
      <c r="J1119" s="6" t="str">
        <f>"HALF BTG GRAPHIC TS"</f>
        <v>HALF BTG GRAPHIC TS</v>
      </c>
      <c r="K1119" s="6">
        <v>0</v>
      </c>
      <c r="L1119" s="6">
        <v>0</v>
      </c>
      <c r="M1119" s="6">
        <v>0</v>
      </c>
      <c r="N1119" s="6" t="str">
        <f>""</f>
        <v/>
      </c>
      <c r="O1119" s="6">
        <v>31951</v>
      </c>
      <c r="P1119" s="6" t="s">
        <v>4767</v>
      </c>
      <c r="R1119" s="6" t="s">
        <v>2356</v>
      </c>
      <c r="S1119" s="6" t="s">
        <v>4768</v>
      </c>
      <c r="T1119" s="6">
        <v>2</v>
      </c>
      <c r="U1119" s="6">
        <v>0</v>
      </c>
      <c r="V1119" s="6">
        <v>0</v>
      </c>
      <c r="W1119" s="6">
        <v>0</v>
      </c>
      <c r="X1119" s="6" t="s">
        <v>169</v>
      </c>
      <c r="Z1119" s="6" t="s">
        <v>170</v>
      </c>
      <c r="AA1119" s="6" t="s">
        <v>171</v>
      </c>
      <c r="AB1119" s="6">
        <v>0</v>
      </c>
      <c r="AC1119" s="6" t="str">
        <f>"KEY-055"</f>
        <v>KEY-055</v>
      </c>
      <c r="AQ1119" s="6" t="str">
        <f>""</f>
        <v/>
      </c>
      <c r="AR1119" s="6" t="s">
        <v>1567</v>
      </c>
      <c r="AS1119" s="6">
        <v>0</v>
      </c>
      <c r="AT1119" s="6">
        <v>2</v>
      </c>
    </row>
    <row r="1120" spans="2:46">
      <c r="B1120" s="6" t="s">
        <v>111</v>
      </c>
      <c r="D1120" s="6" t="s">
        <v>3316</v>
      </c>
      <c r="F1120" s="6" t="s">
        <v>4769</v>
      </c>
      <c r="G1120" s="6" t="str">
        <f>"3167222128975208"</f>
        <v>3167222128975208</v>
      </c>
      <c r="H1120" s="6">
        <v>3167222128975200</v>
      </c>
      <c r="I1120" s="6" t="s">
        <v>4770</v>
      </c>
      <c r="J1120" s="6" t="str">
        <f>"SNOW BTG TS"</f>
        <v>SNOW BTG TS</v>
      </c>
      <c r="K1120" s="6">
        <v>0</v>
      </c>
      <c r="L1120" s="6">
        <v>0</v>
      </c>
      <c r="M1120" s="6">
        <v>0</v>
      </c>
      <c r="N1120" s="6" t="str">
        <f>""</f>
        <v/>
      </c>
      <c r="O1120" s="6">
        <v>31949</v>
      </c>
      <c r="P1120" s="6" t="s">
        <v>4771</v>
      </c>
      <c r="R1120" s="6" t="s">
        <v>2119</v>
      </c>
      <c r="S1120" s="6" t="s">
        <v>4772</v>
      </c>
      <c r="T1120" s="6">
        <v>0</v>
      </c>
      <c r="U1120" s="6">
        <v>0</v>
      </c>
      <c r="V1120" s="6">
        <v>0</v>
      </c>
      <c r="W1120" s="6">
        <v>0</v>
      </c>
      <c r="X1120" s="6" t="s">
        <v>169</v>
      </c>
      <c r="Z1120" s="6" t="s">
        <v>170</v>
      </c>
      <c r="AA1120" s="6" t="s">
        <v>171</v>
      </c>
      <c r="AB1120" s="6">
        <v>0</v>
      </c>
      <c r="AC1120" s="6" t="str">
        <f>""</f>
        <v/>
      </c>
      <c r="AS1120" s="6">
        <v>0</v>
      </c>
      <c r="AT1120" s="6">
        <v>0</v>
      </c>
    </row>
    <row r="1121" spans="2:46">
      <c r="B1121" s="6" t="s">
        <v>111</v>
      </c>
      <c r="D1121" s="6" t="s">
        <v>3316</v>
      </c>
      <c r="F1121" s="6" t="s">
        <v>4773</v>
      </c>
      <c r="G1121" s="6" t="str">
        <f>"3167222128999208"</f>
        <v>3167222128999208</v>
      </c>
      <c r="H1121" s="6">
        <v>3167222128999200</v>
      </c>
      <c r="I1121" s="6" t="s">
        <v>4770</v>
      </c>
      <c r="J1121" s="6" t="str">
        <f>"SNOW BTG TS"</f>
        <v>SNOW BTG TS</v>
      </c>
      <c r="K1121" s="6">
        <v>0</v>
      </c>
      <c r="L1121" s="6">
        <v>0</v>
      </c>
      <c r="M1121" s="6">
        <v>0</v>
      </c>
      <c r="N1121" s="6" t="str">
        <f>""</f>
        <v/>
      </c>
      <c r="O1121" s="6">
        <v>31948</v>
      </c>
      <c r="P1121" s="6" t="s">
        <v>4774</v>
      </c>
      <c r="R1121" s="6" t="s">
        <v>2106</v>
      </c>
      <c r="S1121" s="6" t="s">
        <v>4775</v>
      </c>
      <c r="T1121" s="6">
        <v>0</v>
      </c>
      <c r="U1121" s="6">
        <v>0</v>
      </c>
      <c r="V1121" s="6">
        <v>0</v>
      </c>
      <c r="W1121" s="6">
        <v>0</v>
      </c>
      <c r="X1121" s="6" t="s">
        <v>169</v>
      </c>
      <c r="Z1121" s="6" t="s">
        <v>170</v>
      </c>
      <c r="AA1121" s="6" t="s">
        <v>171</v>
      </c>
      <c r="AB1121" s="6">
        <v>0</v>
      </c>
      <c r="AC1121" s="6" t="str">
        <f>""</f>
        <v/>
      </c>
      <c r="AS1121" s="6">
        <v>0</v>
      </c>
      <c r="AT1121" s="6">
        <v>0</v>
      </c>
    </row>
    <row r="1122" spans="2:46">
      <c r="B1122" s="6" t="s">
        <v>111</v>
      </c>
      <c r="D1122" s="6" t="s">
        <v>3316</v>
      </c>
      <c r="F1122" s="6" t="s">
        <v>4776</v>
      </c>
      <c r="G1122" s="6" t="str">
        <f>"3167552201030120"</f>
        <v>3167552201030120</v>
      </c>
      <c r="H1122" s="6">
        <v>3167552201030120</v>
      </c>
      <c r="I1122" s="6" t="s">
        <v>4777</v>
      </c>
      <c r="J1122" s="6" t="str">
        <f>"BTG MUFFLER"</f>
        <v>BTG MUFFLER</v>
      </c>
      <c r="K1122" s="6">
        <v>0</v>
      </c>
      <c r="L1122" s="6">
        <v>0</v>
      </c>
      <c r="M1122" s="6">
        <v>0</v>
      </c>
      <c r="N1122" s="6" t="str">
        <f>""</f>
        <v/>
      </c>
      <c r="O1122" s="6">
        <v>31946</v>
      </c>
      <c r="P1122" s="6" t="s">
        <v>4778</v>
      </c>
      <c r="R1122" s="6" t="s">
        <v>2111</v>
      </c>
      <c r="S1122" s="6" t="s">
        <v>4779</v>
      </c>
      <c r="T1122" s="6">
        <v>0</v>
      </c>
      <c r="U1122" s="6">
        <v>0</v>
      </c>
      <c r="V1122" s="6">
        <v>0</v>
      </c>
      <c r="W1122" s="6">
        <v>0</v>
      </c>
      <c r="X1122" s="6" t="s">
        <v>169</v>
      </c>
      <c r="Z1122" s="6" t="s">
        <v>170</v>
      </c>
      <c r="AA1122" s="6" t="s">
        <v>171</v>
      </c>
      <c r="AB1122" s="6">
        <v>0</v>
      </c>
      <c r="AC1122" s="6" t="str">
        <f>""</f>
        <v/>
      </c>
      <c r="AS1122" s="6">
        <v>0</v>
      </c>
      <c r="AT1122" s="6">
        <v>0</v>
      </c>
    </row>
    <row r="1123" spans="2:46">
      <c r="B1123" s="6" t="s">
        <v>111</v>
      </c>
      <c r="D1123" s="6" t="s">
        <v>3316</v>
      </c>
      <c r="F1123" s="6" t="s">
        <v>4780</v>
      </c>
      <c r="G1123" s="6" t="str">
        <f>"3167552201069120"</f>
        <v>3167552201069120</v>
      </c>
      <c r="H1123" s="6">
        <v>3167552201069120</v>
      </c>
      <c r="I1123" s="6" t="s">
        <v>4777</v>
      </c>
      <c r="J1123" s="6" t="str">
        <f>"BTG MUFFLER"</f>
        <v>BTG MUFFLER</v>
      </c>
      <c r="K1123" s="6">
        <v>0</v>
      </c>
      <c r="L1123" s="6">
        <v>0</v>
      </c>
      <c r="M1123" s="6">
        <v>0</v>
      </c>
      <c r="N1123" s="6" t="str">
        <f>""</f>
        <v/>
      </c>
      <c r="O1123" s="6">
        <v>31945</v>
      </c>
      <c r="P1123" s="6" t="s">
        <v>4781</v>
      </c>
      <c r="R1123" s="6" t="s">
        <v>2356</v>
      </c>
      <c r="S1123" s="6" t="s">
        <v>4782</v>
      </c>
      <c r="T1123" s="6">
        <v>0</v>
      </c>
      <c r="U1123" s="6">
        <v>0</v>
      </c>
      <c r="V1123" s="6">
        <v>0</v>
      </c>
      <c r="W1123" s="6">
        <v>0</v>
      </c>
      <c r="X1123" s="6" t="s">
        <v>169</v>
      </c>
      <c r="Z1123" s="6" t="s">
        <v>170</v>
      </c>
      <c r="AA1123" s="6" t="s">
        <v>171</v>
      </c>
      <c r="AB1123" s="6">
        <v>0</v>
      </c>
      <c r="AC1123" s="6" t="str">
        <f>""</f>
        <v/>
      </c>
      <c r="AS1123" s="6">
        <v>0</v>
      </c>
      <c r="AT1123" s="6">
        <v>0</v>
      </c>
    </row>
    <row r="1124" spans="2:46">
      <c r="B1124" s="6" t="s">
        <v>111</v>
      </c>
      <c r="D1124" s="6" t="s">
        <v>3316</v>
      </c>
      <c r="F1124" s="6" t="s">
        <v>4783</v>
      </c>
      <c r="G1124" s="6" t="str">
        <f>"3167552201099120"</f>
        <v>3167552201099120</v>
      </c>
      <c r="H1124" s="6">
        <v>3167552201099120</v>
      </c>
      <c r="I1124" s="6" t="s">
        <v>4777</v>
      </c>
      <c r="J1124" s="6" t="str">
        <f>"BTG MUFFLER"</f>
        <v>BTG MUFFLER</v>
      </c>
      <c r="K1124" s="6">
        <v>0</v>
      </c>
      <c r="L1124" s="6">
        <v>0</v>
      </c>
      <c r="M1124" s="6">
        <v>0</v>
      </c>
      <c r="N1124" s="6" t="str">
        <f>""</f>
        <v/>
      </c>
      <c r="O1124" s="6">
        <v>31944</v>
      </c>
      <c r="P1124" s="6" t="s">
        <v>4784</v>
      </c>
      <c r="R1124" s="6" t="s">
        <v>2106</v>
      </c>
      <c r="S1124" s="6" t="s">
        <v>4785</v>
      </c>
      <c r="T1124" s="6">
        <v>0</v>
      </c>
      <c r="U1124" s="6">
        <v>0</v>
      </c>
      <c r="V1124" s="6">
        <v>0</v>
      </c>
      <c r="W1124" s="6">
        <v>0</v>
      </c>
      <c r="X1124" s="6" t="s">
        <v>169</v>
      </c>
      <c r="Z1124" s="6" t="s">
        <v>170</v>
      </c>
      <c r="AA1124" s="6" t="s">
        <v>171</v>
      </c>
      <c r="AB1124" s="6">
        <v>0</v>
      </c>
      <c r="AC1124" s="6" t="str">
        <f>""</f>
        <v/>
      </c>
      <c r="AS1124" s="6">
        <v>0</v>
      </c>
      <c r="AT1124" s="6">
        <v>0</v>
      </c>
    </row>
    <row r="1125" spans="2:46">
      <c r="B1125" s="6" t="s">
        <v>111</v>
      </c>
      <c r="D1125" s="6" t="s">
        <v>3316</v>
      </c>
      <c r="F1125" s="6" t="s">
        <v>4786</v>
      </c>
      <c r="G1125" s="6" t="str">
        <f>"3167222125645208"</f>
        <v>3167222125645208</v>
      </c>
      <c r="H1125" s="6">
        <v>3167222125645200</v>
      </c>
      <c r="I1125" s="6" t="s">
        <v>4787</v>
      </c>
      <c r="J1125" s="6" t="str">
        <f>"BETTER TURTLENECK MtoM"</f>
        <v>BETTER TURTLENECK MtoM</v>
      </c>
      <c r="K1125" s="6">
        <v>0</v>
      </c>
      <c r="L1125" s="6">
        <v>0</v>
      </c>
      <c r="M1125" s="6">
        <v>0</v>
      </c>
      <c r="N1125" s="6" t="str">
        <f>""</f>
        <v/>
      </c>
      <c r="O1125" s="6">
        <v>31942</v>
      </c>
      <c r="P1125" s="6" t="s">
        <v>4788</v>
      </c>
      <c r="R1125" s="6" t="s">
        <v>2512</v>
      </c>
      <c r="S1125" s="6" t="s">
        <v>4789</v>
      </c>
      <c r="T1125" s="6">
        <v>0</v>
      </c>
      <c r="U1125" s="6">
        <v>0</v>
      </c>
      <c r="V1125" s="6">
        <v>0</v>
      </c>
      <c r="W1125" s="6">
        <v>0</v>
      </c>
      <c r="X1125" s="6" t="s">
        <v>169</v>
      </c>
      <c r="Z1125" s="6" t="s">
        <v>170</v>
      </c>
      <c r="AA1125" s="6" t="s">
        <v>171</v>
      </c>
      <c r="AB1125" s="6">
        <v>0</v>
      </c>
      <c r="AC1125" s="6" t="str">
        <f>""</f>
        <v/>
      </c>
      <c r="AS1125" s="6">
        <v>0</v>
      </c>
      <c r="AT1125" s="6">
        <v>0</v>
      </c>
    </row>
    <row r="1126" spans="2:46">
      <c r="B1126" s="6" t="s">
        <v>111</v>
      </c>
      <c r="D1126" s="6" t="s">
        <v>3316</v>
      </c>
      <c r="F1126" s="6" t="s">
        <v>4790</v>
      </c>
      <c r="G1126" s="6" t="str">
        <f>"3167222125661208"</f>
        <v>3167222125661208</v>
      </c>
      <c r="H1126" s="6">
        <v>3167222125661200</v>
      </c>
      <c r="I1126" s="6" t="s">
        <v>4787</v>
      </c>
      <c r="J1126" s="6" t="str">
        <f>"BETTER TURTLENECK MtoM"</f>
        <v>BETTER TURTLENECK MtoM</v>
      </c>
      <c r="K1126" s="6">
        <v>0</v>
      </c>
      <c r="L1126" s="6">
        <v>0</v>
      </c>
      <c r="M1126" s="6">
        <v>0</v>
      </c>
      <c r="N1126" s="6" t="str">
        <f>""</f>
        <v/>
      </c>
      <c r="O1126" s="6">
        <v>31941</v>
      </c>
      <c r="P1126" s="6" t="s">
        <v>4791</v>
      </c>
      <c r="R1126" s="6" t="s">
        <v>2309</v>
      </c>
      <c r="S1126" s="6" t="s">
        <v>4792</v>
      </c>
      <c r="T1126" s="6">
        <v>0</v>
      </c>
      <c r="U1126" s="6">
        <v>0</v>
      </c>
      <c r="V1126" s="6">
        <v>0</v>
      </c>
      <c r="W1126" s="6">
        <v>0</v>
      </c>
      <c r="X1126" s="6" t="s">
        <v>169</v>
      </c>
      <c r="Z1126" s="6" t="s">
        <v>170</v>
      </c>
      <c r="AA1126" s="6" t="s">
        <v>171</v>
      </c>
      <c r="AB1126" s="6">
        <v>0</v>
      </c>
      <c r="AC1126" s="6" t="str">
        <f>""</f>
        <v/>
      </c>
      <c r="AS1126" s="6">
        <v>0</v>
      </c>
      <c r="AT1126" s="6">
        <v>0</v>
      </c>
    </row>
    <row r="1127" spans="2:46">
      <c r="B1127" s="6" t="s">
        <v>111</v>
      </c>
      <c r="D1127" s="6" t="s">
        <v>3316</v>
      </c>
      <c r="F1127" s="6" t="s">
        <v>4793</v>
      </c>
      <c r="G1127" s="6" t="str">
        <f>"3167222125699208"</f>
        <v>3167222125699208</v>
      </c>
      <c r="H1127" s="6">
        <v>3167222125699200</v>
      </c>
      <c r="I1127" s="6" t="s">
        <v>4787</v>
      </c>
      <c r="J1127" s="6" t="str">
        <f>"BETTER TURTLENECK MtoM"</f>
        <v>BETTER TURTLENECK MtoM</v>
      </c>
      <c r="K1127" s="6">
        <v>0</v>
      </c>
      <c r="L1127" s="6">
        <v>0</v>
      </c>
      <c r="M1127" s="6">
        <v>0</v>
      </c>
      <c r="N1127" s="6" t="str">
        <f>""</f>
        <v/>
      </c>
      <c r="O1127" s="6">
        <v>31940</v>
      </c>
      <c r="P1127" s="6" t="s">
        <v>4794</v>
      </c>
      <c r="R1127" s="6" t="s">
        <v>2106</v>
      </c>
      <c r="S1127" s="6" t="s">
        <v>4795</v>
      </c>
      <c r="T1127" s="6">
        <v>0</v>
      </c>
      <c r="U1127" s="6">
        <v>0</v>
      </c>
      <c r="V1127" s="6">
        <v>0</v>
      </c>
      <c r="W1127" s="6">
        <v>0</v>
      </c>
      <c r="X1127" s="6" t="s">
        <v>169</v>
      </c>
      <c r="Z1127" s="6" t="s">
        <v>170</v>
      </c>
      <c r="AA1127" s="6" t="s">
        <v>171</v>
      </c>
      <c r="AB1127" s="6">
        <v>0</v>
      </c>
      <c r="AC1127" s="6" t="str">
        <f>""</f>
        <v/>
      </c>
      <c r="AS1127" s="6">
        <v>0</v>
      </c>
      <c r="AT1127" s="6">
        <v>0</v>
      </c>
    </row>
    <row r="1128" spans="2:46">
      <c r="B1128" s="6" t="s">
        <v>111</v>
      </c>
      <c r="D1128" s="6" t="s">
        <v>3316</v>
      </c>
      <c r="F1128" s="6" t="s">
        <v>4796</v>
      </c>
      <c r="G1128" s="6" t="str">
        <f>"3167332113025320"</f>
        <v>3167332113025320</v>
      </c>
      <c r="I1128" s="6" t="s">
        <v>4797</v>
      </c>
      <c r="J1128" s="6" t="str">
        <f>"ZIPPER VELVET SK"</f>
        <v>ZIPPER VELVET SK</v>
      </c>
      <c r="K1128" s="6">
        <v>0</v>
      </c>
      <c r="L1128" s="6">
        <v>0</v>
      </c>
      <c r="M1128" s="6">
        <v>0</v>
      </c>
      <c r="N1128" s="6" t="str">
        <f>""</f>
        <v/>
      </c>
      <c r="O1128" s="6">
        <v>31938</v>
      </c>
      <c r="P1128" s="6" t="s">
        <v>4798</v>
      </c>
      <c r="R1128" s="6" t="s">
        <v>2175</v>
      </c>
      <c r="S1128" s="6" t="s">
        <v>4799</v>
      </c>
      <c r="T1128" s="6">
        <v>1</v>
      </c>
      <c r="U1128" s="6">
        <v>0</v>
      </c>
      <c r="V1128" s="6">
        <v>0</v>
      </c>
      <c r="W1128" s="6">
        <v>0</v>
      </c>
      <c r="X1128" s="6" t="s">
        <v>169</v>
      </c>
      <c r="Z1128" s="6" t="s">
        <v>170</v>
      </c>
      <c r="AA1128" s="6" t="s">
        <v>171</v>
      </c>
      <c r="AB1128" s="6">
        <v>0</v>
      </c>
      <c r="AC1128" s="6" t="str">
        <f>"KEY-055"</f>
        <v>KEY-055</v>
      </c>
      <c r="AQ1128" s="6" t="str">
        <f>""</f>
        <v/>
      </c>
      <c r="AR1128" s="6" t="s">
        <v>1567</v>
      </c>
      <c r="AS1128" s="6">
        <v>0</v>
      </c>
      <c r="AT1128" s="6">
        <v>1</v>
      </c>
    </row>
    <row r="1129" spans="2:46">
      <c r="B1129" s="6" t="s">
        <v>111</v>
      </c>
      <c r="D1129" s="6" t="s">
        <v>3316</v>
      </c>
      <c r="F1129" s="6" t="s">
        <v>4800</v>
      </c>
      <c r="G1129" s="6" t="str">
        <f>"3167332113230320"</f>
        <v>3167332113230320</v>
      </c>
      <c r="H1129" s="6">
        <v>3167332113230320</v>
      </c>
      <c r="I1129" s="6" t="s">
        <v>4801</v>
      </c>
      <c r="J1129" s="6" t="str">
        <f>"BTG GRAPHIC SK"</f>
        <v>BTG GRAPHIC SK</v>
      </c>
      <c r="K1129" s="6">
        <v>0</v>
      </c>
      <c r="L1129" s="6">
        <v>0</v>
      </c>
      <c r="M1129" s="6">
        <v>0</v>
      </c>
      <c r="N1129" s="6" t="str">
        <f>""</f>
        <v/>
      </c>
      <c r="O1129" s="6">
        <v>31936</v>
      </c>
      <c r="P1129" s="6" t="s">
        <v>4802</v>
      </c>
      <c r="R1129" s="6" t="s">
        <v>2111</v>
      </c>
      <c r="S1129" s="6" t="s">
        <v>4803</v>
      </c>
      <c r="T1129" s="6">
        <v>0</v>
      </c>
      <c r="U1129" s="6">
        <v>0</v>
      </c>
      <c r="V1129" s="6">
        <v>0</v>
      </c>
      <c r="W1129" s="6">
        <v>0</v>
      </c>
      <c r="X1129" s="6" t="s">
        <v>169</v>
      </c>
      <c r="Z1129" s="6" t="s">
        <v>170</v>
      </c>
      <c r="AA1129" s="6" t="s">
        <v>171</v>
      </c>
      <c r="AB1129" s="6">
        <v>0</v>
      </c>
      <c r="AC1129" s="6" t="str">
        <f>""</f>
        <v/>
      </c>
      <c r="AS1129" s="6">
        <v>0</v>
      </c>
      <c r="AT1129" s="6">
        <v>0</v>
      </c>
    </row>
    <row r="1130" spans="2:46">
      <c r="B1130" s="6" t="s">
        <v>111</v>
      </c>
      <c r="D1130" s="6" t="s">
        <v>3316</v>
      </c>
      <c r="F1130" s="6" t="s">
        <v>4804</v>
      </c>
      <c r="G1130" s="6" t="str">
        <f>"3167222127125208"</f>
        <v>3167222127125208</v>
      </c>
      <c r="H1130" s="6">
        <v>3167222127125200</v>
      </c>
      <c r="I1130" s="6" t="s">
        <v>4805</v>
      </c>
      <c r="J1130" s="6" t="str">
        <f>"16 VELVET NEO TS"</f>
        <v>16 VELVET NEO TS</v>
      </c>
      <c r="K1130" s="6">
        <v>0</v>
      </c>
      <c r="L1130" s="6">
        <v>0</v>
      </c>
      <c r="M1130" s="6">
        <v>0</v>
      </c>
      <c r="N1130" s="6" t="str">
        <f>""</f>
        <v/>
      </c>
      <c r="O1130" s="6">
        <v>31934</v>
      </c>
      <c r="P1130" s="6" t="s">
        <v>4806</v>
      </c>
      <c r="R1130" s="6" t="s">
        <v>2175</v>
      </c>
      <c r="S1130" s="6" t="s">
        <v>4807</v>
      </c>
      <c r="T1130" s="6">
        <v>0</v>
      </c>
      <c r="U1130" s="6">
        <v>0</v>
      </c>
      <c r="V1130" s="6">
        <v>0</v>
      </c>
      <c r="W1130" s="6">
        <v>0</v>
      </c>
      <c r="X1130" s="6" t="s">
        <v>169</v>
      </c>
      <c r="Z1130" s="6" t="s">
        <v>170</v>
      </c>
      <c r="AA1130" s="6" t="s">
        <v>171</v>
      </c>
      <c r="AB1130" s="6">
        <v>0</v>
      </c>
      <c r="AC1130" s="6" t="str">
        <f>""</f>
        <v/>
      </c>
      <c r="AS1130" s="6">
        <v>0</v>
      </c>
      <c r="AT1130" s="6">
        <v>0</v>
      </c>
    </row>
    <row r="1131" spans="2:46">
      <c r="B1131" s="6" t="s">
        <v>111</v>
      </c>
      <c r="D1131" s="6" t="s">
        <v>3316</v>
      </c>
      <c r="F1131" s="6" t="s">
        <v>4808</v>
      </c>
      <c r="G1131" s="6" t="str">
        <f>"3167332111969320"</f>
        <v>3167332111969320</v>
      </c>
      <c r="H1131" s="6">
        <v>3167332111969320</v>
      </c>
      <c r="I1131" s="6" t="s">
        <v>4809</v>
      </c>
      <c r="J1131" s="6" t="str">
        <f>"BTG PATTERN SK"</f>
        <v>BTG PATTERN SK</v>
      </c>
      <c r="K1131" s="6">
        <v>0</v>
      </c>
      <c r="L1131" s="6">
        <v>0</v>
      </c>
      <c r="M1131" s="6">
        <v>0</v>
      </c>
      <c r="N1131" s="6" t="str">
        <f>""</f>
        <v/>
      </c>
      <c r="O1131" s="6">
        <v>31932</v>
      </c>
      <c r="P1131" s="6" t="s">
        <v>4810</v>
      </c>
      <c r="R1131" s="6" t="s">
        <v>2356</v>
      </c>
      <c r="S1131" s="6" t="s">
        <v>4811</v>
      </c>
      <c r="T1131" s="6">
        <v>0</v>
      </c>
      <c r="U1131" s="6">
        <v>0</v>
      </c>
      <c r="V1131" s="6">
        <v>0</v>
      </c>
      <c r="W1131" s="6">
        <v>0</v>
      </c>
      <c r="X1131" s="6" t="s">
        <v>169</v>
      </c>
      <c r="Z1131" s="6" t="s">
        <v>170</v>
      </c>
      <c r="AA1131" s="6" t="s">
        <v>171</v>
      </c>
      <c r="AB1131" s="6">
        <v>0</v>
      </c>
      <c r="AC1131" s="6" t="str">
        <f>""</f>
        <v/>
      </c>
      <c r="AS1131" s="6">
        <v>0</v>
      </c>
      <c r="AT1131" s="6">
        <v>0</v>
      </c>
    </row>
    <row r="1132" spans="2:46">
      <c r="B1132" s="6" t="s">
        <v>111</v>
      </c>
      <c r="D1132" s="6" t="s">
        <v>3316</v>
      </c>
      <c r="F1132" s="6" t="s">
        <v>4812</v>
      </c>
      <c r="G1132" s="6" t="str">
        <f>"3167222142925208"</f>
        <v>3167222142925208</v>
      </c>
      <c r="H1132" s="6">
        <v>3167222142925200</v>
      </c>
      <c r="I1132" s="6" t="s">
        <v>4813</v>
      </c>
      <c r="J1132" s="6" t="str">
        <f>"WINTER 3 BLOCK TS"</f>
        <v>WINTER 3 BLOCK TS</v>
      </c>
      <c r="K1132" s="6">
        <v>0</v>
      </c>
      <c r="L1132" s="6">
        <v>0</v>
      </c>
      <c r="M1132" s="6">
        <v>0</v>
      </c>
      <c r="N1132" s="6" t="str">
        <f>""</f>
        <v/>
      </c>
      <c r="O1132" s="6">
        <v>31930</v>
      </c>
      <c r="P1132" s="6" t="s">
        <v>4814</v>
      </c>
      <c r="R1132" s="6" t="s">
        <v>2175</v>
      </c>
      <c r="S1132" s="6" t="s">
        <v>4815</v>
      </c>
      <c r="T1132" s="6">
        <v>0</v>
      </c>
      <c r="U1132" s="6">
        <v>0</v>
      </c>
      <c r="V1132" s="6">
        <v>0</v>
      </c>
      <c r="W1132" s="6">
        <v>0</v>
      </c>
      <c r="X1132" s="6" t="s">
        <v>169</v>
      </c>
      <c r="Z1132" s="6" t="s">
        <v>170</v>
      </c>
      <c r="AA1132" s="6" t="s">
        <v>171</v>
      </c>
      <c r="AB1132" s="6">
        <v>0</v>
      </c>
      <c r="AC1132" s="6" t="str">
        <f>""</f>
        <v/>
      </c>
      <c r="AS1132" s="6">
        <v>0</v>
      </c>
      <c r="AT1132" s="6">
        <v>0</v>
      </c>
    </row>
    <row r="1133" spans="2:46">
      <c r="B1133" s="6" t="s">
        <v>4816</v>
      </c>
      <c r="D1133" s="6" t="s">
        <v>3316</v>
      </c>
      <c r="F1133" s="6" t="s">
        <v>4817</v>
      </c>
      <c r="G1133" s="6" t="str">
        <f>"3165324100224307"</f>
        <v>3165324100224307</v>
      </c>
      <c r="H1133" s="6">
        <v>3165324100224300</v>
      </c>
      <c r="I1133" s="6" t="s">
        <v>4818</v>
      </c>
      <c r="J1133" s="6" t="str">
        <f>"Mine worker Light Blue / NewCrop"</f>
        <v>Mine worker Light Blue / NewCrop</v>
      </c>
      <c r="K1133" s="6">
        <v>0</v>
      </c>
      <c r="L1133" s="6">
        <v>0</v>
      </c>
      <c r="M1133" s="6">
        <v>0</v>
      </c>
      <c r="N1133" s="6" t="str">
        <f>""</f>
        <v/>
      </c>
      <c r="O1133" s="6">
        <v>31925</v>
      </c>
      <c r="P1133" s="6" t="s">
        <v>4819</v>
      </c>
      <c r="R1133" s="6" t="s">
        <v>4820</v>
      </c>
      <c r="S1133" s="6" t="s">
        <v>4821</v>
      </c>
      <c r="T1133" s="6">
        <v>0</v>
      </c>
      <c r="U1133" s="6">
        <v>0</v>
      </c>
      <c r="V1133" s="6">
        <v>0</v>
      </c>
      <c r="W1133" s="6">
        <v>0</v>
      </c>
      <c r="X1133" s="6" t="s">
        <v>169</v>
      </c>
      <c r="Z1133" s="6" t="s">
        <v>170</v>
      </c>
      <c r="AA1133" s="6" t="s">
        <v>171</v>
      </c>
      <c r="AB1133" s="6">
        <v>0</v>
      </c>
      <c r="AC1133" s="6" t="str">
        <f>""</f>
        <v/>
      </c>
      <c r="AS1133" s="6">
        <v>0</v>
      </c>
      <c r="AT1133" s="6">
        <v>0</v>
      </c>
    </row>
    <row r="1134" spans="2:46">
      <c r="B1134" s="6" t="s">
        <v>4816</v>
      </c>
      <c r="D1134" s="6" t="s">
        <v>3316</v>
      </c>
      <c r="F1134" s="6" t="s">
        <v>4822</v>
      </c>
      <c r="G1134" s="6" t="str">
        <f>"S01070"</f>
        <v>S01070</v>
      </c>
      <c r="H1134" s="6" t="s">
        <v>4823</v>
      </c>
      <c r="I1134" s="6" t="s">
        <v>4824</v>
      </c>
      <c r="J1134" s="6" t="str">
        <f>"[W]Laser Boot Cut Medium Blue / Boot Cut"</f>
        <v>[W]Laser Boot Cut Medium Blue / Boot Cut</v>
      </c>
      <c r="K1134" s="6">
        <v>0</v>
      </c>
      <c r="L1134" s="6">
        <v>0</v>
      </c>
      <c r="M1134" s="6">
        <v>0</v>
      </c>
      <c r="N1134" s="6" t="str">
        <f>""</f>
        <v/>
      </c>
      <c r="O1134" s="6">
        <v>31922</v>
      </c>
      <c r="P1134" s="6" t="s">
        <v>4825</v>
      </c>
      <c r="R1134" s="6" t="s">
        <v>4826</v>
      </c>
      <c r="S1134" s="6" t="s">
        <v>4827</v>
      </c>
      <c r="T1134" s="6">
        <v>0</v>
      </c>
      <c r="U1134" s="6">
        <v>0</v>
      </c>
      <c r="V1134" s="6">
        <v>0</v>
      </c>
      <c r="W1134" s="6">
        <v>0</v>
      </c>
      <c r="X1134" s="6" t="s">
        <v>169</v>
      </c>
      <c r="Z1134" s="6" t="s">
        <v>170</v>
      </c>
      <c r="AA1134" s="6" t="s">
        <v>171</v>
      </c>
      <c r="AB1134" s="6">
        <v>0</v>
      </c>
      <c r="AC1134" s="6" t="str">
        <f>""</f>
        <v/>
      </c>
      <c r="AS1134" s="6">
        <v>0</v>
      </c>
      <c r="AT1134" s="6">
        <v>0</v>
      </c>
    </row>
    <row r="1135" spans="2:46">
      <c r="B1135" s="6" t="s">
        <v>4816</v>
      </c>
      <c r="D1135" s="6" t="s">
        <v>3316</v>
      </c>
      <c r="F1135" s="6" t="s">
        <v>4828</v>
      </c>
      <c r="G1135" s="6" t="str">
        <f>"3175321103624306"</f>
        <v>3175321103624306</v>
      </c>
      <c r="H1135" s="6">
        <v>3175321103624300</v>
      </c>
      <c r="I1135" s="6" t="s">
        <v>4829</v>
      </c>
      <c r="J1135" s="6" t="str">
        <f>"Shine Blue Light Blue / Newcrop2"</f>
        <v>Shine Blue Light Blue / Newcrop2</v>
      </c>
      <c r="K1135" s="6">
        <v>0</v>
      </c>
      <c r="L1135" s="6">
        <v>0</v>
      </c>
      <c r="M1135" s="6">
        <v>0</v>
      </c>
      <c r="N1135" s="6" t="str">
        <f>""</f>
        <v/>
      </c>
      <c r="O1135" s="6">
        <v>31919</v>
      </c>
      <c r="P1135" s="6" t="s">
        <v>4830</v>
      </c>
      <c r="R1135" s="6" t="s">
        <v>4831</v>
      </c>
      <c r="S1135" s="6" t="s">
        <v>4832</v>
      </c>
      <c r="T1135" s="6">
        <v>0</v>
      </c>
      <c r="U1135" s="6">
        <v>0</v>
      </c>
      <c r="V1135" s="6">
        <v>0</v>
      </c>
      <c r="W1135" s="6">
        <v>0</v>
      </c>
      <c r="X1135" s="6" t="s">
        <v>169</v>
      </c>
      <c r="Z1135" s="6" t="s">
        <v>170</v>
      </c>
      <c r="AA1135" s="6" t="s">
        <v>171</v>
      </c>
      <c r="AB1135" s="6">
        <v>0</v>
      </c>
      <c r="AC1135" s="6" t="str">
        <f>""</f>
        <v/>
      </c>
      <c r="AS1135" s="6">
        <v>0</v>
      </c>
      <c r="AT1135" s="6">
        <v>0</v>
      </c>
    </row>
    <row r="1136" spans="2:46">
      <c r="B1136" s="6" t="s">
        <v>4816</v>
      </c>
      <c r="D1136" s="6" t="s">
        <v>3316</v>
      </c>
      <c r="F1136" s="6" t="s">
        <v>4833</v>
      </c>
      <c r="G1136" s="6" t="str">
        <f>"3165321109087306"</f>
        <v>3165321109087306</v>
      </c>
      <c r="H1136" s="6">
        <v>3165321109087300</v>
      </c>
      <c r="I1136" s="6" t="s">
        <v>4834</v>
      </c>
      <c r="J1136" s="6" t="str">
        <f>"Stone Worker DS Greyish Blue / Newcrop"</f>
        <v>Stone Worker DS Greyish Blue / Newcrop</v>
      </c>
      <c r="K1136" s="6">
        <v>0</v>
      </c>
      <c r="L1136" s="6">
        <v>0</v>
      </c>
      <c r="M1136" s="6">
        <v>0</v>
      </c>
      <c r="N1136" s="6" t="str">
        <f>""</f>
        <v/>
      </c>
      <c r="O1136" s="6">
        <v>31928</v>
      </c>
      <c r="P1136" s="6" t="s">
        <v>4835</v>
      </c>
      <c r="R1136" s="6" t="s">
        <v>4836</v>
      </c>
      <c r="S1136" s="6" t="s">
        <v>4837</v>
      </c>
      <c r="T1136" s="6">
        <v>0</v>
      </c>
      <c r="U1136" s="6">
        <v>0</v>
      </c>
      <c r="V1136" s="6">
        <v>0</v>
      </c>
      <c r="W1136" s="6">
        <v>0</v>
      </c>
      <c r="X1136" s="6" t="s">
        <v>169</v>
      </c>
      <c r="Z1136" s="6" t="s">
        <v>170</v>
      </c>
      <c r="AA1136" s="6" t="s">
        <v>171</v>
      </c>
      <c r="AB1136" s="6">
        <v>0</v>
      </c>
      <c r="AC1136" s="6" t="str">
        <f>""</f>
        <v/>
      </c>
      <c r="AS1136" s="6">
        <v>0</v>
      </c>
      <c r="AT1136" s="6">
        <v>0</v>
      </c>
    </row>
    <row r="1137" spans="2:46">
      <c r="B1137" s="6" t="s">
        <v>4816</v>
      </c>
      <c r="D1137" s="6" t="s">
        <v>3316</v>
      </c>
      <c r="F1137" s="6" t="s">
        <v>4838</v>
      </c>
      <c r="G1137" s="6" t="str">
        <f>"3165321109087305"</f>
        <v>3165321109087305</v>
      </c>
      <c r="H1137" s="6">
        <v>3165321109087300</v>
      </c>
      <c r="I1137" s="6" t="s">
        <v>4834</v>
      </c>
      <c r="J1137" s="6" t="str">
        <f>"Stone Worker DS Greyish Blue / Newcrop"</f>
        <v>Stone Worker DS Greyish Blue / Newcrop</v>
      </c>
      <c r="K1137" s="6">
        <v>0</v>
      </c>
      <c r="L1137" s="6">
        <v>0</v>
      </c>
      <c r="M1137" s="6">
        <v>0</v>
      </c>
      <c r="N1137" s="6" t="str">
        <f>""</f>
        <v/>
      </c>
      <c r="O1137" s="6">
        <v>31914</v>
      </c>
      <c r="P1137" s="6" t="s">
        <v>4839</v>
      </c>
      <c r="R1137" s="6" t="s">
        <v>4840</v>
      </c>
      <c r="S1137" s="6" t="s">
        <v>4841</v>
      </c>
      <c r="T1137" s="6">
        <v>0</v>
      </c>
      <c r="U1137" s="6">
        <v>0</v>
      </c>
      <c r="V1137" s="6">
        <v>0</v>
      </c>
      <c r="W1137" s="6">
        <v>0</v>
      </c>
      <c r="X1137" s="6" t="s">
        <v>169</v>
      </c>
      <c r="Z1137" s="6" t="s">
        <v>170</v>
      </c>
      <c r="AA1137" s="6" t="s">
        <v>171</v>
      </c>
      <c r="AB1137" s="6">
        <v>0</v>
      </c>
      <c r="AC1137" s="6" t="str">
        <f>""</f>
        <v/>
      </c>
      <c r="AS1137" s="6">
        <v>0</v>
      </c>
      <c r="AT1137" s="6">
        <v>0</v>
      </c>
    </row>
    <row r="1138" spans="2:46">
      <c r="B1138" s="6" t="s">
        <v>4816</v>
      </c>
      <c r="D1138" s="6" t="s">
        <v>3316</v>
      </c>
      <c r="F1138" s="6" t="s">
        <v>4842</v>
      </c>
      <c r="G1138" s="6" t="str">
        <f>"3165321109087307"</f>
        <v>3165321109087307</v>
      </c>
      <c r="H1138" s="6">
        <v>3165321109087300</v>
      </c>
      <c r="I1138" s="6" t="s">
        <v>4834</v>
      </c>
      <c r="J1138" s="6" t="str">
        <f>"Stone Worker DS Greyish Blue / Newcrop"</f>
        <v>Stone Worker DS Greyish Blue / Newcrop</v>
      </c>
      <c r="K1138" s="6">
        <v>0</v>
      </c>
      <c r="L1138" s="6">
        <v>0</v>
      </c>
      <c r="M1138" s="6">
        <v>0</v>
      </c>
      <c r="N1138" s="6" t="str">
        <f>""</f>
        <v/>
      </c>
      <c r="O1138" s="6">
        <v>31912</v>
      </c>
      <c r="P1138" s="6" t="s">
        <v>4843</v>
      </c>
      <c r="R1138" s="6" t="s">
        <v>4844</v>
      </c>
      <c r="S1138" s="6" t="s">
        <v>4845</v>
      </c>
      <c r="T1138" s="6">
        <v>0</v>
      </c>
      <c r="U1138" s="6">
        <v>0</v>
      </c>
      <c r="V1138" s="6">
        <v>0</v>
      </c>
      <c r="W1138" s="6">
        <v>0</v>
      </c>
      <c r="X1138" s="6" t="s">
        <v>169</v>
      </c>
      <c r="Z1138" s="6" t="s">
        <v>170</v>
      </c>
      <c r="AA1138" s="6" t="s">
        <v>171</v>
      </c>
      <c r="AB1138" s="6">
        <v>0</v>
      </c>
      <c r="AC1138" s="6" t="str">
        <f>""</f>
        <v/>
      </c>
      <c r="AS1138" s="6">
        <v>0</v>
      </c>
      <c r="AT1138" s="6">
        <v>0</v>
      </c>
    </row>
    <row r="1139" spans="2:46">
      <c r="B1139" s="6" t="s">
        <v>4816</v>
      </c>
      <c r="D1139" s="6" t="s">
        <v>3316</v>
      </c>
      <c r="F1139" s="6" t="s">
        <v>4846</v>
      </c>
      <c r="G1139" s="6" t="str">
        <f>"3165321109087311"</f>
        <v>3165321109087311</v>
      </c>
      <c r="H1139" s="6">
        <v>3165321109087310</v>
      </c>
      <c r="I1139" s="6" t="s">
        <v>4834</v>
      </c>
      <c r="J1139" s="6" t="str">
        <f>"Stone Worker DS Greyish Blue / Newcrop"</f>
        <v>Stone Worker DS Greyish Blue / Newcrop</v>
      </c>
      <c r="K1139" s="6">
        <v>0</v>
      </c>
      <c r="L1139" s="6">
        <v>0</v>
      </c>
      <c r="M1139" s="6">
        <v>0</v>
      </c>
      <c r="N1139" s="6" t="str">
        <f>""</f>
        <v/>
      </c>
      <c r="O1139" s="6">
        <v>31911</v>
      </c>
      <c r="P1139" s="6" t="s">
        <v>4847</v>
      </c>
      <c r="R1139" s="6" t="s">
        <v>4848</v>
      </c>
      <c r="S1139" s="6" t="s">
        <v>4849</v>
      </c>
      <c r="T1139" s="6">
        <v>0</v>
      </c>
      <c r="U1139" s="6">
        <v>0</v>
      </c>
      <c r="V1139" s="6">
        <v>0</v>
      </c>
      <c r="W1139" s="6">
        <v>0</v>
      </c>
      <c r="X1139" s="6" t="s">
        <v>169</v>
      </c>
      <c r="Z1139" s="6" t="s">
        <v>170</v>
      </c>
      <c r="AA1139" s="6" t="s">
        <v>171</v>
      </c>
      <c r="AB1139" s="6">
        <v>0</v>
      </c>
      <c r="AC1139" s="6" t="str">
        <f>""</f>
        <v/>
      </c>
      <c r="AS1139" s="6">
        <v>0</v>
      </c>
      <c r="AT1139" s="6">
        <v>0</v>
      </c>
    </row>
    <row r="1140" spans="2:46">
      <c r="B1140" s="6" t="s">
        <v>4816</v>
      </c>
      <c r="D1140" s="6" t="s">
        <v>3316</v>
      </c>
      <c r="F1140" s="6" t="s">
        <v>4850</v>
      </c>
      <c r="G1140" s="6" t="str">
        <f>"3165321113299308"</f>
        <v>3165321113299308</v>
      </c>
      <c r="H1140" s="6">
        <v>3165321113299300</v>
      </c>
      <c r="I1140" s="6" t="s">
        <v>4851</v>
      </c>
      <c r="J1140" s="6" t="str">
        <f>"  Raw Darkness Black / Newcrop"</f>
        <v xml:space="preserve">  Raw Darkness Black / Newcrop</v>
      </c>
      <c r="K1140" s="6">
        <v>0</v>
      </c>
      <c r="L1140" s="6">
        <v>0</v>
      </c>
      <c r="M1140" s="6">
        <v>0</v>
      </c>
      <c r="N1140" s="6" t="str">
        <f>""</f>
        <v/>
      </c>
      <c r="O1140" s="6">
        <v>31905</v>
      </c>
      <c r="P1140" s="6" t="s">
        <v>4852</v>
      </c>
      <c r="R1140" s="6" t="s">
        <v>4853</v>
      </c>
      <c r="S1140" s="6" t="s">
        <v>4854</v>
      </c>
      <c r="T1140" s="6">
        <v>0</v>
      </c>
      <c r="U1140" s="6">
        <v>0</v>
      </c>
      <c r="V1140" s="6">
        <v>0</v>
      </c>
      <c r="W1140" s="6">
        <v>0</v>
      </c>
      <c r="X1140" s="6" t="s">
        <v>169</v>
      </c>
      <c r="Z1140" s="6" t="s">
        <v>170</v>
      </c>
      <c r="AA1140" s="6" t="s">
        <v>171</v>
      </c>
      <c r="AB1140" s="6">
        <v>0</v>
      </c>
      <c r="AC1140" s="6" t="str">
        <f>""</f>
        <v/>
      </c>
      <c r="AS1140" s="6">
        <v>0</v>
      </c>
      <c r="AT1140" s="6">
        <v>0</v>
      </c>
    </row>
    <row r="1141" spans="2:46">
      <c r="B1141" s="6" t="s">
        <v>4816</v>
      </c>
      <c r="D1141" s="6" t="s">
        <v>3316</v>
      </c>
      <c r="F1141" s="6" t="s">
        <v>4855</v>
      </c>
      <c r="G1141" s="6" t="str">
        <f>"3165321113299307"</f>
        <v>3165321113299307</v>
      </c>
      <c r="H1141" s="6">
        <v>3165321113299300</v>
      </c>
      <c r="I1141" s="6" t="s">
        <v>4851</v>
      </c>
      <c r="J1141" s="6" t="str">
        <f>"  Raw Darkness Black / Newcrop"</f>
        <v xml:space="preserve">  Raw Darkness Black / Newcrop</v>
      </c>
      <c r="K1141" s="6">
        <v>0</v>
      </c>
      <c r="L1141" s="6">
        <v>0</v>
      </c>
      <c r="M1141" s="6">
        <v>0</v>
      </c>
      <c r="N1141" s="6" t="str">
        <f>""</f>
        <v/>
      </c>
      <c r="O1141" s="6">
        <v>31904</v>
      </c>
      <c r="P1141" s="6" t="s">
        <v>4856</v>
      </c>
      <c r="R1141" s="6" t="s">
        <v>4857</v>
      </c>
      <c r="S1141" s="6" t="s">
        <v>4858</v>
      </c>
      <c r="T1141" s="6">
        <v>0</v>
      </c>
      <c r="U1141" s="6">
        <v>0</v>
      </c>
      <c r="V1141" s="6">
        <v>0</v>
      </c>
      <c r="W1141" s="6">
        <v>0</v>
      </c>
      <c r="X1141" s="6" t="s">
        <v>169</v>
      </c>
      <c r="Z1141" s="6" t="s">
        <v>170</v>
      </c>
      <c r="AA1141" s="6" t="s">
        <v>171</v>
      </c>
      <c r="AB1141" s="6">
        <v>0</v>
      </c>
      <c r="AC1141" s="6" t="str">
        <f>""</f>
        <v/>
      </c>
      <c r="AS1141" s="6">
        <v>0</v>
      </c>
      <c r="AT1141" s="6">
        <v>0</v>
      </c>
    </row>
    <row r="1142" spans="2:46">
      <c r="B1142" s="6" t="s">
        <v>4816</v>
      </c>
      <c r="D1142" s="6" t="s">
        <v>3316</v>
      </c>
      <c r="F1142" s="6" t="s">
        <v>4859</v>
      </c>
      <c r="G1142" s="6" t="str">
        <f>"3165321108833309"</f>
        <v>3165321108833309</v>
      </c>
      <c r="H1142" s="6">
        <v>3165321108833300</v>
      </c>
      <c r="I1142" s="6" t="s">
        <v>4860</v>
      </c>
      <c r="J1142" s="6" t="str">
        <f>"New mine worker 17SS Menu Blue  / Newslim"</f>
        <v>New mine worker 17SS Menu Blue  / Newslim</v>
      </c>
      <c r="K1142" s="6">
        <v>0</v>
      </c>
      <c r="L1142" s="6">
        <v>0</v>
      </c>
      <c r="M1142" s="6">
        <v>0</v>
      </c>
      <c r="N1142" s="6" t="str">
        <f>""</f>
        <v/>
      </c>
      <c r="O1142" s="6">
        <v>31926</v>
      </c>
      <c r="P1142" s="6" t="s">
        <v>4861</v>
      </c>
      <c r="R1142" s="6" t="s">
        <v>4862</v>
      </c>
      <c r="S1142" s="6" t="s">
        <v>4863</v>
      </c>
      <c r="T1142" s="6">
        <v>0</v>
      </c>
      <c r="U1142" s="6">
        <v>0</v>
      </c>
      <c r="V1142" s="6">
        <v>0</v>
      </c>
      <c r="W1142" s="6">
        <v>0</v>
      </c>
      <c r="X1142" s="6" t="s">
        <v>169</v>
      </c>
      <c r="Z1142" s="6" t="s">
        <v>170</v>
      </c>
      <c r="AA1142" s="6" t="s">
        <v>171</v>
      </c>
      <c r="AB1142" s="6">
        <v>0</v>
      </c>
      <c r="AC1142" s="6" t="str">
        <f>""</f>
        <v/>
      </c>
      <c r="AS1142" s="6">
        <v>0</v>
      </c>
      <c r="AT1142" s="6">
        <v>0</v>
      </c>
    </row>
    <row r="1143" spans="2:46">
      <c r="B1143" s="6" t="s">
        <v>4816</v>
      </c>
      <c r="D1143" s="6" t="s">
        <v>3316</v>
      </c>
      <c r="F1143" s="6" t="s">
        <v>4864</v>
      </c>
      <c r="G1143" s="6" t="str">
        <f>"3165321108833308"</f>
        <v>3165321108833308</v>
      </c>
      <c r="H1143" s="6">
        <v>3165321108833300</v>
      </c>
      <c r="I1143" s="6" t="s">
        <v>4860</v>
      </c>
      <c r="J1143" s="6" t="str">
        <f>"New mine worker 17SS Menu Blue  / Newslim"</f>
        <v>New mine worker 17SS Menu Blue  / Newslim</v>
      </c>
      <c r="K1143" s="6">
        <v>0</v>
      </c>
      <c r="L1143" s="6">
        <v>0</v>
      </c>
      <c r="M1143" s="6">
        <v>0</v>
      </c>
      <c r="N1143" s="6" t="str">
        <f>""</f>
        <v/>
      </c>
      <c r="O1143" s="6">
        <v>31916</v>
      </c>
      <c r="P1143" s="6" t="s">
        <v>4865</v>
      </c>
      <c r="R1143" s="6" t="s">
        <v>4866</v>
      </c>
      <c r="S1143" s="6" t="s">
        <v>4867</v>
      </c>
      <c r="T1143" s="6">
        <v>0</v>
      </c>
      <c r="U1143" s="6">
        <v>0</v>
      </c>
      <c r="V1143" s="6">
        <v>0</v>
      </c>
      <c r="W1143" s="6">
        <v>0</v>
      </c>
      <c r="X1143" s="6" t="s">
        <v>169</v>
      </c>
      <c r="Z1143" s="6" t="s">
        <v>170</v>
      </c>
      <c r="AA1143" s="6" t="s">
        <v>171</v>
      </c>
      <c r="AB1143" s="6">
        <v>0</v>
      </c>
      <c r="AC1143" s="6" t="str">
        <f>""</f>
        <v/>
      </c>
      <c r="AS1143" s="6">
        <v>0</v>
      </c>
      <c r="AT1143" s="6">
        <v>0</v>
      </c>
    </row>
    <row r="1144" spans="2:46">
      <c r="B1144" s="6" t="s">
        <v>4816</v>
      </c>
      <c r="D1144" s="6" t="s">
        <v>3316</v>
      </c>
      <c r="F1144" s="6" t="s">
        <v>4868</v>
      </c>
      <c r="G1144" s="6" t="str">
        <f>"3165321108833305"</f>
        <v>3165321108833305</v>
      </c>
      <c r="H1144" s="6">
        <v>3165321108833300</v>
      </c>
      <c r="I1144" s="6" t="s">
        <v>4860</v>
      </c>
      <c r="J1144" s="6" t="str">
        <f>"New mine worker 17SS Menu Blue  / Newslim"</f>
        <v>New mine worker 17SS Menu Blue  / Newslim</v>
      </c>
      <c r="K1144" s="6">
        <v>0</v>
      </c>
      <c r="L1144" s="6">
        <v>0</v>
      </c>
      <c r="M1144" s="6">
        <v>0</v>
      </c>
      <c r="N1144" s="6" t="str">
        <f>""</f>
        <v/>
      </c>
      <c r="O1144" s="6">
        <v>31902</v>
      </c>
      <c r="P1144" s="6" t="s">
        <v>4869</v>
      </c>
      <c r="R1144" s="6" t="s">
        <v>4870</v>
      </c>
      <c r="S1144" s="6" t="s">
        <v>4871</v>
      </c>
      <c r="T1144" s="6">
        <v>0</v>
      </c>
      <c r="U1144" s="6">
        <v>0</v>
      </c>
      <c r="V1144" s="6">
        <v>0</v>
      </c>
      <c r="W1144" s="6">
        <v>0</v>
      </c>
      <c r="X1144" s="6" t="s">
        <v>169</v>
      </c>
      <c r="Z1144" s="6" t="s">
        <v>170</v>
      </c>
      <c r="AA1144" s="6" t="s">
        <v>171</v>
      </c>
      <c r="AB1144" s="6">
        <v>0</v>
      </c>
      <c r="AC1144" s="6" t="str">
        <f>""</f>
        <v/>
      </c>
      <c r="AS1144" s="6">
        <v>0</v>
      </c>
      <c r="AT1144" s="6">
        <v>0</v>
      </c>
    </row>
    <row r="1145" spans="2:46">
      <c r="B1145" s="6" t="s">
        <v>4816</v>
      </c>
      <c r="D1145" s="6" t="s">
        <v>3316</v>
      </c>
      <c r="F1145" s="6" t="s">
        <v>4872</v>
      </c>
      <c r="G1145" s="6" t="str">
        <f>"3165321109328313"</f>
        <v>3165321109328313</v>
      </c>
      <c r="H1145" s="6">
        <v>3165321109328310</v>
      </c>
      <c r="I1145" s="6" t="s">
        <v>4873</v>
      </c>
      <c r="J1145" s="6" t="str">
        <f>"Plant Manager2 Dark Blue / Newslim"</f>
        <v>Plant Manager2 Dark Blue / Newslim</v>
      </c>
      <c r="K1145" s="6">
        <v>0</v>
      </c>
      <c r="L1145" s="6">
        <v>0</v>
      </c>
      <c r="M1145" s="6">
        <v>0</v>
      </c>
      <c r="N1145" s="6" t="str">
        <f>""</f>
        <v/>
      </c>
      <c r="O1145" s="6">
        <v>31917</v>
      </c>
      <c r="P1145" s="6" t="s">
        <v>4874</v>
      </c>
      <c r="R1145" s="6" t="s">
        <v>4875</v>
      </c>
      <c r="S1145" s="6" t="s">
        <v>4876</v>
      </c>
      <c r="T1145" s="6">
        <v>0</v>
      </c>
      <c r="U1145" s="6">
        <v>0</v>
      </c>
      <c r="V1145" s="6">
        <v>0</v>
      </c>
      <c r="W1145" s="6">
        <v>0</v>
      </c>
      <c r="X1145" s="6" t="s">
        <v>169</v>
      </c>
      <c r="Z1145" s="6" t="s">
        <v>170</v>
      </c>
      <c r="AA1145" s="6" t="s">
        <v>171</v>
      </c>
      <c r="AB1145" s="6">
        <v>0</v>
      </c>
      <c r="AC1145" s="6" t="str">
        <f>""</f>
        <v/>
      </c>
      <c r="AS1145" s="6">
        <v>0</v>
      </c>
      <c r="AT1145" s="6">
        <v>0</v>
      </c>
    </row>
    <row r="1146" spans="2:46">
      <c r="B1146" s="6" t="s">
        <v>4816</v>
      </c>
      <c r="D1146" s="6" t="s">
        <v>3316</v>
      </c>
      <c r="F1146" s="6" t="s">
        <v>4877</v>
      </c>
      <c r="G1146" s="6" t="str">
        <f>"3165321109328307"</f>
        <v>3165321109328307</v>
      </c>
      <c r="H1146" s="6">
        <v>3165321109328300</v>
      </c>
      <c r="I1146" s="6" t="s">
        <v>4873</v>
      </c>
      <c r="J1146" s="6" t="str">
        <f>"Plant Manager2 Dark Blue / Newslim"</f>
        <v>Plant Manager2 Dark Blue / Newslim</v>
      </c>
      <c r="K1146" s="6">
        <v>0</v>
      </c>
      <c r="L1146" s="6">
        <v>0</v>
      </c>
      <c r="M1146" s="6">
        <v>0</v>
      </c>
      <c r="N1146" s="6" t="str">
        <f>""</f>
        <v/>
      </c>
      <c r="O1146" s="6">
        <v>31908</v>
      </c>
      <c r="P1146" s="6" t="s">
        <v>4878</v>
      </c>
      <c r="R1146" s="6" t="s">
        <v>4879</v>
      </c>
      <c r="S1146" s="6" t="s">
        <v>4880</v>
      </c>
      <c r="T1146" s="6">
        <v>0</v>
      </c>
      <c r="U1146" s="6">
        <v>0</v>
      </c>
      <c r="V1146" s="6">
        <v>0</v>
      </c>
      <c r="W1146" s="6">
        <v>0</v>
      </c>
      <c r="X1146" s="6" t="s">
        <v>169</v>
      </c>
      <c r="Z1146" s="6" t="s">
        <v>170</v>
      </c>
      <c r="AA1146" s="6" t="s">
        <v>171</v>
      </c>
      <c r="AB1146" s="6">
        <v>0</v>
      </c>
      <c r="AC1146" s="6" t="str">
        <f>""</f>
        <v/>
      </c>
      <c r="AS1146" s="6">
        <v>0</v>
      </c>
      <c r="AT1146" s="6">
        <v>0</v>
      </c>
    </row>
    <row r="1147" spans="2:46">
      <c r="B1147" s="6" t="s">
        <v>4816</v>
      </c>
      <c r="D1147" s="6" t="s">
        <v>3316</v>
      </c>
      <c r="F1147" s="6" t="s">
        <v>4881</v>
      </c>
      <c r="G1147" s="6" t="str">
        <f>"3165321109328309"</f>
        <v>3165321109328309</v>
      </c>
      <c r="H1147" s="6">
        <v>3165321109328300</v>
      </c>
      <c r="I1147" s="6" t="s">
        <v>4873</v>
      </c>
      <c r="J1147" s="6" t="str">
        <f>"Plant Manager2 Dark Blue / Newslim"</f>
        <v>Plant Manager2 Dark Blue / Newslim</v>
      </c>
      <c r="K1147" s="6">
        <v>0</v>
      </c>
      <c r="L1147" s="6">
        <v>0</v>
      </c>
      <c r="M1147" s="6">
        <v>0</v>
      </c>
      <c r="N1147" s="6" t="str">
        <f>""</f>
        <v/>
      </c>
      <c r="O1147" s="6">
        <v>31900</v>
      </c>
      <c r="P1147" s="6" t="s">
        <v>4882</v>
      </c>
      <c r="R1147" s="6" t="s">
        <v>4883</v>
      </c>
      <c r="S1147" s="6" t="s">
        <v>4884</v>
      </c>
      <c r="T1147" s="6">
        <v>0</v>
      </c>
      <c r="U1147" s="6">
        <v>0</v>
      </c>
      <c r="V1147" s="6">
        <v>0</v>
      </c>
      <c r="W1147" s="6">
        <v>0</v>
      </c>
      <c r="X1147" s="6" t="s">
        <v>169</v>
      </c>
      <c r="Z1147" s="6" t="s">
        <v>170</v>
      </c>
      <c r="AA1147" s="6" t="s">
        <v>171</v>
      </c>
      <c r="AB1147" s="6">
        <v>0</v>
      </c>
      <c r="AC1147" s="6" t="str">
        <f>""</f>
        <v/>
      </c>
      <c r="AS1147" s="6">
        <v>0</v>
      </c>
      <c r="AT1147" s="6">
        <v>0</v>
      </c>
    </row>
    <row r="1148" spans="2:46">
      <c r="B1148" s="6" t="s">
        <v>4816</v>
      </c>
      <c r="D1148" s="6" t="s">
        <v>3316</v>
      </c>
      <c r="F1148" s="6" t="s">
        <v>4885</v>
      </c>
      <c r="G1148" s="6" t="str">
        <f>"3165321114887305"</f>
        <v>3165321114887305</v>
      </c>
      <c r="H1148" s="6">
        <v>3165321114887300</v>
      </c>
      <c r="I1148" s="6" t="s">
        <v>4886</v>
      </c>
      <c r="J1148" s="6" t="str">
        <f>"Stone Worker ST Greyish Blue / NewCrop"</f>
        <v>Stone Worker ST Greyish Blue / NewCrop</v>
      </c>
      <c r="K1148" s="6">
        <v>0</v>
      </c>
      <c r="L1148" s="6">
        <v>0</v>
      </c>
      <c r="M1148" s="6">
        <v>0</v>
      </c>
      <c r="N1148" s="6" t="str">
        <f>""</f>
        <v/>
      </c>
      <c r="O1148" s="6">
        <v>31906</v>
      </c>
      <c r="P1148" s="6" t="s">
        <v>4887</v>
      </c>
      <c r="R1148" s="6" t="s">
        <v>4840</v>
      </c>
      <c r="S1148" s="6" t="s">
        <v>4888</v>
      </c>
      <c r="T1148" s="6">
        <v>0</v>
      </c>
      <c r="U1148" s="6">
        <v>0</v>
      </c>
      <c r="V1148" s="6">
        <v>0</v>
      </c>
      <c r="W1148" s="6">
        <v>0</v>
      </c>
      <c r="X1148" s="6" t="s">
        <v>169</v>
      </c>
      <c r="Z1148" s="6" t="s">
        <v>170</v>
      </c>
      <c r="AA1148" s="6" t="s">
        <v>171</v>
      </c>
      <c r="AB1148" s="6">
        <v>0</v>
      </c>
      <c r="AC1148" s="6" t="str">
        <f>""</f>
        <v/>
      </c>
      <c r="AS1148" s="6">
        <v>0</v>
      </c>
      <c r="AT1148" s="6">
        <v>0</v>
      </c>
    </row>
    <row r="1149" spans="2:46">
      <c r="B1149" s="6" t="s">
        <v>4816</v>
      </c>
      <c r="D1149" s="6" t="s">
        <v>3316</v>
      </c>
      <c r="F1149" s="6" t="s">
        <v>4889</v>
      </c>
      <c r="G1149" s="6" t="str">
        <f>"3165321114887306"</f>
        <v>3165321114887306</v>
      </c>
      <c r="H1149" s="6">
        <v>3165321114887300</v>
      </c>
      <c r="I1149" s="6" t="s">
        <v>4886</v>
      </c>
      <c r="J1149" s="6" t="str">
        <f>"Stone Worker ST Greyish Blue / NewCrop"</f>
        <v>Stone Worker ST Greyish Blue / NewCrop</v>
      </c>
      <c r="K1149" s="6">
        <v>0</v>
      </c>
      <c r="L1149" s="6">
        <v>0</v>
      </c>
      <c r="M1149" s="6">
        <v>0</v>
      </c>
      <c r="N1149" s="6" t="str">
        <f>""</f>
        <v/>
      </c>
      <c r="O1149" s="6">
        <v>31894</v>
      </c>
      <c r="P1149" s="6" t="s">
        <v>4890</v>
      </c>
      <c r="R1149" s="6" t="s">
        <v>4891</v>
      </c>
      <c r="S1149" s="6" t="s">
        <v>4892</v>
      </c>
      <c r="T1149" s="6">
        <v>0</v>
      </c>
      <c r="U1149" s="6">
        <v>0</v>
      </c>
      <c r="V1149" s="6">
        <v>0</v>
      </c>
      <c r="W1149" s="6">
        <v>0</v>
      </c>
      <c r="X1149" s="6" t="s">
        <v>169</v>
      </c>
      <c r="Z1149" s="6" t="s">
        <v>170</v>
      </c>
      <c r="AA1149" s="6" t="s">
        <v>171</v>
      </c>
      <c r="AB1149" s="6">
        <v>0</v>
      </c>
      <c r="AC1149" s="6" t="str">
        <f>""</f>
        <v/>
      </c>
      <c r="AS1149" s="6">
        <v>0</v>
      </c>
      <c r="AT1149" s="6">
        <v>0</v>
      </c>
    </row>
    <row r="1150" spans="2:46">
      <c r="B1150" s="6" t="s">
        <v>4816</v>
      </c>
      <c r="D1150" s="6" t="s">
        <v>3316</v>
      </c>
      <c r="F1150" s="6" t="s">
        <v>4893</v>
      </c>
      <c r="G1150" s="6" t="str">
        <f>"3175321104233306"</f>
        <v>3175321104233306</v>
      </c>
      <c r="H1150" s="6">
        <v>3175321104233300</v>
      </c>
      <c r="I1150" s="6" t="s">
        <v>4894</v>
      </c>
      <c r="J1150" s="6" t="str">
        <f>"Cutted Master - Laser"</f>
        <v>Cutted Master - Laser</v>
      </c>
      <c r="K1150" s="6">
        <v>0</v>
      </c>
      <c r="L1150" s="6">
        <v>0</v>
      </c>
      <c r="M1150" s="6">
        <v>0</v>
      </c>
      <c r="N1150" s="6" t="str">
        <f>""</f>
        <v/>
      </c>
      <c r="O1150" s="6">
        <v>31892</v>
      </c>
      <c r="P1150" s="6" t="s">
        <v>4895</v>
      </c>
      <c r="R1150" s="6" t="s">
        <v>4896</v>
      </c>
      <c r="S1150" s="6" t="s">
        <v>4897</v>
      </c>
      <c r="T1150" s="6">
        <v>0</v>
      </c>
      <c r="U1150" s="6">
        <v>0</v>
      </c>
      <c r="V1150" s="6">
        <v>0</v>
      </c>
      <c r="W1150" s="6">
        <v>0</v>
      </c>
      <c r="X1150" s="6" t="s">
        <v>169</v>
      </c>
      <c r="Z1150" s="6" t="s">
        <v>170</v>
      </c>
      <c r="AA1150" s="6" t="s">
        <v>171</v>
      </c>
      <c r="AB1150" s="6">
        <v>0</v>
      </c>
      <c r="AC1150" s="6" t="str">
        <f>""</f>
        <v/>
      </c>
      <c r="AS1150" s="6">
        <v>0</v>
      </c>
      <c r="AT1150" s="6">
        <v>0</v>
      </c>
    </row>
    <row r="1151" spans="2:46">
      <c r="B1151" s="6" t="s">
        <v>4816</v>
      </c>
      <c r="D1151" s="6" t="s">
        <v>3316</v>
      </c>
      <c r="F1151" s="6" t="s">
        <v>4898</v>
      </c>
      <c r="G1151" s="6" t="str">
        <f>"3165321113299309"</f>
        <v>3165321113299309</v>
      </c>
      <c r="H1151" s="6">
        <v>3165321113299300</v>
      </c>
      <c r="I1151" s="6" t="s">
        <v>4899</v>
      </c>
      <c r="J1151" s="6" t="str">
        <f>"Raw Darkness Black / Newcrop"</f>
        <v>Raw Darkness Black / Newcrop</v>
      </c>
      <c r="K1151" s="6">
        <v>0</v>
      </c>
      <c r="L1151" s="6">
        <v>0</v>
      </c>
      <c r="M1151" s="6">
        <v>0</v>
      </c>
      <c r="N1151" s="6" t="str">
        <f>""</f>
        <v/>
      </c>
      <c r="O1151" s="6">
        <v>31897</v>
      </c>
      <c r="P1151" s="6" t="s">
        <v>4900</v>
      </c>
      <c r="R1151" s="6" t="s">
        <v>4901</v>
      </c>
      <c r="S1151" s="6" t="s">
        <v>4902</v>
      </c>
      <c r="T1151" s="6">
        <v>0</v>
      </c>
      <c r="U1151" s="6">
        <v>0</v>
      </c>
      <c r="V1151" s="6">
        <v>0</v>
      </c>
      <c r="W1151" s="6">
        <v>0</v>
      </c>
      <c r="X1151" s="6" t="s">
        <v>169</v>
      </c>
      <c r="Z1151" s="6" t="s">
        <v>170</v>
      </c>
      <c r="AA1151" s="6" t="s">
        <v>171</v>
      </c>
      <c r="AB1151" s="6">
        <v>0</v>
      </c>
      <c r="AC1151" s="6" t="str">
        <f>""</f>
        <v/>
      </c>
      <c r="AS1151" s="6">
        <v>0</v>
      </c>
      <c r="AT1151" s="6">
        <v>0</v>
      </c>
    </row>
    <row r="1152" spans="2:46">
      <c r="B1152" s="6" t="s">
        <v>4816</v>
      </c>
      <c r="D1152" s="6" t="s">
        <v>3316</v>
      </c>
      <c r="F1152" s="6" t="s">
        <v>4903</v>
      </c>
      <c r="G1152" s="6" t="str">
        <f>"3165321113299306"</f>
        <v>3165321113299306</v>
      </c>
      <c r="H1152" s="6">
        <v>3165321113299300</v>
      </c>
      <c r="I1152" s="6" t="s">
        <v>4899</v>
      </c>
      <c r="J1152" s="6" t="str">
        <f>"Raw Darkness Black / Newcrop"</f>
        <v>Raw Darkness Black / Newcrop</v>
      </c>
      <c r="K1152" s="6">
        <v>0</v>
      </c>
      <c r="L1152" s="6">
        <v>0</v>
      </c>
      <c r="M1152" s="6">
        <v>0</v>
      </c>
      <c r="N1152" s="6" t="str">
        <f>""</f>
        <v/>
      </c>
      <c r="O1152" s="6">
        <v>31888</v>
      </c>
      <c r="P1152" s="6" t="s">
        <v>4904</v>
      </c>
      <c r="R1152" s="6" t="s">
        <v>4905</v>
      </c>
      <c r="S1152" s="6" t="s">
        <v>4906</v>
      </c>
      <c r="T1152" s="6">
        <v>0</v>
      </c>
      <c r="U1152" s="6">
        <v>0</v>
      </c>
      <c r="V1152" s="6">
        <v>0</v>
      </c>
      <c r="W1152" s="6">
        <v>0</v>
      </c>
      <c r="X1152" s="6" t="s">
        <v>169</v>
      </c>
      <c r="Z1152" s="6" t="s">
        <v>170</v>
      </c>
      <c r="AA1152" s="6" t="s">
        <v>171</v>
      </c>
      <c r="AB1152" s="6">
        <v>0</v>
      </c>
      <c r="AC1152" s="6" t="str">
        <f>""</f>
        <v/>
      </c>
      <c r="AS1152" s="6">
        <v>0</v>
      </c>
      <c r="AT1152" s="6">
        <v>0</v>
      </c>
    </row>
    <row r="1153" spans="2:46">
      <c r="B1153" s="6" t="s">
        <v>4816</v>
      </c>
      <c r="D1153" s="6" t="s">
        <v>3316</v>
      </c>
      <c r="F1153" s="6" t="s">
        <v>4907</v>
      </c>
      <c r="G1153" s="6" t="str">
        <f>"3165324100224306"</f>
        <v>3165324100224306</v>
      </c>
      <c r="H1153" s="6">
        <v>3165324100224300</v>
      </c>
      <c r="I1153" s="6" t="s">
        <v>4908</v>
      </c>
      <c r="J1153" s="6" t="str">
        <f>"Mine worker 16SS Light Blue / NewCrop"</f>
        <v>Mine worker 16SS Light Blue / NewCrop</v>
      </c>
      <c r="K1153" s="6">
        <v>0</v>
      </c>
      <c r="L1153" s="6">
        <v>0</v>
      </c>
      <c r="M1153" s="6">
        <v>0</v>
      </c>
      <c r="N1153" s="6" t="str">
        <f>""</f>
        <v/>
      </c>
      <c r="O1153" s="6">
        <v>31895</v>
      </c>
      <c r="P1153" s="6" t="s">
        <v>4909</v>
      </c>
      <c r="R1153" s="6" t="s">
        <v>4831</v>
      </c>
      <c r="S1153" s="6" t="s">
        <v>4910</v>
      </c>
      <c r="T1153" s="6">
        <v>0</v>
      </c>
      <c r="U1153" s="6">
        <v>0</v>
      </c>
      <c r="V1153" s="6">
        <v>0</v>
      </c>
      <c r="W1153" s="6">
        <v>0</v>
      </c>
      <c r="X1153" s="6" t="s">
        <v>169</v>
      </c>
      <c r="Z1153" s="6" t="s">
        <v>170</v>
      </c>
      <c r="AA1153" s="6" t="s">
        <v>171</v>
      </c>
      <c r="AB1153" s="6">
        <v>0</v>
      </c>
      <c r="AC1153" s="6" t="str">
        <f>""</f>
        <v/>
      </c>
      <c r="AS1153" s="6">
        <v>0</v>
      </c>
      <c r="AT1153" s="6">
        <v>0</v>
      </c>
    </row>
    <row r="1154" spans="2:46">
      <c r="B1154" s="6" t="s">
        <v>4816</v>
      </c>
      <c r="D1154" s="6" t="s">
        <v>3316</v>
      </c>
      <c r="F1154" s="6" t="s">
        <v>4911</v>
      </c>
      <c r="G1154" s="6" t="str">
        <f>"3165324100224308"</f>
        <v>3165324100224308</v>
      </c>
      <c r="H1154" s="6">
        <v>3165324100224300</v>
      </c>
      <c r="I1154" s="6" t="s">
        <v>4908</v>
      </c>
      <c r="J1154" s="6" t="str">
        <f>"Mine worker 16SS Light Blue / NewCrop"</f>
        <v>Mine worker 16SS Light Blue / NewCrop</v>
      </c>
      <c r="K1154" s="6">
        <v>0</v>
      </c>
      <c r="L1154" s="6">
        <v>0</v>
      </c>
      <c r="M1154" s="6">
        <v>0</v>
      </c>
      <c r="N1154" s="6" t="str">
        <f>""</f>
        <v/>
      </c>
      <c r="O1154" s="6">
        <v>31890</v>
      </c>
      <c r="P1154" s="6" t="s">
        <v>4912</v>
      </c>
      <c r="R1154" s="6" t="s">
        <v>4913</v>
      </c>
      <c r="S1154" s="6" t="s">
        <v>4914</v>
      </c>
      <c r="T1154" s="6">
        <v>0</v>
      </c>
      <c r="U1154" s="6">
        <v>0</v>
      </c>
      <c r="V1154" s="6">
        <v>0</v>
      </c>
      <c r="W1154" s="6">
        <v>0</v>
      </c>
      <c r="X1154" s="6" t="s">
        <v>169</v>
      </c>
      <c r="Z1154" s="6" t="s">
        <v>170</v>
      </c>
      <c r="AA1154" s="6" t="s">
        <v>171</v>
      </c>
      <c r="AB1154" s="6">
        <v>0</v>
      </c>
      <c r="AC1154" s="6" t="str">
        <f>""</f>
        <v/>
      </c>
      <c r="AS1154" s="6">
        <v>0</v>
      </c>
      <c r="AT1154" s="6">
        <v>0</v>
      </c>
    </row>
    <row r="1155" spans="2:46">
      <c r="B1155" s="6" t="s">
        <v>4816</v>
      </c>
      <c r="D1155" s="6" t="s">
        <v>3316</v>
      </c>
      <c r="F1155" s="6" t="s">
        <v>4915</v>
      </c>
      <c r="G1155" s="6" t="str">
        <f>"3165324100224309"</f>
        <v>3165324100224309</v>
      </c>
      <c r="H1155" s="6">
        <v>3165324100224300</v>
      </c>
      <c r="I1155" s="6" t="s">
        <v>4908</v>
      </c>
      <c r="J1155" s="6" t="str">
        <f>"Mine worker 16SS Light Blue / NewCrop"</f>
        <v>Mine worker 16SS Light Blue / NewCrop</v>
      </c>
      <c r="K1155" s="6">
        <v>0</v>
      </c>
      <c r="L1155" s="6">
        <v>0</v>
      </c>
      <c r="M1155" s="6">
        <v>0</v>
      </c>
      <c r="N1155" s="6" t="str">
        <f>""</f>
        <v/>
      </c>
      <c r="O1155" s="6">
        <v>31884</v>
      </c>
      <c r="P1155" s="6" t="s">
        <v>4916</v>
      </c>
      <c r="R1155" s="6" t="s">
        <v>4917</v>
      </c>
      <c r="S1155" s="6" t="s">
        <v>4918</v>
      </c>
      <c r="T1155" s="6">
        <v>0</v>
      </c>
      <c r="U1155" s="6">
        <v>0</v>
      </c>
      <c r="V1155" s="6">
        <v>0</v>
      </c>
      <c r="W1155" s="6">
        <v>0</v>
      </c>
      <c r="X1155" s="6" t="s">
        <v>169</v>
      </c>
      <c r="Z1155" s="6" t="s">
        <v>170</v>
      </c>
      <c r="AA1155" s="6" t="s">
        <v>171</v>
      </c>
      <c r="AB1155" s="6">
        <v>0</v>
      </c>
      <c r="AC1155" s="6" t="str">
        <f>""</f>
        <v/>
      </c>
      <c r="AS1155" s="6">
        <v>0</v>
      </c>
      <c r="AT1155" s="6">
        <v>0</v>
      </c>
    </row>
    <row r="1156" spans="2:46">
      <c r="B1156" s="6" t="s">
        <v>4816</v>
      </c>
      <c r="D1156" s="6" t="s">
        <v>3316</v>
      </c>
      <c r="F1156" s="6" t="s">
        <v>4919</v>
      </c>
      <c r="G1156" s="6" t="str">
        <f>"3165324100224305"</f>
        <v>3165324100224305</v>
      </c>
      <c r="H1156" s="6">
        <v>3165324100224300</v>
      </c>
      <c r="I1156" s="6" t="s">
        <v>4908</v>
      </c>
      <c r="J1156" s="6" t="str">
        <f>"Mine worker 16SS Light Blue / NewCrop"</f>
        <v>Mine worker 16SS Light Blue / NewCrop</v>
      </c>
      <c r="K1156" s="6">
        <v>0</v>
      </c>
      <c r="L1156" s="6">
        <v>0</v>
      </c>
      <c r="M1156" s="6">
        <v>0</v>
      </c>
      <c r="N1156" s="6" t="str">
        <f>""</f>
        <v/>
      </c>
      <c r="O1156" s="6">
        <v>31883</v>
      </c>
      <c r="P1156" s="6" t="s">
        <v>4920</v>
      </c>
      <c r="R1156" s="6" t="s">
        <v>4921</v>
      </c>
      <c r="S1156" s="6" t="s">
        <v>4922</v>
      </c>
      <c r="T1156" s="6">
        <v>0</v>
      </c>
      <c r="U1156" s="6">
        <v>0</v>
      </c>
      <c r="V1156" s="6">
        <v>0</v>
      </c>
      <c r="W1156" s="6">
        <v>0</v>
      </c>
      <c r="X1156" s="6" t="s">
        <v>169</v>
      </c>
      <c r="Z1156" s="6" t="s">
        <v>170</v>
      </c>
      <c r="AA1156" s="6" t="s">
        <v>171</v>
      </c>
      <c r="AB1156" s="6">
        <v>0</v>
      </c>
      <c r="AC1156" s="6" t="str">
        <f>""</f>
        <v/>
      </c>
      <c r="AS1156" s="6">
        <v>0</v>
      </c>
      <c r="AT1156" s="6">
        <v>0</v>
      </c>
    </row>
    <row r="1157" spans="2:46">
      <c r="B1157" s="6" t="s">
        <v>4816</v>
      </c>
      <c r="D1157" s="6" t="s">
        <v>3316</v>
      </c>
      <c r="F1157" s="6" t="s">
        <v>4923</v>
      </c>
      <c r="G1157" s="6" t="str">
        <f>"3165324100829306"</f>
        <v>3165324100829306</v>
      </c>
      <c r="H1157" s="6">
        <v>3165324100829300</v>
      </c>
      <c r="I1157" s="6" t="s">
        <v>4924</v>
      </c>
      <c r="J1157" s="6" t="str">
        <f>"Incredible Sultan Jeans Indigo/ Newslim"</f>
        <v>Incredible Sultan Jeans Indigo/ Newslim</v>
      </c>
      <c r="K1157" s="6">
        <v>0</v>
      </c>
      <c r="L1157" s="6">
        <v>0</v>
      </c>
      <c r="M1157" s="6">
        <v>0</v>
      </c>
      <c r="N1157" s="6" t="str">
        <f>""</f>
        <v/>
      </c>
      <c r="O1157" s="6">
        <v>31927</v>
      </c>
      <c r="P1157" s="6" t="s">
        <v>4925</v>
      </c>
      <c r="R1157" s="6" t="s">
        <v>4926</v>
      </c>
      <c r="S1157" s="6" t="s">
        <v>4927</v>
      </c>
      <c r="T1157" s="6">
        <v>0</v>
      </c>
      <c r="U1157" s="6">
        <v>0</v>
      </c>
      <c r="V1157" s="6">
        <v>0</v>
      </c>
      <c r="W1157" s="6">
        <v>0</v>
      </c>
      <c r="X1157" s="6" t="s">
        <v>169</v>
      </c>
      <c r="Z1157" s="6" t="s">
        <v>170</v>
      </c>
      <c r="AA1157" s="6" t="s">
        <v>171</v>
      </c>
      <c r="AB1157" s="6">
        <v>0</v>
      </c>
      <c r="AC1157" s="6" t="str">
        <f>""</f>
        <v/>
      </c>
      <c r="AS1157" s="6">
        <v>0</v>
      </c>
      <c r="AT1157" s="6">
        <v>0</v>
      </c>
    </row>
    <row r="1158" spans="2:46">
      <c r="B1158" s="6" t="s">
        <v>4816</v>
      </c>
      <c r="D1158" s="6" t="s">
        <v>3316</v>
      </c>
      <c r="F1158" s="6" t="s">
        <v>4928</v>
      </c>
      <c r="G1158" s="6" t="str">
        <f>"3165324100829305"</f>
        <v>3165324100829305</v>
      </c>
      <c r="H1158" s="6">
        <v>3165324100829300</v>
      </c>
      <c r="I1158" s="6" t="s">
        <v>4924</v>
      </c>
      <c r="J1158" s="6" t="str">
        <f>"Incredible Sultan Jeans Indigo/ Newslim"</f>
        <v>Incredible Sultan Jeans Indigo/ Newslim</v>
      </c>
      <c r="K1158" s="6">
        <v>0</v>
      </c>
      <c r="L1158" s="6">
        <v>0</v>
      </c>
      <c r="M1158" s="6">
        <v>0</v>
      </c>
      <c r="N1158" s="6" t="str">
        <f>""</f>
        <v/>
      </c>
      <c r="O1158" s="6">
        <v>31907</v>
      </c>
      <c r="P1158" s="6" t="s">
        <v>4929</v>
      </c>
      <c r="R1158" s="6" t="s">
        <v>4930</v>
      </c>
      <c r="S1158" s="6" t="s">
        <v>4931</v>
      </c>
      <c r="T1158" s="6">
        <v>0</v>
      </c>
      <c r="U1158" s="6">
        <v>0</v>
      </c>
      <c r="V1158" s="6">
        <v>0</v>
      </c>
      <c r="W1158" s="6">
        <v>0</v>
      </c>
      <c r="X1158" s="6" t="s">
        <v>169</v>
      </c>
      <c r="Z1158" s="6" t="s">
        <v>170</v>
      </c>
      <c r="AA1158" s="6" t="s">
        <v>171</v>
      </c>
      <c r="AB1158" s="6">
        <v>0</v>
      </c>
      <c r="AC1158" s="6" t="str">
        <f>""</f>
        <v/>
      </c>
      <c r="AS1158" s="6">
        <v>0</v>
      </c>
      <c r="AT1158" s="6">
        <v>0</v>
      </c>
    </row>
    <row r="1159" spans="2:46">
      <c r="B1159" s="6" t="s">
        <v>4816</v>
      </c>
      <c r="D1159" s="6" t="s">
        <v>3316</v>
      </c>
      <c r="F1159" s="6" t="s">
        <v>4932</v>
      </c>
      <c r="G1159" s="6" t="str">
        <f>"3165324100829311"</f>
        <v>3165324100829311</v>
      </c>
      <c r="H1159" s="6">
        <v>3165324100829310</v>
      </c>
      <c r="I1159" s="6" t="s">
        <v>4924</v>
      </c>
      <c r="J1159" s="6" t="str">
        <f>"Incredible Sultan Jeans Indigo/ Newslim"</f>
        <v>Incredible Sultan Jeans Indigo/ Newslim</v>
      </c>
      <c r="K1159" s="6">
        <v>0</v>
      </c>
      <c r="L1159" s="6">
        <v>0</v>
      </c>
      <c r="M1159" s="6">
        <v>0</v>
      </c>
      <c r="N1159" s="6" t="str">
        <f>""</f>
        <v/>
      </c>
      <c r="O1159" s="6">
        <v>31881</v>
      </c>
      <c r="P1159" s="6" t="s">
        <v>4933</v>
      </c>
      <c r="R1159" s="6" t="s">
        <v>4934</v>
      </c>
      <c r="S1159" s="6" t="s">
        <v>4935</v>
      </c>
      <c r="T1159" s="6">
        <v>0</v>
      </c>
      <c r="U1159" s="6">
        <v>0</v>
      </c>
      <c r="V1159" s="6">
        <v>0</v>
      </c>
      <c r="W1159" s="6">
        <v>0</v>
      </c>
      <c r="X1159" s="6" t="s">
        <v>169</v>
      </c>
      <c r="Z1159" s="6" t="s">
        <v>170</v>
      </c>
      <c r="AA1159" s="6" t="s">
        <v>171</v>
      </c>
      <c r="AB1159" s="6">
        <v>0</v>
      </c>
      <c r="AC1159" s="6" t="str">
        <f>""</f>
        <v/>
      </c>
      <c r="AS1159" s="6">
        <v>0</v>
      </c>
      <c r="AT1159" s="6">
        <v>0</v>
      </c>
    </row>
    <row r="1160" spans="2:46">
      <c r="B1160" s="6" t="s">
        <v>4816</v>
      </c>
      <c r="D1160" s="6" t="s">
        <v>3316</v>
      </c>
      <c r="F1160" s="6" t="s">
        <v>4936</v>
      </c>
      <c r="G1160" s="6" t="str">
        <f>"3165324100829309"</f>
        <v>3165324100829309</v>
      </c>
      <c r="H1160" s="6">
        <v>3165324100829300</v>
      </c>
      <c r="I1160" s="6" t="s">
        <v>4924</v>
      </c>
      <c r="J1160" s="6" t="str">
        <f>"Incredible Sultan Jeans Indigo/ Newslim"</f>
        <v>Incredible Sultan Jeans Indigo/ Newslim</v>
      </c>
      <c r="K1160" s="6">
        <v>0</v>
      </c>
      <c r="L1160" s="6">
        <v>0</v>
      </c>
      <c r="M1160" s="6">
        <v>0</v>
      </c>
      <c r="N1160" s="6" t="str">
        <f>""</f>
        <v/>
      </c>
      <c r="O1160" s="6">
        <v>31880</v>
      </c>
      <c r="P1160" s="6" t="s">
        <v>4937</v>
      </c>
      <c r="R1160" s="6" t="s">
        <v>4938</v>
      </c>
      <c r="S1160" s="6" t="s">
        <v>4939</v>
      </c>
      <c r="T1160" s="6">
        <v>0</v>
      </c>
      <c r="U1160" s="6">
        <v>0</v>
      </c>
      <c r="V1160" s="6">
        <v>0</v>
      </c>
      <c r="W1160" s="6">
        <v>0</v>
      </c>
      <c r="X1160" s="6" t="s">
        <v>169</v>
      </c>
      <c r="Z1160" s="6" t="s">
        <v>170</v>
      </c>
      <c r="AA1160" s="6" t="s">
        <v>171</v>
      </c>
      <c r="AB1160" s="6">
        <v>0</v>
      </c>
      <c r="AC1160" s="6" t="str">
        <f>""</f>
        <v/>
      </c>
      <c r="AS1160" s="6">
        <v>0</v>
      </c>
      <c r="AT1160" s="6">
        <v>0</v>
      </c>
    </row>
    <row r="1161" spans="2:46">
      <c r="B1161" s="6" t="s">
        <v>4816</v>
      </c>
      <c r="D1161" s="6" t="s">
        <v>3316</v>
      </c>
      <c r="F1161" s="6" t="s">
        <v>4940</v>
      </c>
      <c r="G1161" s="6" t="str">
        <f>"3165312108133304"</f>
        <v>3165312108133304</v>
      </c>
      <c r="H1161" s="6">
        <v>3165312108133300</v>
      </c>
      <c r="I1161" s="6" t="s">
        <v>4941</v>
      </c>
      <c r="J1161" s="6" t="str">
        <f>"[W]Medium Columbia Medium Blue / Skinny"</f>
        <v>[W]Medium Columbia Medium Blue / Skinny</v>
      </c>
      <c r="K1161" s="6">
        <v>0</v>
      </c>
      <c r="L1161" s="6">
        <v>0</v>
      </c>
      <c r="M1161" s="6">
        <v>0</v>
      </c>
      <c r="N1161" s="6" t="str">
        <f>""</f>
        <v/>
      </c>
      <c r="O1161" s="6">
        <v>31909</v>
      </c>
      <c r="P1161" s="6" t="s">
        <v>4942</v>
      </c>
      <c r="R1161" s="6" t="s">
        <v>4943</v>
      </c>
      <c r="S1161" s="6" t="s">
        <v>4944</v>
      </c>
      <c r="T1161" s="6">
        <v>0</v>
      </c>
      <c r="U1161" s="6">
        <v>0</v>
      </c>
      <c r="V1161" s="6">
        <v>0</v>
      </c>
      <c r="W1161" s="6">
        <v>0</v>
      </c>
      <c r="X1161" s="6" t="s">
        <v>169</v>
      </c>
      <c r="Z1161" s="6" t="s">
        <v>170</v>
      </c>
      <c r="AA1161" s="6" t="s">
        <v>171</v>
      </c>
      <c r="AB1161" s="6">
        <v>0</v>
      </c>
      <c r="AC1161" s="6" t="str">
        <f>""</f>
        <v/>
      </c>
      <c r="AS1161" s="6">
        <v>0</v>
      </c>
      <c r="AT1161" s="6">
        <v>0</v>
      </c>
    </row>
    <row r="1162" spans="2:46">
      <c r="B1162" s="6" t="s">
        <v>4816</v>
      </c>
      <c r="D1162" s="6" t="s">
        <v>3316</v>
      </c>
      <c r="F1162" s="6" t="s">
        <v>4945</v>
      </c>
      <c r="G1162" s="6" t="str">
        <f>"3165312108133303"</f>
        <v>3165312108133303</v>
      </c>
      <c r="H1162" s="6">
        <v>3165312108133300</v>
      </c>
      <c r="I1162" s="6" t="s">
        <v>4941</v>
      </c>
      <c r="J1162" s="6" t="str">
        <f>"[W]Medium Columbia Medium Blue / Skinny"</f>
        <v>[W]Medium Columbia Medium Blue / Skinny</v>
      </c>
      <c r="K1162" s="6">
        <v>0</v>
      </c>
      <c r="L1162" s="6">
        <v>0</v>
      </c>
      <c r="M1162" s="6">
        <v>0</v>
      </c>
      <c r="N1162" s="6" t="str">
        <f>""</f>
        <v/>
      </c>
      <c r="O1162" s="6">
        <v>31877</v>
      </c>
      <c r="P1162" s="6" t="s">
        <v>4946</v>
      </c>
      <c r="R1162" s="6" t="s">
        <v>4947</v>
      </c>
      <c r="S1162" s="6" t="s">
        <v>4948</v>
      </c>
      <c r="T1162" s="6">
        <v>0</v>
      </c>
      <c r="U1162" s="6">
        <v>0</v>
      </c>
      <c r="V1162" s="6">
        <v>0</v>
      </c>
      <c r="W1162" s="6">
        <v>0</v>
      </c>
      <c r="X1162" s="6" t="s">
        <v>169</v>
      </c>
      <c r="Z1162" s="6" t="s">
        <v>170</v>
      </c>
      <c r="AA1162" s="6" t="s">
        <v>171</v>
      </c>
      <c r="AB1162" s="6">
        <v>0</v>
      </c>
      <c r="AC1162" s="6" t="str">
        <f>""</f>
        <v/>
      </c>
      <c r="AS1162" s="6">
        <v>0</v>
      </c>
      <c r="AT1162" s="6">
        <v>0</v>
      </c>
    </row>
    <row r="1163" spans="2:46">
      <c r="B1163" s="6" t="s">
        <v>4816</v>
      </c>
      <c r="D1163" s="6" t="s">
        <v>3316</v>
      </c>
      <c r="F1163" s="6" t="s">
        <v>4949</v>
      </c>
      <c r="G1163" s="6" t="str">
        <f>"3162321101633205"</f>
        <v>3162321101633205</v>
      </c>
      <c r="H1163" s="6">
        <v>3162321101633200</v>
      </c>
      <c r="I1163" s="6" t="s">
        <v>4950</v>
      </c>
      <c r="J1163" s="6" t="str">
        <f>"Bazan Destroyed - Medium Blue / Slim Short"</f>
        <v>Bazan Destroyed - Medium Blue / Slim Short</v>
      </c>
      <c r="K1163" s="6">
        <v>0</v>
      </c>
      <c r="L1163" s="6">
        <v>0</v>
      </c>
      <c r="M1163" s="6">
        <v>0</v>
      </c>
      <c r="N1163" s="6" t="str">
        <f>""</f>
        <v/>
      </c>
      <c r="O1163" s="6">
        <v>31885</v>
      </c>
      <c r="P1163" s="6" t="s">
        <v>4951</v>
      </c>
      <c r="R1163" s="6" t="s">
        <v>4952</v>
      </c>
      <c r="S1163" s="6" t="s">
        <v>4953</v>
      </c>
      <c r="T1163" s="6">
        <v>0</v>
      </c>
      <c r="U1163" s="6">
        <v>0</v>
      </c>
      <c r="V1163" s="6">
        <v>0</v>
      </c>
      <c r="W1163" s="6">
        <v>0</v>
      </c>
      <c r="X1163" s="6" t="s">
        <v>169</v>
      </c>
      <c r="Z1163" s="6" t="s">
        <v>170</v>
      </c>
      <c r="AA1163" s="6" t="s">
        <v>171</v>
      </c>
      <c r="AB1163" s="6">
        <v>0</v>
      </c>
      <c r="AC1163" s="6" t="str">
        <f>""</f>
        <v/>
      </c>
      <c r="AS1163" s="6">
        <v>0</v>
      </c>
      <c r="AT1163" s="6">
        <v>0</v>
      </c>
    </row>
    <row r="1164" spans="2:46">
      <c r="B1164" s="6" t="s">
        <v>4816</v>
      </c>
      <c r="D1164" s="6" t="s">
        <v>3316</v>
      </c>
      <c r="F1164" s="6" t="s">
        <v>4954</v>
      </c>
      <c r="G1164" s="6" t="str">
        <f>"3162321101633206"</f>
        <v>3162321101633206</v>
      </c>
      <c r="H1164" s="6">
        <v>3162321101633200</v>
      </c>
      <c r="I1164" s="6" t="s">
        <v>4950</v>
      </c>
      <c r="J1164" s="6" t="str">
        <f>"Bazan Destroyed - Medium Blue / Slim Short"</f>
        <v>Bazan Destroyed - Medium Blue / Slim Short</v>
      </c>
      <c r="K1164" s="6">
        <v>0</v>
      </c>
      <c r="L1164" s="6">
        <v>0</v>
      </c>
      <c r="M1164" s="6">
        <v>0</v>
      </c>
      <c r="N1164" s="6" t="str">
        <f>""</f>
        <v/>
      </c>
      <c r="O1164" s="6">
        <v>31878</v>
      </c>
      <c r="P1164" s="6" t="s">
        <v>4955</v>
      </c>
      <c r="R1164" s="6" t="s">
        <v>4956</v>
      </c>
      <c r="S1164" s="6" t="s">
        <v>4957</v>
      </c>
      <c r="T1164" s="6">
        <v>0</v>
      </c>
      <c r="U1164" s="6">
        <v>0</v>
      </c>
      <c r="V1164" s="6">
        <v>0</v>
      </c>
      <c r="W1164" s="6">
        <v>0</v>
      </c>
      <c r="X1164" s="6" t="s">
        <v>169</v>
      </c>
      <c r="Z1164" s="6" t="s">
        <v>170</v>
      </c>
      <c r="AA1164" s="6" t="s">
        <v>171</v>
      </c>
      <c r="AB1164" s="6">
        <v>0</v>
      </c>
      <c r="AC1164" s="6" t="str">
        <f>""</f>
        <v/>
      </c>
      <c r="AS1164" s="6">
        <v>0</v>
      </c>
      <c r="AT1164" s="6">
        <v>0</v>
      </c>
    </row>
    <row r="1165" spans="2:46">
      <c r="B1165" s="6" t="s">
        <v>4816</v>
      </c>
      <c r="D1165" s="6" t="s">
        <v>3316</v>
      </c>
      <c r="F1165" s="6" t="s">
        <v>4958</v>
      </c>
      <c r="G1165" s="6" t="str">
        <f>"3162321101633204"</f>
        <v>3162321101633204</v>
      </c>
      <c r="H1165" s="6">
        <v>3162321101633200</v>
      </c>
      <c r="I1165" s="6" t="s">
        <v>4950</v>
      </c>
      <c r="J1165" s="6" t="str">
        <f>"Bazan Destroyed - Medium Blue / Slim Short"</f>
        <v>Bazan Destroyed - Medium Blue / Slim Short</v>
      </c>
      <c r="K1165" s="6">
        <v>0</v>
      </c>
      <c r="L1165" s="6">
        <v>0</v>
      </c>
      <c r="M1165" s="6">
        <v>0</v>
      </c>
      <c r="N1165" s="6" t="str">
        <f>""</f>
        <v/>
      </c>
      <c r="O1165" s="6">
        <v>31875</v>
      </c>
      <c r="P1165" s="6" t="s">
        <v>4959</v>
      </c>
      <c r="R1165" s="6" t="s">
        <v>1533</v>
      </c>
      <c r="S1165" s="6" t="s">
        <v>4960</v>
      </c>
      <c r="T1165" s="6">
        <v>0</v>
      </c>
      <c r="U1165" s="6">
        <v>0</v>
      </c>
      <c r="V1165" s="6">
        <v>0</v>
      </c>
      <c r="W1165" s="6">
        <v>0</v>
      </c>
      <c r="X1165" s="6" t="s">
        <v>169</v>
      </c>
      <c r="Z1165" s="6" t="s">
        <v>170</v>
      </c>
      <c r="AA1165" s="6" t="s">
        <v>171</v>
      </c>
      <c r="AB1165" s="6">
        <v>0</v>
      </c>
      <c r="AC1165" s="6" t="str">
        <f>""</f>
        <v/>
      </c>
      <c r="AS1165" s="6">
        <v>0</v>
      </c>
      <c r="AT1165" s="6">
        <v>0</v>
      </c>
    </row>
    <row r="1166" spans="2:46">
      <c r="B1166" s="6" t="s">
        <v>4816</v>
      </c>
      <c r="D1166" s="6" t="s">
        <v>3316</v>
      </c>
      <c r="F1166" s="6" t="s">
        <v>4961</v>
      </c>
      <c r="G1166" s="6" t="str">
        <f>"3175321100829308"</f>
        <v>3175321100829308</v>
      </c>
      <c r="H1166" s="6">
        <v>3175321100829300</v>
      </c>
      <c r="I1166" s="6" t="s">
        <v>4962</v>
      </c>
      <c r="J1166" s="6" t="str">
        <f>"ROLL-UP SELVEDGE / SLACKS"</f>
        <v>ROLL-UP SELVEDGE / SLACKS</v>
      </c>
      <c r="K1166" s="6">
        <v>0</v>
      </c>
      <c r="L1166" s="6">
        <v>0</v>
      </c>
      <c r="M1166" s="6">
        <v>0</v>
      </c>
      <c r="N1166" s="6" t="str">
        <f>""</f>
        <v/>
      </c>
      <c r="O1166" s="6">
        <v>31871</v>
      </c>
      <c r="P1166" s="6" t="s">
        <v>4963</v>
      </c>
      <c r="R1166" s="6" t="s">
        <v>4964</v>
      </c>
      <c r="S1166" s="6" t="s">
        <v>4965</v>
      </c>
      <c r="T1166" s="6">
        <v>0</v>
      </c>
      <c r="U1166" s="6">
        <v>0</v>
      </c>
      <c r="V1166" s="6">
        <v>0</v>
      </c>
      <c r="W1166" s="6">
        <v>0</v>
      </c>
      <c r="X1166" s="6" t="s">
        <v>169</v>
      </c>
      <c r="Z1166" s="6" t="s">
        <v>170</v>
      </c>
      <c r="AA1166" s="6" t="s">
        <v>171</v>
      </c>
      <c r="AB1166" s="6">
        <v>0</v>
      </c>
      <c r="AC1166" s="6" t="str">
        <f>""</f>
        <v/>
      </c>
      <c r="AS1166" s="6">
        <v>0</v>
      </c>
      <c r="AT1166" s="6">
        <v>0</v>
      </c>
    </row>
    <row r="1167" spans="2:46">
      <c r="B1167" s="6" t="s">
        <v>4816</v>
      </c>
      <c r="D1167" s="6" t="s">
        <v>3316</v>
      </c>
      <c r="F1167" s="6" t="s">
        <v>4966</v>
      </c>
      <c r="G1167" s="6" t="str">
        <f>"3162321101633203"</f>
        <v>3162321101633203</v>
      </c>
      <c r="H1167" s="6">
        <v>3162321101633200</v>
      </c>
      <c r="I1167" s="6" t="s">
        <v>4967</v>
      </c>
      <c r="J1167" s="6" t="str">
        <f>"1FSPBZDLHMB_S"</f>
        <v>1FSPBZDLHMB_S</v>
      </c>
      <c r="K1167" s="6">
        <v>0</v>
      </c>
      <c r="L1167" s="6">
        <v>0</v>
      </c>
      <c r="M1167" s="6">
        <v>0</v>
      </c>
      <c r="N1167" s="6" t="str">
        <f>""</f>
        <v/>
      </c>
      <c r="O1167" s="6">
        <v>31866</v>
      </c>
      <c r="P1167" s="6" t="s">
        <v>4967</v>
      </c>
      <c r="R1167" s="6" t="s">
        <v>4968</v>
      </c>
      <c r="S1167" s="6" t="s">
        <v>4969</v>
      </c>
      <c r="T1167" s="6">
        <v>0</v>
      </c>
      <c r="U1167" s="6">
        <v>0</v>
      </c>
      <c r="V1167" s="6">
        <v>0</v>
      </c>
      <c r="W1167" s="6">
        <v>0</v>
      </c>
      <c r="X1167" s="6" t="s">
        <v>169</v>
      </c>
      <c r="Z1167" s="6" t="s">
        <v>170</v>
      </c>
      <c r="AA1167" s="6" t="s">
        <v>171</v>
      </c>
      <c r="AB1167" s="6">
        <v>0</v>
      </c>
      <c r="AC1167" s="6" t="str">
        <f>""</f>
        <v/>
      </c>
      <c r="AS1167" s="6">
        <v>0</v>
      </c>
      <c r="AT1167" s="6">
        <v>0</v>
      </c>
    </row>
    <row r="1168" spans="2:46">
      <c r="B1168" s="6" t="s">
        <v>4816</v>
      </c>
      <c r="D1168" s="6" t="s">
        <v>3316</v>
      </c>
      <c r="F1168" s="6" t="s">
        <v>4970</v>
      </c>
      <c r="G1168" s="6" t="str">
        <f>"3175321101299308"</f>
        <v>3175321101299308</v>
      </c>
      <c r="H1168" s="6">
        <v>3175321101299300</v>
      </c>
      <c r="I1168" s="6" t="s">
        <v>4971</v>
      </c>
      <c r="J1168" s="6" t="str">
        <f>"Black Knife Recall Black / Newcrop"</f>
        <v>Black Knife Recall Black / Newcrop</v>
      </c>
      <c r="K1168" s="6">
        <v>0</v>
      </c>
      <c r="L1168" s="6">
        <v>0</v>
      </c>
      <c r="M1168" s="6">
        <v>0</v>
      </c>
      <c r="N1168" s="6" t="str">
        <f>""</f>
        <v/>
      </c>
      <c r="O1168" s="6">
        <v>31923</v>
      </c>
      <c r="P1168" s="6" t="s">
        <v>4972</v>
      </c>
      <c r="R1168" s="6" t="s">
        <v>4853</v>
      </c>
      <c r="S1168" s="6" t="s">
        <v>4973</v>
      </c>
      <c r="T1168" s="6">
        <v>0</v>
      </c>
      <c r="U1168" s="6">
        <v>0</v>
      </c>
      <c r="V1168" s="6">
        <v>0</v>
      </c>
      <c r="W1168" s="6">
        <v>0</v>
      </c>
      <c r="X1168" s="6" t="s">
        <v>169</v>
      </c>
      <c r="Z1168" s="6" t="s">
        <v>170</v>
      </c>
      <c r="AA1168" s="6" t="s">
        <v>171</v>
      </c>
      <c r="AB1168" s="6">
        <v>0</v>
      </c>
      <c r="AC1168" s="6" t="str">
        <f>""</f>
        <v/>
      </c>
      <c r="AS1168" s="6">
        <v>0</v>
      </c>
      <c r="AT1168" s="6">
        <v>0</v>
      </c>
    </row>
    <row r="1169" spans="2:46">
      <c r="B1169" s="6" t="s">
        <v>4816</v>
      </c>
      <c r="D1169" s="6" t="s">
        <v>3316</v>
      </c>
      <c r="F1169" s="6" t="s">
        <v>4974</v>
      </c>
      <c r="G1169" s="6" t="str">
        <f>"3175321101299309"</f>
        <v>3175321101299309</v>
      </c>
      <c r="H1169" s="6">
        <v>3175321101299300</v>
      </c>
      <c r="I1169" s="6" t="s">
        <v>4971</v>
      </c>
      <c r="J1169" s="6" t="str">
        <f>"Black Knife Recall Black / Newcrop"</f>
        <v>Black Knife Recall Black / Newcrop</v>
      </c>
      <c r="K1169" s="6">
        <v>0</v>
      </c>
      <c r="L1169" s="6">
        <v>0</v>
      </c>
      <c r="M1169" s="6">
        <v>0</v>
      </c>
      <c r="N1169" s="6" t="str">
        <f>""</f>
        <v/>
      </c>
      <c r="O1169" s="6">
        <v>31915</v>
      </c>
      <c r="P1169" s="6" t="s">
        <v>4975</v>
      </c>
      <c r="R1169" s="6" t="s">
        <v>4901</v>
      </c>
      <c r="S1169" s="6" t="s">
        <v>4976</v>
      </c>
      <c r="T1169" s="6">
        <v>0</v>
      </c>
      <c r="U1169" s="6">
        <v>0</v>
      </c>
      <c r="V1169" s="6">
        <v>0</v>
      </c>
      <c r="W1169" s="6">
        <v>0</v>
      </c>
      <c r="X1169" s="6" t="s">
        <v>169</v>
      </c>
      <c r="Z1169" s="6" t="s">
        <v>170</v>
      </c>
      <c r="AA1169" s="6" t="s">
        <v>171</v>
      </c>
      <c r="AB1169" s="6">
        <v>0</v>
      </c>
      <c r="AC1169" s="6" t="str">
        <f>""</f>
        <v/>
      </c>
      <c r="AS1169" s="6">
        <v>0</v>
      </c>
      <c r="AT1169" s="6">
        <v>0</v>
      </c>
    </row>
    <row r="1170" spans="2:46">
      <c r="B1170" s="6" t="s">
        <v>4816</v>
      </c>
      <c r="D1170" s="6" t="s">
        <v>3316</v>
      </c>
      <c r="F1170" s="6" t="s">
        <v>4977</v>
      </c>
      <c r="G1170" s="6" t="str">
        <f>"3175321101299305"</f>
        <v>3175321101299305</v>
      </c>
      <c r="H1170" s="6">
        <v>3175321101299300</v>
      </c>
      <c r="I1170" s="6" t="s">
        <v>4971</v>
      </c>
      <c r="J1170" s="6" t="str">
        <f>"Black Knife Recall Black / Newcrop"</f>
        <v>Black Knife Recall Black / Newcrop</v>
      </c>
      <c r="K1170" s="6">
        <v>0</v>
      </c>
      <c r="L1170" s="6">
        <v>0</v>
      </c>
      <c r="M1170" s="6">
        <v>0</v>
      </c>
      <c r="N1170" s="6" t="str">
        <f>""</f>
        <v/>
      </c>
      <c r="O1170" s="6">
        <v>31896</v>
      </c>
      <c r="P1170" s="6" t="s">
        <v>4978</v>
      </c>
      <c r="R1170" s="6" t="s">
        <v>4979</v>
      </c>
      <c r="S1170" s="6" t="s">
        <v>4980</v>
      </c>
      <c r="T1170" s="6">
        <v>0</v>
      </c>
      <c r="U1170" s="6">
        <v>0</v>
      </c>
      <c r="V1170" s="6">
        <v>0</v>
      </c>
      <c r="W1170" s="6">
        <v>0</v>
      </c>
      <c r="X1170" s="6" t="s">
        <v>169</v>
      </c>
      <c r="Z1170" s="6" t="s">
        <v>170</v>
      </c>
      <c r="AA1170" s="6" t="s">
        <v>171</v>
      </c>
      <c r="AB1170" s="6">
        <v>0</v>
      </c>
      <c r="AC1170" s="6" t="str">
        <f>""</f>
        <v/>
      </c>
      <c r="AS1170" s="6">
        <v>0</v>
      </c>
      <c r="AT1170" s="6">
        <v>0</v>
      </c>
    </row>
    <row r="1171" spans="2:46">
      <c r="B1171" s="6" t="s">
        <v>4816</v>
      </c>
      <c r="D1171" s="6" t="s">
        <v>3316</v>
      </c>
      <c r="F1171" s="6" t="s">
        <v>4981</v>
      </c>
      <c r="G1171" s="6" t="str">
        <f>"3175321101299311"</f>
        <v>3175321101299311</v>
      </c>
      <c r="H1171" s="6">
        <v>3175321101299310</v>
      </c>
      <c r="I1171" s="6" t="s">
        <v>4971</v>
      </c>
      <c r="J1171" s="6" t="str">
        <f>"Black Knife Recall Black / Newcrop"</f>
        <v>Black Knife Recall Black / Newcrop</v>
      </c>
      <c r="K1171" s="6">
        <v>0</v>
      </c>
      <c r="L1171" s="6">
        <v>0</v>
      </c>
      <c r="M1171" s="6">
        <v>0</v>
      </c>
      <c r="N1171" s="6" t="str">
        <f>""</f>
        <v/>
      </c>
      <c r="O1171" s="6">
        <v>31873</v>
      </c>
      <c r="P1171" s="6" t="s">
        <v>4982</v>
      </c>
      <c r="R1171" s="6" t="s">
        <v>4983</v>
      </c>
      <c r="S1171" s="6" t="s">
        <v>4984</v>
      </c>
      <c r="T1171" s="6">
        <v>0</v>
      </c>
      <c r="U1171" s="6">
        <v>0</v>
      </c>
      <c r="V1171" s="6">
        <v>0</v>
      </c>
      <c r="W1171" s="6">
        <v>0</v>
      </c>
      <c r="X1171" s="6" t="s">
        <v>169</v>
      </c>
      <c r="Z1171" s="6" t="s">
        <v>170</v>
      </c>
      <c r="AA1171" s="6" t="s">
        <v>171</v>
      </c>
      <c r="AB1171" s="6">
        <v>0</v>
      </c>
      <c r="AC1171" s="6" t="str">
        <f>""</f>
        <v/>
      </c>
      <c r="AS1171" s="6">
        <v>0</v>
      </c>
      <c r="AT1171" s="6">
        <v>0</v>
      </c>
    </row>
    <row r="1172" spans="2:46">
      <c r="B1172" s="6" t="s">
        <v>4816</v>
      </c>
      <c r="D1172" s="6" t="s">
        <v>3316</v>
      </c>
      <c r="F1172" s="6" t="s">
        <v>4985</v>
      </c>
      <c r="G1172" s="6" t="str">
        <f>"3175321101299306"</f>
        <v>3175321101299306</v>
      </c>
      <c r="H1172" s="6">
        <v>3175321101299300</v>
      </c>
      <c r="I1172" s="6" t="s">
        <v>4971</v>
      </c>
      <c r="J1172" s="6" t="str">
        <f>"Black Knife Recall Black / Newcrop"</f>
        <v>Black Knife Recall Black / Newcrop</v>
      </c>
      <c r="K1172" s="6">
        <v>0</v>
      </c>
      <c r="L1172" s="6">
        <v>0</v>
      </c>
      <c r="M1172" s="6">
        <v>0</v>
      </c>
      <c r="N1172" s="6" t="str">
        <f>""</f>
        <v/>
      </c>
      <c r="O1172" s="6">
        <v>31864</v>
      </c>
      <c r="P1172" s="6" t="s">
        <v>4986</v>
      </c>
      <c r="R1172" s="6" t="s">
        <v>4987</v>
      </c>
      <c r="S1172" s="6" t="s">
        <v>4988</v>
      </c>
      <c r="T1172" s="6">
        <v>0</v>
      </c>
      <c r="U1172" s="6">
        <v>0</v>
      </c>
      <c r="V1172" s="6">
        <v>0</v>
      </c>
      <c r="W1172" s="6">
        <v>0</v>
      </c>
      <c r="X1172" s="6" t="s">
        <v>169</v>
      </c>
      <c r="Z1172" s="6" t="s">
        <v>170</v>
      </c>
      <c r="AA1172" s="6" t="s">
        <v>171</v>
      </c>
      <c r="AB1172" s="6">
        <v>0</v>
      </c>
      <c r="AC1172" s="6" t="str">
        <f>""</f>
        <v/>
      </c>
      <c r="AS1172" s="6">
        <v>0</v>
      </c>
      <c r="AT1172" s="6">
        <v>0</v>
      </c>
    </row>
    <row r="1173" spans="2:46">
      <c r="B1173" s="6" t="s">
        <v>4816</v>
      </c>
      <c r="D1173" s="6" t="s">
        <v>3316</v>
      </c>
      <c r="F1173" s="6" t="s">
        <v>4989</v>
      </c>
      <c r="G1173" s="6" t="str">
        <f>"3165321109328311"</f>
        <v>3165321109328311</v>
      </c>
      <c r="H1173" s="6">
        <v>3165321109328310</v>
      </c>
      <c r="I1173" s="6" t="s">
        <v>4990</v>
      </c>
      <c r="J1173" s="6" t="str">
        <f>"1FDNPM2NSDB_34"</f>
        <v>1FDNPM2NSDB_34</v>
      </c>
      <c r="K1173" s="6">
        <v>0</v>
      </c>
      <c r="L1173" s="6">
        <v>0</v>
      </c>
      <c r="M1173" s="6">
        <v>0</v>
      </c>
      <c r="N1173" s="6" t="str">
        <f>""</f>
        <v/>
      </c>
      <c r="O1173" s="6">
        <v>31862</v>
      </c>
      <c r="P1173" s="6" t="s">
        <v>4990</v>
      </c>
      <c r="R1173" s="6" t="s">
        <v>4991</v>
      </c>
      <c r="S1173" s="6" t="s">
        <v>4992</v>
      </c>
      <c r="T1173" s="6">
        <v>0</v>
      </c>
      <c r="U1173" s="6">
        <v>0</v>
      </c>
      <c r="V1173" s="6">
        <v>0</v>
      </c>
      <c r="W1173" s="6">
        <v>0</v>
      </c>
      <c r="X1173" s="6" t="s">
        <v>169</v>
      </c>
      <c r="Z1173" s="6" t="s">
        <v>170</v>
      </c>
      <c r="AA1173" s="6" t="s">
        <v>171</v>
      </c>
      <c r="AB1173" s="6">
        <v>0</v>
      </c>
      <c r="AC1173" s="6" t="str">
        <f>""</f>
        <v/>
      </c>
      <c r="AS1173" s="6">
        <v>0</v>
      </c>
      <c r="AT1173" s="6">
        <v>0</v>
      </c>
    </row>
    <row r="1174" spans="2:46">
      <c r="B1174" s="6" t="s">
        <v>4816</v>
      </c>
      <c r="D1174" s="6" t="s">
        <v>3316</v>
      </c>
      <c r="F1174" s="6" t="s">
        <v>4993</v>
      </c>
      <c r="G1174" s="6" t="str">
        <f>"3155321119125311"</f>
        <v>3155321119125311</v>
      </c>
      <c r="H1174" s="6">
        <v>3155321119125310</v>
      </c>
      <c r="I1174" s="6" t="s">
        <v>65</v>
      </c>
      <c r="J1174" s="6" t="str">
        <f t="shared" ref="J1174:J1179" si="1">"Saint DS Blue / Newcrop"</f>
        <v>Saint DS Blue / Newcrop</v>
      </c>
      <c r="K1174" s="6">
        <v>0</v>
      </c>
      <c r="L1174" s="6">
        <v>0</v>
      </c>
      <c r="M1174" s="6">
        <v>0</v>
      </c>
      <c r="N1174" s="6" t="str">
        <f>""</f>
        <v/>
      </c>
      <c r="O1174" s="6">
        <v>31898</v>
      </c>
      <c r="P1174" s="6" t="s">
        <v>4994</v>
      </c>
      <c r="R1174" s="6" t="s">
        <v>4848</v>
      </c>
      <c r="S1174" s="6" t="s">
        <v>4995</v>
      </c>
      <c r="T1174" s="6">
        <v>0</v>
      </c>
      <c r="U1174" s="6">
        <v>0</v>
      </c>
      <c r="V1174" s="6">
        <v>0</v>
      </c>
      <c r="W1174" s="6">
        <v>0</v>
      </c>
      <c r="X1174" s="6" t="s">
        <v>169</v>
      </c>
      <c r="Z1174" s="6" t="s">
        <v>170</v>
      </c>
      <c r="AA1174" s="6" t="s">
        <v>171</v>
      </c>
      <c r="AB1174" s="6">
        <v>0</v>
      </c>
      <c r="AC1174" s="6" t="str">
        <f>""</f>
        <v/>
      </c>
      <c r="AS1174" s="6">
        <v>0</v>
      </c>
      <c r="AT1174" s="6">
        <v>0</v>
      </c>
    </row>
    <row r="1175" spans="2:46">
      <c r="B1175" s="6" t="s">
        <v>4816</v>
      </c>
      <c r="D1175" s="6" t="s">
        <v>3316</v>
      </c>
      <c r="F1175" s="6" t="s">
        <v>4996</v>
      </c>
      <c r="G1175" s="6" t="str">
        <f>"3155321119125309"</f>
        <v>3155321119125309</v>
      </c>
      <c r="H1175" s="6">
        <v>3155321119125300</v>
      </c>
      <c r="I1175" s="6" t="s">
        <v>65</v>
      </c>
      <c r="J1175" s="6" t="str">
        <f t="shared" si="1"/>
        <v>Saint DS Blue / Newcrop</v>
      </c>
      <c r="K1175" s="6">
        <v>0</v>
      </c>
      <c r="L1175" s="6">
        <v>0</v>
      </c>
      <c r="M1175" s="6">
        <v>0</v>
      </c>
      <c r="N1175" s="6" t="str">
        <f>""</f>
        <v/>
      </c>
      <c r="O1175" s="6">
        <v>31889</v>
      </c>
      <c r="P1175" s="6" t="s">
        <v>4997</v>
      </c>
      <c r="R1175" s="6" t="s">
        <v>4998</v>
      </c>
      <c r="S1175" s="6" t="s">
        <v>4999</v>
      </c>
      <c r="T1175" s="6">
        <v>0</v>
      </c>
      <c r="U1175" s="6">
        <v>0</v>
      </c>
      <c r="V1175" s="6">
        <v>0</v>
      </c>
      <c r="W1175" s="6">
        <v>0</v>
      </c>
      <c r="X1175" s="6" t="s">
        <v>169</v>
      </c>
      <c r="Z1175" s="6" t="s">
        <v>170</v>
      </c>
      <c r="AA1175" s="6" t="s">
        <v>171</v>
      </c>
      <c r="AB1175" s="6">
        <v>0</v>
      </c>
      <c r="AC1175" s="6" t="str">
        <f>""</f>
        <v/>
      </c>
      <c r="AS1175" s="6">
        <v>0</v>
      </c>
      <c r="AT1175" s="6">
        <v>0</v>
      </c>
    </row>
    <row r="1176" spans="2:46">
      <c r="B1176" s="6" t="s">
        <v>4816</v>
      </c>
      <c r="D1176" s="6" t="s">
        <v>3316</v>
      </c>
      <c r="F1176" s="6" t="s">
        <v>5000</v>
      </c>
      <c r="G1176" s="6" t="str">
        <f>"3155321119125305"</f>
        <v>3155321119125305</v>
      </c>
      <c r="I1176" s="6" t="s">
        <v>65</v>
      </c>
      <c r="J1176" s="6" t="str">
        <f t="shared" si="1"/>
        <v>Saint DS Blue / Newcrop</v>
      </c>
      <c r="K1176" s="6">
        <v>0</v>
      </c>
      <c r="L1176" s="6">
        <v>0</v>
      </c>
      <c r="M1176" s="6">
        <v>0</v>
      </c>
      <c r="N1176" s="6" t="str">
        <f>""</f>
        <v/>
      </c>
      <c r="O1176" s="6">
        <v>31872</v>
      </c>
      <c r="P1176" s="6" t="s">
        <v>64</v>
      </c>
      <c r="R1176" s="6" t="s">
        <v>5001</v>
      </c>
      <c r="S1176" s="6" t="s">
        <v>5002</v>
      </c>
      <c r="T1176" s="6">
        <v>0</v>
      </c>
      <c r="U1176" s="6">
        <v>0</v>
      </c>
      <c r="V1176" s="6">
        <v>0</v>
      </c>
      <c r="W1176" s="6">
        <v>0</v>
      </c>
      <c r="X1176" s="6" t="s">
        <v>169</v>
      </c>
      <c r="Z1176" s="6" t="s">
        <v>170</v>
      </c>
      <c r="AA1176" s="6" t="s">
        <v>171</v>
      </c>
      <c r="AB1176" s="6">
        <v>0</v>
      </c>
      <c r="AC1176" s="6" t="str">
        <f>"KEY-029"</f>
        <v>KEY-029</v>
      </c>
      <c r="AQ1176" s="6" t="str">
        <f>""</f>
        <v/>
      </c>
      <c r="AR1176" s="6" t="s">
        <v>1472</v>
      </c>
      <c r="AS1176" s="6">
        <v>0</v>
      </c>
      <c r="AT1176" s="6">
        <v>0</v>
      </c>
    </row>
    <row r="1177" spans="2:46">
      <c r="B1177" s="6" t="s">
        <v>4816</v>
      </c>
      <c r="D1177" s="6" t="s">
        <v>3316</v>
      </c>
      <c r="F1177" s="6" t="s">
        <v>5003</v>
      </c>
      <c r="G1177" s="6" t="str">
        <f>"3155321119125307"</f>
        <v>3155321119125307</v>
      </c>
      <c r="H1177" s="6">
        <v>3155321119125300</v>
      </c>
      <c r="I1177" s="6" t="s">
        <v>65</v>
      </c>
      <c r="J1177" s="6" t="str">
        <f t="shared" si="1"/>
        <v>Saint DS Blue / Newcrop</v>
      </c>
      <c r="K1177" s="6">
        <v>0</v>
      </c>
      <c r="L1177" s="6">
        <v>0</v>
      </c>
      <c r="M1177" s="6">
        <v>0</v>
      </c>
      <c r="N1177" s="6" t="str">
        <f>""</f>
        <v/>
      </c>
      <c r="O1177" s="6">
        <v>31869</v>
      </c>
      <c r="P1177" s="6" t="s">
        <v>5004</v>
      </c>
      <c r="R1177" s="6" t="s">
        <v>5005</v>
      </c>
      <c r="S1177" s="6" t="s">
        <v>5006</v>
      </c>
      <c r="T1177" s="6">
        <v>0</v>
      </c>
      <c r="U1177" s="6">
        <v>0</v>
      </c>
      <c r="V1177" s="6">
        <v>0</v>
      </c>
      <c r="W1177" s="6">
        <v>0</v>
      </c>
      <c r="X1177" s="6" t="s">
        <v>169</v>
      </c>
      <c r="Z1177" s="6" t="s">
        <v>170</v>
      </c>
      <c r="AA1177" s="6" t="s">
        <v>171</v>
      </c>
      <c r="AB1177" s="6">
        <v>0</v>
      </c>
      <c r="AC1177" s="6" t="str">
        <f>""</f>
        <v/>
      </c>
      <c r="AS1177" s="6">
        <v>0</v>
      </c>
      <c r="AT1177" s="6">
        <v>0</v>
      </c>
    </row>
    <row r="1178" spans="2:46">
      <c r="B1178" s="6" t="s">
        <v>4816</v>
      </c>
      <c r="D1178" s="6" t="s">
        <v>3316</v>
      </c>
      <c r="F1178" s="6" t="s">
        <v>5007</v>
      </c>
      <c r="G1178" s="6" t="str">
        <f>"3155321119125306"</f>
        <v>3155321119125306</v>
      </c>
      <c r="H1178" s="6">
        <v>3155321119125300</v>
      </c>
      <c r="I1178" s="6" t="s">
        <v>65</v>
      </c>
      <c r="J1178" s="6" t="str">
        <f t="shared" si="1"/>
        <v>Saint DS Blue / Newcrop</v>
      </c>
      <c r="K1178" s="6">
        <v>0</v>
      </c>
      <c r="L1178" s="6">
        <v>0</v>
      </c>
      <c r="M1178" s="6">
        <v>0</v>
      </c>
      <c r="N1178" s="6" t="str">
        <f>""</f>
        <v/>
      </c>
      <c r="O1178" s="6">
        <v>31868</v>
      </c>
      <c r="P1178" s="6" t="s">
        <v>5008</v>
      </c>
      <c r="R1178" s="6" t="s">
        <v>4891</v>
      </c>
      <c r="S1178" s="6" t="s">
        <v>5009</v>
      </c>
      <c r="T1178" s="6">
        <v>0</v>
      </c>
      <c r="U1178" s="6">
        <v>0</v>
      </c>
      <c r="V1178" s="6">
        <v>0</v>
      </c>
      <c r="W1178" s="6">
        <v>0</v>
      </c>
      <c r="X1178" s="6" t="s">
        <v>169</v>
      </c>
      <c r="Z1178" s="6" t="s">
        <v>170</v>
      </c>
      <c r="AA1178" s="6" t="s">
        <v>171</v>
      </c>
      <c r="AB1178" s="6">
        <v>0</v>
      </c>
      <c r="AC1178" s="6" t="str">
        <f>""</f>
        <v/>
      </c>
      <c r="AS1178" s="6">
        <v>0</v>
      </c>
      <c r="AT1178" s="6">
        <v>0</v>
      </c>
    </row>
    <row r="1179" spans="2:46">
      <c r="B1179" s="6" t="s">
        <v>4816</v>
      </c>
      <c r="D1179" s="6" t="s">
        <v>3316</v>
      </c>
      <c r="F1179" s="6" t="s">
        <v>5010</v>
      </c>
      <c r="G1179" s="6" t="str">
        <f>"3155321119125308"</f>
        <v>3155321119125308</v>
      </c>
      <c r="H1179" s="6">
        <v>3155321119125300</v>
      </c>
      <c r="I1179" s="6" t="s">
        <v>65</v>
      </c>
      <c r="J1179" s="6" t="str">
        <f t="shared" si="1"/>
        <v>Saint DS Blue / Newcrop</v>
      </c>
      <c r="K1179" s="6">
        <v>0</v>
      </c>
      <c r="L1179" s="6">
        <v>0</v>
      </c>
      <c r="M1179" s="6">
        <v>0</v>
      </c>
      <c r="N1179" s="6" t="str">
        <f>""</f>
        <v/>
      </c>
      <c r="O1179" s="6">
        <v>31860</v>
      </c>
      <c r="P1179" s="6" t="s">
        <v>5011</v>
      </c>
      <c r="R1179" s="6" t="s">
        <v>5012</v>
      </c>
      <c r="S1179" s="6" t="s">
        <v>5013</v>
      </c>
      <c r="T1179" s="6">
        <v>0</v>
      </c>
      <c r="U1179" s="6">
        <v>0</v>
      </c>
      <c r="V1179" s="6">
        <v>0</v>
      </c>
      <c r="W1179" s="6">
        <v>0</v>
      </c>
      <c r="X1179" s="6" t="s">
        <v>169</v>
      </c>
      <c r="Z1179" s="6" t="s">
        <v>170</v>
      </c>
      <c r="AA1179" s="6" t="s">
        <v>171</v>
      </c>
      <c r="AB1179" s="6">
        <v>0</v>
      </c>
      <c r="AC1179" s="6" t="str">
        <f>""</f>
        <v/>
      </c>
      <c r="AS1179" s="6">
        <v>0</v>
      </c>
      <c r="AT1179" s="6">
        <v>0</v>
      </c>
    </row>
    <row r="1180" spans="2:46">
      <c r="B1180" s="6" t="s">
        <v>4816</v>
      </c>
      <c r="D1180" s="6" t="s">
        <v>3316</v>
      </c>
      <c r="F1180" s="6" t="s">
        <v>5014</v>
      </c>
      <c r="G1180" s="6" t="str">
        <f>"3165321109328305"</f>
        <v>3165321109328305</v>
      </c>
      <c r="H1180" s="6">
        <v>3165321109328300</v>
      </c>
      <c r="I1180" s="6" t="s">
        <v>5015</v>
      </c>
      <c r="J1180" s="6" t="str">
        <f>"1FDNPM2NSDB_28"</f>
        <v>1FDNPM2NSDB_28</v>
      </c>
      <c r="K1180" s="6">
        <v>0</v>
      </c>
      <c r="L1180" s="6">
        <v>0</v>
      </c>
      <c r="M1180" s="6">
        <v>0</v>
      </c>
      <c r="N1180" s="6" t="str">
        <f>""</f>
        <v/>
      </c>
      <c r="O1180" s="6">
        <v>31858</v>
      </c>
      <c r="P1180" s="6" t="s">
        <v>5015</v>
      </c>
      <c r="R1180" s="6" t="s">
        <v>5016</v>
      </c>
      <c r="S1180" s="6" t="s">
        <v>5017</v>
      </c>
      <c r="T1180" s="6">
        <v>0</v>
      </c>
      <c r="U1180" s="6">
        <v>0</v>
      </c>
      <c r="V1180" s="6">
        <v>0</v>
      </c>
      <c r="W1180" s="6">
        <v>0</v>
      </c>
      <c r="X1180" s="6" t="s">
        <v>169</v>
      </c>
      <c r="Z1180" s="6" t="s">
        <v>170</v>
      </c>
      <c r="AA1180" s="6" t="s">
        <v>171</v>
      </c>
      <c r="AB1180" s="6">
        <v>0</v>
      </c>
      <c r="AC1180" s="6" t="str">
        <f>""</f>
        <v/>
      </c>
      <c r="AS1180" s="6">
        <v>0</v>
      </c>
      <c r="AT1180" s="6">
        <v>0</v>
      </c>
    </row>
    <row r="1181" spans="2:46">
      <c r="B1181" s="6" t="s">
        <v>4816</v>
      </c>
      <c r="D1181" s="6" t="s">
        <v>3316</v>
      </c>
      <c r="F1181" s="6" t="s">
        <v>5018</v>
      </c>
      <c r="G1181" s="6" t="str">
        <f>"3175321101133305"</f>
        <v>3175321101133305</v>
      </c>
      <c r="I1181" s="6" t="s">
        <v>5019</v>
      </c>
      <c r="J1181" s="6" t="str">
        <f t="shared" ref="J1181:J1186" si="2">"Saint MB Laser Medium Blue / Newcrop"</f>
        <v>Saint MB Laser Medium Blue / Newcrop</v>
      </c>
      <c r="K1181" s="6">
        <v>0</v>
      </c>
      <c r="L1181" s="6">
        <v>0</v>
      </c>
      <c r="M1181" s="6">
        <v>0</v>
      </c>
      <c r="N1181" s="6" t="str">
        <f>""</f>
        <v/>
      </c>
      <c r="O1181" s="6">
        <v>33360</v>
      </c>
      <c r="P1181" s="6" t="s">
        <v>5020</v>
      </c>
      <c r="R1181" s="6" t="s">
        <v>4870</v>
      </c>
      <c r="S1181" s="6" t="s">
        <v>5021</v>
      </c>
      <c r="T1181" s="6">
        <v>0</v>
      </c>
      <c r="U1181" s="6">
        <v>0</v>
      </c>
      <c r="V1181" s="6">
        <v>0</v>
      </c>
      <c r="W1181" s="6">
        <v>0</v>
      </c>
      <c r="X1181" s="6" t="s">
        <v>169</v>
      </c>
      <c r="Z1181" s="6" t="s">
        <v>170</v>
      </c>
      <c r="AA1181" s="6" t="s">
        <v>171</v>
      </c>
      <c r="AB1181" s="6">
        <v>0</v>
      </c>
      <c r="AC1181" s="6" t="str">
        <f>""</f>
        <v/>
      </c>
      <c r="AS1181" s="6">
        <v>0</v>
      </c>
      <c r="AT1181" s="6">
        <v>0</v>
      </c>
    </row>
    <row r="1182" spans="2:46">
      <c r="B1182" s="6" t="s">
        <v>4816</v>
      </c>
      <c r="D1182" s="6" t="s">
        <v>3316</v>
      </c>
      <c r="F1182" s="6" t="s">
        <v>5022</v>
      </c>
      <c r="G1182" s="6" t="str">
        <f>"3175321101133307"</f>
        <v>3175321101133307</v>
      </c>
      <c r="H1182" s="6">
        <v>3175321101133300</v>
      </c>
      <c r="I1182" s="6" t="s">
        <v>5019</v>
      </c>
      <c r="J1182" s="6" t="str">
        <f t="shared" si="2"/>
        <v>Saint MB Laser Medium Blue / Newcrop</v>
      </c>
      <c r="K1182" s="6">
        <v>0</v>
      </c>
      <c r="L1182" s="6">
        <v>0</v>
      </c>
      <c r="M1182" s="6">
        <v>0</v>
      </c>
      <c r="N1182" s="6" t="str">
        <f>""</f>
        <v/>
      </c>
      <c r="O1182" s="6">
        <v>31920</v>
      </c>
      <c r="P1182" s="6" t="s">
        <v>5023</v>
      </c>
      <c r="R1182" s="6" t="s">
        <v>5024</v>
      </c>
      <c r="S1182" s="6" t="s">
        <v>5025</v>
      </c>
      <c r="T1182" s="6">
        <v>0</v>
      </c>
      <c r="U1182" s="6">
        <v>0</v>
      </c>
      <c r="V1182" s="6">
        <v>0</v>
      </c>
      <c r="W1182" s="6">
        <v>0</v>
      </c>
      <c r="X1182" s="6" t="s">
        <v>169</v>
      </c>
      <c r="Z1182" s="6" t="s">
        <v>170</v>
      </c>
      <c r="AA1182" s="6" t="s">
        <v>171</v>
      </c>
      <c r="AB1182" s="6">
        <v>0</v>
      </c>
      <c r="AC1182" s="6" t="str">
        <f>""</f>
        <v/>
      </c>
      <c r="AS1182" s="6">
        <v>0</v>
      </c>
      <c r="AT1182" s="6">
        <v>0</v>
      </c>
    </row>
    <row r="1183" spans="2:46">
      <c r="B1183" s="6" t="s">
        <v>4816</v>
      </c>
      <c r="D1183" s="6" t="s">
        <v>3316</v>
      </c>
      <c r="F1183" s="6" t="s">
        <v>5026</v>
      </c>
      <c r="G1183" s="6" t="str">
        <f>"3175321101133311"</f>
        <v>3175321101133311</v>
      </c>
      <c r="H1183" s="6">
        <v>3175321101133310</v>
      </c>
      <c r="I1183" s="6" t="s">
        <v>5019</v>
      </c>
      <c r="J1183" s="6" t="str">
        <f t="shared" si="2"/>
        <v>Saint MB Laser Medium Blue / Newcrop</v>
      </c>
      <c r="K1183" s="6">
        <v>0</v>
      </c>
      <c r="L1183" s="6">
        <v>0</v>
      </c>
      <c r="M1183" s="6">
        <v>0</v>
      </c>
      <c r="N1183" s="6" t="str">
        <f>""</f>
        <v/>
      </c>
      <c r="O1183" s="6">
        <v>31913</v>
      </c>
      <c r="P1183" s="6" t="s">
        <v>5027</v>
      </c>
      <c r="R1183" s="6" t="s">
        <v>5028</v>
      </c>
      <c r="S1183" s="6" t="s">
        <v>5029</v>
      </c>
      <c r="T1183" s="6">
        <v>0</v>
      </c>
      <c r="U1183" s="6">
        <v>0</v>
      </c>
      <c r="V1183" s="6">
        <v>0</v>
      </c>
      <c r="W1183" s="6">
        <v>0</v>
      </c>
      <c r="X1183" s="6" t="s">
        <v>169</v>
      </c>
      <c r="Z1183" s="6" t="s">
        <v>170</v>
      </c>
      <c r="AA1183" s="6" t="s">
        <v>171</v>
      </c>
      <c r="AB1183" s="6">
        <v>0</v>
      </c>
      <c r="AC1183" s="6" t="str">
        <f>""</f>
        <v/>
      </c>
      <c r="AS1183" s="6">
        <v>0</v>
      </c>
      <c r="AT1183" s="6">
        <v>0</v>
      </c>
    </row>
    <row r="1184" spans="2:46">
      <c r="B1184" s="6" t="s">
        <v>4816</v>
      </c>
      <c r="D1184" s="6" t="s">
        <v>3316</v>
      </c>
      <c r="F1184" s="6" t="s">
        <v>5030</v>
      </c>
      <c r="G1184" s="6" t="str">
        <f>"3175321101133308"</f>
        <v>3175321101133308</v>
      </c>
      <c r="H1184" s="6">
        <v>3175321101133300</v>
      </c>
      <c r="I1184" s="6" t="s">
        <v>5019</v>
      </c>
      <c r="J1184" s="6" t="str">
        <f t="shared" si="2"/>
        <v>Saint MB Laser Medium Blue / Newcrop</v>
      </c>
      <c r="K1184" s="6">
        <v>0</v>
      </c>
      <c r="L1184" s="6">
        <v>0</v>
      </c>
      <c r="M1184" s="6">
        <v>0</v>
      </c>
      <c r="N1184" s="6" t="str">
        <f>""</f>
        <v/>
      </c>
      <c r="O1184" s="6">
        <v>31886</v>
      </c>
      <c r="P1184" s="6" t="s">
        <v>5031</v>
      </c>
      <c r="R1184" s="6" t="s">
        <v>4866</v>
      </c>
      <c r="S1184" s="6" t="s">
        <v>5032</v>
      </c>
      <c r="T1184" s="6">
        <v>0</v>
      </c>
      <c r="U1184" s="6">
        <v>0</v>
      </c>
      <c r="V1184" s="6">
        <v>0</v>
      </c>
      <c r="W1184" s="6">
        <v>0</v>
      </c>
      <c r="X1184" s="6" t="s">
        <v>169</v>
      </c>
      <c r="Z1184" s="6" t="s">
        <v>170</v>
      </c>
      <c r="AA1184" s="6" t="s">
        <v>171</v>
      </c>
      <c r="AB1184" s="6">
        <v>0</v>
      </c>
      <c r="AC1184" s="6" t="str">
        <f>""</f>
        <v/>
      </c>
      <c r="AS1184" s="6">
        <v>0</v>
      </c>
      <c r="AT1184" s="6">
        <v>0</v>
      </c>
    </row>
    <row r="1185" spans="2:46">
      <c r="B1185" s="6" t="s">
        <v>4816</v>
      </c>
      <c r="D1185" s="6" t="s">
        <v>3316</v>
      </c>
      <c r="F1185" s="6" t="s">
        <v>5033</v>
      </c>
      <c r="G1185" s="6" t="str">
        <f>"3175321101133306"</f>
        <v>3175321101133306</v>
      </c>
      <c r="H1185" s="6">
        <v>3175321101133300</v>
      </c>
      <c r="I1185" s="6" t="s">
        <v>5019</v>
      </c>
      <c r="J1185" s="6" t="str">
        <f t="shared" si="2"/>
        <v>Saint MB Laser Medium Blue / Newcrop</v>
      </c>
      <c r="K1185" s="6">
        <v>0</v>
      </c>
      <c r="L1185" s="6">
        <v>0</v>
      </c>
      <c r="M1185" s="6">
        <v>0</v>
      </c>
      <c r="N1185" s="6" t="str">
        <f>""</f>
        <v/>
      </c>
      <c r="O1185" s="6">
        <v>31867</v>
      </c>
      <c r="P1185" s="6" t="s">
        <v>5034</v>
      </c>
      <c r="R1185" s="6" t="s">
        <v>5035</v>
      </c>
      <c r="S1185" s="6" t="s">
        <v>5036</v>
      </c>
      <c r="T1185" s="6">
        <v>0</v>
      </c>
      <c r="U1185" s="6">
        <v>0</v>
      </c>
      <c r="V1185" s="6">
        <v>0</v>
      </c>
      <c r="W1185" s="6">
        <v>0</v>
      </c>
      <c r="X1185" s="6" t="s">
        <v>169</v>
      </c>
      <c r="Z1185" s="6" t="s">
        <v>170</v>
      </c>
      <c r="AA1185" s="6" t="s">
        <v>171</v>
      </c>
      <c r="AB1185" s="6">
        <v>0</v>
      </c>
      <c r="AC1185" s="6" t="str">
        <f>""</f>
        <v/>
      </c>
      <c r="AS1185" s="6">
        <v>0</v>
      </c>
      <c r="AT1185" s="6">
        <v>0</v>
      </c>
    </row>
    <row r="1186" spans="2:46">
      <c r="B1186" s="6" t="s">
        <v>4816</v>
      </c>
      <c r="D1186" s="6" t="s">
        <v>3316</v>
      </c>
      <c r="F1186" s="6" t="s">
        <v>5037</v>
      </c>
      <c r="G1186" s="6" t="str">
        <f>"3175321101133309"</f>
        <v>3175321101133309</v>
      </c>
      <c r="H1186" s="6">
        <v>3175321101133300</v>
      </c>
      <c r="I1186" s="6" t="s">
        <v>5019</v>
      </c>
      <c r="J1186" s="6" t="str">
        <f t="shared" si="2"/>
        <v>Saint MB Laser Medium Blue / Newcrop</v>
      </c>
      <c r="K1186" s="6">
        <v>0</v>
      </c>
      <c r="L1186" s="6">
        <v>0</v>
      </c>
      <c r="M1186" s="6">
        <v>0</v>
      </c>
      <c r="N1186" s="6" t="str">
        <f>""</f>
        <v/>
      </c>
      <c r="O1186" s="6">
        <v>31856</v>
      </c>
      <c r="P1186" s="6" t="s">
        <v>5038</v>
      </c>
      <c r="R1186" s="6" t="s">
        <v>5039</v>
      </c>
      <c r="S1186" s="6" t="s">
        <v>5040</v>
      </c>
      <c r="T1186" s="6">
        <v>0</v>
      </c>
      <c r="U1186" s="6">
        <v>0</v>
      </c>
      <c r="V1186" s="6">
        <v>0</v>
      </c>
      <c r="W1186" s="6">
        <v>0</v>
      </c>
      <c r="X1186" s="6" t="s">
        <v>169</v>
      </c>
      <c r="Z1186" s="6" t="s">
        <v>170</v>
      </c>
      <c r="AA1186" s="6" t="s">
        <v>171</v>
      </c>
      <c r="AB1186" s="6">
        <v>0</v>
      </c>
      <c r="AC1186" s="6" t="str">
        <f>""</f>
        <v/>
      </c>
      <c r="AS1186" s="6">
        <v>0</v>
      </c>
      <c r="AT1186" s="6">
        <v>0</v>
      </c>
    </row>
    <row r="1187" spans="2:46">
      <c r="B1187" s="6" t="s">
        <v>5041</v>
      </c>
      <c r="D1187" s="6" t="s">
        <v>3316</v>
      </c>
      <c r="F1187" s="6" t="s">
        <v>5042</v>
      </c>
      <c r="G1187" s="6" t="str">
        <f>"NC17WTAC02NYL"</f>
        <v>NC17WTAC02NYL</v>
      </c>
      <c r="H1187" s="6" t="s">
        <v>5043</v>
      </c>
      <c r="I1187" s="6" t="s">
        <v>5044</v>
      </c>
      <c r="J1187" s="6" t="str">
        <f>"NC PATCH BEANIE NY"</f>
        <v>NC PATCH BEANIE NY</v>
      </c>
      <c r="K1187" s="6">
        <v>0</v>
      </c>
      <c r="L1187" s="6">
        <v>0</v>
      </c>
      <c r="M1187" s="6">
        <v>0</v>
      </c>
      <c r="N1187" s="6" t="str">
        <f>""</f>
        <v/>
      </c>
      <c r="O1187" s="6">
        <v>31854</v>
      </c>
      <c r="P1187" s="6" t="s">
        <v>5043</v>
      </c>
      <c r="R1187" s="6" t="s">
        <v>5045</v>
      </c>
      <c r="S1187" s="6" t="s">
        <v>5046</v>
      </c>
      <c r="T1187" s="6">
        <v>0</v>
      </c>
      <c r="U1187" s="6">
        <v>0</v>
      </c>
      <c r="V1187" s="6">
        <v>0</v>
      </c>
      <c r="W1187" s="6">
        <v>0</v>
      </c>
      <c r="X1187" s="6" t="s">
        <v>169</v>
      </c>
      <c r="Z1187" s="6" t="s">
        <v>170</v>
      </c>
      <c r="AA1187" s="6" t="s">
        <v>171</v>
      </c>
      <c r="AB1187" s="6">
        <v>0</v>
      </c>
      <c r="AC1187" s="6" t="str">
        <f>""</f>
        <v/>
      </c>
      <c r="AS1187" s="6">
        <v>0</v>
      </c>
      <c r="AT1187" s="6">
        <v>0</v>
      </c>
    </row>
    <row r="1188" spans="2:46">
      <c r="B1188" s="6" t="s">
        <v>5041</v>
      </c>
      <c r="D1188" s="6" t="s">
        <v>3316</v>
      </c>
      <c r="F1188" s="6" t="s">
        <v>5047</v>
      </c>
      <c r="G1188" s="6" t="str">
        <f>"NC17WTAC02NYS"</f>
        <v>NC17WTAC02NYS</v>
      </c>
      <c r="H1188" s="6" t="s">
        <v>5048</v>
      </c>
      <c r="I1188" s="6" t="s">
        <v>5044</v>
      </c>
      <c r="J1188" s="6" t="str">
        <f>"NC PATCH BEANIE NY"</f>
        <v>NC PATCH BEANIE NY</v>
      </c>
      <c r="K1188" s="6">
        <v>0</v>
      </c>
      <c r="L1188" s="6">
        <v>0</v>
      </c>
      <c r="M1188" s="6">
        <v>0</v>
      </c>
      <c r="N1188" s="6" t="str">
        <f>""</f>
        <v/>
      </c>
      <c r="O1188" s="6">
        <v>31853</v>
      </c>
      <c r="P1188" s="6" t="s">
        <v>5048</v>
      </c>
      <c r="R1188" s="6" t="s">
        <v>566</v>
      </c>
      <c r="S1188" s="6" t="s">
        <v>5049</v>
      </c>
      <c r="T1188" s="6">
        <v>0</v>
      </c>
      <c r="U1188" s="6">
        <v>0</v>
      </c>
      <c r="V1188" s="6">
        <v>0</v>
      </c>
      <c r="W1188" s="6">
        <v>0</v>
      </c>
      <c r="X1188" s="6" t="s">
        <v>169</v>
      </c>
      <c r="Z1188" s="6" t="s">
        <v>170</v>
      </c>
      <c r="AA1188" s="6" t="s">
        <v>171</v>
      </c>
      <c r="AB1188" s="6">
        <v>0</v>
      </c>
      <c r="AC1188" s="6" t="str">
        <f>""</f>
        <v/>
      </c>
      <c r="AS1188" s="6">
        <v>0</v>
      </c>
      <c r="AT1188" s="6">
        <v>0</v>
      </c>
    </row>
    <row r="1189" spans="2:46">
      <c r="B1189" s="6" t="s">
        <v>5041</v>
      </c>
      <c r="D1189" s="6" t="s">
        <v>3316</v>
      </c>
      <c r="F1189" s="6" t="s">
        <v>5050</v>
      </c>
      <c r="G1189" s="6" t="str">
        <f>"NC17WTAC02BKL"</f>
        <v>NC17WTAC02BKL</v>
      </c>
      <c r="H1189" s="6" t="s">
        <v>5051</v>
      </c>
      <c r="I1189" s="6" t="s">
        <v>5052</v>
      </c>
      <c r="J1189" s="6" t="str">
        <f>"NC PATCH BEANIE BK"</f>
        <v>NC PATCH BEANIE BK</v>
      </c>
      <c r="K1189" s="6">
        <v>0</v>
      </c>
      <c r="L1189" s="6">
        <v>0</v>
      </c>
      <c r="M1189" s="6">
        <v>0</v>
      </c>
      <c r="N1189" s="6" t="str">
        <f>""</f>
        <v/>
      </c>
      <c r="O1189" s="6">
        <v>31851</v>
      </c>
      <c r="P1189" s="6" t="s">
        <v>5051</v>
      </c>
      <c r="R1189" s="6" t="s">
        <v>5053</v>
      </c>
      <c r="S1189" s="6" t="s">
        <v>5054</v>
      </c>
      <c r="T1189" s="6">
        <v>0</v>
      </c>
      <c r="U1189" s="6">
        <v>0</v>
      </c>
      <c r="V1189" s="6">
        <v>0</v>
      </c>
      <c r="W1189" s="6">
        <v>0</v>
      </c>
      <c r="X1189" s="6" t="s">
        <v>169</v>
      </c>
      <c r="Z1189" s="6" t="s">
        <v>170</v>
      </c>
      <c r="AA1189" s="6" t="s">
        <v>171</v>
      </c>
      <c r="AB1189" s="6">
        <v>0</v>
      </c>
      <c r="AC1189" s="6" t="str">
        <f>""</f>
        <v/>
      </c>
      <c r="AS1189" s="6">
        <v>0</v>
      </c>
      <c r="AT1189" s="6">
        <v>0</v>
      </c>
    </row>
    <row r="1190" spans="2:46">
      <c r="B1190" s="6" t="s">
        <v>5041</v>
      </c>
      <c r="D1190" s="6" t="s">
        <v>3316</v>
      </c>
      <c r="F1190" s="6" t="s">
        <v>5055</v>
      </c>
      <c r="G1190" s="6" t="str">
        <f>"NC17WTAC02BKS"</f>
        <v>NC17WTAC02BKS</v>
      </c>
      <c r="H1190" s="6" t="s">
        <v>5056</v>
      </c>
      <c r="I1190" s="6" t="s">
        <v>5052</v>
      </c>
      <c r="J1190" s="6" t="str">
        <f>"NC PATCH BEANIE BK"</f>
        <v>NC PATCH BEANIE BK</v>
      </c>
      <c r="K1190" s="6">
        <v>0</v>
      </c>
      <c r="L1190" s="6">
        <v>0</v>
      </c>
      <c r="M1190" s="6">
        <v>0</v>
      </c>
      <c r="N1190" s="6" t="str">
        <f>""</f>
        <v/>
      </c>
      <c r="O1190" s="6">
        <v>31850</v>
      </c>
      <c r="P1190" s="6" t="s">
        <v>5056</v>
      </c>
      <c r="R1190" s="6" t="s">
        <v>606</v>
      </c>
      <c r="S1190" s="6" t="s">
        <v>5057</v>
      </c>
      <c r="T1190" s="6">
        <v>0</v>
      </c>
      <c r="U1190" s="6">
        <v>0</v>
      </c>
      <c r="V1190" s="6">
        <v>0</v>
      </c>
      <c r="W1190" s="6">
        <v>0</v>
      </c>
      <c r="X1190" s="6" t="s">
        <v>169</v>
      </c>
      <c r="Z1190" s="6" t="s">
        <v>170</v>
      </c>
      <c r="AA1190" s="6" t="s">
        <v>171</v>
      </c>
      <c r="AB1190" s="6">
        <v>0</v>
      </c>
      <c r="AC1190" s="6" t="str">
        <f>""</f>
        <v/>
      </c>
      <c r="AS1190" s="6">
        <v>0</v>
      </c>
      <c r="AT1190" s="6">
        <v>0</v>
      </c>
    </row>
    <row r="1191" spans="2:46">
      <c r="B1191" s="6" t="s">
        <v>5041</v>
      </c>
      <c r="D1191" s="6" t="s">
        <v>3316</v>
      </c>
      <c r="F1191" s="6" t="s">
        <v>5058</v>
      </c>
      <c r="G1191" s="6" t="str">
        <f>"NC17WTAC01WH"</f>
        <v>NC17WTAC01WH</v>
      </c>
      <c r="H1191" s="6" t="s">
        <v>5059</v>
      </c>
      <c r="I1191" s="6" t="s">
        <v>5060</v>
      </c>
      <c r="J1191" s="6" t="str">
        <f>"NC PATCH CAP WH"</f>
        <v>NC PATCH CAP WH</v>
      </c>
      <c r="K1191" s="6">
        <v>0</v>
      </c>
      <c r="L1191" s="6">
        <v>0</v>
      </c>
      <c r="M1191" s="6">
        <v>0</v>
      </c>
      <c r="N1191" s="6" t="str">
        <f>""</f>
        <v/>
      </c>
      <c r="O1191" s="6">
        <v>31848</v>
      </c>
      <c r="P1191" s="6" t="s">
        <v>5059</v>
      </c>
      <c r="R1191" s="6" t="s">
        <v>5061</v>
      </c>
      <c r="S1191" s="6" t="s">
        <v>5062</v>
      </c>
      <c r="T1191" s="6">
        <v>0</v>
      </c>
      <c r="U1191" s="6">
        <v>0</v>
      </c>
      <c r="V1191" s="6">
        <v>0</v>
      </c>
      <c r="W1191" s="6">
        <v>0</v>
      </c>
      <c r="X1191" s="6" t="s">
        <v>169</v>
      </c>
      <c r="Z1191" s="6" t="s">
        <v>170</v>
      </c>
      <c r="AA1191" s="6" t="s">
        <v>171</v>
      </c>
      <c r="AB1191" s="6">
        <v>0</v>
      </c>
      <c r="AC1191" s="6" t="str">
        <f>""</f>
        <v/>
      </c>
      <c r="AS1191" s="6">
        <v>0</v>
      </c>
      <c r="AT1191" s="6">
        <v>0</v>
      </c>
    </row>
    <row r="1192" spans="2:46">
      <c r="B1192" s="6" t="s">
        <v>5041</v>
      </c>
      <c r="D1192" s="6" t="s">
        <v>3316</v>
      </c>
      <c r="F1192" s="6" t="s">
        <v>5063</v>
      </c>
      <c r="G1192" s="6" t="str">
        <f>"NC17WTAC01BK"</f>
        <v>NC17WTAC01BK</v>
      </c>
      <c r="H1192" s="6" t="s">
        <v>5064</v>
      </c>
      <c r="I1192" s="6" t="s">
        <v>5065</v>
      </c>
      <c r="J1192" s="6" t="str">
        <f>"NC PATCH CAP BK"</f>
        <v>NC PATCH CAP BK</v>
      </c>
      <c r="K1192" s="6">
        <v>0</v>
      </c>
      <c r="L1192" s="6">
        <v>0</v>
      </c>
      <c r="M1192" s="6">
        <v>0</v>
      </c>
      <c r="N1192" s="6" t="str">
        <f>""</f>
        <v/>
      </c>
      <c r="O1192" s="6">
        <v>31846</v>
      </c>
      <c r="P1192" s="6" t="s">
        <v>5064</v>
      </c>
      <c r="R1192" s="6" t="s">
        <v>5066</v>
      </c>
      <c r="S1192" s="6" t="s">
        <v>5067</v>
      </c>
      <c r="T1192" s="6">
        <v>0</v>
      </c>
      <c r="U1192" s="6">
        <v>0</v>
      </c>
      <c r="V1192" s="6">
        <v>0</v>
      </c>
      <c r="W1192" s="6">
        <v>0</v>
      </c>
      <c r="X1192" s="6" t="s">
        <v>169</v>
      </c>
      <c r="Z1192" s="6" t="s">
        <v>170</v>
      </c>
      <c r="AA1192" s="6" t="s">
        <v>171</v>
      </c>
      <c r="AB1192" s="6">
        <v>0</v>
      </c>
      <c r="AC1192" s="6" t="str">
        <f>""</f>
        <v/>
      </c>
      <c r="AS1192" s="6">
        <v>0</v>
      </c>
      <c r="AT1192" s="6">
        <v>0</v>
      </c>
    </row>
    <row r="1193" spans="2:46">
      <c r="B1193" s="6" t="s">
        <v>5041</v>
      </c>
      <c r="D1193" s="6" t="s">
        <v>3316</v>
      </c>
      <c r="F1193" s="6" t="s">
        <v>5068</v>
      </c>
      <c r="G1193" s="6" t="str">
        <f>"NC17WTTE03OGL"</f>
        <v>NC17WTTE03OGL</v>
      </c>
      <c r="H1193" s="6" t="s">
        <v>5069</v>
      </c>
      <c r="I1193" s="6" t="s">
        <v>5070</v>
      </c>
      <c r="J1193" s="6" t="str">
        <f>"NC VELOUR SHIRT OG"</f>
        <v>NC VELOUR SHIRT OG</v>
      </c>
      <c r="K1193" s="6">
        <v>0</v>
      </c>
      <c r="L1193" s="6">
        <v>0</v>
      </c>
      <c r="M1193" s="6">
        <v>0</v>
      </c>
      <c r="N1193" s="6" t="str">
        <f>""</f>
        <v/>
      </c>
      <c r="O1193" s="6">
        <v>31844</v>
      </c>
      <c r="P1193" s="6" t="s">
        <v>5069</v>
      </c>
      <c r="R1193" s="6" t="s">
        <v>5071</v>
      </c>
      <c r="S1193" s="6" t="s">
        <v>5072</v>
      </c>
      <c r="T1193" s="6">
        <v>0</v>
      </c>
      <c r="U1193" s="6">
        <v>0</v>
      </c>
      <c r="V1193" s="6">
        <v>0</v>
      </c>
      <c r="W1193" s="6">
        <v>0</v>
      </c>
      <c r="X1193" s="6" t="s">
        <v>169</v>
      </c>
      <c r="Z1193" s="6" t="s">
        <v>170</v>
      </c>
      <c r="AA1193" s="6" t="s">
        <v>171</v>
      </c>
      <c r="AB1193" s="6">
        <v>0</v>
      </c>
      <c r="AC1193" s="6" t="str">
        <f>""</f>
        <v/>
      </c>
      <c r="AS1193" s="6">
        <v>0</v>
      </c>
      <c r="AT1193" s="6">
        <v>0</v>
      </c>
    </row>
    <row r="1194" spans="2:46">
      <c r="B1194" s="6" t="s">
        <v>5041</v>
      </c>
      <c r="D1194" s="6" t="s">
        <v>3316</v>
      </c>
      <c r="F1194" s="6" t="s">
        <v>5073</v>
      </c>
      <c r="G1194" s="6" t="str">
        <f>"NC17WTTE03OGM"</f>
        <v>NC17WTTE03OGM</v>
      </c>
      <c r="H1194" s="6" t="s">
        <v>5074</v>
      </c>
      <c r="I1194" s="6" t="s">
        <v>5070</v>
      </c>
      <c r="J1194" s="6" t="str">
        <f>"NC VELOUR SHIRT OG"</f>
        <v>NC VELOUR SHIRT OG</v>
      </c>
      <c r="K1194" s="6">
        <v>0</v>
      </c>
      <c r="L1194" s="6">
        <v>0</v>
      </c>
      <c r="M1194" s="6">
        <v>0</v>
      </c>
      <c r="N1194" s="6" t="str">
        <f>""</f>
        <v/>
      </c>
      <c r="O1194" s="6">
        <v>31843</v>
      </c>
      <c r="P1194" s="6" t="s">
        <v>5074</v>
      </c>
      <c r="R1194" s="6" t="s">
        <v>5075</v>
      </c>
      <c r="S1194" s="6" t="s">
        <v>5076</v>
      </c>
      <c r="T1194" s="6">
        <v>0</v>
      </c>
      <c r="U1194" s="6">
        <v>0</v>
      </c>
      <c r="V1194" s="6">
        <v>0</v>
      </c>
      <c r="W1194" s="6">
        <v>0</v>
      </c>
      <c r="X1194" s="6" t="s">
        <v>169</v>
      </c>
      <c r="Z1194" s="6" t="s">
        <v>170</v>
      </c>
      <c r="AA1194" s="6" t="s">
        <v>171</v>
      </c>
      <c r="AB1194" s="6">
        <v>0</v>
      </c>
      <c r="AC1194" s="6" t="str">
        <f>""</f>
        <v/>
      </c>
      <c r="AS1194" s="6">
        <v>0</v>
      </c>
      <c r="AT1194" s="6">
        <v>0</v>
      </c>
    </row>
    <row r="1195" spans="2:46">
      <c r="B1195" s="6" t="s">
        <v>5041</v>
      </c>
      <c r="D1195" s="6" t="s">
        <v>3316</v>
      </c>
      <c r="F1195" s="6" t="s">
        <v>5077</v>
      </c>
      <c r="G1195" s="6" t="str">
        <f>"NC17WTTE03KHL"</f>
        <v>NC17WTTE03KHL</v>
      </c>
      <c r="H1195" s="6" t="s">
        <v>5078</v>
      </c>
      <c r="I1195" s="6" t="s">
        <v>5079</v>
      </c>
      <c r="J1195" s="6" t="str">
        <f>"NC VELOUR SHIRT KH"</f>
        <v>NC VELOUR SHIRT KH</v>
      </c>
      <c r="K1195" s="6">
        <v>0</v>
      </c>
      <c r="L1195" s="6">
        <v>0</v>
      </c>
      <c r="M1195" s="6">
        <v>0</v>
      </c>
      <c r="N1195" s="6" t="str">
        <f>""</f>
        <v/>
      </c>
      <c r="O1195" s="6">
        <v>31841</v>
      </c>
      <c r="P1195" s="6" t="s">
        <v>5078</v>
      </c>
      <c r="R1195" s="6" t="s">
        <v>5080</v>
      </c>
      <c r="S1195" s="6" t="s">
        <v>5081</v>
      </c>
      <c r="T1195" s="6">
        <v>0</v>
      </c>
      <c r="U1195" s="6">
        <v>0</v>
      </c>
      <c r="V1195" s="6">
        <v>0</v>
      </c>
      <c r="W1195" s="6">
        <v>0</v>
      </c>
      <c r="X1195" s="6" t="s">
        <v>169</v>
      </c>
      <c r="Z1195" s="6" t="s">
        <v>170</v>
      </c>
      <c r="AA1195" s="6" t="s">
        <v>171</v>
      </c>
      <c r="AB1195" s="6">
        <v>0</v>
      </c>
      <c r="AC1195" s="6" t="str">
        <f>""</f>
        <v/>
      </c>
      <c r="AS1195" s="6">
        <v>0</v>
      </c>
      <c r="AT1195" s="6">
        <v>0</v>
      </c>
    </row>
    <row r="1196" spans="2:46">
      <c r="B1196" s="6" t="s">
        <v>5041</v>
      </c>
      <c r="D1196" s="6" t="s">
        <v>3316</v>
      </c>
      <c r="F1196" s="6" t="s">
        <v>5082</v>
      </c>
      <c r="G1196" s="6" t="str">
        <f>"NC17WTTE03KHM"</f>
        <v>NC17WTTE03KHM</v>
      </c>
      <c r="H1196" s="6" t="s">
        <v>5083</v>
      </c>
      <c r="I1196" s="6" t="s">
        <v>5079</v>
      </c>
      <c r="J1196" s="6" t="str">
        <f>"NC VELOUR SHIRT KH"</f>
        <v>NC VELOUR SHIRT KH</v>
      </c>
      <c r="K1196" s="6">
        <v>0</v>
      </c>
      <c r="L1196" s="6">
        <v>0</v>
      </c>
      <c r="M1196" s="6">
        <v>0</v>
      </c>
      <c r="N1196" s="6" t="str">
        <f>""</f>
        <v/>
      </c>
      <c r="O1196" s="6">
        <v>31840</v>
      </c>
      <c r="P1196" s="6" t="s">
        <v>5083</v>
      </c>
      <c r="R1196" s="6" t="s">
        <v>5084</v>
      </c>
      <c r="S1196" s="6" t="s">
        <v>5085</v>
      </c>
      <c r="T1196" s="6">
        <v>0</v>
      </c>
      <c r="U1196" s="6">
        <v>0</v>
      </c>
      <c r="V1196" s="6">
        <v>0</v>
      </c>
      <c r="W1196" s="6">
        <v>0</v>
      </c>
      <c r="X1196" s="6" t="s">
        <v>169</v>
      </c>
      <c r="Z1196" s="6" t="s">
        <v>170</v>
      </c>
      <c r="AA1196" s="6" t="s">
        <v>171</v>
      </c>
      <c r="AB1196" s="6">
        <v>0</v>
      </c>
      <c r="AC1196" s="6" t="str">
        <f>""</f>
        <v/>
      </c>
      <c r="AS1196" s="6">
        <v>0</v>
      </c>
      <c r="AT1196" s="6">
        <v>0</v>
      </c>
    </row>
    <row r="1197" spans="2:46">
      <c r="B1197" s="6" t="s">
        <v>5041</v>
      </c>
      <c r="D1197" s="6" t="s">
        <v>3316</v>
      </c>
      <c r="F1197" s="6" t="s">
        <v>5086</v>
      </c>
      <c r="G1197" s="6" t="str">
        <f>"NC17WTTE03NYL"</f>
        <v>NC17WTTE03NYL</v>
      </c>
      <c r="H1197" s="6" t="s">
        <v>5087</v>
      </c>
      <c r="I1197" s="6" t="s">
        <v>5088</v>
      </c>
      <c r="J1197" s="6" t="str">
        <f>"NC VELOUR SHIRT NY"</f>
        <v>NC VELOUR SHIRT NY</v>
      </c>
      <c r="K1197" s="6">
        <v>0</v>
      </c>
      <c r="L1197" s="6">
        <v>0</v>
      </c>
      <c r="M1197" s="6">
        <v>0</v>
      </c>
      <c r="N1197" s="6" t="str">
        <f>""</f>
        <v/>
      </c>
      <c r="O1197" s="6">
        <v>31838</v>
      </c>
      <c r="P1197" s="6" t="s">
        <v>5087</v>
      </c>
      <c r="R1197" s="6" t="s">
        <v>5089</v>
      </c>
      <c r="S1197" s="6" t="s">
        <v>5090</v>
      </c>
      <c r="T1197" s="6">
        <v>0</v>
      </c>
      <c r="U1197" s="6">
        <v>0</v>
      </c>
      <c r="V1197" s="6">
        <v>0</v>
      </c>
      <c r="W1197" s="6">
        <v>0</v>
      </c>
      <c r="X1197" s="6" t="s">
        <v>169</v>
      </c>
      <c r="Z1197" s="6" t="s">
        <v>170</v>
      </c>
      <c r="AA1197" s="6" t="s">
        <v>171</v>
      </c>
      <c r="AB1197" s="6">
        <v>0</v>
      </c>
      <c r="AC1197" s="6" t="str">
        <f>""</f>
        <v/>
      </c>
      <c r="AS1197" s="6">
        <v>0</v>
      </c>
      <c r="AT1197" s="6">
        <v>0</v>
      </c>
    </row>
    <row r="1198" spans="2:46">
      <c r="B1198" s="6" t="s">
        <v>5041</v>
      </c>
      <c r="D1198" s="6" t="s">
        <v>3316</v>
      </c>
      <c r="F1198" s="6" t="s">
        <v>5091</v>
      </c>
      <c r="G1198" s="6" t="str">
        <f>"NC17WTTE03NYM"</f>
        <v>NC17WTTE03NYM</v>
      </c>
      <c r="H1198" s="6" t="s">
        <v>5092</v>
      </c>
      <c r="I1198" s="6" t="s">
        <v>5088</v>
      </c>
      <c r="J1198" s="6" t="str">
        <f>"NC VELOUR SHIRT NY"</f>
        <v>NC VELOUR SHIRT NY</v>
      </c>
      <c r="K1198" s="6">
        <v>0</v>
      </c>
      <c r="L1198" s="6">
        <v>0</v>
      </c>
      <c r="M1198" s="6">
        <v>0</v>
      </c>
      <c r="N1198" s="6" t="str">
        <f>""</f>
        <v/>
      </c>
      <c r="O1198" s="6">
        <v>31837</v>
      </c>
      <c r="P1198" s="6" t="s">
        <v>5092</v>
      </c>
      <c r="R1198" s="6" t="s">
        <v>571</v>
      </c>
      <c r="S1198" s="6" t="s">
        <v>5093</v>
      </c>
      <c r="T1198" s="6">
        <v>0</v>
      </c>
      <c r="U1198" s="6">
        <v>0</v>
      </c>
      <c r="V1198" s="6">
        <v>0</v>
      </c>
      <c r="W1198" s="6">
        <v>0</v>
      </c>
      <c r="X1198" s="6" t="s">
        <v>169</v>
      </c>
      <c r="Z1198" s="6" t="s">
        <v>170</v>
      </c>
      <c r="AA1198" s="6" t="s">
        <v>171</v>
      </c>
      <c r="AB1198" s="6">
        <v>0</v>
      </c>
      <c r="AC1198" s="6" t="str">
        <f>""</f>
        <v/>
      </c>
      <c r="AS1198" s="6">
        <v>0</v>
      </c>
      <c r="AT1198" s="6">
        <v>0</v>
      </c>
    </row>
    <row r="1199" spans="2:46">
      <c r="B1199" s="6" t="s">
        <v>5041</v>
      </c>
      <c r="D1199" s="6" t="s">
        <v>3316</v>
      </c>
      <c r="F1199" s="6" t="s">
        <v>5094</v>
      </c>
      <c r="G1199" s="6" t="str">
        <f>"NC17WTTE02GYL"</f>
        <v>NC17WTTE02GYL</v>
      </c>
      <c r="H1199" s="6" t="s">
        <v>5095</v>
      </c>
      <c r="I1199" s="6" t="s">
        <v>5096</v>
      </c>
      <c r="J1199" s="6" t="str">
        <f>"CLIMBER PATCH SWEATSHIRT GY"</f>
        <v>CLIMBER PATCH SWEATSHIRT GY</v>
      </c>
      <c r="K1199" s="6">
        <v>0</v>
      </c>
      <c r="L1199" s="6">
        <v>0</v>
      </c>
      <c r="M1199" s="6">
        <v>0</v>
      </c>
      <c r="N1199" s="6" t="str">
        <f>""</f>
        <v/>
      </c>
      <c r="O1199" s="6">
        <v>31835</v>
      </c>
      <c r="P1199" s="6" t="s">
        <v>5095</v>
      </c>
      <c r="R1199" s="6" t="s">
        <v>5097</v>
      </c>
      <c r="S1199" s="6" t="s">
        <v>5098</v>
      </c>
      <c r="T1199" s="6">
        <v>0</v>
      </c>
      <c r="U1199" s="6">
        <v>0</v>
      </c>
      <c r="V1199" s="6">
        <v>0</v>
      </c>
      <c r="W1199" s="6">
        <v>0</v>
      </c>
      <c r="X1199" s="6" t="s">
        <v>169</v>
      </c>
      <c r="Z1199" s="6" t="s">
        <v>170</v>
      </c>
      <c r="AA1199" s="6" t="s">
        <v>171</v>
      </c>
      <c r="AB1199" s="6">
        <v>0</v>
      </c>
      <c r="AC1199" s="6" t="str">
        <f>""</f>
        <v/>
      </c>
      <c r="AS1199" s="6">
        <v>0</v>
      </c>
      <c r="AT1199" s="6">
        <v>0</v>
      </c>
    </row>
    <row r="1200" spans="2:46">
      <c r="B1200" s="6" t="s">
        <v>5041</v>
      </c>
      <c r="D1200" s="6" t="s">
        <v>3316</v>
      </c>
      <c r="F1200" s="6" t="s">
        <v>5099</v>
      </c>
      <c r="G1200" s="6" t="str">
        <f>"NC17WTTE02GYS"</f>
        <v>NC17WTTE02GYS</v>
      </c>
      <c r="H1200" s="6" t="s">
        <v>5100</v>
      </c>
      <c r="I1200" s="6" t="s">
        <v>5096</v>
      </c>
      <c r="J1200" s="6" t="str">
        <f>"CLIMBER PATCH SWEATSHIRT GY"</f>
        <v>CLIMBER PATCH SWEATSHIRT GY</v>
      </c>
      <c r="K1200" s="6">
        <v>0</v>
      </c>
      <c r="L1200" s="6">
        <v>0</v>
      </c>
      <c r="M1200" s="6">
        <v>0</v>
      </c>
      <c r="N1200" s="6" t="str">
        <f>""</f>
        <v/>
      </c>
      <c r="O1200" s="6">
        <v>31834</v>
      </c>
      <c r="P1200" s="6" t="s">
        <v>5100</v>
      </c>
      <c r="R1200" s="6" t="s">
        <v>5101</v>
      </c>
      <c r="S1200" s="6" t="s">
        <v>5102</v>
      </c>
      <c r="T1200" s="6">
        <v>0</v>
      </c>
      <c r="U1200" s="6">
        <v>0</v>
      </c>
      <c r="V1200" s="6">
        <v>0</v>
      </c>
      <c r="W1200" s="6">
        <v>0</v>
      </c>
      <c r="X1200" s="6" t="s">
        <v>169</v>
      </c>
      <c r="Z1200" s="6" t="s">
        <v>170</v>
      </c>
      <c r="AA1200" s="6" t="s">
        <v>171</v>
      </c>
      <c r="AB1200" s="6">
        <v>0</v>
      </c>
      <c r="AC1200" s="6" t="str">
        <f>""</f>
        <v/>
      </c>
      <c r="AS1200" s="6">
        <v>0</v>
      </c>
      <c r="AT1200" s="6">
        <v>0</v>
      </c>
    </row>
    <row r="1201" spans="2:46">
      <c r="B1201" s="6" t="s">
        <v>5041</v>
      </c>
      <c r="D1201" s="6" t="s">
        <v>3316</v>
      </c>
      <c r="F1201" s="6" t="s">
        <v>5103</v>
      </c>
      <c r="G1201" s="6" t="str">
        <f>"NC17WTTE02BKL"</f>
        <v>NC17WTTE02BKL</v>
      </c>
      <c r="H1201" s="6" t="s">
        <v>5104</v>
      </c>
      <c r="I1201" s="6" t="s">
        <v>5105</v>
      </c>
      <c r="J1201" s="6" t="str">
        <f>"CLIMBER PATCH SWEATSHIRT BK"</f>
        <v>CLIMBER PATCH SWEATSHIRT BK</v>
      </c>
      <c r="K1201" s="6">
        <v>0</v>
      </c>
      <c r="L1201" s="6">
        <v>0</v>
      </c>
      <c r="M1201" s="6">
        <v>0</v>
      </c>
      <c r="N1201" s="6" t="str">
        <f>""</f>
        <v/>
      </c>
      <c r="O1201" s="6">
        <v>31832</v>
      </c>
      <c r="P1201" s="6" t="s">
        <v>5104</v>
      </c>
      <c r="R1201" s="6" t="s">
        <v>5106</v>
      </c>
      <c r="S1201" s="6" t="s">
        <v>5107</v>
      </c>
      <c r="T1201" s="6">
        <v>0</v>
      </c>
      <c r="U1201" s="6">
        <v>0</v>
      </c>
      <c r="V1201" s="6">
        <v>0</v>
      </c>
      <c r="W1201" s="6">
        <v>0</v>
      </c>
      <c r="X1201" s="6" t="s">
        <v>169</v>
      </c>
      <c r="Z1201" s="6" t="s">
        <v>170</v>
      </c>
      <c r="AA1201" s="6" t="s">
        <v>171</v>
      </c>
      <c r="AB1201" s="6">
        <v>0</v>
      </c>
      <c r="AC1201" s="6" t="str">
        <f>""</f>
        <v/>
      </c>
      <c r="AS1201" s="6">
        <v>0</v>
      </c>
      <c r="AT1201" s="6">
        <v>0</v>
      </c>
    </row>
    <row r="1202" spans="2:46">
      <c r="B1202" s="6" t="s">
        <v>5041</v>
      </c>
      <c r="D1202" s="6" t="s">
        <v>3316</v>
      </c>
      <c r="F1202" s="6" t="s">
        <v>5108</v>
      </c>
      <c r="G1202" s="6" t="str">
        <f>"NC17WTTE02BKS"</f>
        <v>NC17WTTE02BKS</v>
      </c>
      <c r="H1202" s="6" t="s">
        <v>5109</v>
      </c>
      <c r="I1202" s="6" t="s">
        <v>5105</v>
      </c>
      <c r="J1202" s="6" t="str">
        <f>"CLIMBER PATCH SWEATSHIRT BK"</f>
        <v>CLIMBER PATCH SWEATSHIRT BK</v>
      </c>
      <c r="K1202" s="6">
        <v>0</v>
      </c>
      <c r="L1202" s="6">
        <v>0</v>
      </c>
      <c r="M1202" s="6">
        <v>0</v>
      </c>
      <c r="N1202" s="6" t="str">
        <f>""</f>
        <v/>
      </c>
      <c r="O1202" s="6">
        <v>31831</v>
      </c>
      <c r="P1202" s="6" t="s">
        <v>5109</v>
      </c>
      <c r="R1202" s="6" t="s">
        <v>606</v>
      </c>
      <c r="S1202" s="6" t="s">
        <v>5110</v>
      </c>
      <c r="T1202" s="6">
        <v>0</v>
      </c>
      <c r="U1202" s="6">
        <v>0</v>
      </c>
      <c r="V1202" s="6">
        <v>0</v>
      </c>
      <c r="W1202" s="6">
        <v>0</v>
      </c>
      <c r="X1202" s="6" t="s">
        <v>169</v>
      </c>
      <c r="Z1202" s="6" t="s">
        <v>170</v>
      </c>
      <c r="AA1202" s="6" t="s">
        <v>171</v>
      </c>
      <c r="AB1202" s="6">
        <v>0</v>
      </c>
      <c r="AC1202" s="6" t="str">
        <f>""</f>
        <v/>
      </c>
      <c r="AS1202" s="6">
        <v>0</v>
      </c>
      <c r="AT1202" s="6">
        <v>0</v>
      </c>
    </row>
    <row r="1203" spans="2:46">
      <c r="B1203" s="6" t="s">
        <v>5041</v>
      </c>
      <c r="D1203" s="6" t="s">
        <v>3316</v>
      </c>
      <c r="F1203" s="6" t="s">
        <v>5111</v>
      </c>
      <c r="G1203" s="6" t="str">
        <f>"NC17WTTE01GNL"</f>
        <v>NC17WTTE01GNL</v>
      </c>
      <c r="H1203" s="6" t="s">
        <v>5112</v>
      </c>
      <c r="I1203" s="6" t="s">
        <v>5113</v>
      </c>
      <c r="J1203" s="6" t="str">
        <f>"CAMPER SWEATSHIRT GN"</f>
        <v>CAMPER SWEATSHIRT GN</v>
      </c>
      <c r="K1203" s="6">
        <v>0</v>
      </c>
      <c r="L1203" s="6">
        <v>0</v>
      </c>
      <c r="M1203" s="6">
        <v>0</v>
      </c>
      <c r="N1203" s="6" t="str">
        <f>""</f>
        <v/>
      </c>
      <c r="O1203" s="6">
        <v>31829</v>
      </c>
      <c r="P1203" s="6" t="s">
        <v>5112</v>
      </c>
      <c r="R1203" s="6" t="s">
        <v>5080</v>
      </c>
      <c r="S1203" s="6" t="s">
        <v>5114</v>
      </c>
      <c r="T1203" s="6">
        <v>0</v>
      </c>
      <c r="U1203" s="6">
        <v>0</v>
      </c>
      <c r="V1203" s="6">
        <v>0</v>
      </c>
      <c r="W1203" s="6">
        <v>0</v>
      </c>
      <c r="X1203" s="6" t="s">
        <v>169</v>
      </c>
      <c r="Z1203" s="6" t="s">
        <v>170</v>
      </c>
      <c r="AA1203" s="6" t="s">
        <v>171</v>
      </c>
      <c r="AB1203" s="6">
        <v>0</v>
      </c>
      <c r="AC1203" s="6" t="str">
        <f>""</f>
        <v/>
      </c>
      <c r="AS1203" s="6">
        <v>0</v>
      </c>
      <c r="AT1203" s="6">
        <v>0</v>
      </c>
    </row>
    <row r="1204" spans="2:46">
      <c r="B1204" s="6" t="s">
        <v>5041</v>
      </c>
      <c r="D1204" s="6" t="s">
        <v>3316</v>
      </c>
      <c r="F1204" s="6" t="s">
        <v>5115</v>
      </c>
      <c r="G1204" s="6" t="str">
        <f>"NC17WTTE01GNS"</f>
        <v>NC17WTTE01GNS</v>
      </c>
      <c r="H1204" s="6" t="s">
        <v>5116</v>
      </c>
      <c r="I1204" s="6" t="s">
        <v>5113</v>
      </c>
      <c r="J1204" s="6" t="str">
        <f>"CAMPER SWEATSHIRT GN"</f>
        <v>CAMPER SWEATSHIRT GN</v>
      </c>
      <c r="K1204" s="6">
        <v>0</v>
      </c>
      <c r="L1204" s="6">
        <v>0</v>
      </c>
      <c r="M1204" s="6">
        <v>0</v>
      </c>
      <c r="N1204" s="6" t="str">
        <f>""</f>
        <v/>
      </c>
      <c r="O1204" s="6">
        <v>31828</v>
      </c>
      <c r="P1204" s="6" t="s">
        <v>5116</v>
      </c>
      <c r="R1204" s="6" t="s">
        <v>5117</v>
      </c>
      <c r="S1204" s="6" t="s">
        <v>5118</v>
      </c>
      <c r="T1204" s="6">
        <v>0</v>
      </c>
      <c r="U1204" s="6">
        <v>0</v>
      </c>
      <c r="V1204" s="6">
        <v>0</v>
      </c>
      <c r="W1204" s="6">
        <v>0</v>
      </c>
      <c r="X1204" s="6" t="s">
        <v>169</v>
      </c>
      <c r="Z1204" s="6" t="s">
        <v>170</v>
      </c>
      <c r="AA1204" s="6" t="s">
        <v>171</v>
      </c>
      <c r="AB1204" s="6">
        <v>0</v>
      </c>
      <c r="AC1204" s="6" t="str">
        <f>""</f>
        <v/>
      </c>
      <c r="AS1204" s="6">
        <v>0</v>
      </c>
      <c r="AT1204" s="6">
        <v>0</v>
      </c>
    </row>
    <row r="1205" spans="2:46">
      <c r="B1205" s="6" t="s">
        <v>5041</v>
      </c>
      <c r="D1205" s="6" t="s">
        <v>3316</v>
      </c>
      <c r="F1205" s="6" t="s">
        <v>5119</v>
      </c>
      <c r="G1205" s="6" t="str">
        <f>"NC17WTTE01IVL"</f>
        <v>NC17WTTE01IVL</v>
      </c>
      <c r="H1205" s="6" t="s">
        <v>5120</v>
      </c>
      <c r="I1205" s="6" t="s">
        <v>5121</v>
      </c>
      <c r="J1205" s="6" t="str">
        <f>"CAMPER SWEATSHIRT IV"</f>
        <v>CAMPER SWEATSHIRT IV</v>
      </c>
      <c r="K1205" s="6">
        <v>0</v>
      </c>
      <c r="L1205" s="6">
        <v>0</v>
      </c>
      <c r="M1205" s="6">
        <v>0</v>
      </c>
      <c r="N1205" s="6" t="str">
        <f>""</f>
        <v/>
      </c>
      <c r="O1205" s="6">
        <v>31826</v>
      </c>
      <c r="P1205" s="6" t="s">
        <v>5120</v>
      </c>
      <c r="R1205" s="6" t="s">
        <v>5122</v>
      </c>
      <c r="S1205" s="6" t="s">
        <v>5123</v>
      </c>
      <c r="T1205" s="6">
        <v>0</v>
      </c>
      <c r="U1205" s="6">
        <v>0</v>
      </c>
      <c r="V1205" s="6">
        <v>0</v>
      </c>
      <c r="W1205" s="6">
        <v>0</v>
      </c>
      <c r="X1205" s="6" t="s">
        <v>169</v>
      </c>
      <c r="Z1205" s="6" t="s">
        <v>170</v>
      </c>
      <c r="AA1205" s="6" t="s">
        <v>171</v>
      </c>
      <c r="AB1205" s="6">
        <v>0</v>
      </c>
      <c r="AC1205" s="6" t="str">
        <f>""</f>
        <v/>
      </c>
      <c r="AS1205" s="6">
        <v>0</v>
      </c>
      <c r="AT1205" s="6">
        <v>0</v>
      </c>
    </row>
    <row r="1206" spans="2:46">
      <c r="B1206" s="6" t="s">
        <v>5041</v>
      </c>
      <c r="D1206" s="6" t="s">
        <v>3316</v>
      </c>
      <c r="F1206" s="6" t="s">
        <v>5124</v>
      </c>
      <c r="G1206" s="6" t="str">
        <f>"NC17WTTE01IVS"</f>
        <v>NC17WTTE01IVS</v>
      </c>
      <c r="H1206" s="6" t="s">
        <v>5125</v>
      </c>
      <c r="I1206" s="6" t="s">
        <v>5121</v>
      </c>
      <c r="J1206" s="6" t="str">
        <f>"CAMPER SWEATSHIRT IV"</f>
        <v>CAMPER SWEATSHIRT IV</v>
      </c>
      <c r="K1206" s="6">
        <v>0</v>
      </c>
      <c r="L1206" s="6">
        <v>0</v>
      </c>
      <c r="M1206" s="6">
        <v>0</v>
      </c>
      <c r="N1206" s="6" t="str">
        <f>""</f>
        <v/>
      </c>
      <c r="O1206" s="6">
        <v>31825</v>
      </c>
      <c r="P1206" s="6" t="s">
        <v>5125</v>
      </c>
      <c r="R1206" s="6" t="s">
        <v>3687</v>
      </c>
      <c r="S1206" s="6" t="s">
        <v>5126</v>
      </c>
      <c r="T1206" s="6">
        <v>0</v>
      </c>
      <c r="U1206" s="6">
        <v>0</v>
      </c>
      <c r="V1206" s="6">
        <v>0</v>
      </c>
      <c r="W1206" s="6">
        <v>0</v>
      </c>
      <c r="X1206" s="6" t="s">
        <v>169</v>
      </c>
      <c r="Z1206" s="6" t="s">
        <v>170</v>
      </c>
      <c r="AA1206" s="6" t="s">
        <v>171</v>
      </c>
      <c r="AB1206" s="6">
        <v>0</v>
      </c>
      <c r="AC1206" s="6" t="str">
        <f>""</f>
        <v/>
      </c>
      <c r="AS1206" s="6">
        <v>0</v>
      </c>
      <c r="AT1206" s="6">
        <v>0</v>
      </c>
    </row>
    <row r="1207" spans="2:46">
      <c r="B1207" s="6" t="s">
        <v>5041</v>
      </c>
      <c r="D1207" s="6" t="s">
        <v>3316</v>
      </c>
      <c r="F1207" s="6" t="s">
        <v>5127</v>
      </c>
      <c r="G1207" s="6" t="str">
        <f>"NC17WTTE01BKL"</f>
        <v>NC17WTTE01BKL</v>
      </c>
      <c r="H1207" s="6" t="s">
        <v>5128</v>
      </c>
      <c r="I1207" s="6" t="s">
        <v>5129</v>
      </c>
      <c r="J1207" s="6" t="str">
        <f>"CAMPER SWEATSHIRT BK"</f>
        <v>CAMPER SWEATSHIRT BK</v>
      </c>
      <c r="K1207" s="6">
        <v>0</v>
      </c>
      <c r="L1207" s="6">
        <v>0</v>
      </c>
      <c r="M1207" s="6">
        <v>0</v>
      </c>
      <c r="N1207" s="6" t="str">
        <f>""</f>
        <v/>
      </c>
      <c r="O1207" s="6">
        <v>31823</v>
      </c>
      <c r="P1207" s="6" t="s">
        <v>5128</v>
      </c>
      <c r="R1207" s="6" t="s">
        <v>5106</v>
      </c>
      <c r="S1207" s="6" t="s">
        <v>5130</v>
      </c>
      <c r="T1207" s="6">
        <v>0</v>
      </c>
      <c r="U1207" s="6">
        <v>0</v>
      </c>
      <c r="V1207" s="6">
        <v>0</v>
      </c>
      <c r="W1207" s="6">
        <v>0</v>
      </c>
      <c r="X1207" s="6" t="s">
        <v>169</v>
      </c>
      <c r="Z1207" s="6" t="s">
        <v>170</v>
      </c>
      <c r="AA1207" s="6" t="s">
        <v>171</v>
      </c>
      <c r="AB1207" s="6">
        <v>0</v>
      </c>
      <c r="AC1207" s="6" t="str">
        <f>""</f>
        <v/>
      </c>
      <c r="AS1207" s="6">
        <v>0</v>
      </c>
      <c r="AT1207" s="6">
        <v>0</v>
      </c>
    </row>
    <row r="1208" spans="2:46">
      <c r="B1208" s="6" t="s">
        <v>5041</v>
      </c>
      <c r="D1208" s="6" t="s">
        <v>3316</v>
      </c>
      <c r="F1208" s="6" t="s">
        <v>5131</v>
      </c>
      <c r="G1208" s="6" t="str">
        <f>"NC17WTTE01BKS"</f>
        <v>NC17WTTE01BKS</v>
      </c>
      <c r="H1208" s="6" t="s">
        <v>5132</v>
      </c>
      <c r="I1208" s="6" t="s">
        <v>5129</v>
      </c>
      <c r="J1208" s="6" t="str">
        <f>"CAMPER SWEATSHIRT BK"</f>
        <v>CAMPER SWEATSHIRT BK</v>
      </c>
      <c r="K1208" s="6">
        <v>0</v>
      </c>
      <c r="L1208" s="6">
        <v>0</v>
      </c>
      <c r="M1208" s="6">
        <v>0</v>
      </c>
      <c r="N1208" s="6" t="str">
        <f>""</f>
        <v/>
      </c>
      <c r="O1208" s="6">
        <v>31822</v>
      </c>
      <c r="P1208" s="6" t="s">
        <v>5132</v>
      </c>
      <c r="R1208" s="6" t="s">
        <v>606</v>
      </c>
      <c r="S1208" s="6" t="s">
        <v>5133</v>
      </c>
      <c r="T1208" s="6">
        <v>0</v>
      </c>
      <c r="U1208" s="6">
        <v>0</v>
      </c>
      <c r="V1208" s="6">
        <v>0</v>
      </c>
      <c r="W1208" s="6">
        <v>0</v>
      </c>
      <c r="X1208" s="6" t="s">
        <v>169</v>
      </c>
      <c r="Z1208" s="6" t="s">
        <v>170</v>
      </c>
      <c r="AA1208" s="6" t="s">
        <v>171</v>
      </c>
      <c r="AB1208" s="6">
        <v>0</v>
      </c>
      <c r="AC1208" s="6" t="str">
        <f>""</f>
        <v/>
      </c>
      <c r="AS1208" s="6">
        <v>0</v>
      </c>
      <c r="AT1208" s="6">
        <v>0</v>
      </c>
    </row>
    <row r="1209" spans="2:46">
      <c r="B1209" s="6" t="s">
        <v>5041</v>
      </c>
      <c r="D1209" s="6" t="s">
        <v>3316</v>
      </c>
      <c r="F1209" s="6" t="s">
        <v>5134</v>
      </c>
      <c r="G1209" s="6" t="str">
        <f>"NC17WTHD06BKL"</f>
        <v>NC17WTHD06BKL</v>
      </c>
      <c r="H1209" s="6" t="s">
        <v>5135</v>
      </c>
      <c r="I1209" s="6" t="s">
        <v>5136</v>
      </c>
      <c r="J1209" s="6" t="str">
        <f>"NOYC WIDE HOODIE BK"</f>
        <v>NOYC WIDE HOODIE BK</v>
      </c>
      <c r="K1209" s="6">
        <v>0</v>
      </c>
      <c r="L1209" s="6">
        <v>0</v>
      </c>
      <c r="M1209" s="6">
        <v>0</v>
      </c>
      <c r="N1209" s="6" t="str">
        <f>""</f>
        <v/>
      </c>
      <c r="O1209" s="6">
        <v>31820</v>
      </c>
      <c r="P1209" s="6" t="s">
        <v>5135</v>
      </c>
      <c r="R1209" s="6" t="s">
        <v>5106</v>
      </c>
      <c r="S1209" s="6" t="s">
        <v>5137</v>
      </c>
      <c r="T1209" s="6">
        <v>0</v>
      </c>
      <c r="U1209" s="6">
        <v>0</v>
      </c>
      <c r="V1209" s="6">
        <v>0</v>
      </c>
      <c r="W1209" s="6">
        <v>0</v>
      </c>
      <c r="X1209" s="6" t="s">
        <v>169</v>
      </c>
      <c r="Z1209" s="6" t="s">
        <v>170</v>
      </c>
      <c r="AA1209" s="6" t="s">
        <v>171</v>
      </c>
      <c r="AB1209" s="6">
        <v>0</v>
      </c>
      <c r="AC1209" s="6" t="str">
        <f>""</f>
        <v/>
      </c>
      <c r="AS1209" s="6">
        <v>0</v>
      </c>
      <c r="AT1209" s="6">
        <v>0</v>
      </c>
    </row>
    <row r="1210" spans="2:46">
      <c r="B1210" s="6" t="s">
        <v>5041</v>
      </c>
      <c r="D1210" s="6" t="s">
        <v>3316</v>
      </c>
      <c r="F1210" s="6" t="s">
        <v>5138</v>
      </c>
      <c r="G1210" s="6" t="str">
        <f>"NC17WTHD06BKM"</f>
        <v>NC17WTHD06BKM</v>
      </c>
      <c r="H1210" s="6" t="s">
        <v>5139</v>
      </c>
      <c r="I1210" s="6" t="s">
        <v>5136</v>
      </c>
      <c r="J1210" s="6" t="str">
        <f>"NOYC WIDE HOODIE BK"</f>
        <v>NOYC WIDE HOODIE BK</v>
      </c>
      <c r="K1210" s="6">
        <v>0</v>
      </c>
      <c r="L1210" s="6">
        <v>0</v>
      </c>
      <c r="M1210" s="6">
        <v>0</v>
      </c>
      <c r="N1210" s="6" t="str">
        <f>""</f>
        <v/>
      </c>
      <c r="O1210" s="6">
        <v>31819</v>
      </c>
      <c r="P1210" s="6" t="s">
        <v>5139</v>
      </c>
      <c r="R1210" s="6" t="s">
        <v>601</v>
      </c>
      <c r="S1210" s="6" t="s">
        <v>5140</v>
      </c>
      <c r="T1210" s="6">
        <v>0</v>
      </c>
      <c r="U1210" s="6">
        <v>0</v>
      </c>
      <c r="V1210" s="6">
        <v>0</v>
      </c>
      <c r="W1210" s="6">
        <v>0</v>
      </c>
      <c r="X1210" s="6" t="s">
        <v>169</v>
      </c>
      <c r="Z1210" s="6" t="s">
        <v>170</v>
      </c>
      <c r="AA1210" s="6" t="s">
        <v>171</v>
      </c>
      <c r="AB1210" s="6">
        <v>0</v>
      </c>
      <c r="AC1210" s="6" t="str">
        <f>""</f>
        <v/>
      </c>
      <c r="AS1210" s="6">
        <v>0</v>
      </c>
      <c r="AT1210" s="6">
        <v>0</v>
      </c>
    </row>
    <row r="1211" spans="2:46">
      <c r="B1211" s="6" t="s">
        <v>5041</v>
      </c>
      <c r="D1211" s="6" t="s">
        <v>3316</v>
      </c>
      <c r="F1211" s="6" t="s">
        <v>5141</v>
      </c>
      <c r="G1211" s="6" t="str">
        <f>"NC17WTHD06KHL"</f>
        <v>NC17WTHD06KHL</v>
      </c>
      <c r="H1211" s="6" t="s">
        <v>5142</v>
      </c>
      <c r="I1211" s="6" t="s">
        <v>5143</v>
      </c>
      <c r="J1211" s="6" t="str">
        <f>"NOYC WIDE HOODIE KH"</f>
        <v>NOYC WIDE HOODIE KH</v>
      </c>
      <c r="K1211" s="6">
        <v>0</v>
      </c>
      <c r="L1211" s="6">
        <v>0</v>
      </c>
      <c r="M1211" s="6">
        <v>0</v>
      </c>
      <c r="N1211" s="6" t="str">
        <f>""</f>
        <v/>
      </c>
      <c r="O1211" s="6">
        <v>31817</v>
      </c>
      <c r="P1211" s="6" t="s">
        <v>5142</v>
      </c>
      <c r="R1211" s="6" t="s">
        <v>5080</v>
      </c>
      <c r="S1211" s="6" t="s">
        <v>5144</v>
      </c>
      <c r="T1211" s="6">
        <v>0</v>
      </c>
      <c r="U1211" s="6">
        <v>0</v>
      </c>
      <c r="V1211" s="6">
        <v>0</v>
      </c>
      <c r="W1211" s="6">
        <v>0</v>
      </c>
      <c r="X1211" s="6" t="s">
        <v>169</v>
      </c>
      <c r="Z1211" s="6" t="s">
        <v>170</v>
      </c>
      <c r="AA1211" s="6" t="s">
        <v>171</v>
      </c>
      <c r="AB1211" s="6">
        <v>0</v>
      </c>
      <c r="AC1211" s="6" t="str">
        <f>""</f>
        <v/>
      </c>
      <c r="AS1211" s="6">
        <v>0</v>
      </c>
      <c r="AT1211" s="6">
        <v>0</v>
      </c>
    </row>
    <row r="1212" spans="2:46">
      <c r="B1212" s="6" t="s">
        <v>5041</v>
      </c>
      <c r="D1212" s="6" t="s">
        <v>3316</v>
      </c>
      <c r="F1212" s="6" t="s">
        <v>5145</v>
      </c>
      <c r="G1212" s="6" t="str">
        <f>"NC17WTHD06KHM"</f>
        <v>NC17WTHD06KHM</v>
      </c>
      <c r="H1212" s="6" t="s">
        <v>5146</v>
      </c>
      <c r="I1212" s="6" t="s">
        <v>5143</v>
      </c>
      <c r="J1212" s="6" t="str">
        <f>"NOYC WIDE HOODIE KH"</f>
        <v>NOYC WIDE HOODIE KH</v>
      </c>
      <c r="K1212" s="6">
        <v>0</v>
      </c>
      <c r="L1212" s="6">
        <v>0</v>
      </c>
      <c r="M1212" s="6">
        <v>0</v>
      </c>
      <c r="N1212" s="6" t="str">
        <f>""</f>
        <v/>
      </c>
      <c r="O1212" s="6">
        <v>31816</v>
      </c>
      <c r="P1212" s="6" t="s">
        <v>5146</v>
      </c>
      <c r="R1212" s="6" t="s">
        <v>5084</v>
      </c>
      <c r="S1212" s="6" t="s">
        <v>5147</v>
      </c>
      <c r="T1212" s="6">
        <v>0</v>
      </c>
      <c r="U1212" s="6">
        <v>0</v>
      </c>
      <c r="V1212" s="6">
        <v>0</v>
      </c>
      <c r="W1212" s="6">
        <v>0</v>
      </c>
      <c r="X1212" s="6" t="s">
        <v>169</v>
      </c>
      <c r="Z1212" s="6" t="s">
        <v>170</v>
      </c>
      <c r="AA1212" s="6" t="s">
        <v>171</v>
      </c>
      <c r="AB1212" s="6">
        <v>0</v>
      </c>
      <c r="AC1212" s="6" t="str">
        <f>""</f>
        <v/>
      </c>
      <c r="AS1212" s="6">
        <v>0</v>
      </c>
      <c r="AT1212" s="6">
        <v>0</v>
      </c>
    </row>
    <row r="1213" spans="2:46">
      <c r="B1213" s="6" t="s">
        <v>5041</v>
      </c>
      <c r="D1213" s="6" t="s">
        <v>3316</v>
      </c>
      <c r="F1213" s="6" t="s">
        <v>5148</v>
      </c>
      <c r="G1213" s="6" t="str">
        <f>"NC17WTHD05IVL"</f>
        <v>NC17WTHD05IVL</v>
      </c>
      <c r="H1213" s="6" t="s">
        <v>5149</v>
      </c>
      <c r="I1213" s="6" t="s">
        <v>5150</v>
      </c>
      <c r="J1213" s="6" t="str">
        <f>"CLW HOODIE IV"</f>
        <v>CLW HOODIE IV</v>
      </c>
      <c r="K1213" s="6">
        <v>0</v>
      </c>
      <c r="L1213" s="6">
        <v>0</v>
      </c>
      <c r="M1213" s="6">
        <v>0</v>
      </c>
      <c r="N1213" s="6" t="str">
        <f>""</f>
        <v/>
      </c>
      <c r="O1213" s="6">
        <v>31814</v>
      </c>
      <c r="P1213" s="6" t="s">
        <v>5149</v>
      </c>
      <c r="R1213" s="6" t="s">
        <v>5122</v>
      </c>
      <c r="S1213" s="6" t="s">
        <v>5151</v>
      </c>
      <c r="T1213" s="6">
        <v>0</v>
      </c>
      <c r="U1213" s="6">
        <v>0</v>
      </c>
      <c r="V1213" s="6">
        <v>0</v>
      </c>
      <c r="W1213" s="6">
        <v>0</v>
      </c>
      <c r="X1213" s="6" t="s">
        <v>169</v>
      </c>
      <c r="Z1213" s="6" t="s">
        <v>170</v>
      </c>
      <c r="AA1213" s="6" t="s">
        <v>171</v>
      </c>
      <c r="AB1213" s="6">
        <v>0</v>
      </c>
      <c r="AC1213" s="6" t="str">
        <f>""</f>
        <v/>
      </c>
      <c r="AS1213" s="6">
        <v>0</v>
      </c>
      <c r="AT1213" s="6">
        <v>0</v>
      </c>
    </row>
    <row r="1214" spans="2:46">
      <c r="B1214" s="6" t="s">
        <v>5041</v>
      </c>
      <c r="D1214" s="6" t="s">
        <v>3316</v>
      </c>
      <c r="F1214" s="6" t="s">
        <v>5152</v>
      </c>
      <c r="G1214" s="6" t="str">
        <f>"NC17WTHD05IVM"</f>
        <v>NC17WTHD05IVM</v>
      </c>
      <c r="H1214" s="6" t="s">
        <v>5153</v>
      </c>
      <c r="I1214" s="6" t="s">
        <v>5150</v>
      </c>
      <c r="J1214" s="6" t="str">
        <f>"CLW HOODIE IV"</f>
        <v>CLW HOODIE IV</v>
      </c>
      <c r="K1214" s="6">
        <v>0</v>
      </c>
      <c r="L1214" s="6">
        <v>0</v>
      </c>
      <c r="M1214" s="6">
        <v>0</v>
      </c>
      <c r="N1214" s="6" t="str">
        <f>""</f>
        <v/>
      </c>
      <c r="O1214" s="6">
        <v>31813</v>
      </c>
      <c r="P1214" s="6" t="s">
        <v>5153</v>
      </c>
      <c r="R1214" s="6" t="s">
        <v>3683</v>
      </c>
      <c r="S1214" s="6" t="s">
        <v>5154</v>
      </c>
      <c r="T1214" s="6">
        <v>0</v>
      </c>
      <c r="U1214" s="6">
        <v>0</v>
      </c>
      <c r="V1214" s="6">
        <v>0</v>
      </c>
      <c r="W1214" s="6">
        <v>0</v>
      </c>
      <c r="X1214" s="6" t="s">
        <v>169</v>
      </c>
      <c r="Z1214" s="6" t="s">
        <v>170</v>
      </c>
      <c r="AA1214" s="6" t="s">
        <v>171</v>
      </c>
      <c r="AB1214" s="6">
        <v>0</v>
      </c>
      <c r="AC1214" s="6" t="str">
        <f>""</f>
        <v/>
      </c>
      <c r="AS1214" s="6">
        <v>0</v>
      </c>
      <c r="AT1214" s="6">
        <v>0</v>
      </c>
    </row>
    <row r="1215" spans="2:46">
      <c r="B1215" s="6" t="s">
        <v>5041</v>
      </c>
      <c r="D1215" s="6" t="s">
        <v>3316</v>
      </c>
      <c r="F1215" s="6" t="s">
        <v>5155</v>
      </c>
      <c r="G1215" s="6" t="str">
        <f>"NC17WTHD04IVL"</f>
        <v>NC17WTHD04IVL</v>
      </c>
      <c r="H1215" s="6" t="s">
        <v>5156</v>
      </c>
      <c r="I1215" s="6" t="s">
        <v>5157</v>
      </c>
      <c r="J1215" s="6" t="str">
        <f>"NC HIMALAYAS HOODIE IV"</f>
        <v>NC HIMALAYAS HOODIE IV</v>
      </c>
      <c r="K1215" s="6">
        <v>0</v>
      </c>
      <c r="L1215" s="6">
        <v>0</v>
      </c>
      <c r="M1215" s="6">
        <v>0</v>
      </c>
      <c r="N1215" s="6" t="str">
        <f>""</f>
        <v/>
      </c>
      <c r="O1215" s="6">
        <v>31811</v>
      </c>
      <c r="P1215" s="6" t="s">
        <v>5156</v>
      </c>
      <c r="R1215" s="6" t="s">
        <v>5122</v>
      </c>
      <c r="S1215" s="6" t="s">
        <v>5158</v>
      </c>
      <c r="T1215" s="6">
        <v>0</v>
      </c>
      <c r="U1215" s="6">
        <v>0</v>
      </c>
      <c r="V1215" s="6">
        <v>0</v>
      </c>
      <c r="W1215" s="6">
        <v>0</v>
      </c>
      <c r="X1215" s="6" t="s">
        <v>169</v>
      </c>
      <c r="Z1215" s="6" t="s">
        <v>170</v>
      </c>
      <c r="AA1215" s="6" t="s">
        <v>171</v>
      </c>
      <c r="AB1215" s="6">
        <v>0</v>
      </c>
      <c r="AC1215" s="6" t="str">
        <f>""</f>
        <v/>
      </c>
      <c r="AS1215" s="6">
        <v>0</v>
      </c>
      <c r="AT1215" s="6">
        <v>0</v>
      </c>
    </row>
    <row r="1216" spans="2:46">
      <c r="B1216" s="6" t="s">
        <v>5041</v>
      </c>
      <c r="D1216" s="6" t="s">
        <v>3316</v>
      </c>
      <c r="F1216" s="6" t="s">
        <v>5159</v>
      </c>
      <c r="G1216" s="6" t="str">
        <f>"NC17WTHD04IVM"</f>
        <v>NC17WTHD04IVM</v>
      </c>
      <c r="H1216" s="6" t="s">
        <v>5160</v>
      </c>
      <c r="I1216" s="6" t="s">
        <v>5157</v>
      </c>
      <c r="J1216" s="6" t="str">
        <f>"NC HIMALAYAS HOODIE IV"</f>
        <v>NC HIMALAYAS HOODIE IV</v>
      </c>
      <c r="K1216" s="6">
        <v>0</v>
      </c>
      <c r="L1216" s="6">
        <v>0</v>
      </c>
      <c r="M1216" s="6">
        <v>0</v>
      </c>
      <c r="N1216" s="6" t="str">
        <f>""</f>
        <v/>
      </c>
      <c r="O1216" s="6">
        <v>31810</v>
      </c>
      <c r="P1216" s="6" t="s">
        <v>5160</v>
      </c>
      <c r="R1216" s="6" t="s">
        <v>3683</v>
      </c>
      <c r="S1216" s="6" t="s">
        <v>5161</v>
      </c>
      <c r="T1216" s="6">
        <v>0</v>
      </c>
      <c r="U1216" s="6">
        <v>0</v>
      </c>
      <c r="V1216" s="6">
        <v>0</v>
      </c>
      <c r="W1216" s="6">
        <v>0</v>
      </c>
      <c r="X1216" s="6" t="s">
        <v>169</v>
      </c>
      <c r="Z1216" s="6" t="s">
        <v>170</v>
      </c>
      <c r="AA1216" s="6" t="s">
        <v>171</v>
      </c>
      <c r="AB1216" s="6">
        <v>0</v>
      </c>
      <c r="AC1216" s="6" t="str">
        <f>""</f>
        <v/>
      </c>
      <c r="AS1216" s="6">
        <v>0</v>
      </c>
      <c r="AT1216" s="6">
        <v>0</v>
      </c>
    </row>
    <row r="1217" spans="2:46">
      <c r="B1217" s="6" t="s">
        <v>5041</v>
      </c>
      <c r="D1217" s="6" t="s">
        <v>3316</v>
      </c>
      <c r="F1217" s="6" t="s">
        <v>5162</v>
      </c>
      <c r="G1217" s="6" t="str">
        <f>"NC17WTHD04BKL"</f>
        <v>NC17WTHD04BKL</v>
      </c>
      <c r="H1217" s="6" t="s">
        <v>5163</v>
      </c>
      <c r="I1217" s="6" t="s">
        <v>5164</v>
      </c>
      <c r="J1217" s="6" t="str">
        <f>"NC HIMALAYAS HOODIE BK"</f>
        <v>NC HIMALAYAS HOODIE BK</v>
      </c>
      <c r="K1217" s="6">
        <v>0</v>
      </c>
      <c r="L1217" s="6">
        <v>0</v>
      </c>
      <c r="M1217" s="6">
        <v>0</v>
      </c>
      <c r="N1217" s="6" t="str">
        <f>""</f>
        <v/>
      </c>
      <c r="O1217" s="6">
        <v>31808</v>
      </c>
      <c r="P1217" s="6" t="s">
        <v>5163</v>
      </c>
      <c r="R1217" s="6" t="s">
        <v>5106</v>
      </c>
      <c r="S1217" s="6" t="s">
        <v>5165</v>
      </c>
      <c r="T1217" s="6">
        <v>0</v>
      </c>
      <c r="U1217" s="6">
        <v>0</v>
      </c>
      <c r="V1217" s="6">
        <v>0</v>
      </c>
      <c r="W1217" s="6">
        <v>0</v>
      </c>
      <c r="X1217" s="6" t="s">
        <v>169</v>
      </c>
      <c r="Z1217" s="6" t="s">
        <v>170</v>
      </c>
      <c r="AA1217" s="6" t="s">
        <v>171</v>
      </c>
      <c r="AB1217" s="6">
        <v>0</v>
      </c>
      <c r="AC1217" s="6" t="str">
        <f>""</f>
        <v/>
      </c>
      <c r="AS1217" s="6">
        <v>0</v>
      </c>
      <c r="AT1217" s="6">
        <v>0</v>
      </c>
    </row>
    <row r="1218" spans="2:46">
      <c r="B1218" s="6" t="s">
        <v>5041</v>
      </c>
      <c r="D1218" s="6" t="s">
        <v>3316</v>
      </c>
      <c r="F1218" s="6" t="s">
        <v>5166</v>
      </c>
      <c r="G1218" s="6" t="str">
        <f>"NC17WTHD04BKM"</f>
        <v>NC17WTHD04BKM</v>
      </c>
      <c r="H1218" s="6" t="s">
        <v>5167</v>
      </c>
      <c r="I1218" s="6" t="s">
        <v>5164</v>
      </c>
      <c r="J1218" s="6" t="str">
        <f>"NC HIMALAYAS HOODIE BK"</f>
        <v>NC HIMALAYAS HOODIE BK</v>
      </c>
      <c r="K1218" s="6">
        <v>0</v>
      </c>
      <c r="L1218" s="6">
        <v>0</v>
      </c>
      <c r="M1218" s="6">
        <v>0</v>
      </c>
      <c r="N1218" s="6" t="str">
        <f>""</f>
        <v/>
      </c>
      <c r="O1218" s="6">
        <v>31807</v>
      </c>
      <c r="P1218" s="6" t="s">
        <v>5167</v>
      </c>
      <c r="R1218" s="6" t="s">
        <v>601</v>
      </c>
      <c r="S1218" s="6" t="s">
        <v>5168</v>
      </c>
      <c r="T1218" s="6">
        <v>0</v>
      </c>
      <c r="U1218" s="6">
        <v>0</v>
      </c>
      <c r="V1218" s="6">
        <v>0</v>
      </c>
      <c r="W1218" s="6">
        <v>0</v>
      </c>
      <c r="X1218" s="6" t="s">
        <v>169</v>
      </c>
      <c r="Z1218" s="6" t="s">
        <v>170</v>
      </c>
      <c r="AA1218" s="6" t="s">
        <v>171</v>
      </c>
      <c r="AB1218" s="6">
        <v>0</v>
      </c>
      <c r="AC1218" s="6" t="str">
        <f>""</f>
        <v/>
      </c>
      <c r="AS1218" s="6">
        <v>0</v>
      </c>
      <c r="AT1218" s="6">
        <v>0</v>
      </c>
    </row>
    <row r="1219" spans="2:46">
      <c r="B1219" s="6" t="s">
        <v>5041</v>
      </c>
      <c r="D1219" s="6" t="s">
        <v>3316</v>
      </c>
      <c r="F1219" s="6" t="s">
        <v>5169</v>
      </c>
      <c r="G1219" s="6" t="str">
        <f>"NC17WTHD03IVL"</f>
        <v>NC17WTHD03IVL</v>
      </c>
      <c r="H1219" s="6" t="s">
        <v>5170</v>
      </c>
      <c r="I1219" s="6" t="s">
        <v>5171</v>
      </c>
      <c r="J1219" s="6" t="str">
        <f>"EVEREST FLEECE HOODIE IV"</f>
        <v>EVEREST FLEECE HOODIE IV</v>
      </c>
      <c r="K1219" s="6">
        <v>0</v>
      </c>
      <c r="L1219" s="6">
        <v>0</v>
      </c>
      <c r="M1219" s="6">
        <v>0</v>
      </c>
      <c r="N1219" s="6" t="str">
        <f>""</f>
        <v/>
      </c>
      <c r="O1219" s="6">
        <v>31805</v>
      </c>
      <c r="P1219" s="6" t="s">
        <v>5170</v>
      </c>
      <c r="R1219" s="6" t="s">
        <v>5122</v>
      </c>
      <c r="S1219" s="6" t="s">
        <v>5172</v>
      </c>
      <c r="T1219" s="6">
        <v>0</v>
      </c>
      <c r="U1219" s="6">
        <v>0</v>
      </c>
      <c r="V1219" s="6">
        <v>0</v>
      </c>
      <c r="W1219" s="6">
        <v>0</v>
      </c>
      <c r="X1219" s="6" t="s">
        <v>169</v>
      </c>
      <c r="Z1219" s="6" t="s">
        <v>170</v>
      </c>
      <c r="AA1219" s="6" t="s">
        <v>171</v>
      </c>
      <c r="AB1219" s="6">
        <v>0</v>
      </c>
      <c r="AC1219" s="6" t="str">
        <f>""</f>
        <v/>
      </c>
      <c r="AS1219" s="6">
        <v>0</v>
      </c>
      <c r="AT1219" s="6">
        <v>0</v>
      </c>
    </row>
    <row r="1220" spans="2:46">
      <c r="B1220" s="6" t="s">
        <v>5041</v>
      </c>
      <c r="D1220" s="6" t="s">
        <v>3316</v>
      </c>
      <c r="F1220" s="6" t="s">
        <v>5173</v>
      </c>
      <c r="G1220" s="6" t="str">
        <f>"NC17WTHD03IVM"</f>
        <v>NC17WTHD03IVM</v>
      </c>
      <c r="H1220" s="6" t="s">
        <v>5174</v>
      </c>
      <c r="I1220" s="6" t="s">
        <v>5171</v>
      </c>
      <c r="J1220" s="6" t="str">
        <f>"EVEREST FLEECE HOODIE IV"</f>
        <v>EVEREST FLEECE HOODIE IV</v>
      </c>
      <c r="K1220" s="6">
        <v>0</v>
      </c>
      <c r="L1220" s="6">
        <v>0</v>
      </c>
      <c r="M1220" s="6">
        <v>0</v>
      </c>
      <c r="N1220" s="6" t="str">
        <f>""</f>
        <v/>
      </c>
      <c r="O1220" s="6">
        <v>31804</v>
      </c>
      <c r="P1220" s="6" t="s">
        <v>5174</v>
      </c>
      <c r="R1220" s="6" t="s">
        <v>3683</v>
      </c>
      <c r="S1220" s="6" t="s">
        <v>5175</v>
      </c>
      <c r="T1220" s="6">
        <v>0</v>
      </c>
      <c r="U1220" s="6">
        <v>0</v>
      </c>
      <c r="V1220" s="6">
        <v>0</v>
      </c>
      <c r="W1220" s="6">
        <v>0</v>
      </c>
      <c r="X1220" s="6" t="s">
        <v>169</v>
      </c>
      <c r="Z1220" s="6" t="s">
        <v>170</v>
      </c>
      <c r="AA1220" s="6" t="s">
        <v>171</v>
      </c>
      <c r="AB1220" s="6">
        <v>0</v>
      </c>
      <c r="AC1220" s="6" t="str">
        <f>""</f>
        <v/>
      </c>
      <c r="AS1220" s="6">
        <v>0</v>
      </c>
      <c r="AT1220" s="6">
        <v>0</v>
      </c>
    </row>
    <row r="1221" spans="2:46">
      <c r="B1221" s="6" t="s">
        <v>5041</v>
      </c>
      <c r="D1221" s="6" t="s">
        <v>3316</v>
      </c>
      <c r="F1221" s="6" t="s">
        <v>5176</v>
      </c>
      <c r="G1221" s="6" t="str">
        <f>"NC17WTHD03NYL"</f>
        <v>NC17WTHD03NYL</v>
      </c>
      <c r="H1221" s="6" t="s">
        <v>5177</v>
      </c>
      <c r="I1221" s="6" t="s">
        <v>5178</v>
      </c>
      <c r="J1221" s="6" t="str">
        <f>"EVEREST FLEECE HOODIE NY"</f>
        <v>EVEREST FLEECE HOODIE NY</v>
      </c>
      <c r="K1221" s="6">
        <v>0</v>
      </c>
      <c r="L1221" s="6">
        <v>0</v>
      </c>
      <c r="M1221" s="6">
        <v>0</v>
      </c>
      <c r="N1221" s="6" t="str">
        <f>""</f>
        <v/>
      </c>
      <c r="O1221" s="6">
        <v>31802</v>
      </c>
      <c r="P1221" s="6" t="s">
        <v>5177</v>
      </c>
      <c r="R1221" s="6" t="s">
        <v>5089</v>
      </c>
      <c r="S1221" s="6" t="s">
        <v>5179</v>
      </c>
      <c r="T1221" s="6">
        <v>0</v>
      </c>
      <c r="U1221" s="6">
        <v>0</v>
      </c>
      <c r="V1221" s="6">
        <v>0</v>
      </c>
      <c r="W1221" s="6">
        <v>0</v>
      </c>
      <c r="X1221" s="6" t="s">
        <v>169</v>
      </c>
      <c r="Z1221" s="6" t="s">
        <v>170</v>
      </c>
      <c r="AA1221" s="6" t="s">
        <v>171</v>
      </c>
      <c r="AB1221" s="6">
        <v>0</v>
      </c>
      <c r="AC1221" s="6" t="str">
        <f>""</f>
        <v/>
      </c>
      <c r="AS1221" s="6">
        <v>0</v>
      </c>
      <c r="AT1221" s="6">
        <v>0</v>
      </c>
    </row>
    <row r="1222" spans="2:46">
      <c r="B1222" s="6" t="s">
        <v>5041</v>
      </c>
      <c r="D1222" s="6" t="s">
        <v>3316</v>
      </c>
      <c r="F1222" s="6" t="s">
        <v>5180</v>
      </c>
      <c r="G1222" s="6" t="str">
        <f>"NC17WTHD03NYM"</f>
        <v>NC17WTHD03NYM</v>
      </c>
      <c r="H1222" s="6" t="s">
        <v>5181</v>
      </c>
      <c r="I1222" s="6" t="s">
        <v>5178</v>
      </c>
      <c r="J1222" s="6" t="str">
        <f>"EVEREST FLEECE HOODIE NY"</f>
        <v>EVEREST FLEECE HOODIE NY</v>
      </c>
      <c r="K1222" s="6">
        <v>0</v>
      </c>
      <c r="L1222" s="6">
        <v>0</v>
      </c>
      <c r="M1222" s="6">
        <v>0</v>
      </c>
      <c r="N1222" s="6" t="str">
        <f>""</f>
        <v/>
      </c>
      <c r="O1222" s="6">
        <v>31801</v>
      </c>
      <c r="P1222" s="6" t="s">
        <v>5181</v>
      </c>
      <c r="R1222" s="6" t="s">
        <v>571</v>
      </c>
      <c r="S1222" s="6" t="s">
        <v>5182</v>
      </c>
      <c r="T1222" s="6">
        <v>0</v>
      </c>
      <c r="U1222" s="6">
        <v>0</v>
      </c>
      <c r="V1222" s="6">
        <v>0</v>
      </c>
      <c r="W1222" s="6">
        <v>0</v>
      </c>
      <c r="X1222" s="6" t="s">
        <v>169</v>
      </c>
      <c r="Z1222" s="6" t="s">
        <v>170</v>
      </c>
      <c r="AA1222" s="6" t="s">
        <v>171</v>
      </c>
      <c r="AB1222" s="6">
        <v>0</v>
      </c>
      <c r="AC1222" s="6" t="str">
        <f>""</f>
        <v/>
      </c>
      <c r="AS1222" s="6">
        <v>0</v>
      </c>
      <c r="AT1222" s="6">
        <v>0</v>
      </c>
    </row>
    <row r="1223" spans="2:46">
      <c r="B1223" s="6" t="s">
        <v>5041</v>
      </c>
      <c r="D1223" s="6" t="s">
        <v>3316</v>
      </c>
      <c r="F1223" s="6" t="s">
        <v>5183</v>
      </c>
      <c r="G1223" s="6" t="str">
        <f>"NC17WTHD02BKL"</f>
        <v>NC17WTHD02BKL</v>
      </c>
      <c r="H1223" s="6" t="s">
        <v>5184</v>
      </c>
      <c r="I1223" s="6" t="s">
        <v>5185</v>
      </c>
      <c r="J1223" s="6" t="str">
        <f>"CLIMBER HOODIE BK"</f>
        <v>CLIMBER HOODIE BK</v>
      </c>
      <c r="K1223" s="6">
        <v>0</v>
      </c>
      <c r="L1223" s="6">
        <v>0</v>
      </c>
      <c r="M1223" s="6">
        <v>0</v>
      </c>
      <c r="N1223" s="6" t="str">
        <f>""</f>
        <v/>
      </c>
      <c r="O1223" s="6">
        <v>31799</v>
      </c>
      <c r="P1223" s="6" t="s">
        <v>5184</v>
      </c>
      <c r="R1223" s="6" t="s">
        <v>5106</v>
      </c>
      <c r="S1223" s="6" t="s">
        <v>5186</v>
      </c>
      <c r="T1223" s="6">
        <v>0</v>
      </c>
      <c r="U1223" s="6">
        <v>0</v>
      </c>
      <c r="V1223" s="6">
        <v>0</v>
      </c>
      <c r="W1223" s="6">
        <v>0</v>
      </c>
      <c r="X1223" s="6" t="s">
        <v>169</v>
      </c>
      <c r="Z1223" s="6" t="s">
        <v>170</v>
      </c>
      <c r="AA1223" s="6" t="s">
        <v>171</v>
      </c>
      <c r="AB1223" s="6">
        <v>0</v>
      </c>
      <c r="AC1223" s="6" t="str">
        <f>""</f>
        <v/>
      </c>
      <c r="AS1223" s="6">
        <v>0</v>
      </c>
      <c r="AT1223" s="6">
        <v>0</v>
      </c>
    </row>
    <row r="1224" spans="2:46">
      <c r="B1224" s="6" t="s">
        <v>5041</v>
      </c>
      <c r="D1224" s="6" t="s">
        <v>3316</v>
      </c>
      <c r="F1224" s="6" t="s">
        <v>5187</v>
      </c>
      <c r="G1224" s="6" t="str">
        <f>"NC17WTHD02BKM"</f>
        <v>NC17WTHD02BKM</v>
      </c>
      <c r="H1224" s="6" t="s">
        <v>5188</v>
      </c>
      <c r="I1224" s="6" t="s">
        <v>5185</v>
      </c>
      <c r="J1224" s="6" t="str">
        <f>"CLIMBER HOODIE BK"</f>
        <v>CLIMBER HOODIE BK</v>
      </c>
      <c r="K1224" s="6">
        <v>0</v>
      </c>
      <c r="L1224" s="6">
        <v>0</v>
      </c>
      <c r="M1224" s="6">
        <v>0</v>
      </c>
      <c r="N1224" s="6" t="str">
        <f>""</f>
        <v/>
      </c>
      <c r="O1224" s="6">
        <v>31798</v>
      </c>
      <c r="P1224" s="6" t="s">
        <v>5188</v>
      </c>
      <c r="R1224" s="6" t="s">
        <v>601</v>
      </c>
      <c r="S1224" s="6" t="s">
        <v>5189</v>
      </c>
      <c r="T1224" s="6">
        <v>0</v>
      </c>
      <c r="U1224" s="6">
        <v>0</v>
      </c>
      <c r="V1224" s="6">
        <v>0</v>
      </c>
      <c r="W1224" s="6">
        <v>0</v>
      </c>
      <c r="X1224" s="6" t="s">
        <v>169</v>
      </c>
      <c r="Z1224" s="6" t="s">
        <v>170</v>
      </c>
      <c r="AA1224" s="6" t="s">
        <v>171</v>
      </c>
      <c r="AB1224" s="6">
        <v>0</v>
      </c>
      <c r="AC1224" s="6" t="str">
        <f>""</f>
        <v/>
      </c>
      <c r="AS1224" s="6">
        <v>0</v>
      </c>
      <c r="AT1224" s="6">
        <v>0</v>
      </c>
    </row>
    <row r="1225" spans="2:46">
      <c r="B1225" s="6" t="s">
        <v>5041</v>
      </c>
      <c r="D1225" s="6" t="s">
        <v>3316</v>
      </c>
      <c r="F1225" s="6" t="s">
        <v>5190</v>
      </c>
      <c r="G1225" s="6" t="str">
        <f>"NC17WTHD02WHL"</f>
        <v>NC17WTHD02WHL</v>
      </c>
      <c r="H1225" s="6" t="s">
        <v>5191</v>
      </c>
      <c r="I1225" s="6" t="s">
        <v>5192</v>
      </c>
      <c r="J1225" s="6" t="str">
        <f>"CLIMBER HOODIE WH"</f>
        <v>CLIMBER HOODIE WH</v>
      </c>
      <c r="K1225" s="6">
        <v>0</v>
      </c>
      <c r="L1225" s="6">
        <v>0</v>
      </c>
      <c r="M1225" s="6">
        <v>0</v>
      </c>
      <c r="N1225" s="6" t="str">
        <f>""</f>
        <v/>
      </c>
      <c r="O1225" s="6">
        <v>31796</v>
      </c>
      <c r="P1225" s="6" t="s">
        <v>5191</v>
      </c>
      <c r="R1225" s="6" t="s">
        <v>5193</v>
      </c>
      <c r="S1225" s="6" t="s">
        <v>5194</v>
      </c>
      <c r="T1225" s="6">
        <v>0</v>
      </c>
      <c r="U1225" s="6">
        <v>0</v>
      </c>
      <c r="V1225" s="6">
        <v>0</v>
      </c>
      <c r="W1225" s="6">
        <v>0</v>
      </c>
      <c r="X1225" s="6" t="s">
        <v>169</v>
      </c>
      <c r="Z1225" s="6" t="s">
        <v>170</v>
      </c>
      <c r="AA1225" s="6" t="s">
        <v>171</v>
      </c>
      <c r="AB1225" s="6">
        <v>0</v>
      </c>
      <c r="AC1225" s="6" t="str">
        <f>""</f>
        <v/>
      </c>
      <c r="AS1225" s="6">
        <v>0</v>
      </c>
      <c r="AT1225" s="6">
        <v>0</v>
      </c>
    </row>
    <row r="1226" spans="2:46">
      <c r="B1226" s="6" t="s">
        <v>5041</v>
      </c>
      <c r="D1226" s="6" t="s">
        <v>3316</v>
      </c>
      <c r="F1226" s="6" t="s">
        <v>5195</v>
      </c>
      <c r="G1226" s="6" t="str">
        <f>"NC17WTHD02WHM"</f>
        <v>NC17WTHD02WHM</v>
      </c>
      <c r="H1226" s="6" t="s">
        <v>5196</v>
      </c>
      <c r="I1226" s="6" t="s">
        <v>5192</v>
      </c>
      <c r="J1226" s="6" t="str">
        <f>"CLIMBER HOODIE WH"</f>
        <v>CLIMBER HOODIE WH</v>
      </c>
      <c r="K1226" s="6">
        <v>0</v>
      </c>
      <c r="L1226" s="6">
        <v>0</v>
      </c>
      <c r="M1226" s="6">
        <v>0</v>
      </c>
      <c r="N1226" s="6" t="str">
        <f>""</f>
        <v/>
      </c>
      <c r="O1226" s="6">
        <v>31795</v>
      </c>
      <c r="P1226" s="6" t="s">
        <v>5196</v>
      </c>
      <c r="R1226" s="6" t="s">
        <v>5197</v>
      </c>
      <c r="S1226" s="6" t="s">
        <v>5198</v>
      </c>
      <c r="T1226" s="6">
        <v>0</v>
      </c>
      <c r="U1226" s="6">
        <v>0</v>
      </c>
      <c r="V1226" s="6">
        <v>0</v>
      </c>
      <c r="W1226" s="6">
        <v>0</v>
      </c>
      <c r="X1226" s="6" t="s">
        <v>169</v>
      </c>
      <c r="Z1226" s="6" t="s">
        <v>170</v>
      </c>
      <c r="AA1226" s="6" t="s">
        <v>171</v>
      </c>
      <c r="AB1226" s="6">
        <v>0</v>
      </c>
      <c r="AC1226" s="6" t="str">
        <f>""</f>
        <v/>
      </c>
      <c r="AS1226" s="6">
        <v>0</v>
      </c>
      <c r="AT1226" s="6">
        <v>0</v>
      </c>
    </row>
    <row r="1227" spans="2:46">
      <c r="B1227" s="6" t="s">
        <v>5041</v>
      </c>
      <c r="D1227" s="6" t="s">
        <v>3316</v>
      </c>
      <c r="F1227" s="6" t="s">
        <v>5199</v>
      </c>
      <c r="G1227" s="6" t="str">
        <f>"NC17WTHD02KHL"</f>
        <v>NC17WTHD02KHL</v>
      </c>
      <c r="H1227" s="6" t="s">
        <v>5200</v>
      </c>
      <c r="I1227" s="6" t="s">
        <v>5201</v>
      </c>
      <c r="J1227" s="6" t="str">
        <f>"CLIMBER HOODIE KH"</f>
        <v>CLIMBER HOODIE KH</v>
      </c>
      <c r="K1227" s="6">
        <v>0</v>
      </c>
      <c r="L1227" s="6">
        <v>0</v>
      </c>
      <c r="M1227" s="6">
        <v>0</v>
      </c>
      <c r="N1227" s="6" t="str">
        <f>""</f>
        <v/>
      </c>
      <c r="O1227" s="6">
        <v>31793</v>
      </c>
      <c r="P1227" s="6" t="s">
        <v>5200</v>
      </c>
      <c r="R1227" s="6" t="s">
        <v>5080</v>
      </c>
      <c r="S1227" s="6" t="s">
        <v>5202</v>
      </c>
      <c r="T1227" s="6">
        <v>0</v>
      </c>
      <c r="U1227" s="6">
        <v>0</v>
      </c>
      <c r="V1227" s="6">
        <v>0</v>
      </c>
      <c r="W1227" s="6">
        <v>0</v>
      </c>
      <c r="X1227" s="6" t="s">
        <v>169</v>
      </c>
      <c r="Z1227" s="6" t="s">
        <v>170</v>
      </c>
      <c r="AA1227" s="6" t="s">
        <v>171</v>
      </c>
      <c r="AB1227" s="6">
        <v>0</v>
      </c>
      <c r="AC1227" s="6" t="str">
        <f>""</f>
        <v/>
      </c>
      <c r="AS1227" s="6">
        <v>0</v>
      </c>
      <c r="AT1227" s="6">
        <v>0</v>
      </c>
    </row>
    <row r="1228" spans="2:46">
      <c r="B1228" s="6" t="s">
        <v>5041</v>
      </c>
      <c r="D1228" s="6" t="s">
        <v>3316</v>
      </c>
      <c r="F1228" s="6" t="s">
        <v>5203</v>
      </c>
      <c r="G1228" s="6" t="str">
        <f>"NC17WTHD02KHM"</f>
        <v>NC17WTHD02KHM</v>
      </c>
      <c r="H1228" s="6" t="s">
        <v>5204</v>
      </c>
      <c r="I1228" s="6" t="s">
        <v>5201</v>
      </c>
      <c r="J1228" s="6" t="str">
        <f>"CLIMBER HOODIE KH"</f>
        <v>CLIMBER HOODIE KH</v>
      </c>
      <c r="K1228" s="6">
        <v>0</v>
      </c>
      <c r="L1228" s="6">
        <v>0</v>
      </c>
      <c r="M1228" s="6">
        <v>0</v>
      </c>
      <c r="N1228" s="6" t="str">
        <f>""</f>
        <v/>
      </c>
      <c r="O1228" s="6">
        <v>31792</v>
      </c>
      <c r="P1228" s="6" t="s">
        <v>5204</v>
      </c>
      <c r="R1228" s="6" t="s">
        <v>5084</v>
      </c>
      <c r="S1228" s="6" t="s">
        <v>5205</v>
      </c>
      <c r="T1228" s="6">
        <v>0</v>
      </c>
      <c r="U1228" s="6">
        <v>0</v>
      </c>
      <c r="V1228" s="6">
        <v>0</v>
      </c>
      <c r="W1228" s="6">
        <v>0</v>
      </c>
      <c r="X1228" s="6" t="s">
        <v>169</v>
      </c>
      <c r="Z1228" s="6" t="s">
        <v>170</v>
      </c>
      <c r="AA1228" s="6" t="s">
        <v>171</v>
      </c>
      <c r="AB1228" s="6">
        <v>0</v>
      </c>
      <c r="AC1228" s="6" t="str">
        <f>""</f>
        <v/>
      </c>
      <c r="AS1228" s="6">
        <v>0</v>
      </c>
      <c r="AT1228" s="6">
        <v>0</v>
      </c>
    </row>
    <row r="1229" spans="2:46">
      <c r="B1229" s="6" t="s">
        <v>5041</v>
      </c>
      <c r="D1229" s="6" t="s">
        <v>3316</v>
      </c>
      <c r="F1229" s="6" t="s">
        <v>5206</v>
      </c>
      <c r="G1229" s="6" t="str">
        <f>"NC17WTHD01GYL"</f>
        <v>NC17WTHD01GYL</v>
      </c>
      <c r="H1229" s="6" t="s">
        <v>5207</v>
      </c>
      <c r="I1229" s="6" t="s">
        <v>5208</v>
      </c>
      <c r="J1229" s="6" t="str">
        <f>"BRAND LOGO HOODIE GY"</f>
        <v>BRAND LOGO HOODIE GY</v>
      </c>
      <c r="K1229" s="6">
        <v>0</v>
      </c>
      <c r="L1229" s="6">
        <v>0</v>
      </c>
      <c r="M1229" s="6">
        <v>0</v>
      </c>
      <c r="N1229" s="6" t="str">
        <f>""</f>
        <v/>
      </c>
      <c r="O1229" s="6">
        <v>31790</v>
      </c>
      <c r="P1229" s="6" t="s">
        <v>5207</v>
      </c>
      <c r="R1229" s="6" t="s">
        <v>5097</v>
      </c>
      <c r="S1229" s="6" t="s">
        <v>5209</v>
      </c>
      <c r="T1229" s="6">
        <v>0</v>
      </c>
      <c r="U1229" s="6">
        <v>0</v>
      </c>
      <c r="V1229" s="6">
        <v>0</v>
      </c>
      <c r="W1229" s="6">
        <v>0</v>
      </c>
      <c r="X1229" s="6" t="s">
        <v>169</v>
      </c>
      <c r="Z1229" s="6" t="s">
        <v>170</v>
      </c>
      <c r="AA1229" s="6" t="s">
        <v>171</v>
      </c>
      <c r="AB1229" s="6">
        <v>0</v>
      </c>
      <c r="AC1229" s="6" t="str">
        <f>""</f>
        <v/>
      </c>
      <c r="AS1229" s="6">
        <v>0</v>
      </c>
      <c r="AT1229" s="6">
        <v>0</v>
      </c>
    </row>
    <row r="1230" spans="2:46">
      <c r="B1230" s="6" t="s">
        <v>5041</v>
      </c>
      <c r="D1230" s="6" t="s">
        <v>3316</v>
      </c>
      <c r="F1230" s="6" t="s">
        <v>5210</v>
      </c>
      <c r="G1230" s="6" t="str">
        <f>"NC17WTHD01GYM"</f>
        <v>NC17WTHD01GYM</v>
      </c>
      <c r="H1230" s="6" t="s">
        <v>5211</v>
      </c>
      <c r="I1230" s="6" t="s">
        <v>5208</v>
      </c>
      <c r="J1230" s="6" t="str">
        <f>"BRAND LOGO HOODIE GY"</f>
        <v>BRAND LOGO HOODIE GY</v>
      </c>
      <c r="K1230" s="6">
        <v>0</v>
      </c>
      <c r="L1230" s="6">
        <v>0</v>
      </c>
      <c r="M1230" s="6">
        <v>0</v>
      </c>
      <c r="N1230" s="6" t="str">
        <f>""</f>
        <v/>
      </c>
      <c r="O1230" s="6">
        <v>31789</v>
      </c>
      <c r="P1230" s="6" t="s">
        <v>5211</v>
      </c>
      <c r="R1230" s="6" t="s">
        <v>5212</v>
      </c>
      <c r="S1230" s="6" t="s">
        <v>5213</v>
      </c>
      <c r="T1230" s="6">
        <v>0</v>
      </c>
      <c r="U1230" s="6">
        <v>0</v>
      </c>
      <c r="V1230" s="6">
        <v>0</v>
      </c>
      <c r="W1230" s="6">
        <v>0</v>
      </c>
      <c r="X1230" s="6" t="s">
        <v>169</v>
      </c>
      <c r="Z1230" s="6" t="s">
        <v>170</v>
      </c>
      <c r="AA1230" s="6" t="s">
        <v>171</v>
      </c>
      <c r="AB1230" s="6">
        <v>0</v>
      </c>
      <c r="AC1230" s="6" t="str">
        <f>""</f>
        <v/>
      </c>
      <c r="AS1230" s="6">
        <v>0</v>
      </c>
      <c r="AT1230" s="6">
        <v>0</v>
      </c>
    </row>
    <row r="1231" spans="2:46">
      <c r="B1231" s="6" t="s">
        <v>5041</v>
      </c>
      <c r="D1231" s="6" t="s">
        <v>3316</v>
      </c>
      <c r="F1231" s="6" t="s">
        <v>5214</v>
      </c>
      <c r="G1231" s="6" t="str">
        <f>"NC17WTHD01BKL"</f>
        <v>NC17WTHD01BKL</v>
      </c>
      <c r="H1231" s="6" t="s">
        <v>5215</v>
      </c>
      <c r="I1231" s="6" t="s">
        <v>5216</v>
      </c>
      <c r="J1231" s="6" t="str">
        <f>"BRAND LOGO HOODIE BK"</f>
        <v>BRAND LOGO HOODIE BK</v>
      </c>
      <c r="K1231" s="6">
        <v>0</v>
      </c>
      <c r="L1231" s="6">
        <v>0</v>
      </c>
      <c r="M1231" s="6">
        <v>0</v>
      </c>
      <c r="N1231" s="6" t="str">
        <f>""</f>
        <v/>
      </c>
      <c r="O1231" s="6">
        <v>31787</v>
      </c>
      <c r="P1231" s="6" t="s">
        <v>5215</v>
      </c>
      <c r="R1231" s="6" t="s">
        <v>5106</v>
      </c>
      <c r="S1231" s="6" t="s">
        <v>5217</v>
      </c>
      <c r="T1231" s="6">
        <v>0</v>
      </c>
      <c r="U1231" s="6">
        <v>0</v>
      </c>
      <c r="V1231" s="6">
        <v>0</v>
      </c>
      <c r="W1231" s="6">
        <v>0</v>
      </c>
      <c r="X1231" s="6" t="s">
        <v>169</v>
      </c>
      <c r="Z1231" s="6" t="s">
        <v>170</v>
      </c>
      <c r="AA1231" s="6" t="s">
        <v>171</v>
      </c>
      <c r="AB1231" s="6">
        <v>0</v>
      </c>
      <c r="AC1231" s="6" t="str">
        <f>""</f>
        <v/>
      </c>
      <c r="AS1231" s="6">
        <v>0</v>
      </c>
      <c r="AT1231" s="6">
        <v>0</v>
      </c>
    </row>
    <row r="1232" spans="2:46">
      <c r="B1232" s="6" t="s">
        <v>5041</v>
      </c>
      <c r="D1232" s="6" t="s">
        <v>3316</v>
      </c>
      <c r="F1232" s="6" t="s">
        <v>5218</v>
      </c>
      <c r="G1232" s="6" t="str">
        <f>"NC17WTHD01BKM"</f>
        <v>NC17WTHD01BKM</v>
      </c>
      <c r="H1232" s="6" t="s">
        <v>5219</v>
      </c>
      <c r="I1232" s="6" t="s">
        <v>5216</v>
      </c>
      <c r="J1232" s="6" t="str">
        <f>"BRAND LOGO HOODIE BK"</f>
        <v>BRAND LOGO HOODIE BK</v>
      </c>
      <c r="K1232" s="6">
        <v>0</v>
      </c>
      <c r="L1232" s="6">
        <v>0</v>
      </c>
      <c r="M1232" s="6">
        <v>0</v>
      </c>
      <c r="N1232" s="6" t="str">
        <f>""</f>
        <v/>
      </c>
      <c r="O1232" s="6">
        <v>31786</v>
      </c>
      <c r="P1232" s="6" t="s">
        <v>5219</v>
      </c>
      <c r="R1232" s="6" t="s">
        <v>601</v>
      </c>
      <c r="S1232" s="6" t="s">
        <v>5220</v>
      </c>
      <c r="T1232" s="6">
        <v>0</v>
      </c>
      <c r="U1232" s="6">
        <v>0</v>
      </c>
      <c r="V1232" s="6">
        <v>0</v>
      </c>
      <c r="W1232" s="6">
        <v>0</v>
      </c>
      <c r="X1232" s="6" t="s">
        <v>169</v>
      </c>
      <c r="Z1232" s="6" t="s">
        <v>170</v>
      </c>
      <c r="AA1232" s="6" t="s">
        <v>171</v>
      </c>
      <c r="AB1232" s="6">
        <v>0</v>
      </c>
      <c r="AC1232" s="6" t="str">
        <f>""</f>
        <v/>
      </c>
      <c r="AS1232" s="6">
        <v>0</v>
      </c>
      <c r="AT1232" s="6">
        <v>0</v>
      </c>
    </row>
    <row r="1233" spans="2:46">
      <c r="B1233" s="6" t="s">
        <v>5041</v>
      </c>
      <c r="D1233" s="6" t="s">
        <v>3316</v>
      </c>
      <c r="F1233" s="6" t="s">
        <v>5221</v>
      </c>
      <c r="G1233" s="6" t="str">
        <f>"NC17WTKN02BEL"</f>
        <v>NC17WTKN02BEL</v>
      </c>
      <c r="H1233" s="6" t="s">
        <v>5222</v>
      </c>
      <c r="I1233" s="6" t="s">
        <v>5223</v>
      </c>
      <c r="J1233" s="6" t="str">
        <f>"NC STAR KNIT BE"</f>
        <v>NC STAR KNIT BE</v>
      </c>
      <c r="K1233" s="6">
        <v>0</v>
      </c>
      <c r="L1233" s="6">
        <v>0</v>
      </c>
      <c r="M1233" s="6">
        <v>0</v>
      </c>
      <c r="N1233" s="6" t="str">
        <f>""</f>
        <v/>
      </c>
      <c r="O1233" s="6">
        <v>31784</v>
      </c>
      <c r="P1233" s="6" t="s">
        <v>5222</v>
      </c>
      <c r="R1233" s="6" t="s">
        <v>5224</v>
      </c>
      <c r="S1233" s="6" t="s">
        <v>5225</v>
      </c>
      <c r="T1233" s="6">
        <v>0</v>
      </c>
      <c r="U1233" s="6">
        <v>0</v>
      </c>
      <c r="V1233" s="6">
        <v>0</v>
      </c>
      <c r="W1233" s="6">
        <v>0</v>
      </c>
      <c r="X1233" s="6" t="s">
        <v>169</v>
      </c>
      <c r="Z1233" s="6" t="s">
        <v>170</v>
      </c>
      <c r="AA1233" s="6" t="s">
        <v>171</v>
      </c>
      <c r="AB1233" s="6">
        <v>0</v>
      </c>
      <c r="AC1233" s="6" t="str">
        <f>""</f>
        <v/>
      </c>
      <c r="AS1233" s="6">
        <v>0</v>
      </c>
      <c r="AT1233" s="6">
        <v>0</v>
      </c>
    </row>
    <row r="1234" spans="2:46">
      <c r="B1234" s="6" t="s">
        <v>5041</v>
      </c>
      <c r="D1234" s="6" t="s">
        <v>3316</v>
      </c>
      <c r="F1234" s="6" t="s">
        <v>5226</v>
      </c>
      <c r="G1234" s="6" t="str">
        <f>"NC17WTKN02BES"</f>
        <v>NC17WTKN02BES</v>
      </c>
      <c r="H1234" s="6" t="s">
        <v>5227</v>
      </c>
      <c r="I1234" s="6" t="s">
        <v>5223</v>
      </c>
      <c r="J1234" s="6" t="str">
        <f>"NC STAR KNIT BE"</f>
        <v>NC STAR KNIT BE</v>
      </c>
      <c r="K1234" s="6">
        <v>0</v>
      </c>
      <c r="L1234" s="6">
        <v>0</v>
      </c>
      <c r="M1234" s="6">
        <v>0</v>
      </c>
      <c r="N1234" s="6" t="str">
        <f>""</f>
        <v/>
      </c>
      <c r="O1234" s="6">
        <v>31783</v>
      </c>
      <c r="P1234" s="6" t="s">
        <v>5227</v>
      </c>
      <c r="R1234" s="6" t="s">
        <v>644</v>
      </c>
      <c r="S1234" s="6" t="s">
        <v>5228</v>
      </c>
      <c r="T1234" s="6">
        <v>0</v>
      </c>
      <c r="U1234" s="6">
        <v>0</v>
      </c>
      <c r="V1234" s="6">
        <v>0</v>
      </c>
      <c r="W1234" s="6">
        <v>0</v>
      </c>
      <c r="X1234" s="6" t="s">
        <v>169</v>
      </c>
      <c r="Z1234" s="6" t="s">
        <v>170</v>
      </c>
      <c r="AA1234" s="6" t="s">
        <v>171</v>
      </c>
      <c r="AB1234" s="6">
        <v>0</v>
      </c>
      <c r="AC1234" s="6" t="str">
        <f>""</f>
        <v/>
      </c>
      <c r="AS1234" s="6">
        <v>0</v>
      </c>
      <c r="AT1234" s="6">
        <v>0</v>
      </c>
    </row>
    <row r="1235" spans="2:46">
      <c r="B1235" s="6" t="s">
        <v>5041</v>
      </c>
      <c r="D1235" s="6" t="s">
        <v>3316</v>
      </c>
      <c r="F1235" s="6" t="s">
        <v>5229</v>
      </c>
      <c r="G1235" s="6" t="str">
        <f>"NC17WTKN02NYL"</f>
        <v>NC17WTKN02NYL</v>
      </c>
      <c r="H1235" s="6" t="s">
        <v>5230</v>
      </c>
      <c r="I1235" s="6" t="s">
        <v>5231</v>
      </c>
      <c r="J1235" s="6" t="str">
        <f>"NC STAR KNIT NY"</f>
        <v>NC STAR KNIT NY</v>
      </c>
      <c r="K1235" s="6">
        <v>0</v>
      </c>
      <c r="L1235" s="6">
        <v>0</v>
      </c>
      <c r="M1235" s="6">
        <v>0</v>
      </c>
      <c r="N1235" s="6" t="str">
        <f>""</f>
        <v/>
      </c>
      <c r="O1235" s="6">
        <v>31781</v>
      </c>
      <c r="P1235" s="6" t="s">
        <v>5230</v>
      </c>
      <c r="R1235" s="6" t="s">
        <v>5089</v>
      </c>
      <c r="S1235" s="6" t="s">
        <v>5232</v>
      </c>
      <c r="T1235" s="6">
        <v>0</v>
      </c>
      <c r="U1235" s="6">
        <v>0</v>
      </c>
      <c r="V1235" s="6">
        <v>0</v>
      </c>
      <c r="W1235" s="6">
        <v>0</v>
      </c>
      <c r="X1235" s="6" t="s">
        <v>169</v>
      </c>
      <c r="Z1235" s="6" t="s">
        <v>170</v>
      </c>
      <c r="AA1235" s="6" t="s">
        <v>171</v>
      </c>
      <c r="AB1235" s="6">
        <v>0</v>
      </c>
      <c r="AC1235" s="6" t="str">
        <f>""</f>
        <v/>
      </c>
      <c r="AS1235" s="6">
        <v>0</v>
      </c>
      <c r="AT1235" s="6">
        <v>0</v>
      </c>
    </row>
    <row r="1236" spans="2:46">
      <c r="B1236" s="6" t="s">
        <v>5041</v>
      </c>
      <c r="D1236" s="6" t="s">
        <v>3316</v>
      </c>
      <c r="F1236" s="6" t="s">
        <v>5233</v>
      </c>
      <c r="G1236" s="6" t="str">
        <f>"NC17WTKN02NYS"</f>
        <v>NC17WTKN02NYS</v>
      </c>
      <c r="H1236" s="6" t="s">
        <v>5234</v>
      </c>
      <c r="I1236" s="6" t="s">
        <v>5231</v>
      </c>
      <c r="J1236" s="6" t="str">
        <f>"NC STAR KNIT NY"</f>
        <v>NC STAR KNIT NY</v>
      </c>
      <c r="K1236" s="6">
        <v>0</v>
      </c>
      <c r="L1236" s="6">
        <v>0</v>
      </c>
      <c r="M1236" s="6">
        <v>0</v>
      </c>
      <c r="N1236" s="6" t="str">
        <f>""</f>
        <v/>
      </c>
      <c r="O1236" s="6">
        <v>31780</v>
      </c>
      <c r="P1236" s="6" t="s">
        <v>5234</v>
      </c>
      <c r="R1236" s="6" t="s">
        <v>566</v>
      </c>
      <c r="S1236" s="6" t="s">
        <v>5235</v>
      </c>
      <c r="T1236" s="6">
        <v>0</v>
      </c>
      <c r="U1236" s="6">
        <v>0</v>
      </c>
      <c r="V1236" s="6">
        <v>0</v>
      </c>
      <c r="W1236" s="6">
        <v>0</v>
      </c>
      <c r="X1236" s="6" t="s">
        <v>169</v>
      </c>
      <c r="Z1236" s="6" t="s">
        <v>170</v>
      </c>
      <c r="AA1236" s="6" t="s">
        <v>171</v>
      </c>
      <c r="AB1236" s="6">
        <v>0</v>
      </c>
      <c r="AC1236" s="6" t="str">
        <f>""</f>
        <v/>
      </c>
      <c r="AS1236" s="6">
        <v>0</v>
      </c>
      <c r="AT1236" s="6">
        <v>0</v>
      </c>
    </row>
    <row r="1237" spans="2:46">
      <c r="B1237" s="6" t="s">
        <v>5041</v>
      </c>
      <c r="D1237" s="6" t="s">
        <v>3316</v>
      </c>
      <c r="F1237" s="6" t="s">
        <v>5236</v>
      </c>
      <c r="G1237" s="6" t="str">
        <f>"NC17WTKN01WHL"</f>
        <v>NC17WTKN01WHL</v>
      </c>
      <c r="H1237" s="6" t="s">
        <v>5237</v>
      </c>
      <c r="I1237" s="6" t="s">
        <v>5238</v>
      </c>
      <c r="J1237" s="6" t="str">
        <f>"TIGER CARDIGAN WH"</f>
        <v>TIGER CARDIGAN WH</v>
      </c>
      <c r="K1237" s="6">
        <v>0</v>
      </c>
      <c r="L1237" s="6">
        <v>0</v>
      </c>
      <c r="M1237" s="6">
        <v>0</v>
      </c>
      <c r="N1237" s="6" t="str">
        <f>""</f>
        <v/>
      </c>
      <c r="O1237" s="6">
        <v>31778</v>
      </c>
      <c r="P1237" s="6" t="s">
        <v>5237</v>
      </c>
      <c r="R1237" s="6" t="s">
        <v>5193</v>
      </c>
      <c r="S1237" s="6" t="s">
        <v>5239</v>
      </c>
      <c r="T1237" s="6">
        <v>0</v>
      </c>
      <c r="U1237" s="6">
        <v>0</v>
      </c>
      <c r="V1237" s="6">
        <v>0</v>
      </c>
      <c r="W1237" s="6">
        <v>0</v>
      </c>
      <c r="X1237" s="6" t="s">
        <v>169</v>
      </c>
      <c r="Z1237" s="6" t="s">
        <v>170</v>
      </c>
      <c r="AA1237" s="6" t="s">
        <v>171</v>
      </c>
      <c r="AB1237" s="6">
        <v>0</v>
      </c>
      <c r="AC1237" s="6" t="str">
        <f>""</f>
        <v/>
      </c>
      <c r="AS1237" s="6">
        <v>0</v>
      </c>
      <c r="AT1237" s="6">
        <v>0</v>
      </c>
    </row>
    <row r="1238" spans="2:46">
      <c r="B1238" s="6" t="s">
        <v>5041</v>
      </c>
      <c r="D1238" s="6" t="s">
        <v>3316</v>
      </c>
      <c r="F1238" s="6" t="s">
        <v>5240</v>
      </c>
      <c r="G1238" s="6" t="str">
        <f>"NC17WTKN01WHS"</f>
        <v>NC17WTKN01WHS</v>
      </c>
      <c r="H1238" s="6" t="s">
        <v>5241</v>
      </c>
      <c r="I1238" s="6" t="s">
        <v>5238</v>
      </c>
      <c r="J1238" s="6" t="str">
        <f>"TIGER CARDIGAN WH"</f>
        <v>TIGER CARDIGAN WH</v>
      </c>
      <c r="K1238" s="6">
        <v>0</v>
      </c>
      <c r="L1238" s="6">
        <v>0</v>
      </c>
      <c r="M1238" s="6">
        <v>0</v>
      </c>
      <c r="N1238" s="6" t="str">
        <f>""</f>
        <v/>
      </c>
      <c r="O1238" s="6">
        <v>31777</v>
      </c>
      <c r="P1238" s="6" t="s">
        <v>5241</v>
      </c>
      <c r="R1238" s="6" t="s">
        <v>5242</v>
      </c>
      <c r="S1238" s="6" t="s">
        <v>5243</v>
      </c>
      <c r="T1238" s="6">
        <v>0</v>
      </c>
      <c r="U1238" s="6">
        <v>0</v>
      </c>
      <c r="V1238" s="6">
        <v>0</v>
      </c>
      <c r="W1238" s="6">
        <v>0</v>
      </c>
      <c r="X1238" s="6" t="s">
        <v>169</v>
      </c>
      <c r="Z1238" s="6" t="s">
        <v>170</v>
      </c>
      <c r="AA1238" s="6" t="s">
        <v>171</v>
      </c>
      <c r="AB1238" s="6">
        <v>0</v>
      </c>
      <c r="AC1238" s="6" t="str">
        <f>""</f>
        <v/>
      </c>
      <c r="AS1238" s="6">
        <v>0</v>
      </c>
      <c r="AT1238" s="6">
        <v>0</v>
      </c>
    </row>
    <row r="1239" spans="2:46">
      <c r="B1239" s="6" t="s">
        <v>5041</v>
      </c>
      <c r="D1239" s="6" t="s">
        <v>3316</v>
      </c>
      <c r="F1239" s="6" t="s">
        <v>5244</v>
      </c>
      <c r="G1239" s="6" t="str">
        <f>"NC17WTKN01NYL"</f>
        <v>NC17WTKN01NYL</v>
      </c>
      <c r="H1239" s="6" t="s">
        <v>5245</v>
      </c>
      <c r="I1239" s="6" t="s">
        <v>5246</v>
      </c>
      <c r="J1239" s="6" t="str">
        <f>"TIGER CARDIGAN NY"</f>
        <v>TIGER CARDIGAN NY</v>
      </c>
      <c r="K1239" s="6">
        <v>0</v>
      </c>
      <c r="L1239" s="6">
        <v>0</v>
      </c>
      <c r="M1239" s="6">
        <v>0</v>
      </c>
      <c r="N1239" s="6" t="str">
        <f>""</f>
        <v/>
      </c>
      <c r="O1239" s="6">
        <v>31775</v>
      </c>
      <c r="P1239" s="6" t="s">
        <v>5245</v>
      </c>
      <c r="R1239" s="6" t="s">
        <v>5089</v>
      </c>
      <c r="S1239" s="6" t="s">
        <v>5247</v>
      </c>
      <c r="T1239" s="6">
        <v>0</v>
      </c>
      <c r="U1239" s="6">
        <v>0</v>
      </c>
      <c r="V1239" s="6">
        <v>0</v>
      </c>
      <c r="W1239" s="6">
        <v>0</v>
      </c>
      <c r="X1239" s="6" t="s">
        <v>169</v>
      </c>
      <c r="Z1239" s="6" t="s">
        <v>170</v>
      </c>
      <c r="AA1239" s="6" t="s">
        <v>171</v>
      </c>
      <c r="AB1239" s="6">
        <v>0</v>
      </c>
      <c r="AC1239" s="6" t="str">
        <f>""</f>
        <v/>
      </c>
      <c r="AS1239" s="6">
        <v>0</v>
      </c>
      <c r="AT1239" s="6">
        <v>0</v>
      </c>
    </row>
    <row r="1240" spans="2:46">
      <c r="B1240" s="6" t="s">
        <v>5041</v>
      </c>
      <c r="D1240" s="6" t="s">
        <v>3316</v>
      </c>
      <c r="F1240" s="6" t="s">
        <v>5248</v>
      </c>
      <c r="G1240" s="6" t="str">
        <f>"NC17WTKN01NYS"</f>
        <v>NC17WTKN01NYS</v>
      </c>
      <c r="H1240" s="6" t="s">
        <v>5249</v>
      </c>
      <c r="I1240" s="6" t="s">
        <v>5246</v>
      </c>
      <c r="J1240" s="6" t="str">
        <f>"TIGER CARDIGAN NY"</f>
        <v>TIGER CARDIGAN NY</v>
      </c>
      <c r="K1240" s="6">
        <v>0</v>
      </c>
      <c r="L1240" s="6">
        <v>0</v>
      </c>
      <c r="M1240" s="6">
        <v>0</v>
      </c>
      <c r="N1240" s="6" t="str">
        <f>""</f>
        <v/>
      </c>
      <c r="O1240" s="6">
        <v>31774</v>
      </c>
      <c r="P1240" s="6" t="s">
        <v>5249</v>
      </c>
      <c r="R1240" s="6" t="s">
        <v>566</v>
      </c>
      <c r="S1240" s="6" t="s">
        <v>5250</v>
      </c>
      <c r="T1240" s="6">
        <v>0</v>
      </c>
      <c r="U1240" s="6">
        <v>0</v>
      </c>
      <c r="V1240" s="6">
        <v>0</v>
      </c>
      <c r="W1240" s="6">
        <v>0</v>
      </c>
      <c r="X1240" s="6" t="s">
        <v>169</v>
      </c>
      <c r="Z1240" s="6" t="s">
        <v>170</v>
      </c>
      <c r="AA1240" s="6" t="s">
        <v>171</v>
      </c>
      <c r="AB1240" s="6">
        <v>0</v>
      </c>
      <c r="AC1240" s="6" t="str">
        <f>""</f>
        <v/>
      </c>
      <c r="AS1240" s="6">
        <v>0</v>
      </c>
      <c r="AT1240" s="6">
        <v>0</v>
      </c>
    </row>
    <row r="1241" spans="2:46">
      <c r="B1241" s="6" t="s">
        <v>5041</v>
      </c>
      <c r="D1241" s="6" t="s">
        <v>3316</v>
      </c>
      <c r="F1241" s="6" t="s">
        <v>5251</v>
      </c>
      <c r="G1241" s="6" t="str">
        <f>"NC17WTCT02BKL"</f>
        <v>NC17WTCT02BKL</v>
      </c>
      <c r="H1241" s="6" t="s">
        <v>5252</v>
      </c>
      <c r="I1241" s="6" t="s">
        <v>5253</v>
      </c>
      <c r="J1241" s="6" t="str">
        <f>"NC POCKET COAT BK"</f>
        <v>NC POCKET COAT BK</v>
      </c>
      <c r="K1241" s="6">
        <v>0</v>
      </c>
      <c r="L1241" s="6">
        <v>0</v>
      </c>
      <c r="M1241" s="6">
        <v>0</v>
      </c>
      <c r="N1241" s="6" t="str">
        <f>""</f>
        <v/>
      </c>
      <c r="O1241" s="6">
        <v>31772</v>
      </c>
      <c r="P1241" s="6" t="s">
        <v>5252</v>
      </c>
      <c r="R1241" s="6" t="s">
        <v>5106</v>
      </c>
      <c r="S1241" s="6" t="s">
        <v>5254</v>
      </c>
      <c r="T1241" s="6">
        <v>0</v>
      </c>
      <c r="U1241" s="6">
        <v>0</v>
      </c>
      <c r="V1241" s="6">
        <v>0</v>
      </c>
      <c r="W1241" s="6">
        <v>0</v>
      </c>
      <c r="X1241" s="6" t="s">
        <v>169</v>
      </c>
      <c r="Z1241" s="6" t="s">
        <v>170</v>
      </c>
      <c r="AA1241" s="6" t="s">
        <v>171</v>
      </c>
      <c r="AB1241" s="6">
        <v>0</v>
      </c>
      <c r="AC1241" s="6" t="str">
        <f>""</f>
        <v/>
      </c>
      <c r="AS1241" s="6">
        <v>0</v>
      </c>
      <c r="AT1241" s="6">
        <v>0</v>
      </c>
    </row>
    <row r="1242" spans="2:46">
      <c r="B1242" s="6" t="s">
        <v>5041</v>
      </c>
      <c r="D1242" s="6" t="s">
        <v>3316</v>
      </c>
      <c r="F1242" s="6" t="s">
        <v>5255</v>
      </c>
      <c r="G1242" s="6" t="str">
        <f>"NC17WTCT02BKS"</f>
        <v>NC17WTCT02BKS</v>
      </c>
      <c r="H1242" s="6" t="s">
        <v>5256</v>
      </c>
      <c r="I1242" s="6" t="s">
        <v>5253</v>
      </c>
      <c r="J1242" s="6" t="str">
        <f>"NC POCKET COAT BK"</f>
        <v>NC POCKET COAT BK</v>
      </c>
      <c r="K1242" s="6">
        <v>0</v>
      </c>
      <c r="L1242" s="6">
        <v>0</v>
      </c>
      <c r="M1242" s="6">
        <v>0</v>
      </c>
      <c r="N1242" s="6" t="str">
        <f>""</f>
        <v/>
      </c>
      <c r="O1242" s="6">
        <v>31771</v>
      </c>
      <c r="P1242" s="6" t="s">
        <v>5256</v>
      </c>
      <c r="R1242" s="6" t="s">
        <v>606</v>
      </c>
      <c r="S1242" s="6" t="s">
        <v>5257</v>
      </c>
      <c r="T1242" s="6">
        <v>0</v>
      </c>
      <c r="U1242" s="6">
        <v>0</v>
      </c>
      <c r="V1242" s="6">
        <v>0</v>
      </c>
      <c r="W1242" s="6">
        <v>0</v>
      </c>
      <c r="X1242" s="6" t="s">
        <v>169</v>
      </c>
      <c r="Z1242" s="6" t="s">
        <v>170</v>
      </c>
      <c r="AA1242" s="6" t="s">
        <v>171</v>
      </c>
      <c r="AB1242" s="6">
        <v>0</v>
      </c>
      <c r="AC1242" s="6" t="str">
        <f>""</f>
        <v/>
      </c>
      <c r="AS1242" s="6">
        <v>0</v>
      </c>
      <c r="AT1242" s="6">
        <v>0</v>
      </c>
    </row>
    <row r="1243" spans="2:46">
      <c r="B1243" s="6" t="s">
        <v>5041</v>
      </c>
      <c r="D1243" s="6" t="s">
        <v>3316</v>
      </c>
      <c r="F1243" s="6" t="s">
        <v>5258</v>
      </c>
      <c r="G1243" s="6" t="str">
        <f>"NC17WTCT01BEL"</f>
        <v>NC17WTCT01BEL</v>
      </c>
      <c r="H1243" s="6" t="s">
        <v>5259</v>
      </c>
      <c r="I1243" s="6" t="s">
        <v>5260</v>
      </c>
      <c r="J1243" s="6" t="str">
        <f>"NC DETACHABLE COAT BE"</f>
        <v>NC DETACHABLE COAT BE</v>
      </c>
      <c r="K1243" s="6">
        <v>0</v>
      </c>
      <c r="L1243" s="6">
        <v>0</v>
      </c>
      <c r="M1243" s="6">
        <v>0</v>
      </c>
      <c r="N1243" s="6" t="str">
        <f>""</f>
        <v/>
      </c>
      <c r="O1243" s="6">
        <v>31769</v>
      </c>
      <c r="P1243" s="6" t="s">
        <v>5259</v>
      </c>
      <c r="R1243" s="6" t="s">
        <v>5224</v>
      </c>
      <c r="S1243" s="6" t="s">
        <v>5261</v>
      </c>
      <c r="T1243" s="6">
        <v>0</v>
      </c>
      <c r="U1243" s="6">
        <v>0</v>
      </c>
      <c r="V1243" s="6">
        <v>0</v>
      </c>
      <c r="W1243" s="6">
        <v>0</v>
      </c>
      <c r="X1243" s="6" t="s">
        <v>169</v>
      </c>
      <c r="Z1243" s="6" t="s">
        <v>170</v>
      </c>
      <c r="AA1243" s="6" t="s">
        <v>171</v>
      </c>
      <c r="AB1243" s="6">
        <v>0</v>
      </c>
      <c r="AC1243" s="6" t="str">
        <f>""</f>
        <v/>
      </c>
      <c r="AS1243" s="6">
        <v>0</v>
      </c>
      <c r="AT1243" s="6">
        <v>0</v>
      </c>
    </row>
    <row r="1244" spans="2:46">
      <c r="B1244" s="6" t="s">
        <v>5041</v>
      </c>
      <c r="D1244" s="6" t="s">
        <v>3316</v>
      </c>
      <c r="F1244" s="6" t="s">
        <v>5262</v>
      </c>
      <c r="G1244" s="6" t="str">
        <f>"NC17WTCT01BES"</f>
        <v>NC17WTCT01BES</v>
      </c>
      <c r="H1244" s="6" t="s">
        <v>5263</v>
      </c>
      <c r="I1244" s="6" t="s">
        <v>5260</v>
      </c>
      <c r="J1244" s="6" t="str">
        <f>"NC DETACHABLE COAT BE"</f>
        <v>NC DETACHABLE COAT BE</v>
      </c>
      <c r="K1244" s="6">
        <v>0</v>
      </c>
      <c r="L1244" s="6">
        <v>0</v>
      </c>
      <c r="M1244" s="6">
        <v>0</v>
      </c>
      <c r="N1244" s="6" t="str">
        <f>""</f>
        <v/>
      </c>
      <c r="O1244" s="6">
        <v>31768</v>
      </c>
      <c r="P1244" s="6" t="s">
        <v>5263</v>
      </c>
      <c r="R1244" s="6" t="s">
        <v>644</v>
      </c>
      <c r="S1244" s="6" t="s">
        <v>5264</v>
      </c>
      <c r="T1244" s="6">
        <v>0</v>
      </c>
      <c r="U1244" s="6">
        <v>0</v>
      </c>
      <c r="V1244" s="6">
        <v>0</v>
      </c>
      <c r="W1244" s="6">
        <v>0</v>
      </c>
      <c r="X1244" s="6" t="s">
        <v>169</v>
      </c>
      <c r="Z1244" s="6" t="s">
        <v>170</v>
      </c>
      <c r="AA1244" s="6" t="s">
        <v>171</v>
      </c>
      <c r="AB1244" s="6">
        <v>0</v>
      </c>
      <c r="AC1244" s="6" t="str">
        <f>""</f>
        <v/>
      </c>
      <c r="AS1244" s="6">
        <v>0</v>
      </c>
      <c r="AT1244" s="6">
        <v>0</v>
      </c>
    </row>
    <row r="1245" spans="2:46">
      <c r="B1245" s="6" t="s">
        <v>5041</v>
      </c>
      <c r="D1245" s="6" t="s">
        <v>3316</v>
      </c>
      <c r="F1245" s="6" t="s">
        <v>5265</v>
      </c>
      <c r="G1245" s="6" t="str">
        <f>"NC17WTCT01NYL"</f>
        <v>NC17WTCT01NYL</v>
      </c>
      <c r="H1245" s="6" t="s">
        <v>5266</v>
      </c>
      <c r="I1245" s="6" t="s">
        <v>5267</v>
      </c>
      <c r="J1245" s="6" t="str">
        <f>"NC DETACHABLE COAT NY"</f>
        <v>NC DETACHABLE COAT NY</v>
      </c>
      <c r="K1245" s="6">
        <v>0</v>
      </c>
      <c r="L1245" s="6">
        <v>0</v>
      </c>
      <c r="M1245" s="6">
        <v>0</v>
      </c>
      <c r="N1245" s="6" t="str">
        <f>""</f>
        <v/>
      </c>
      <c r="O1245" s="6">
        <v>31766</v>
      </c>
      <c r="P1245" s="6" t="s">
        <v>5266</v>
      </c>
      <c r="R1245" s="6" t="s">
        <v>5089</v>
      </c>
      <c r="S1245" s="6" t="s">
        <v>5268</v>
      </c>
      <c r="T1245" s="6">
        <v>0</v>
      </c>
      <c r="U1245" s="6">
        <v>0</v>
      </c>
      <c r="V1245" s="6">
        <v>0</v>
      </c>
      <c r="W1245" s="6">
        <v>0</v>
      </c>
      <c r="X1245" s="6" t="s">
        <v>169</v>
      </c>
      <c r="Z1245" s="6" t="s">
        <v>170</v>
      </c>
      <c r="AA1245" s="6" t="s">
        <v>171</v>
      </c>
      <c r="AB1245" s="6">
        <v>0</v>
      </c>
      <c r="AC1245" s="6" t="str">
        <f>""</f>
        <v/>
      </c>
      <c r="AS1245" s="6">
        <v>0</v>
      </c>
      <c r="AT1245" s="6">
        <v>0</v>
      </c>
    </row>
    <row r="1246" spans="2:46">
      <c r="B1246" s="6" t="s">
        <v>5041</v>
      </c>
      <c r="D1246" s="6" t="s">
        <v>3316</v>
      </c>
      <c r="F1246" s="6" t="s">
        <v>5269</v>
      </c>
      <c r="G1246" s="6" t="str">
        <f>"NC17WTCT01NYS"</f>
        <v>NC17WTCT01NYS</v>
      </c>
      <c r="H1246" s="6" t="s">
        <v>5270</v>
      </c>
      <c r="I1246" s="6" t="s">
        <v>5267</v>
      </c>
      <c r="J1246" s="6" t="str">
        <f>"NC DETACHABLE COAT NY"</f>
        <v>NC DETACHABLE COAT NY</v>
      </c>
      <c r="K1246" s="6">
        <v>0</v>
      </c>
      <c r="L1246" s="6">
        <v>0</v>
      </c>
      <c r="M1246" s="6">
        <v>0</v>
      </c>
      <c r="N1246" s="6" t="str">
        <f>""</f>
        <v/>
      </c>
      <c r="O1246" s="6">
        <v>31765</v>
      </c>
      <c r="P1246" s="6" t="s">
        <v>5270</v>
      </c>
      <c r="R1246" s="6" t="s">
        <v>566</v>
      </c>
      <c r="S1246" s="6" t="s">
        <v>5271</v>
      </c>
      <c r="T1246" s="6">
        <v>0</v>
      </c>
      <c r="U1246" s="6">
        <v>0</v>
      </c>
      <c r="V1246" s="6">
        <v>0</v>
      </c>
      <c r="W1246" s="6">
        <v>0</v>
      </c>
      <c r="X1246" s="6" t="s">
        <v>169</v>
      </c>
      <c r="Z1246" s="6" t="s">
        <v>170</v>
      </c>
      <c r="AA1246" s="6" t="s">
        <v>171</v>
      </c>
      <c r="AB1246" s="6">
        <v>0</v>
      </c>
      <c r="AC1246" s="6" t="str">
        <f>""</f>
        <v/>
      </c>
      <c r="AS1246" s="6">
        <v>0</v>
      </c>
      <c r="AT1246" s="6">
        <v>0</v>
      </c>
    </row>
    <row r="1247" spans="2:46">
      <c r="B1247" s="6" t="s">
        <v>5041</v>
      </c>
      <c r="D1247" s="6" t="s">
        <v>3316</v>
      </c>
      <c r="F1247" s="6" t="s">
        <v>5272</v>
      </c>
      <c r="G1247" s="6" t="str">
        <f>"NC17FWTE04BLLR"</f>
        <v>NC17FWTE04BLLR</v>
      </c>
      <c r="H1247" s="6" t="s">
        <v>5273</v>
      </c>
      <c r="I1247" s="6" t="s">
        <v>5274</v>
      </c>
      <c r="J1247" s="6" t="str">
        <f>"PLANET SWEATSHIRT BL"</f>
        <v>PLANET SWEATSHIRT BL</v>
      </c>
      <c r="K1247" s="6">
        <v>0</v>
      </c>
      <c r="L1247" s="6">
        <v>0</v>
      </c>
      <c r="M1247" s="6">
        <v>0</v>
      </c>
      <c r="N1247" s="6" t="str">
        <f>""</f>
        <v/>
      </c>
      <c r="O1247" s="6">
        <v>31763</v>
      </c>
      <c r="P1247" s="6" t="s">
        <v>5273</v>
      </c>
      <c r="R1247" s="6" t="s">
        <v>5275</v>
      </c>
      <c r="S1247" s="6" t="s">
        <v>5276</v>
      </c>
      <c r="T1247" s="6">
        <v>0</v>
      </c>
      <c r="U1247" s="6">
        <v>0</v>
      </c>
      <c r="V1247" s="6">
        <v>0</v>
      </c>
      <c r="W1247" s="6">
        <v>0</v>
      </c>
      <c r="X1247" s="6" t="s">
        <v>169</v>
      </c>
      <c r="Z1247" s="6" t="s">
        <v>170</v>
      </c>
      <c r="AA1247" s="6" t="s">
        <v>171</v>
      </c>
      <c r="AB1247" s="6">
        <v>0</v>
      </c>
      <c r="AC1247" s="6" t="str">
        <f>""</f>
        <v/>
      </c>
      <c r="AS1247" s="6">
        <v>0</v>
      </c>
      <c r="AT1247" s="6">
        <v>0</v>
      </c>
    </row>
    <row r="1248" spans="2:46">
      <c r="B1248" s="6" t="s">
        <v>5041</v>
      </c>
      <c r="D1248" s="6" t="s">
        <v>3316</v>
      </c>
      <c r="F1248" s="6" t="s">
        <v>5277</v>
      </c>
      <c r="G1248" s="6" t="str">
        <f>"NC17FWTE04BLSR"</f>
        <v>NC17FWTE04BLSR</v>
      </c>
      <c r="H1248" s="6" t="s">
        <v>5278</v>
      </c>
      <c r="I1248" s="6" t="s">
        <v>5274</v>
      </c>
      <c r="J1248" s="6" t="str">
        <f>"PLANET SWEATSHIRT BL"</f>
        <v>PLANET SWEATSHIRT BL</v>
      </c>
      <c r="K1248" s="6">
        <v>0</v>
      </c>
      <c r="L1248" s="6">
        <v>0</v>
      </c>
      <c r="M1248" s="6">
        <v>0</v>
      </c>
      <c r="N1248" s="6" t="str">
        <f>""</f>
        <v/>
      </c>
      <c r="O1248" s="6">
        <v>31762</v>
      </c>
      <c r="P1248" s="6" t="s">
        <v>5278</v>
      </c>
      <c r="R1248" s="6" t="s">
        <v>5279</v>
      </c>
      <c r="S1248" s="6" t="s">
        <v>5280</v>
      </c>
      <c r="T1248" s="6">
        <v>0</v>
      </c>
      <c r="U1248" s="6">
        <v>0</v>
      </c>
      <c r="V1248" s="6">
        <v>0</v>
      </c>
      <c r="W1248" s="6">
        <v>0</v>
      </c>
      <c r="X1248" s="6" t="s">
        <v>169</v>
      </c>
      <c r="Z1248" s="6" t="s">
        <v>170</v>
      </c>
      <c r="AA1248" s="6" t="s">
        <v>171</v>
      </c>
      <c r="AB1248" s="6">
        <v>0</v>
      </c>
      <c r="AC1248" s="6" t="str">
        <f>""</f>
        <v/>
      </c>
      <c r="AS1248" s="6">
        <v>0</v>
      </c>
      <c r="AT1248" s="6">
        <v>0</v>
      </c>
    </row>
    <row r="1249" spans="2:46">
      <c r="B1249" s="6" t="s">
        <v>5041</v>
      </c>
      <c r="D1249" s="6" t="s">
        <v>3316</v>
      </c>
      <c r="F1249" s="6" t="s">
        <v>5281</v>
      </c>
      <c r="G1249" s="6" t="str">
        <f>"NC17FWTE04FLLR"</f>
        <v>NC17FWTE04FLLR</v>
      </c>
      <c r="H1249" s="6" t="s">
        <v>5282</v>
      </c>
      <c r="I1249" s="6" t="s">
        <v>5283</v>
      </c>
      <c r="J1249" s="6" t="str">
        <f>"PLANET SWEATSHIRT FL"</f>
        <v>PLANET SWEATSHIRT FL</v>
      </c>
      <c r="K1249" s="6">
        <v>0</v>
      </c>
      <c r="L1249" s="6">
        <v>0</v>
      </c>
      <c r="M1249" s="6">
        <v>0</v>
      </c>
      <c r="N1249" s="6" t="str">
        <f>""</f>
        <v/>
      </c>
      <c r="O1249" s="6">
        <v>31760</v>
      </c>
      <c r="P1249" s="6" t="s">
        <v>5282</v>
      </c>
      <c r="R1249" s="6" t="s">
        <v>5284</v>
      </c>
      <c r="S1249" s="6" t="s">
        <v>5285</v>
      </c>
      <c r="T1249" s="6">
        <v>0</v>
      </c>
      <c r="U1249" s="6">
        <v>0</v>
      </c>
      <c r="V1249" s="6">
        <v>0</v>
      </c>
      <c r="W1249" s="6">
        <v>0</v>
      </c>
      <c r="X1249" s="6" t="s">
        <v>169</v>
      </c>
      <c r="Z1249" s="6" t="s">
        <v>170</v>
      </c>
      <c r="AA1249" s="6" t="s">
        <v>171</v>
      </c>
      <c r="AB1249" s="6">
        <v>0</v>
      </c>
      <c r="AC1249" s="6" t="str">
        <f>""</f>
        <v/>
      </c>
      <c r="AS1249" s="6">
        <v>0</v>
      </c>
      <c r="AT1249" s="6">
        <v>0</v>
      </c>
    </row>
    <row r="1250" spans="2:46">
      <c r="B1250" s="6" t="s">
        <v>5041</v>
      </c>
      <c r="D1250" s="6" t="s">
        <v>3316</v>
      </c>
      <c r="F1250" s="6" t="s">
        <v>5286</v>
      </c>
      <c r="G1250" s="6" t="str">
        <f>"NC17FWTE04FLSR"</f>
        <v>NC17FWTE04FLSR</v>
      </c>
      <c r="H1250" s="6" t="s">
        <v>5287</v>
      </c>
      <c r="I1250" s="6" t="s">
        <v>5283</v>
      </c>
      <c r="J1250" s="6" t="str">
        <f>"PLANET SWEATSHIRT FL"</f>
        <v>PLANET SWEATSHIRT FL</v>
      </c>
      <c r="K1250" s="6">
        <v>0</v>
      </c>
      <c r="L1250" s="6">
        <v>0</v>
      </c>
      <c r="M1250" s="6">
        <v>0</v>
      </c>
      <c r="N1250" s="6" t="str">
        <f>""</f>
        <v/>
      </c>
      <c r="O1250" s="6">
        <v>31759</v>
      </c>
      <c r="P1250" s="6" t="s">
        <v>5287</v>
      </c>
      <c r="R1250" s="6" t="s">
        <v>5288</v>
      </c>
      <c r="S1250" s="6" t="s">
        <v>5289</v>
      </c>
      <c r="T1250" s="6">
        <v>0</v>
      </c>
      <c r="U1250" s="6">
        <v>0</v>
      </c>
      <c r="V1250" s="6">
        <v>0</v>
      </c>
      <c r="W1250" s="6">
        <v>0</v>
      </c>
      <c r="X1250" s="6" t="s">
        <v>169</v>
      </c>
      <c r="Z1250" s="6" t="s">
        <v>170</v>
      </c>
      <c r="AA1250" s="6" t="s">
        <v>171</v>
      </c>
      <c r="AB1250" s="6">
        <v>0</v>
      </c>
      <c r="AC1250" s="6" t="str">
        <f>""</f>
        <v/>
      </c>
      <c r="AS1250" s="6">
        <v>0</v>
      </c>
      <c r="AT1250" s="6">
        <v>0</v>
      </c>
    </row>
    <row r="1251" spans="2:46">
      <c r="B1251" s="6" t="s">
        <v>5041</v>
      </c>
      <c r="D1251" s="6" t="s">
        <v>3316</v>
      </c>
      <c r="F1251" s="6" t="s">
        <v>5290</v>
      </c>
      <c r="G1251" s="6" t="str">
        <f>"NC17FWTE04PKLR"</f>
        <v>NC17FWTE04PKLR</v>
      </c>
      <c r="H1251" s="6" t="s">
        <v>5291</v>
      </c>
      <c r="I1251" s="6" t="s">
        <v>5292</v>
      </c>
      <c r="J1251" s="6" t="str">
        <f>"PLANET SWEATSHIRT PK"</f>
        <v>PLANET SWEATSHIRT PK</v>
      </c>
      <c r="K1251" s="6">
        <v>0</v>
      </c>
      <c r="L1251" s="6">
        <v>0</v>
      </c>
      <c r="M1251" s="6">
        <v>0</v>
      </c>
      <c r="N1251" s="6" t="str">
        <f>""</f>
        <v/>
      </c>
      <c r="O1251" s="6">
        <v>31757</v>
      </c>
      <c r="P1251" s="6" t="s">
        <v>5291</v>
      </c>
      <c r="R1251" s="6" t="s">
        <v>5293</v>
      </c>
      <c r="S1251" s="6" t="s">
        <v>5294</v>
      </c>
      <c r="T1251" s="6">
        <v>0</v>
      </c>
      <c r="U1251" s="6">
        <v>0</v>
      </c>
      <c r="V1251" s="6">
        <v>0</v>
      </c>
      <c r="W1251" s="6">
        <v>0</v>
      </c>
      <c r="X1251" s="6" t="s">
        <v>169</v>
      </c>
      <c r="Z1251" s="6" t="s">
        <v>170</v>
      </c>
      <c r="AA1251" s="6" t="s">
        <v>171</v>
      </c>
      <c r="AB1251" s="6">
        <v>0</v>
      </c>
      <c r="AC1251" s="6" t="str">
        <f>""</f>
        <v/>
      </c>
      <c r="AS1251" s="6">
        <v>0</v>
      </c>
      <c r="AT1251" s="6">
        <v>0</v>
      </c>
    </row>
    <row r="1252" spans="2:46">
      <c r="B1252" s="6" t="s">
        <v>5041</v>
      </c>
      <c r="D1252" s="6" t="s">
        <v>3316</v>
      </c>
      <c r="F1252" s="6" t="s">
        <v>5295</v>
      </c>
      <c r="G1252" s="6" t="str">
        <f>"NC17FWTE04PKSR"</f>
        <v>NC17FWTE04PKSR</v>
      </c>
      <c r="H1252" s="6" t="s">
        <v>5296</v>
      </c>
      <c r="I1252" s="6" t="s">
        <v>5292</v>
      </c>
      <c r="J1252" s="6" t="str">
        <f>"PLANET SWEATSHIRT PK"</f>
        <v>PLANET SWEATSHIRT PK</v>
      </c>
      <c r="K1252" s="6">
        <v>0</v>
      </c>
      <c r="L1252" s="6">
        <v>0</v>
      </c>
      <c r="M1252" s="6">
        <v>0</v>
      </c>
      <c r="N1252" s="6" t="str">
        <f>""</f>
        <v/>
      </c>
      <c r="O1252" s="6">
        <v>31756</v>
      </c>
      <c r="P1252" s="6" t="s">
        <v>5296</v>
      </c>
      <c r="R1252" s="6" t="s">
        <v>3712</v>
      </c>
      <c r="S1252" s="6" t="s">
        <v>5297</v>
      </c>
      <c r="T1252" s="6">
        <v>0</v>
      </c>
      <c r="U1252" s="6">
        <v>0</v>
      </c>
      <c r="V1252" s="6">
        <v>0</v>
      </c>
      <c r="W1252" s="6">
        <v>0</v>
      </c>
      <c r="X1252" s="6" t="s">
        <v>169</v>
      </c>
      <c r="Z1252" s="6" t="s">
        <v>170</v>
      </c>
      <c r="AA1252" s="6" t="s">
        <v>171</v>
      </c>
      <c r="AB1252" s="6">
        <v>0</v>
      </c>
      <c r="AC1252" s="6" t="str">
        <f>""</f>
        <v/>
      </c>
      <c r="AS1252" s="6">
        <v>0</v>
      </c>
      <c r="AT1252" s="6">
        <v>0</v>
      </c>
    </row>
    <row r="1253" spans="2:46">
      <c r="B1253" s="6" t="s">
        <v>5041</v>
      </c>
      <c r="D1253" s="6" t="s">
        <v>3316</v>
      </c>
      <c r="F1253" s="6" t="s">
        <v>5298</v>
      </c>
      <c r="G1253" s="6" t="str">
        <f>"NC17FWTE04GYLR"</f>
        <v>NC17FWTE04GYLR</v>
      </c>
      <c r="I1253" s="6" t="s">
        <v>5299</v>
      </c>
      <c r="J1253" s="6" t="str">
        <f>"PLANET SWEATSHIRT GY"</f>
        <v>PLANET SWEATSHIRT GY</v>
      </c>
      <c r="K1253" s="6">
        <v>0</v>
      </c>
      <c r="L1253" s="6">
        <v>0</v>
      </c>
      <c r="M1253" s="6">
        <v>0</v>
      </c>
      <c r="N1253" s="6" t="str">
        <f>""</f>
        <v/>
      </c>
      <c r="O1253" s="6">
        <v>31754</v>
      </c>
      <c r="P1253" s="6" t="s">
        <v>5300</v>
      </c>
      <c r="R1253" s="6" t="s">
        <v>5097</v>
      </c>
      <c r="S1253" s="6" t="s">
        <v>5301</v>
      </c>
      <c r="T1253" s="6">
        <v>1</v>
      </c>
      <c r="U1253" s="6">
        <v>0</v>
      </c>
      <c r="V1253" s="6">
        <v>0</v>
      </c>
      <c r="W1253" s="6">
        <v>0</v>
      </c>
      <c r="X1253" s="6" t="s">
        <v>169</v>
      </c>
      <c r="Z1253" s="6" t="s">
        <v>170</v>
      </c>
      <c r="AA1253" s="6" t="s">
        <v>171</v>
      </c>
      <c r="AB1253" s="6">
        <v>0</v>
      </c>
      <c r="AC1253" s="6" t="str">
        <f>"KEY-046"</f>
        <v>KEY-046</v>
      </c>
      <c r="AQ1253" s="6" t="str">
        <f>""</f>
        <v/>
      </c>
      <c r="AR1253" s="6" t="s">
        <v>1567</v>
      </c>
      <c r="AS1253" s="6">
        <v>0</v>
      </c>
      <c r="AT1253" s="6">
        <v>1</v>
      </c>
    </row>
    <row r="1254" spans="2:46">
      <c r="B1254" s="6" t="s">
        <v>5041</v>
      </c>
      <c r="D1254" s="6" t="s">
        <v>3316</v>
      </c>
      <c r="F1254" s="6" t="s">
        <v>5302</v>
      </c>
      <c r="G1254" s="6" t="str">
        <f>"NC17FWTE04GYSR"</f>
        <v>NC17FWTE04GYSR</v>
      </c>
      <c r="H1254" s="6" t="s">
        <v>5303</v>
      </c>
      <c r="I1254" s="6" t="s">
        <v>5299</v>
      </c>
      <c r="J1254" s="6" t="str">
        <f>"PLANET SWEATSHIRT GY"</f>
        <v>PLANET SWEATSHIRT GY</v>
      </c>
      <c r="K1254" s="6">
        <v>0</v>
      </c>
      <c r="L1254" s="6">
        <v>0</v>
      </c>
      <c r="M1254" s="6">
        <v>0</v>
      </c>
      <c r="N1254" s="6" t="str">
        <f>""</f>
        <v/>
      </c>
      <c r="O1254" s="6">
        <v>31753</v>
      </c>
      <c r="P1254" s="6" t="s">
        <v>5303</v>
      </c>
      <c r="R1254" s="6" t="s">
        <v>5101</v>
      </c>
      <c r="S1254" s="6" t="s">
        <v>5304</v>
      </c>
      <c r="T1254" s="6">
        <v>0</v>
      </c>
      <c r="U1254" s="6">
        <v>0</v>
      </c>
      <c r="V1254" s="6">
        <v>0</v>
      </c>
      <c r="W1254" s="6">
        <v>0</v>
      </c>
      <c r="X1254" s="6" t="s">
        <v>169</v>
      </c>
      <c r="Z1254" s="6" t="s">
        <v>170</v>
      </c>
      <c r="AA1254" s="6" t="s">
        <v>171</v>
      </c>
      <c r="AB1254" s="6">
        <v>0</v>
      </c>
      <c r="AC1254" s="6" t="str">
        <f>""</f>
        <v/>
      </c>
      <c r="AS1254" s="6">
        <v>0</v>
      </c>
      <c r="AT1254" s="6">
        <v>0</v>
      </c>
    </row>
    <row r="1255" spans="2:46">
      <c r="B1255" s="6" t="s">
        <v>5041</v>
      </c>
      <c r="D1255" s="6" t="s">
        <v>3316</v>
      </c>
      <c r="F1255" s="6" t="s">
        <v>5305</v>
      </c>
      <c r="G1255" s="6" t="str">
        <f>"NC17FWTE04BKLR"</f>
        <v>NC17FWTE04BKLR</v>
      </c>
      <c r="H1255" s="6" t="s">
        <v>5306</v>
      </c>
      <c r="I1255" s="6" t="s">
        <v>5307</v>
      </c>
      <c r="J1255" s="6" t="str">
        <f>"PLANET SWEATSHIRT BK"</f>
        <v>PLANET SWEATSHIRT BK</v>
      </c>
      <c r="K1255" s="6">
        <v>0</v>
      </c>
      <c r="L1255" s="6">
        <v>0</v>
      </c>
      <c r="M1255" s="6">
        <v>0</v>
      </c>
      <c r="N1255" s="6" t="str">
        <f>""</f>
        <v/>
      </c>
      <c r="O1255" s="6">
        <v>31751</v>
      </c>
      <c r="P1255" s="6" t="s">
        <v>5306</v>
      </c>
      <c r="R1255" s="6" t="s">
        <v>5106</v>
      </c>
      <c r="S1255" s="6" t="s">
        <v>5308</v>
      </c>
      <c r="T1255" s="6">
        <v>0</v>
      </c>
      <c r="U1255" s="6">
        <v>0</v>
      </c>
      <c r="V1255" s="6">
        <v>0</v>
      </c>
      <c r="W1255" s="6">
        <v>0</v>
      </c>
      <c r="X1255" s="6" t="s">
        <v>169</v>
      </c>
      <c r="Z1255" s="6" t="s">
        <v>170</v>
      </c>
      <c r="AA1255" s="6" t="s">
        <v>171</v>
      </c>
      <c r="AB1255" s="6">
        <v>0</v>
      </c>
      <c r="AC1255" s="6" t="str">
        <f>""</f>
        <v/>
      </c>
      <c r="AS1255" s="6">
        <v>0</v>
      </c>
      <c r="AT1255" s="6">
        <v>0</v>
      </c>
    </row>
    <row r="1256" spans="2:46">
      <c r="B1256" s="6" t="s">
        <v>5041</v>
      </c>
      <c r="D1256" s="6" t="s">
        <v>3316</v>
      </c>
      <c r="F1256" s="6" t="s">
        <v>5309</v>
      </c>
      <c r="G1256" s="6" t="str">
        <f>"NC17FWTE04BKSR"</f>
        <v>NC17FWTE04BKSR</v>
      </c>
      <c r="H1256" s="6" t="s">
        <v>5310</v>
      </c>
      <c r="I1256" s="6" t="s">
        <v>5307</v>
      </c>
      <c r="J1256" s="6" t="str">
        <f>"PLANET SWEATSHIRT BK"</f>
        <v>PLANET SWEATSHIRT BK</v>
      </c>
      <c r="K1256" s="6">
        <v>0</v>
      </c>
      <c r="L1256" s="6">
        <v>0</v>
      </c>
      <c r="M1256" s="6">
        <v>0</v>
      </c>
      <c r="N1256" s="6" t="str">
        <f>""</f>
        <v/>
      </c>
      <c r="O1256" s="6">
        <v>31750</v>
      </c>
      <c r="P1256" s="6" t="s">
        <v>5310</v>
      </c>
      <c r="R1256" s="6" t="s">
        <v>606</v>
      </c>
      <c r="S1256" s="6" t="s">
        <v>5311</v>
      </c>
      <c r="T1256" s="6">
        <v>0</v>
      </c>
      <c r="U1256" s="6">
        <v>0</v>
      </c>
      <c r="V1256" s="6">
        <v>0</v>
      </c>
      <c r="W1256" s="6">
        <v>0</v>
      </c>
      <c r="X1256" s="6" t="s">
        <v>169</v>
      </c>
      <c r="Z1256" s="6" t="s">
        <v>170</v>
      </c>
      <c r="AA1256" s="6" t="s">
        <v>171</v>
      </c>
      <c r="AB1256" s="6">
        <v>0</v>
      </c>
      <c r="AC1256" s="6" t="str">
        <f>""</f>
        <v/>
      </c>
      <c r="AS1256" s="6">
        <v>0</v>
      </c>
      <c r="AT1256" s="6">
        <v>0</v>
      </c>
    </row>
    <row r="1257" spans="2:46">
      <c r="B1257" s="6" t="s">
        <v>5041</v>
      </c>
      <c r="D1257" s="6" t="s">
        <v>3316</v>
      </c>
      <c r="F1257" s="6" t="s">
        <v>5312</v>
      </c>
      <c r="G1257" s="6" t="str">
        <f>"NC17FWTE03GYLR"</f>
        <v>NC17FWTE03GYLR</v>
      </c>
      <c r="H1257" s="6" t="s">
        <v>5313</v>
      </c>
      <c r="I1257" s="6" t="s">
        <v>5314</v>
      </c>
      <c r="J1257" s="6" t="str">
        <f>"ROAMN WEATSHIRT GY"</f>
        <v>ROAMN WEATSHIRT GY</v>
      </c>
      <c r="K1257" s="6">
        <v>0</v>
      </c>
      <c r="L1257" s="6">
        <v>0</v>
      </c>
      <c r="M1257" s="6">
        <v>0</v>
      </c>
      <c r="N1257" s="6" t="str">
        <f>""</f>
        <v/>
      </c>
      <c r="O1257" s="6">
        <v>31748</v>
      </c>
      <c r="P1257" s="6" t="s">
        <v>5313</v>
      </c>
      <c r="R1257" s="6" t="s">
        <v>5097</v>
      </c>
      <c r="S1257" s="6" t="s">
        <v>5315</v>
      </c>
      <c r="T1257" s="6">
        <v>0</v>
      </c>
      <c r="U1257" s="6">
        <v>0</v>
      </c>
      <c r="V1257" s="6">
        <v>0</v>
      </c>
      <c r="W1257" s="6">
        <v>0</v>
      </c>
      <c r="X1257" s="6" t="s">
        <v>169</v>
      </c>
      <c r="Z1257" s="6" t="s">
        <v>170</v>
      </c>
      <c r="AA1257" s="6" t="s">
        <v>171</v>
      </c>
      <c r="AB1257" s="6">
        <v>0</v>
      </c>
      <c r="AC1257" s="6" t="str">
        <f>""</f>
        <v/>
      </c>
      <c r="AS1257" s="6">
        <v>0</v>
      </c>
      <c r="AT1257" s="6">
        <v>0</v>
      </c>
    </row>
    <row r="1258" spans="2:46">
      <c r="B1258" s="6" t="s">
        <v>5041</v>
      </c>
      <c r="D1258" s="6" t="s">
        <v>3316</v>
      </c>
      <c r="F1258" s="6" t="s">
        <v>5316</v>
      </c>
      <c r="G1258" s="6" t="str">
        <f>"NC17FWTE03GYSR"</f>
        <v>NC17FWTE03GYSR</v>
      </c>
      <c r="H1258" s="6" t="s">
        <v>5317</v>
      </c>
      <c r="I1258" s="6" t="s">
        <v>5314</v>
      </c>
      <c r="J1258" s="6" t="str">
        <f>"ROAMN WEATSHIRT GY"</f>
        <v>ROAMN WEATSHIRT GY</v>
      </c>
      <c r="K1258" s="6">
        <v>0</v>
      </c>
      <c r="L1258" s="6">
        <v>0</v>
      </c>
      <c r="M1258" s="6">
        <v>0</v>
      </c>
      <c r="N1258" s="6" t="str">
        <f>""</f>
        <v/>
      </c>
      <c r="O1258" s="6">
        <v>31747</v>
      </c>
      <c r="P1258" s="6" t="s">
        <v>5317</v>
      </c>
      <c r="R1258" s="6" t="s">
        <v>5101</v>
      </c>
      <c r="S1258" s="6" t="s">
        <v>5318</v>
      </c>
      <c r="T1258" s="6">
        <v>0</v>
      </c>
      <c r="U1258" s="6">
        <v>0</v>
      </c>
      <c r="V1258" s="6">
        <v>0</v>
      </c>
      <c r="W1258" s="6">
        <v>0</v>
      </c>
      <c r="X1258" s="6" t="s">
        <v>169</v>
      </c>
      <c r="Z1258" s="6" t="s">
        <v>170</v>
      </c>
      <c r="AA1258" s="6" t="s">
        <v>171</v>
      </c>
      <c r="AB1258" s="6">
        <v>0</v>
      </c>
      <c r="AC1258" s="6" t="str">
        <f>""</f>
        <v/>
      </c>
      <c r="AS1258" s="6">
        <v>0</v>
      </c>
      <c r="AT1258" s="6">
        <v>0</v>
      </c>
    </row>
    <row r="1259" spans="2:46">
      <c r="B1259" s="6" t="s">
        <v>5041</v>
      </c>
      <c r="D1259" s="6" t="s">
        <v>3316</v>
      </c>
      <c r="F1259" s="6" t="s">
        <v>5319</v>
      </c>
      <c r="G1259" s="6" t="str">
        <f>"NC17FWTE03BKLR"</f>
        <v>NC17FWTE03BKLR</v>
      </c>
      <c r="H1259" s="6" t="s">
        <v>5320</v>
      </c>
      <c r="I1259" s="6" t="s">
        <v>5321</v>
      </c>
      <c r="J1259" s="6" t="str">
        <f>"ROAMN WEATSHIRT BK"</f>
        <v>ROAMN WEATSHIRT BK</v>
      </c>
      <c r="K1259" s="6">
        <v>0</v>
      </c>
      <c r="L1259" s="6">
        <v>0</v>
      </c>
      <c r="M1259" s="6">
        <v>0</v>
      </c>
      <c r="N1259" s="6" t="str">
        <f>""</f>
        <v/>
      </c>
      <c r="O1259" s="6">
        <v>31745</v>
      </c>
      <c r="P1259" s="6" t="s">
        <v>5320</v>
      </c>
      <c r="R1259" s="6" t="s">
        <v>5106</v>
      </c>
      <c r="S1259" s="6" t="s">
        <v>5322</v>
      </c>
      <c r="T1259" s="6">
        <v>0</v>
      </c>
      <c r="U1259" s="6">
        <v>0</v>
      </c>
      <c r="V1259" s="6">
        <v>0</v>
      </c>
      <c r="W1259" s="6">
        <v>0</v>
      </c>
      <c r="X1259" s="6" t="s">
        <v>169</v>
      </c>
      <c r="Z1259" s="6" t="s">
        <v>170</v>
      </c>
      <c r="AA1259" s="6" t="s">
        <v>171</v>
      </c>
      <c r="AB1259" s="6">
        <v>0</v>
      </c>
      <c r="AC1259" s="6" t="str">
        <f>""</f>
        <v/>
      </c>
      <c r="AS1259" s="6">
        <v>0</v>
      </c>
      <c r="AT1259" s="6">
        <v>0</v>
      </c>
    </row>
    <row r="1260" spans="2:46">
      <c r="B1260" s="6" t="s">
        <v>5041</v>
      </c>
      <c r="D1260" s="6" t="s">
        <v>3316</v>
      </c>
      <c r="F1260" s="6" t="s">
        <v>5323</v>
      </c>
      <c r="G1260" s="6" t="str">
        <f>"NC17FWTE03BKSR"</f>
        <v>NC17FWTE03BKSR</v>
      </c>
      <c r="H1260" s="6" t="s">
        <v>5324</v>
      </c>
      <c r="I1260" s="6" t="s">
        <v>5321</v>
      </c>
      <c r="J1260" s="6" t="str">
        <f>"ROAMN WEATSHIRT BK"</f>
        <v>ROAMN WEATSHIRT BK</v>
      </c>
      <c r="K1260" s="6">
        <v>0</v>
      </c>
      <c r="L1260" s="6">
        <v>0</v>
      </c>
      <c r="M1260" s="6">
        <v>0</v>
      </c>
      <c r="N1260" s="6" t="str">
        <f>""</f>
        <v/>
      </c>
      <c r="O1260" s="6">
        <v>31744</v>
      </c>
      <c r="P1260" s="6" t="s">
        <v>5324</v>
      </c>
      <c r="R1260" s="6" t="s">
        <v>606</v>
      </c>
      <c r="S1260" s="6" t="s">
        <v>5325</v>
      </c>
      <c r="T1260" s="6">
        <v>0</v>
      </c>
      <c r="U1260" s="6">
        <v>0</v>
      </c>
      <c r="V1260" s="6">
        <v>0</v>
      </c>
      <c r="W1260" s="6">
        <v>0</v>
      </c>
      <c r="X1260" s="6" t="s">
        <v>169</v>
      </c>
      <c r="Z1260" s="6" t="s">
        <v>170</v>
      </c>
      <c r="AA1260" s="6" t="s">
        <v>171</v>
      </c>
      <c r="AB1260" s="6">
        <v>0</v>
      </c>
      <c r="AC1260" s="6" t="str">
        <f>""</f>
        <v/>
      </c>
      <c r="AS1260" s="6">
        <v>0</v>
      </c>
      <c r="AT1260" s="6">
        <v>0</v>
      </c>
    </row>
    <row r="1261" spans="2:46">
      <c r="B1261" s="6" t="s">
        <v>5041</v>
      </c>
      <c r="D1261" s="6" t="s">
        <v>3316</v>
      </c>
      <c r="F1261" s="6" t="s">
        <v>5326</v>
      </c>
      <c r="G1261" s="6" t="str">
        <f>"NC17FWTE02YLLR"</f>
        <v>NC17FWTE02YLLR</v>
      </c>
      <c r="H1261" s="6" t="s">
        <v>5327</v>
      </c>
      <c r="I1261" s="6" t="s">
        <v>5328</v>
      </c>
      <c r="J1261" s="6" t="str">
        <f>"CLIMBER RUGBY TEE YE"</f>
        <v>CLIMBER RUGBY TEE YE</v>
      </c>
      <c r="K1261" s="6">
        <v>0</v>
      </c>
      <c r="L1261" s="6">
        <v>0</v>
      </c>
      <c r="M1261" s="6">
        <v>0</v>
      </c>
      <c r="N1261" s="6" t="str">
        <f>""</f>
        <v/>
      </c>
      <c r="O1261" s="6">
        <v>31742</v>
      </c>
      <c r="P1261" s="6" t="s">
        <v>5327</v>
      </c>
      <c r="R1261" s="6" t="s">
        <v>5329</v>
      </c>
      <c r="S1261" s="6" t="s">
        <v>5330</v>
      </c>
      <c r="T1261" s="6">
        <v>0</v>
      </c>
      <c r="U1261" s="6">
        <v>0</v>
      </c>
      <c r="V1261" s="6">
        <v>0</v>
      </c>
      <c r="W1261" s="6">
        <v>0</v>
      </c>
      <c r="X1261" s="6" t="s">
        <v>169</v>
      </c>
      <c r="Z1261" s="6" t="s">
        <v>170</v>
      </c>
      <c r="AA1261" s="6" t="s">
        <v>171</v>
      </c>
      <c r="AB1261" s="6">
        <v>0</v>
      </c>
      <c r="AC1261" s="6" t="str">
        <f>""</f>
        <v/>
      </c>
      <c r="AS1261" s="6">
        <v>0</v>
      </c>
      <c r="AT1261" s="6">
        <v>0</v>
      </c>
    </row>
    <row r="1262" spans="2:46">
      <c r="B1262" s="6" t="s">
        <v>5041</v>
      </c>
      <c r="D1262" s="6" t="s">
        <v>3316</v>
      </c>
      <c r="F1262" s="6" t="s">
        <v>5331</v>
      </c>
      <c r="G1262" s="6" t="str">
        <f>"NC17FWTE02YLMR"</f>
        <v>NC17FWTE02YLMR</v>
      </c>
      <c r="H1262" s="6" t="s">
        <v>5332</v>
      </c>
      <c r="I1262" s="6" t="s">
        <v>5328</v>
      </c>
      <c r="J1262" s="6" t="str">
        <f>"CLIMBER RUGBY TEE YE"</f>
        <v>CLIMBER RUGBY TEE YE</v>
      </c>
      <c r="K1262" s="6">
        <v>0</v>
      </c>
      <c r="L1262" s="6">
        <v>0</v>
      </c>
      <c r="M1262" s="6">
        <v>0</v>
      </c>
      <c r="N1262" s="6" t="str">
        <f>""</f>
        <v/>
      </c>
      <c r="O1262" s="6">
        <v>31741</v>
      </c>
      <c r="P1262" s="6" t="s">
        <v>5332</v>
      </c>
      <c r="R1262" s="6" t="s">
        <v>3653</v>
      </c>
      <c r="S1262" s="6" t="s">
        <v>5333</v>
      </c>
      <c r="T1262" s="6">
        <v>0</v>
      </c>
      <c r="U1262" s="6">
        <v>0</v>
      </c>
      <c r="V1262" s="6">
        <v>0</v>
      </c>
      <c r="W1262" s="6">
        <v>0</v>
      </c>
      <c r="X1262" s="6" t="s">
        <v>169</v>
      </c>
      <c r="Z1262" s="6" t="s">
        <v>170</v>
      </c>
      <c r="AA1262" s="6" t="s">
        <v>171</v>
      </c>
      <c r="AB1262" s="6">
        <v>0</v>
      </c>
      <c r="AC1262" s="6" t="str">
        <f>""</f>
        <v/>
      </c>
      <c r="AS1262" s="6">
        <v>0</v>
      </c>
      <c r="AT1262" s="6">
        <v>0</v>
      </c>
    </row>
    <row r="1263" spans="2:46">
      <c r="B1263" s="6" t="s">
        <v>5041</v>
      </c>
      <c r="D1263" s="6" t="s">
        <v>3316</v>
      </c>
      <c r="F1263" s="6" t="s">
        <v>5334</v>
      </c>
      <c r="G1263" s="6" t="str">
        <f>"NC17FWTE02BLLR"</f>
        <v>NC17FWTE02BLLR</v>
      </c>
      <c r="H1263" s="6" t="s">
        <v>5335</v>
      </c>
      <c r="I1263" s="6" t="s">
        <v>5336</v>
      </c>
      <c r="J1263" s="6" t="str">
        <f>"CLIMBER RUGBY TEE BL"</f>
        <v>CLIMBER RUGBY TEE BL</v>
      </c>
      <c r="K1263" s="6">
        <v>0</v>
      </c>
      <c r="L1263" s="6">
        <v>0</v>
      </c>
      <c r="M1263" s="6">
        <v>0</v>
      </c>
      <c r="N1263" s="6" t="str">
        <f>""</f>
        <v/>
      </c>
      <c r="O1263" s="6">
        <v>31739</v>
      </c>
      <c r="P1263" s="6" t="s">
        <v>5335</v>
      </c>
      <c r="R1263" s="6" t="s">
        <v>5275</v>
      </c>
      <c r="S1263" s="6" t="s">
        <v>5337</v>
      </c>
      <c r="T1263" s="6">
        <v>0</v>
      </c>
      <c r="U1263" s="6">
        <v>0</v>
      </c>
      <c r="V1263" s="6">
        <v>0</v>
      </c>
      <c r="W1263" s="6">
        <v>0</v>
      </c>
      <c r="X1263" s="6" t="s">
        <v>169</v>
      </c>
      <c r="Z1263" s="6" t="s">
        <v>170</v>
      </c>
      <c r="AA1263" s="6" t="s">
        <v>171</v>
      </c>
      <c r="AB1263" s="6">
        <v>0</v>
      </c>
      <c r="AC1263" s="6" t="str">
        <f>""</f>
        <v/>
      </c>
      <c r="AS1263" s="6">
        <v>0</v>
      </c>
      <c r="AT1263" s="6">
        <v>0</v>
      </c>
    </row>
    <row r="1264" spans="2:46">
      <c r="B1264" s="6" t="s">
        <v>5041</v>
      </c>
      <c r="D1264" s="6" t="s">
        <v>3316</v>
      </c>
      <c r="F1264" s="6" t="s">
        <v>5338</v>
      </c>
      <c r="G1264" s="6" t="str">
        <f>"NC17FWTE02BLMR"</f>
        <v>NC17FWTE02BLMR</v>
      </c>
      <c r="H1264" s="6" t="s">
        <v>5339</v>
      </c>
      <c r="I1264" s="6" t="s">
        <v>5336</v>
      </c>
      <c r="J1264" s="6" t="str">
        <f>"CLIMBER RUGBY TEE BL"</f>
        <v>CLIMBER RUGBY TEE BL</v>
      </c>
      <c r="K1264" s="6">
        <v>0</v>
      </c>
      <c r="L1264" s="6">
        <v>0</v>
      </c>
      <c r="M1264" s="6">
        <v>0</v>
      </c>
      <c r="N1264" s="6" t="str">
        <f>""</f>
        <v/>
      </c>
      <c r="O1264" s="6">
        <v>31738</v>
      </c>
      <c r="P1264" s="6" t="s">
        <v>5339</v>
      </c>
      <c r="R1264" s="6" t="s">
        <v>5340</v>
      </c>
      <c r="S1264" s="6" t="s">
        <v>5341</v>
      </c>
      <c r="T1264" s="6">
        <v>0</v>
      </c>
      <c r="U1264" s="6">
        <v>0</v>
      </c>
      <c r="V1264" s="6">
        <v>0</v>
      </c>
      <c r="W1264" s="6">
        <v>0</v>
      </c>
      <c r="X1264" s="6" t="s">
        <v>169</v>
      </c>
      <c r="Z1264" s="6" t="s">
        <v>170</v>
      </c>
      <c r="AA1264" s="6" t="s">
        <v>171</v>
      </c>
      <c r="AB1264" s="6">
        <v>0</v>
      </c>
      <c r="AC1264" s="6" t="str">
        <f>""</f>
        <v/>
      </c>
      <c r="AS1264" s="6">
        <v>0</v>
      </c>
      <c r="AT1264" s="6">
        <v>0</v>
      </c>
    </row>
    <row r="1265" spans="2:46">
      <c r="B1265" s="6" t="s">
        <v>5041</v>
      </c>
      <c r="D1265" s="6" t="s">
        <v>3316</v>
      </c>
      <c r="F1265" s="6" t="s">
        <v>5342</v>
      </c>
      <c r="G1265" s="6" t="str">
        <f>"NC17FWTE01NYLR"</f>
        <v>NC17FWTE01NYLR</v>
      </c>
      <c r="H1265" s="6" t="s">
        <v>5343</v>
      </c>
      <c r="I1265" s="6" t="s">
        <v>5344</v>
      </c>
      <c r="J1265" s="6" t="str">
        <f>"CLIMBER VELOUR TEE"</f>
        <v>CLIMBER VELOUR TEE</v>
      </c>
      <c r="K1265" s="6">
        <v>0</v>
      </c>
      <c r="L1265" s="6">
        <v>0</v>
      </c>
      <c r="M1265" s="6">
        <v>0</v>
      </c>
      <c r="N1265" s="6" t="str">
        <f>""</f>
        <v/>
      </c>
      <c r="O1265" s="6">
        <v>31736</v>
      </c>
      <c r="P1265" s="6" t="s">
        <v>5343</v>
      </c>
      <c r="R1265" s="6" t="s">
        <v>5089</v>
      </c>
      <c r="S1265" s="6" t="s">
        <v>5345</v>
      </c>
      <c r="T1265" s="6">
        <v>0</v>
      </c>
      <c r="U1265" s="6">
        <v>0</v>
      </c>
      <c r="V1265" s="6">
        <v>0</v>
      </c>
      <c r="W1265" s="6">
        <v>0</v>
      </c>
      <c r="X1265" s="6" t="s">
        <v>169</v>
      </c>
      <c r="Z1265" s="6" t="s">
        <v>170</v>
      </c>
      <c r="AA1265" s="6" t="s">
        <v>171</v>
      </c>
      <c r="AB1265" s="6">
        <v>0</v>
      </c>
      <c r="AC1265" s="6" t="str">
        <f>""</f>
        <v/>
      </c>
      <c r="AS1265" s="6">
        <v>0</v>
      </c>
      <c r="AT1265" s="6">
        <v>0</v>
      </c>
    </row>
    <row r="1266" spans="2:46">
      <c r="B1266" s="6" t="s">
        <v>5041</v>
      </c>
      <c r="D1266" s="6" t="s">
        <v>3316</v>
      </c>
      <c r="F1266" s="6" t="s">
        <v>5346</v>
      </c>
      <c r="G1266" s="6" t="str">
        <f>"NC17FWTE01NYMR"</f>
        <v>NC17FWTE01NYMR</v>
      </c>
      <c r="H1266" s="6" t="s">
        <v>5347</v>
      </c>
      <c r="I1266" s="6" t="s">
        <v>5344</v>
      </c>
      <c r="J1266" s="6" t="str">
        <f>"CLIMBER VELOUR TEE"</f>
        <v>CLIMBER VELOUR TEE</v>
      </c>
      <c r="K1266" s="6">
        <v>0</v>
      </c>
      <c r="L1266" s="6">
        <v>0</v>
      </c>
      <c r="M1266" s="6">
        <v>0</v>
      </c>
      <c r="N1266" s="6" t="str">
        <f>""</f>
        <v/>
      </c>
      <c r="O1266" s="6">
        <v>31735</v>
      </c>
      <c r="P1266" s="6" t="s">
        <v>5347</v>
      </c>
      <c r="R1266" s="6" t="s">
        <v>571</v>
      </c>
      <c r="S1266" s="6" t="s">
        <v>5348</v>
      </c>
      <c r="T1266" s="6">
        <v>0</v>
      </c>
      <c r="U1266" s="6">
        <v>0</v>
      </c>
      <c r="V1266" s="6">
        <v>0</v>
      </c>
      <c r="W1266" s="6">
        <v>0</v>
      </c>
      <c r="X1266" s="6" t="s">
        <v>169</v>
      </c>
      <c r="Z1266" s="6" t="s">
        <v>170</v>
      </c>
      <c r="AA1266" s="6" t="s">
        <v>171</v>
      </c>
      <c r="AB1266" s="6">
        <v>0</v>
      </c>
      <c r="AC1266" s="6" t="str">
        <f>""</f>
        <v/>
      </c>
      <c r="AS1266" s="6">
        <v>0</v>
      </c>
      <c r="AT1266" s="6">
        <v>0</v>
      </c>
    </row>
    <row r="1267" spans="2:46">
      <c r="B1267" s="6" t="s">
        <v>5041</v>
      </c>
      <c r="D1267" s="6" t="s">
        <v>3316</v>
      </c>
      <c r="F1267" s="6" t="s">
        <v>5349</v>
      </c>
      <c r="G1267" s="6" t="str">
        <f>"NC17FWHD05NYLR"</f>
        <v>NC17FWHD05NYLR</v>
      </c>
      <c r="H1267" s="6" t="s">
        <v>5350</v>
      </c>
      <c r="I1267" s="6" t="s">
        <v>5351</v>
      </c>
      <c r="J1267" s="6" t="str">
        <f>"ROMANTIC HOODIE"</f>
        <v>ROMANTIC HOODIE</v>
      </c>
      <c r="K1267" s="6">
        <v>0</v>
      </c>
      <c r="L1267" s="6">
        <v>0</v>
      </c>
      <c r="M1267" s="6">
        <v>0</v>
      </c>
      <c r="N1267" s="6" t="str">
        <f>""</f>
        <v/>
      </c>
      <c r="O1267" s="6">
        <v>31733</v>
      </c>
      <c r="P1267" s="6" t="s">
        <v>5350</v>
      </c>
      <c r="R1267" s="6" t="s">
        <v>5089</v>
      </c>
      <c r="S1267" s="6" t="s">
        <v>5352</v>
      </c>
      <c r="T1267" s="6">
        <v>0</v>
      </c>
      <c r="U1267" s="6">
        <v>0</v>
      </c>
      <c r="V1267" s="6">
        <v>0</v>
      </c>
      <c r="W1267" s="6">
        <v>0</v>
      </c>
      <c r="X1267" s="6" t="s">
        <v>169</v>
      </c>
      <c r="Z1267" s="6" t="s">
        <v>170</v>
      </c>
      <c r="AA1267" s="6" t="s">
        <v>171</v>
      </c>
      <c r="AB1267" s="6">
        <v>0</v>
      </c>
      <c r="AC1267" s="6" t="str">
        <f>""</f>
        <v/>
      </c>
      <c r="AS1267" s="6">
        <v>0</v>
      </c>
      <c r="AT1267" s="6">
        <v>0</v>
      </c>
    </row>
    <row r="1268" spans="2:46">
      <c r="B1268" s="6" t="s">
        <v>5041</v>
      </c>
      <c r="D1268" s="6" t="s">
        <v>3316</v>
      </c>
      <c r="F1268" s="6" t="s">
        <v>5353</v>
      </c>
      <c r="G1268" s="6" t="str">
        <f>"NC17FWHD05NYMR"</f>
        <v>NC17FWHD05NYMR</v>
      </c>
      <c r="H1268" s="6" t="s">
        <v>5354</v>
      </c>
      <c r="I1268" s="6" t="s">
        <v>5351</v>
      </c>
      <c r="J1268" s="6" t="str">
        <f>"ROMANTIC HOODIE"</f>
        <v>ROMANTIC HOODIE</v>
      </c>
      <c r="K1268" s="6">
        <v>0</v>
      </c>
      <c r="L1268" s="6">
        <v>0</v>
      </c>
      <c r="M1268" s="6">
        <v>0</v>
      </c>
      <c r="N1268" s="6" t="str">
        <f>""</f>
        <v/>
      </c>
      <c r="O1268" s="6">
        <v>31732</v>
      </c>
      <c r="P1268" s="6" t="s">
        <v>5354</v>
      </c>
      <c r="R1268" s="6" t="s">
        <v>571</v>
      </c>
      <c r="S1268" s="6" t="s">
        <v>5355</v>
      </c>
      <c r="T1268" s="6">
        <v>0</v>
      </c>
      <c r="U1268" s="6">
        <v>0</v>
      </c>
      <c r="V1268" s="6">
        <v>0</v>
      </c>
      <c r="W1268" s="6">
        <v>0</v>
      </c>
      <c r="X1268" s="6" t="s">
        <v>169</v>
      </c>
      <c r="Z1268" s="6" t="s">
        <v>170</v>
      </c>
      <c r="AA1268" s="6" t="s">
        <v>171</v>
      </c>
      <c r="AB1268" s="6">
        <v>0</v>
      </c>
      <c r="AC1268" s="6" t="str">
        <f>""</f>
        <v/>
      </c>
      <c r="AS1268" s="6">
        <v>0</v>
      </c>
      <c r="AT1268" s="6">
        <v>0</v>
      </c>
    </row>
    <row r="1269" spans="2:46">
      <c r="B1269" s="6" t="s">
        <v>5041</v>
      </c>
      <c r="D1269" s="6" t="s">
        <v>3316</v>
      </c>
      <c r="F1269" s="6" t="s">
        <v>5356</v>
      </c>
      <c r="G1269" s="6" t="str">
        <f>"NC17FWHD04BRLR"</f>
        <v>NC17FWHD04BRLR</v>
      </c>
      <c r="H1269" s="6" t="s">
        <v>5357</v>
      </c>
      <c r="I1269" s="6" t="s">
        <v>5358</v>
      </c>
      <c r="J1269" s="6" t="str">
        <f>"NCS HOODIE BR"</f>
        <v>NCS HOODIE BR</v>
      </c>
      <c r="K1269" s="6">
        <v>0</v>
      </c>
      <c r="L1269" s="6">
        <v>0</v>
      </c>
      <c r="M1269" s="6">
        <v>0</v>
      </c>
      <c r="N1269" s="6" t="str">
        <f>""</f>
        <v/>
      </c>
      <c r="O1269" s="6">
        <v>31730</v>
      </c>
      <c r="P1269" s="6" t="s">
        <v>5357</v>
      </c>
      <c r="R1269" s="6" t="s">
        <v>5359</v>
      </c>
      <c r="S1269" s="6" t="s">
        <v>5360</v>
      </c>
      <c r="T1269" s="6">
        <v>0</v>
      </c>
      <c r="U1269" s="6">
        <v>0</v>
      </c>
      <c r="V1269" s="6">
        <v>0</v>
      </c>
      <c r="W1269" s="6">
        <v>0</v>
      </c>
      <c r="X1269" s="6" t="s">
        <v>169</v>
      </c>
      <c r="Z1269" s="6" t="s">
        <v>170</v>
      </c>
      <c r="AA1269" s="6" t="s">
        <v>171</v>
      </c>
      <c r="AB1269" s="6">
        <v>0</v>
      </c>
      <c r="AC1269" s="6" t="str">
        <f>""</f>
        <v/>
      </c>
      <c r="AS1269" s="6">
        <v>0</v>
      </c>
      <c r="AT1269" s="6">
        <v>0</v>
      </c>
    </row>
    <row r="1270" spans="2:46">
      <c r="B1270" s="6" t="s">
        <v>5041</v>
      </c>
      <c r="D1270" s="6" t="s">
        <v>3316</v>
      </c>
      <c r="F1270" s="6" t="s">
        <v>5361</v>
      </c>
      <c r="G1270" s="6" t="str">
        <f>"NC17FWHD04BRMR"</f>
        <v>NC17FWHD04BRMR</v>
      </c>
      <c r="H1270" s="6" t="s">
        <v>5362</v>
      </c>
      <c r="I1270" s="6" t="s">
        <v>5358</v>
      </c>
      <c r="J1270" s="6" t="str">
        <f>"NCS HOODIE BR"</f>
        <v>NCS HOODIE BR</v>
      </c>
      <c r="K1270" s="6">
        <v>0</v>
      </c>
      <c r="L1270" s="6">
        <v>0</v>
      </c>
      <c r="M1270" s="6">
        <v>0</v>
      </c>
      <c r="N1270" s="6" t="str">
        <f>""</f>
        <v/>
      </c>
      <c r="O1270" s="6">
        <v>31729</v>
      </c>
      <c r="P1270" s="6" t="s">
        <v>5362</v>
      </c>
      <c r="R1270" s="6" t="s">
        <v>5363</v>
      </c>
      <c r="S1270" s="6" t="s">
        <v>5364</v>
      </c>
      <c r="T1270" s="6">
        <v>0</v>
      </c>
      <c r="U1270" s="6">
        <v>0</v>
      </c>
      <c r="V1270" s="6">
        <v>0</v>
      </c>
      <c r="W1270" s="6">
        <v>0</v>
      </c>
      <c r="X1270" s="6" t="s">
        <v>169</v>
      </c>
      <c r="Z1270" s="6" t="s">
        <v>170</v>
      </c>
      <c r="AA1270" s="6" t="s">
        <v>171</v>
      </c>
      <c r="AB1270" s="6">
        <v>0</v>
      </c>
      <c r="AC1270" s="6" t="str">
        <f>""</f>
        <v/>
      </c>
      <c r="AS1270" s="6">
        <v>0</v>
      </c>
      <c r="AT1270" s="6">
        <v>0</v>
      </c>
    </row>
    <row r="1271" spans="2:46">
      <c r="B1271" s="6" t="s">
        <v>5041</v>
      </c>
      <c r="D1271" s="6" t="s">
        <v>3316</v>
      </c>
      <c r="F1271" s="6" t="s">
        <v>5365</v>
      </c>
      <c r="G1271" s="6" t="str">
        <f>"NC17FWHD03BKLR"</f>
        <v>NC17FWHD03BKLR</v>
      </c>
      <c r="H1271" s="6" t="s">
        <v>5366</v>
      </c>
      <c r="I1271" s="6" t="s">
        <v>5367</v>
      </c>
      <c r="J1271" s="6" t="str">
        <f>"ROMANTIC WIDE HOODIE BK"</f>
        <v>ROMANTIC WIDE HOODIE BK</v>
      </c>
      <c r="K1271" s="6">
        <v>0</v>
      </c>
      <c r="L1271" s="6">
        <v>0</v>
      </c>
      <c r="M1271" s="6">
        <v>0</v>
      </c>
      <c r="N1271" s="6" t="str">
        <f>""</f>
        <v/>
      </c>
      <c r="O1271" s="6">
        <v>31727</v>
      </c>
      <c r="P1271" s="6" t="s">
        <v>5366</v>
      </c>
      <c r="R1271" s="6" t="s">
        <v>5106</v>
      </c>
      <c r="S1271" s="6" t="s">
        <v>5368</v>
      </c>
      <c r="T1271" s="6">
        <v>0</v>
      </c>
      <c r="U1271" s="6">
        <v>0</v>
      </c>
      <c r="V1271" s="6">
        <v>0</v>
      </c>
      <c r="W1271" s="6">
        <v>0</v>
      </c>
      <c r="X1271" s="6" t="s">
        <v>169</v>
      </c>
      <c r="Z1271" s="6" t="s">
        <v>170</v>
      </c>
      <c r="AA1271" s="6" t="s">
        <v>171</v>
      </c>
      <c r="AB1271" s="6">
        <v>0</v>
      </c>
      <c r="AC1271" s="6" t="str">
        <f>""</f>
        <v/>
      </c>
      <c r="AS1271" s="6">
        <v>0</v>
      </c>
      <c r="AT1271" s="6">
        <v>0</v>
      </c>
    </row>
    <row r="1272" spans="2:46">
      <c r="B1272" s="6" t="s">
        <v>5041</v>
      </c>
      <c r="D1272" s="6" t="s">
        <v>3316</v>
      </c>
      <c r="F1272" s="6" t="s">
        <v>5369</v>
      </c>
      <c r="G1272" s="6" t="str">
        <f>"NC17FWHD03BKMR"</f>
        <v>NC17FWHD03BKMR</v>
      </c>
      <c r="I1272" s="6" t="s">
        <v>5367</v>
      </c>
      <c r="J1272" s="6" t="str">
        <f>"ROMANTIC WIDE HOODIE BK"</f>
        <v>ROMANTIC WIDE HOODIE BK</v>
      </c>
      <c r="K1272" s="6">
        <v>0</v>
      </c>
      <c r="L1272" s="6">
        <v>0</v>
      </c>
      <c r="M1272" s="6">
        <v>0</v>
      </c>
      <c r="N1272" s="6" t="str">
        <f>""</f>
        <v/>
      </c>
      <c r="O1272" s="6">
        <v>31726</v>
      </c>
      <c r="P1272" s="6" t="s">
        <v>5370</v>
      </c>
      <c r="R1272" s="6" t="s">
        <v>601</v>
      </c>
      <c r="S1272" s="6" t="s">
        <v>5371</v>
      </c>
      <c r="T1272" s="6">
        <v>1</v>
      </c>
      <c r="U1272" s="6">
        <v>0</v>
      </c>
      <c r="V1272" s="6">
        <v>0</v>
      </c>
      <c r="W1272" s="6">
        <v>0</v>
      </c>
      <c r="X1272" s="6" t="s">
        <v>169</v>
      </c>
      <c r="Z1272" s="6" t="s">
        <v>170</v>
      </c>
      <c r="AA1272" s="6" t="s">
        <v>171</v>
      </c>
      <c r="AB1272" s="6">
        <v>0</v>
      </c>
      <c r="AC1272" s="6" t="str">
        <f>"KEY-065"</f>
        <v>KEY-065</v>
      </c>
      <c r="AQ1272" s="6" t="str">
        <f>""</f>
        <v/>
      </c>
      <c r="AR1272" s="6" t="s">
        <v>1567</v>
      </c>
      <c r="AS1272" s="6">
        <v>0</v>
      </c>
      <c r="AT1272" s="6">
        <v>1</v>
      </c>
    </row>
    <row r="1273" spans="2:46">
      <c r="B1273" s="6" t="s">
        <v>5041</v>
      </c>
      <c r="D1273" s="6" t="s">
        <v>3316</v>
      </c>
      <c r="F1273" s="6" t="s">
        <v>5372</v>
      </c>
      <c r="G1273" s="6" t="str">
        <f>"NC17FWHD03GYLR"</f>
        <v>NC17FWHD03GYLR</v>
      </c>
      <c r="H1273" s="6" t="s">
        <v>5373</v>
      </c>
      <c r="I1273" s="6" t="s">
        <v>5374</v>
      </c>
      <c r="J1273" s="6" t="str">
        <f>"ROMANTIC WIDE HOODIE GY"</f>
        <v>ROMANTIC WIDE HOODIE GY</v>
      </c>
      <c r="K1273" s="6">
        <v>0</v>
      </c>
      <c r="L1273" s="6">
        <v>0</v>
      </c>
      <c r="M1273" s="6">
        <v>0</v>
      </c>
      <c r="N1273" s="6" t="str">
        <f>""</f>
        <v/>
      </c>
      <c r="O1273" s="6">
        <v>31724</v>
      </c>
      <c r="P1273" s="6" t="s">
        <v>5373</v>
      </c>
      <c r="R1273" s="6" t="s">
        <v>5097</v>
      </c>
      <c r="S1273" s="6" t="s">
        <v>5375</v>
      </c>
      <c r="T1273" s="6">
        <v>0</v>
      </c>
      <c r="U1273" s="6">
        <v>0</v>
      </c>
      <c r="V1273" s="6">
        <v>0</v>
      </c>
      <c r="W1273" s="6">
        <v>0</v>
      </c>
      <c r="X1273" s="6" t="s">
        <v>169</v>
      </c>
      <c r="Z1273" s="6" t="s">
        <v>170</v>
      </c>
      <c r="AA1273" s="6" t="s">
        <v>171</v>
      </c>
      <c r="AB1273" s="6">
        <v>0</v>
      </c>
      <c r="AC1273" s="6" t="str">
        <f>""</f>
        <v/>
      </c>
      <c r="AS1273" s="6">
        <v>0</v>
      </c>
      <c r="AT1273" s="6">
        <v>0</v>
      </c>
    </row>
    <row r="1274" spans="2:46">
      <c r="B1274" s="6" t="s">
        <v>5041</v>
      </c>
      <c r="D1274" s="6" t="s">
        <v>3316</v>
      </c>
      <c r="F1274" s="6" t="s">
        <v>5376</v>
      </c>
      <c r="G1274" s="6" t="str">
        <f>"NC17FWHD02BLLR"</f>
        <v>NC17FWHD02BLLR</v>
      </c>
      <c r="I1274" s="6" t="s">
        <v>5377</v>
      </c>
      <c r="J1274" s="6" t="str">
        <f>"55 PATCH HOODIE BL"</f>
        <v>55 PATCH HOODIE BL</v>
      </c>
      <c r="K1274" s="6">
        <v>0</v>
      </c>
      <c r="L1274" s="6">
        <v>0</v>
      </c>
      <c r="M1274" s="6">
        <v>0</v>
      </c>
      <c r="N1274" s="6" t="str">
        <f>""</f>
        <v/>
      </c>
      <c r="O1274" s="6">
        <v>31722</v>
      </c>
      <c r="P1274" s="6" t="s">
        <v>5378</v>
      </c>
      <c r="R1274" s="6" t="s">
        <v>5275</v>
      </c>
      <c r="S1274" s="6" t="s">
        <v>5379</v>
      </c>
      <c r="T1274" s="6">
        <v>1</v>
      </c>
      <c r="U1274" s="6">
        <v>0</v>
      </c>
      <c r="V1274" s="6">
        <v>0</v>
      </c>
      <c r="W1274" s="6">
        <v>0</v>
      </c>
      <c r="X1274" s="6" t="s">
        <v>169</v>
      </c>
      <c r="Z1274" s="6" t="s">
        <v>170</v>
      </c>
      <c r="AA1274" s="6" t="s">
        <v>171</v>
      </c>
      <c r="AB1274" s="6">
        <v>0</v>
      </c>
      <c r="AC1274" s="6" t="str">
        <f>"KEY-056"</f>
        <v>KEY-056</v>
      </c>
      <c r="AQ1274" s="6" t="str">
        <f>""</f>
        <v/>
      </c>
      <c r="AR1274" s="6" t="s">
        <v>1567</v>
      </c>
      <c r="AS1274" s="6">
        <v>0</v>
      </c>
      <c r="AT1274" s="6">
        <v>1</v>
      </c>
    </row>
    <row r="1275" spans="2:46">
      <c r="B1275" s="6" t="s">
        <v>5041</v>
      </c>
      <c r="D1275" s="6" t="s">
        <v>3316</v>
      </c>
      <c r="F1275" s="6" t="s">
        <v>5380</v>
      </c>
      <c r="G1275" s="6" t="str">
        <f>"NC17FWHD02BLMR"</f>
        <v>NC17FWHD02BLMR</v>
      </c>
      <c r="H1275" s="6" t="s">
        <v>5381</v>
      </c>
      <c r="I1275" s="6" t="s">
        <v>5377</v>
      </c>
      <c r="J1275" s="6" t="str">
        <f>"55 PATCH HOODIE BL"</f>
        <v>55 PATCH HOODIE BL</v>
      </c>
      <c r="K1275" s="6">
        <v>0</v>
      </c>
      <c r="L1275" s="6">
        <v>0</v>
      </c>
      <c r="M1275" s="6">
        <v>0</v>
      </c>
      <c r="N1275" s="6" t="str">
        <f>""</f>
        <v/>
      </c>
      <c r="O1275" s="6">
        <v>31721</v>
      </c>
      <c r="P1275" s="6" t="s">
        <v>5381</v>
      </c>
      <c r="R1275" s="6" t="s">
        <v>5340</v>
      </c>
      <c r="S1275" s="6" t="s">
        <v>5382</v>
      </c>
      <c r="T1275" s="6">
        <v>0</v>
      </c>
      <c r="U1275" s="6">
        <v>0</v>
      </c>
      <c r="V1275" s="6">
        <v>0</v>
      </c>
      <c r="W1275" s="6">
        <v>0</v>
      </c>
      <c r="X1275" s="6" t="s">
        <v>169</v>
      </c>
      <c r="Z1275" s="6" t="s">
        <v>170</v>
      </c>
      <c r="AA1275" s="6" t="s">
        <v>171</v>
      </c>
      <c r="AB1275" s="6">
        <v>0</v>
      </c>
      <c r="AC1275" s="6" t="str">
        <f>""</f>
        <v/>
      </c>
      <c r="AS1275" s="6">
        <v>0</v>
      </c>
      <c r="AT1275" s="6">
        <v>0</v>
      </c>
    </row>
    <row r="1276" spans="2:46">
      <c r="B1276" s="6" t="s">
        <v>5041</v>
      </c>
      <c r="D1276" s="6" t="s">
        <v>3316</v>
      </c>
      <c r="F1276" s="6" t="s">
        <v>5383</v>
      </c>
      <c r="G1276" s="6" t="str">
        <f>"NC17FWHD02BKLR"</f>
        <v>NC17FWHD02BKLR</v>
      </c>
      <c r="H1276" s="6" t="s">
        <v>5384</v>
      </c>
      <c r="I1276" s="6" t="s">
        <v>5385</v>
      </c>
      <c r="J1276" s="6" t="str">
        <f>"55 PATCH HOODIE BK"</f>
        <v>55 PATCH HOODIE BK</v>
      </c>
      <c r="K1276" s="6">
        <v>0</v>
      </c>
      <c r="L1276" s="6">
        <v>0</v>
      </c>
      <c r="M1276" s="6">
        <v>0</v>
      </c>
      <c r="N1276" s="6" t="str">
        <f>""</f>
        <v/>
      </c>
      <c r="O1276" s="6">
        <v>31719</v>
      </c>
      <c r="P1276" s="6" t="s">
        <v>5384</v>
      </c>
      <c r="R1276" s="6" t="s">
        <v>5106</v>
      </c>
      <c r="S1276" s="6" t="s">
        <v>5386</v>
      </c>
      <c r="T1276" s="6">
        <v>0</v>
      </c>
      <c r="U1276" s="6">
        <v>0</v>
      </c>
      <c r="V1276" s="6">
        <v>0</v>
      </c>
      <c r="W1276" s="6">
        <v>0</v>
      </c>
      <c r="X1276" s="6" t="s">
        <v>169</v>
      </c>
      <c r="Z1276" s="6" t="s">
        <v>170</v>
      </c>
      <c r="AA1276" s="6" t="s">
        <v>171</v>
      </c>
      <c r="AB1276" s="6">
        <v>0</v>
      </c>
      <c r="AC1276" s="6" t="str">
        <f>""</f>
        <v/>
      </c>
      <c r="AS1276" s="6">
        <v>0</v>
      </c>
      <c r="AT1276" s="6">
        <v>0</v>
      </c>
    </row>
    <row r="1277" spans="2:46">
      <c r="B1277" s="6" t="s">
        <v>5041</v>
      </c>
      <c r="D1277" s="6" t="s">
        <v>3316</v>
      </c>
      <c r="F1277" s="6" t="s">
        <v>5387</v>
      </c>
      <c r="G1277" s="6" t="str">
        <f>"NC17FWHD02BKMR"</f>
        <v>NC17FWHD02BKMR</v>
      </c>
      <c r="H1277" s="6" t="s">
        <v>5388</v>
      </c>
      <c r="I1277" s="6" t="s">
        <v>5385</v>
      </c>
      <c r="J1277" s="6" t="str">
        <f>"55 PATCH HOODIE BK"</f>
        <v>55 PATCH HOODIE BK</v>
      </c>
      <c r="K1277" s="6">
        <v>0</v>
      </c>
      <c r="L1277" s="6">
        <v>0</v>
      </c>
      <c r="M1277" s="6">
        <v>0</v>
      </c>
      <c r="N1277" s="6" t="str">
        <f>""</f>
        <v/>
      </c>
      <c r="O1277" s="6">
        <v>31718</v>
      </c>
      <c r="P1277" s="6" t="s">
        <v>5388</v>
      </c>
      <c r="R1277" s="6" t="s">
        <v>601</v>
      </c>
      <c r="S1277" s="6" t="s">
        <v>5389</v>
      </c>
      <c r="T1277" s="6">
        <v>0</v>
      </c>
      <c r="U1277" s="6">
        <v>0</v>
      </c>
      <c r="V1277" s="6">
        <v>0</v>
      </c>
      <c r="W1277" s="6">
        <v>0</v>
      </c>
      <c r="X1277" s="6" t="s">
        <v>169</v>
      </c>
      <c r="Z1277" s="6" t="s">
        <v>170</v>
      </c>
      <c r="AA1277" s="6" t="s">
        <v>171</v>
      </c>
      <c r="AB1277" s="6">
        <v>0</v>
      </c>
      <c r="AC1277" s="6" t="str">
        <f>""</f>
        <v/>
      </c>
      <c r="AS1277" s="6">
        <v>0</v>
      </c>
      <c r="AT1277" s="6">
        <v>0</v>
      </c>
    </row>
    <row r="1278" spans="2:46">
      <c r="B1278" s="6" t="s">
        <v>5041</v>
      </c>
      <c r="D1278" s="6" t="s">
        <v>3316</v>
      </c>
      <c r="F1278" s="6" t="s">
        <v>5390</v>
      </c>
      <c r="G1278" s="6" t="str">
        <f>"NC17FWHD01OGMR"</f>
        <v>NC17FWHD01OGMR</v>
      </c>
      <c r="H1278" s="6" t="s">
        <v>5391</v>
      </c>
      <c r="I1278" s="6" t="s">
        <v>5392</v>
      </c>
      <c r="J1278" s="6" t="str">
        <f>"NC ZIPPER HOODIE OG"</f>
        <v>NC ZIPPER HOODIE OG</v>
      </c>
      <c r="K1278" s="6">
        <v>0</v>
      </c>
      <c r="L1278" s="6">
        <v>0</v>
      </c>
      <c r="M1278" s="6">
        <v>0</v>
      </c>
      <c r="N1278" s="6" t="str">
        <f>""</f>
        <v/>
      </c>
      <c r="O1278" s="6">
        <v>31716</v>
      </c>
      <c r="P1278" s="6" t="s">
        <v>5391</v>
      </c>
      <c r="R1278" s="6" t="s">
        <v>5393</v>
      </c>
      <c r="S1278" s="6" t="s">
        <v>5394</v>
      </c>
      <c r="T1278" s="6">
        <v>0</v>
      </c>
      <c r="U1278" s="6">
        <v>0</v>
      </c>
      <c r="V1278" s="6">
        <v>0</v>
      </c>
      <c r="W1278" s="6">
        <v>0</v>
      </c>
      <c r="X1278" s="6" t="s">
        <v>169</v>
      </c>
      <c r="Z1278" s="6" t="s">
        <v>170</v>
      </c>
      <c r="AA1278" s="6" t="s">
        <v>171</v>
      </c>
      <c r="AB1278" s="6">
        <v>0</v>
      </c>
      <c r="AC1278" s="6" t="str">
        <f>""</f>
        <v/>
      </c>
      <c r="AS1278" s="6">
        <v>0</v>
      </c>
      <c r="AT1278" s="6">
        <v>0</v>
      </c>
    </row>
    <row r="1279" spans="2:46">
      <c r="B1279" s="6" t="s">
        <v>5041</v>
      </c>
      <c r="D1279" s="6" t="s">
        <v>3316</v>
      </c>
      <c r="F1279" s="6" t="s">
        <v>5395</v>
      </c>
      <c r="G1279" s="6" t="str">
        <f>"NC17FWNK02RDLR"</f>
        <v>NC17FWNK02RDLR</v>
      </c>
      <c r="H1279" s="6" t="s">
        <v>5396</v>
      </c>
      <c r="I1279" s="6" t="s">
        <v>5397</v>
      </c>
      <c r="J1279" s="6" t="str">
        <f>"PEACE BLOCK KNIT RD"</f>
        <v>PEACE BLOCK KNIT RD</v>
      </c>
      <c r="K1279" s="6">
        <v>0</v>
      </c>
      <c r="L1279" s="6">
        <v>0</v>
      </c>
      <c r="M1279" s="6">
        <v>0</v>
      </c>
      <c r="N1279" s="6" t="str">
        <f>""</f>
        <v/>
      </c>
      <c r="O1279" s="6">
        <v>31714</v>
      </c>
      <c r="P1279" s="6" t="s">
        <v>5396</v>
      </c>
      <c r="R1279" s="6" t="s">
        <v>5398</v>
      </c>
      <c r="S1279" s="6" t="s">
        <v>5399</v>
      </c>
      <c r="T1279" s="6">
        <v>0</v>
      </c>
      <c r="U1279" s="6">
        <v>0</v>
      </c>
      <c r="V1279" s="6">
        <v>0</v>
      </c>
      <c r="W1279" s="6">
        <v>0</v>
      </c>
      <c r="X1279" s="6" t="s">
        <v>169</v>
      </c>
      <c r="Z1279" s="6" t="s">
        <v>170</v>
      </c>
      <c r="AA1279" s="6" t="s">
        <v>171</v>
      </c>
      <c r="AB1279" s="6">
        <v>0</v>
      </c>
      <c r="AC1279" s="6" t="str">
        <f>""</f>
        <v/>
      </c>
      <c r="AS1279" s="6">
        <v>0</v>
      </c>
      <c r="AT1279" s="6">
        <v>0</v>
      </c>
    </row>
    <row r="1280" spans="2:46">
      <c r="B1280" s="6" t="s">
        <v>5041</v>
      </c>
      <c r="D1280" s="6" t="s">
        <v>3316</v>
      </c>
      <c r="F1280" s="6" t="s">
        <v>5400</v>
      </c>
      <c r="G1280" s="6" t="str">
        <f>"NC17FWNK02RDSR"</f>
        <v>NC17FWNK02RDSR</v>
      </c>
      <c r="H1280" s="6" t="s">
        <v>5401</v>
      </c>
      <c r="I1280" s="6" t="s">
        <v>5397</v>
      </c>
      <c r="J1280" s="6" t="str">
        <f>"PEACE BLOCK KNIT RD"</f>
        <v>PEACE BLOCK KNIT RD</v>
      </c>
      <c r="K1280" s="6">
        <v>0</v>
      </c>
      <c r="L1280" s="6">
        <v>0</v>
      </c>
      <c r="M1280" s="6">
        <v>0</v>
      </c>
      <c r="N1280" s="6" t="str">
        <f>""</f>
        <v/>
      </c>
      <c r="O1280" s="6">
        <v>31713</v>
      </c>
      <c r="P1280" s="6" t="s">
        <v>5401</v>
      </c>
      <c r="R1280" s="6" t="s">
        <v>556</v>
      </c>
      <c r="S1280" s="6" t="s">
        <v>5402</v>
      </c>
      <c r="T1280" s="6">
        <v>0</v>
      </c>
      <c r="U1280" s="6">
        <v>0</v>
      </c>
      <c r="V1280" s="6">
        <v>0</v>
      </c>
      <c r="W1280" s="6">
        <v>0</v>
      </c>
      <c r="X1280" s="6" t="s">
        <v>169</v>
      </c>
      <c r="Z1280" s="6" t="s">
        <v>170</v>
      </c>
      <c r="AA1280" s="6" t="s">
        <v>171</v>
      </c>
      <c r="AB1280" s="6">
        <v>0</v>
      </c>
      <c r="AC1280" s="6" t="str">
        <f>""</f>
        <v/>
      </c>
      <c r="AS1280" s="6">
        <v>0</v>
      </c>
      <c r="AT1280" s="6">
        <v>0</v>
      </c>
    </row>
    <row r="1281" spans="2:46">
      <c r="B1281" s="6" t="s">
        <v>5041</v>
      </c>
      <c r="D1281" s="6" t="s">
        <v>3316</v>
      </c>
      <c r="F1281" s="6" t="s">
        <v>5403</v>
      </c>
      <c r="G1281" s="6" t="str">
        <f>"NC17FWNK02GNLR"</f>
        <v>NC17FWNK02GNLR</v>
      </c>
      <c r="H1281" s="6" t="s">
        <v>5404</v>
      </c>
      <c r="I1281" s="6" t="s">
        <v>5405</v>
      </c>
      <c r="J1281" s="6" t="str">
        <f>"PEACE BLOCK KNIT GN"</f>
        <v>PEACE BLOCK KNIT GN</v>
      </c>
      <c r="K1281" s="6">
        <v>0</v>
      </c>
      <c r="L1281" s="6">
        <v>0</v>
      </c>
      <c r="M1281" s="6">
        <v>0</v>
      </c>
      <c r="N1281" s="6" t="str">
        <f>""</f>
        <v/>
      </c>
      <c r="O1281" s="6">
        <v>31711</v>
      </c>
      <c r="P1281" s="6" t="s">
        <v>5404</v>
      </c>
      <c r="R1281" s="6" t="s">
        <v>5406</v>
      </c>
      <c r="S1281" s="6" t="s">
        <v>5407</v>
      </c>
      <c r="T1281" s="6">
        <v>0</v>
      </c>
      <c r="U1281" s="6">
        <v>0</v>
      </c>
      <c r="V1281" s="6">
        <v>0</v>
      </c>
      <c r="W1281" s="6">
        <v>0</v>
      </c>
      <c r="X1281" s="6" t="s">
        <v>169</v>
      </c>
      <c r="Z1281" s="6" t="s">
        <v>170</v>
      </c>
      <c r="AA1281" s="6" t="s">
        <v>171</v>
      </c>
      <c r="AB1281" s="6">
        <v>0</v>
      </c>
      <c r="AC1281" s="6" t="str">
        <f>""</f>
        <v/>
      </c>
      <c r="AS1281" s="6">
        <v>0</v>
      </c>
      <c r="AT1281" s="6">
        <v>0</v>
      </c>
    </row>
    <row r="1282" spans="2:46">
      <c r="B1282" s="6" t="s">
        <v>5041</v>
      </c>
      <c r="D1282" s="6" t="s">
        <v>3316</v>
      </c>
      <c r="F1282" s="6" t="s">
        <v>5408</v>
      </c>
      <c r="G1282" s="6" t="str">
        <f>"NC17FWNK02GNSR"</f>
        <v>NC17FWNK02GNSR</v>
      </c>
      <c r="H1282" s="6" t="s">
        <v>5409</v>
      </c>
      <c r="I1282" s="6" t="s">
        <v>5405</v>
      </c>
      <c r="J1282" s="6" t="str">
        <f>"PEACE BLOCK KNIT GN"</f>
        <v>PEACE BLOCK KNIT GN</v>
      </c>
      <c r="K1282" s="6">
        <v>0</v>
      </c>
      <c r="L1282" s="6">
        <v>0</v>
      </c>
      <c r="M1282" s="6">
        <v>0</v>
      </c>
      <c r="N1282" s="6" t="str">
        <f>""</f>
        <v/>
      </c>
      <c r="O1282" s="6">
        <v>31710</v>
      </c>
      <c r="P1282" s="6" t="s">
        <v>5409</v>
      </c>
      <c r="R1282" s="6" t="s">
        <v>5410</v>
      </c>
      <c r="S1282" s="6" t="s">
        <v>5411</v>
      </c>
      <c r="T1282" s="6">
        <v>0</v>
      </c>
      <c r="U1282" s="6">
        <v>0</v>
      </c>
      <c r="V1282" s="6">
        <v>0</v>
      </c>
      <c r="W1282" s="6">
        <v>0</v>
      </c>
      <c r="X1282" s="6" t="s">
        <v>169</v>
      </c>
      <c r="Z1282" s="6" t="s">
        <v>170</v>
      </c>
      <c r="AA1282" s="6" t="s">
        <v>171</v>
      </c>
      <c r="AB1282" s="6">
        <v>0</v>
      </c>
      <c r="AC1282" s="6" t="str">
        <f>""</f>
        <v/>
      </c>
      <c r="AS1282" s="6">
        <v>0</v>
      </c>
      <c r="AT1282" s="6">
        <v>0</v>
      </c>
    </row>
    <row r="1283" spans="2:46">
      <c r="B1283" s="6" t="s">
        <v>5041</v>
      </c>
      <c r="D1283" s="6" t="s">
        <v>3316</v>
      </c>
      <c r="F1283" s="6" t="s">
        <v>5412</v>
      </c>
      <c r="G1283" s="6" t="str">
        <f>"NC17FWNK01BKLR"</f>
        <v>NC17FWNK01BKLR</v>
      </c>
      <c r="H1283" s="6" t="s">
        <v>5413</v>
      </c>
      <c r="I1283" s="6" t="s">
        <v>5414</v>
      </c>
      <c r="J1283" s="6" t="str">
        <f>"N LOGO CARDIGAN"</f>
        <v>N LOGO CARDIGAN</v>
      </c>
      <c r="K1283" s="6">
        <v>0</v>
      </c>
      <c r="L1283" s="6">
        <v>0</v>
      </c>
      <c r="M1283" s="6">
        <v>0</v>
      </c>
      <c r="N1283" s="6" t="str">
        <f>""</f>
        <v/>
      </c>
      <c r="O1283" s="6">
        <v>31708</v>
      </c>
      <c r="P1283" s="6" t="s">
        <v>5413</v>
      </c>
      <c r="R1283" s="6" t="s">
        <v>5106</v>
      </c>
      <c r="S1283" s="6" t="s">
        <v>5415</v>
      </c>
      <c r="T1283" s="6">
        <v>0</v>
      </c>
      <c r="U1283" s="6">
        <v>0</v>
      </c>
      <c r="V1283" s="6">
        <v>0</v>
      </c>
      <c r="W1283" s="6">
        <v>0</v>
      </c>
      <c r="X1283" s="6" t="s">
        <v>169</v>
      </c>
      <c r="Z1283" s="6" t="s">
        <v>170</v>
      </c>
      <c r="AA1283" s="6" t="s">
        <v>171</v>
      </c>
      <c r="AB1283" s="6">
        <v>0</v>
      </c>
      <c r="AC1283" s="6" t="str">
        <f>""</f>
        <v/>
      </c>
      <c r="AS1283" s="6">
        <v>0</v>
      </c>
      <c r="AT1283" s="6">
        <v>0</v>
      </c>
    </row>
    <row r="1284" spans="2:46">
      <c r="B1284" s="6" t="s">
        <v>5041</v>
      </c>
      <c r="D1284" s="6" t="s">
        <v>3316</v>
      </c>
      <c r="F1284" s="6" t="s">
        <v>5416</v>
      </c>
      <c r="G1284" s="6" t="str">
        <f>"NC17FWNK01BKMR"</f>
        <v>NC17FWNK01BKMR</v>
      </c>
      <c r="H1284" s="6" t="s">
        <v>5417</v>
      </c>
      <c r="I1284" s="6" t="s">
        <v>5414</v>
      </c>
      <c r="J1284" s="6" t="str">
        <f>"N LOGO CARDIGAN"</f>
        <v>N LOGO CARDIGAN</v>
      </c>
      <c r="K1284" s="6">
        <v>0</v>
      </c>
      <c r="L1284" s="6">
        <v>0</v>
      </c>
      <c r="M1284" s="6">
        <v>0</v>
      </c>
      <c r="N1284" s="6" t="str">
        <f>""</f>
        <v/>
      </c>
      <c r="O1284" s="6">
        <v>31707</v>
      </c>
      <c r="P1284" s="6" t="s">
        <v>5417</v>
      </c>
      <c r="R1284" s="6" t="s">
        <v>601</v>
      </c>
      <c r="S1284" s="6" t="s">
        <v>5418</v>
      </c>
      <c r="T1284" s="6">
        <v>0</v>
      </c>
      <c r="U1284" s="6">
        <v>0</v>
      </c>
      <c r="V1284" s="6">
        <v>0</v>
      </c>
      <c r="W1284" s="6">
        <v>0</v>
      </c>
      <c r="X1284" s="6" t="s">
        <v>169</v>
      </c>
      <c r="Z1284" s="6" t="s">
        <v>170</v>
      </c>
      <c r="AA1284" s="6" t="s">
        <v>171</v>
      </c>
      <c r="AB1284" s="6">
        <v>0</v>
      </c>
      <c r="AC1284" s="6" t="str">
        <f>""</f>
        <v/>
      </c>
      <c r="AS1284" s="6">
        <v>0</v>
      </c>
      <c r="AT1284" s="6">
        <v>0</v>
      </c>
    </row>
    <row r="1285" spans="2:46">
      <c r="B1285" s="6" t="s">
        <v>5041</v>
      </c>
      <c r="D1285" s="6" t="s">
        <v>3316</v>
      </c>
      <c r="F1285" s="6" t="s">
        <v>5419</v>
      </c>
      <c r="G1285" s="6" t="str">
        <f>"NC17FWCT01BGSR"</f>
        <v>NC17FWCT01BGSR</v>
      </c>
      <c r="H1285" s="6" t="s">
        <v>5420</v>
      </c>
      <c r="I1285" s="6" t="s">
        <v>5421</v>
      </c>
      <c r="J1285" s="6" t="str">
        <f>"NC TRENCH COAT BG"</f>
        <v>NC TRENCH COAT BG</v>
      </c>
      <c r="K1285" s="6">
        <v>0</v>
      </c>
      <c r="L1285" s="6">
        <v>0</v>
      </c>
      <c r="M1285" s="6">
        <v>0</v>
      </c>
      <c r="N1285" s="6" t="str">
        <f>""</f>
        <v/>
      </c>
      <c r="O1285" s="6">
        <v>31705</v>
      </c>
      <c r="P1285" s="6" t="s">
        <v>5420</v>
      </c>
      <c r="R1285" s="6" t="s">
        <v>644</v>
      </c>
      <c r="S1285" s="6" t="s">
        <v>5422</v>
      </c>
      <c r="T1285" s="6">
        <v>0</v>
      </c>
      <c r="U1285" s="6">
        <v>0</v>
      </c>
      <c r="V1285" s="6">
        <v>0</v>
      </c>
      <c r="W1285" s="6">
        <v>0</v>
      </c>
      <c r="X1285" s="6" t="s">
        <v>169</v>
      </c>
      <c r="Z1285" s="6" t="s">
        <v>170</v>
      </c>
      <c r="AA1285" s="6" t="s">
        <v>171</v>
      </c>
      <c r="AB1285" s="6">
        <v>0</v>
      </c>
      <c r="AC1285" s="6" t="str">
        <f>""</f>
        <v/>
      </c>
      <c r="AS1285" s="6">
        <v>0</v>
      </c>
      <c r="AT1285" s="6">
        <v>0</v>
      </c>
    </row>
    <row r="1286" spans="2:46">
      <c r="B1286" s="6" t="s">
        <v>5041</v>
      </c>
      <c r="D1286" s="6" t="s">
        <v>3316</v>
      </c>
      <c r="F1286" s="6" t="s">
        <v>5423</v>
      </c>
      <c r="G1286" s="6" t="str">
        <f>"NC17SUAC01BWHR"</f>
        <v>NC17SUAC01BWHR</v>
      </c>
      <c r="H1286" s="6" t="s">
        <v>5424</v>
      </c>
      <c r="I1286" s="6" t="s">
        <v>5425</v>
      </c>
      <c r="J1286" s="6" t="str">
        <f>"FAKEDIVER CAP WH"</f>
        <v>FAKEDIVER CAP WH</v>
      </c>
      <c r="K1286" s="6">
        <v>0</v>
      </c>
      <c r="L1286" s="6">
        <v>0</v>
      </c>
      <c r="M1286" s="6">
        <v>0</v>
      </c>
      <c r="N1286" s="6" t="str">
        <f>""</f>
        <v/>
      </c>
      <c r="O1286" s="6">
        <v>31703</v>
      </c>
      <c r="P1286" s="6" t="s">
        <v>5424</v>
      </c>
      <c r="R1286" s="6" t="s">
        <v>5061</v>
      </c>
      <c r="S1286" s="6" t="s">
        <v>5426</v>
      </c>
      <c r="T1286" s="6">
        <v>0</v>
      </c>
      <c r="U1286" s="6">
        <v>0</v>
      </c>
      <c r="V1286" s="6">
        <v>0</v>
      </c>
      <c r="W1286" s="6">
        <v>0</v>
      </c>
      <c r="X1286" s="6" t="s">
        <v>169</v>
      </c>
      <c r="Z1286" s="6" t="s">
        <v>170</v>
      </c>
      <c r="AA1286" s="6" t="s">
        <v>171</v>
      </c>
      <c r="AB1286" s="6">
        <v>0</v>
      </c>
      <c r="AC1286" s="6" t="str">
        <f>""</f>
        <v/>
      </c>
      <c r="AS1286" s="6">
        <v>0</v>
      </c>
      <c r="AT1286" s="6">
        <v>0</v>
      </c>
    </row>
    <row r="1287" spans="2:46">
      <c r="B1287" s="6" t="s">
        <v>5041</v>
      </c>
      <c r="D1287" s="6" t="s">
        <v>3316</v>
      </c>
      <c r="F1287" s="6" t="s">
        <v>5427</v>
      </c>
      <c r="G1287" s="6" t="str">
        <f>"NC17SUAC01BKFR"</f>
        <v>NC17SUAC01BKFR</v>
      </c>
      <c r="H1287" s="6" t="s">
        <v>5428</v>
      </c>
      <c r="I1287" s="6" t="s">
        <v>5429</v>
      </c>
      <c r="J1287" s="6" t="str">
        <f>"FAKEDIVER CAP BK"</f>
        <v>FAKEDIVER CAP BK</v>
      </c>
      <c r="K1287" s="6">
        <v>0</v>
      </c>
      <c r="L1287" s="6">
        <v>0</v>
      </c>
      <c r="M1287" s="6">
        <v>0</v>
      </c>
      <c r="N1287" s="6" t="str">
        <f>""</f>
        <v/>
      </c>
      <c r="O1287" s="6">
        <v>31701</v>
      </c>
      <c r="P1287" s="6" t="s">
        <v>5428</v>
      </c>
      <c r="R1287" s="6" t="s">
        <v>5066</v>
      </c>
      <c r="S1287" s="6" t="s">
        <v>5430</v>
      </c>
      <c r="T1287" s="6">
        <v>0</v>
      </c>
      <c r="U1287" s="6">
        <v>0</v>
      </c>
      <c r="V1287" s="6">
        <v>0</v>
      </c>
      <c r="W1287" s="6">
        <v>0</v>
      </c>
      <c r="X1287" s="6" t="s">
        <v>169</v>
      </c>
      <c r="Z1287" s="6" t="s">
        <v>170</v>
      </c>
      <c r="AA1287" s="6" t="s">
        <v>171</v>
      </c>
      <c r="AB1287" s="6">
        <v>0</v>
      </c>
      <c r="AC1287" s="6" t="str">
        <f>""</f>
        <v/>
      </c>
      <c r="AS1287" s="6">
        <v>0</v>
      </c>
      <c r="AT1287" s="6">
        <v>0</v>
      </c>
    </row>
    <row r="1288" spans="2:46">
      <c r="B1288" s="6" t="s">
        <v>5041</v>
      </c>
      <c r="D1288" s="6" t="s">
        <v>3316</v>
      </c>
      <c r="F1288" s="6" t="s">
        <v>5431</v>
      </c>
      <c r="G1288" s="6" t="str">
        <f>"NC17SUOP02WHFR"</f>
        <v>NC17SUOP02WHFR</v>
      </c>
      <c r="H1288" s="6" t="s">
        <v>5432</v>
      </c>
      <c r="I1288" s="6" t="s">
        <v>5433</v>
      </c>
      <c r="J1288" s="6" t="str">
        <f>"FD SAILOR ONEPIECE WH"</f>
        <v>FD SAILOR ONEPIECE WH</v>
      </c>
      <c r="K1288" s="6">
        <v>0</v>
      </c>
      <c r="L1288" s="6">
        <v>0</v>
      </c>
      <c r="M1288" s="6">
        <v>0</v>
      </c>
      <c r="N1288" s="6" t="str">
        <f>""</f>
        <v/>
      </c>
      <c r="O1288" s="6">
        <v>31699</v>
      </c>
      <c r="P1288" s="6" t="s">
        <v>5432</v>
      </c>
      <c r="R1288" s="6" t="s">
        <v>5061</v>
      </c>
      <c r="S1288" s="6" t="s">
        <v>5434</v>
      </c>
      <c r="T1288" s="6">
        <v>0</v>
      </c>
      <c r="U1288" s="6">
        <v>0</v>
      </c>
      <c r="V1288" s="6">
        <v>0</v>
      </c>
      <c r="W1288" s="6">
        <v>0</v>
      </c>
      <c r="X1288" s="6" t="s">
        <v>169</v>
      </c>
      <c r="Z1288" s="6" t="s">
        <v>170</v>
      </c>
      <c r="AA1288" s="6" t="s">
        <v>171</v>
      </c>
      <c r="AB1288" s="6">
        <v>0</v>
      </c>
      <c r="AC1288" s="6" t="str">
        <f>""</f>
        <v/>
      </c>
      <c r="AS1288" s="6">
        <v>0</v>
      </c>
      <c r="AT1288" s="6">
        <v>0</v>
      </c>
    </row>
    <row r="1289" spans="2:46">
      <c r="B1289" s="6" t="s">
        <v>5041</v>
      </c>
      <c r="D1289" s="6" t="s">
        <v>3316</v>
      </c>
      <c r="F1289" s="6" t="s">
        <v>5435</v>
      </c>
      <c r="G1289" s="6" t="str">
        <f>"NC17SUOP01BLFR"</f>
        <v>NC17SUOP01BLFR</v>
      </c>
      <c r="I1289" s="6" t="s">
        <v>5436</v>
      </c>
      <c r="J1289" s="6" t="str">
        <f>"FD SHIRT ONEPIECE BL"</f>
        <v>FD SHIRT ONEPIECE BL</v>
      </c>
      <c r="K1289" s="6">
        <v>0</v>
      </c>
      <c r="L1289" s="6">
        <v>0</v>
      </c>
      <c r="M1289" s="6">
        <v>0</v>
      </c>
      <c r="N1289" s="6" t="str">
        <f>""</f>
        <v/>
      </c>
      <c r="O1289" s="6">
        <v>31697</v>
      </c>
      <c r="P1289" s="6" t="s">
        <v>5437</v>
      </c>
      <c r="R1289" s="6" t="s">
        <v>5438</v>
      </c>
      <c r="S1289" s="6" t="s">
        <v>5439</v>
      </c>
      <c r="T1289" s="6">
        <v>3</v>
      </c>
      <c r="U1289" s="6">
        <v>0</v>
      </c>
      <c r="V1289" s="6">
        <v>0</v>
      </c>
      <c r="W1289" s="6">
        <v>0</v>
      </c>
      <c r="X1289" s="6" t="s">
        <v>169</v>
      </c>
      <c r="Z1289" s="6" t="s">
        <v>170</v>
      </c>
      <c r="AA1289" s="6" t="s">
        <v>171</v>
      </c>
      <c r="AB1289" s="6">
        <v>0</v>
      </c>
      <c r="AC1289" s="6" t="str">
        <f>"KEY-033"</f>
        <v>KEY-033</v>
      </c>
      <c r="AQ1289" s="6" t="str">
        <f>""</f>
        <v/>
      </c>
      <c r="AR1289" s="6" t="s">
        <v>1567</v>
      </c>
      <c r="AS1289" s="6">
        <v>0</v>
      </c>
      <c r="AT1289" s="6">
        <v>3</v>
      </c>
    </row>
    <row r="1290" spans="2:46">
      <c r="B1290" s="6" t="s">
        <v>5041</v>
      </c>
      <c r="D1290" s="6" t="s">
        <v>3316</v>
      </c>
      <c r="F1290" s="6" t="s">
        <v>5440</v>
      </c>
      <c r="G1290" s="6" t="str">
        <f>"NC17SUTE010WHFR"</f>
        <v>NC17SUTE010WHFR</v>
      </c>
      <c r="I1290" s="6" t="s">
        <v>5441</v>
      </c>
      <c r="J1290" s="6" t="str">
        <f>"FD V SLEEVELESS WH"</f>
        <v>FD V SLEEVELESS WH</v>
      </c>
      <c r="K1290" s="6">
        <v>0</v>
      </c>
      <c r="L1290" s="6">
        <v>0</v>
      </c>
      <c r="M1290" s="6">
        <v>0</v>
      </c>
      <c r="N1290" s="6" t="str">
        <f>""</f>
        <v/>
      </c>
      <c r="O1290" s="6">
        <v>31695</v>
      </c>
      <c r="P1290" s="6" t="s">
        <v>5442</v>
      </c>
      <c r="R1290" s="6" t="s">
        <v>5061</v>
      </c>
      <c r="S1290" s="6" t="s">
        <v>5443</v>
      </c>
      <c r="T1290" s="6">
        <v>1</v>
      </c>
      <c r="U1290" s="6">
        <v>0</v>
      </c>
      <c r="V1290" s="6">
        <v>0</v>
      </c>
      <c r="W1290" s="6">
        <v>0</v>
      </c>
      <c r="X1290" s="6" t="s">
        <v>169</v>
      </c>
      <c r="Z1290" s="6" t="s">
        <v>170</v>
      </c>
      <c r="AA1290" s="6" t="s">
        <v>171</v>
      </c>
      <c r="AB1290" s="6">
        <v>0</v>
      </c>
      <c r="AC1290" s="6" t="str">
        <f>"KEY-065"</f>
        <v>KEY-065</v>
      </c>
      <c r="AQ1290" s="6" t="str">
        <f>""</f>
        <v/>
      </c>
      <c r="AR1290" s="6" t="s">
        <v>1567</v>
      </c>
      <c r="AS1290" s="6">
        <v>0</v>
      </c>
      <c r="AT1290" s="6">
        <v>3</v>
      </c>
    </row>
    <row r="1291" spans="2:46">
      <c r="B1291" s="6" t="s">
        <v>5041</v>
      </c>
      <c r="D1291" s="6" t="s">
        <v>3316</v>
      </c>
      <c r="F1291" s="6" t="s">
        <v>5444</v>
      </c>
      <c r="G1291" s="6" t="str">
        <f>"NC17SUTE010NYFR"</f>
        <v>NC17SUTE010NYFR</v>
      </c>
      <c r="I1291" s="6" t="s">
        <v>5445</v>
      </c>
      <c r="J1291" s="6" t="str">
        <f>"FD V SLEEVELESS NY"</f>
        <v>FD V SLEEVELESS NY</v>
      </c>
      <c r="K1291" s="6">
        <v>0</v>
      </c>
      <c r="L1291" s="6">
        <v>0</v>
      </c>
      <c r="M1291" s="6">
        <v>0</v>
      </c>
      <c r="N1291" s="6" t="str">
        <f>""</f>
        <v/>
      </c>
      <c r="O1291" s="6">
        <v>31693</v>
      </c>
      <c r="P1291" s="6" t="s">
        <v>5446</v>
      </c>
      <c r="R1291" s="6" t="s">
        <v>1502</v>
      </c>
      <c r="S1291" s="6" t="s">
        <v>5447</v>
      </c>
      <c r="T1291" s="6">
        <v>2</v>
      </c>
      <c r="U1291" s="6">
        <v>0</v>
      </c>
      <c r="V1291" s="6">
        <v>0</v>
      </c>
      <c r="W1291" s="6">
        <v>0</v>
      </c>
      <c r="X1291" s="6" t="s">
        <v>169</v>
      </c>
      <c r="Z1291" s="6" t="s">
        <v>170</v>
      </c>
      <c r="AA1291" s="6" t="s">
        <v>171</v>
      </c>
      <c r="AB1291" s="6">
        <v>0</v>
      </c>
      <c r="AC1291" s="6" t="str">
        <f>"KEY-065"</f>
        <v>KEY-065</v>
      </c>
      <c r="AQ1291" s="6" t="str">
        <f>""</f>
        <v/>
      </c>
      <c r="AR1291" s="6" t="s">
        <v>1567</v>
      </c>
      <c r="AS1291" s="6">
        <v>0</v>
      </c>
      <c r="AT1291" s="6">
        <v>2</v>
      </c>
    </row>
    <row r="1292" spans="2:46">
      <c r="B1292" s="6" t="s">
        <v>5041</v>
      </c>
      <c r="D1292" s="6" t="s">
        <v>3316</v>
      </c>
      <c r="F1292" s="6" t="s">
        <v>5448</v>
      </c>
      <c r="G1292" s="6" t="str">
        <f>"NC17SUTE09GYLR"</f>
        <v>NC17SUTE09GYLR</v>
      </c>
      <c r="I1292" s="6" t="s">
        <v>5449</v>
      </c>
      <c r="J1292" s="6" t="str">
        <f>"17 OVER 1/2 TEE GY"</f>
        <v>17 OVER 1/2 TEE GY</v>
      </c>
      <c r="K1292" s="6">
        <v>0</v>
      </c>
      <c r="L1292" s="6">
        <v>0</v>
      </c>
      <c r="M1292" s="6">
        <v>0</v>
      </c>
      <c r="N1292" s="6" t="str">
        <f>""</f>
        <v/>
      </c>
      <c r="O1292" s="6">
        <v>31691</v>
      </c>
      <c r="P1292" s="6" t="s">
        <v>5450</v>
      </c>
      <c r="R1292" s="6" t="s">
        <v>5097</v>
      </c>
      <c r="S1292" s="6" t="s">
        <v>5451</v>
      </c>
      <c r="T1292" s="6">
        <v>3</v>
      </c>
      <c r="U1292" s="6">
        <v>0</v>
      </c>
      <c r="V1292" s="6">
        <v>0</v>
      </c>
      <c r="W1292" s="6">
        <v>0</v>
      </c>
      <c r="X1292" s="6" t="s">
        <v>169</v>
      </c>
      <c r="Z1292" s="6" t="s">
        <v>170</v>
      </c>
      <c r="AA1292" s="6" t="s">
        <v>171</v>
      </c>
      <c r="AB1292" s="6">
        <v>0</v>
      </c>
      <c r="AC1292" s="6" t="str">
        <f>"KEY-051"</f>
        <v>KEY-051</v>
      </c>
      <c r="AQ1292" s="6" t="str">
        <f>""</f>
        <v/>
      </c>
      <c r="AR1292" s="6" t="s">
        <v>1567</v>
      </c>
      <c r="AS1292" s="6">
        <v>0</v>
      </c>
      <c r="AT1292" s="6">
        <v>3</v>
      </c>
    </row>
    <row r="1293" spans="2:46">
      <c r="B1293" s="6" t="s">
        <v>5041</v>
      </c>
      <c r="D1293" s="6" t="s">
        <v>3316</v>
      </c>
      <c r="F1293" s="6" t="s">
        <v>5452</v>
      </c>
      <c r="G1293" s="6" t="str">
        <f>"NC17SUTE09GYMR"</f>
        <v>NC17SUTE09GYMR</v>
      </c>
      <c r="I1293" s="6" t="s">
        <v>5449</v>
      </c>
      <c r="J1293" s="6" t="str">
        <f>"17 OVER 1/2 TEE GY"</f>
        <v>17 OVER 1/2 TEE GY</v>
      </c>
      <c r="K1293" s="6">
        <v>0</v>
      </c>
      <c r="L1293" s="6">
        <v>0</v>
      </c>
      <c r="M1293" s="6">
        <v>0</v>
      </c>
      <c r="N1293" s="6" t="str">
        <f>""</f>
        <v/>
      </c>
      <c r="O1293" s="6">
        <v>31690</v>
      </c>
      <c r="P1293" s="6" t="s">
        <v>5453</v>
      </c>
      <c r="R1293" s="6" t="s">
        <v>5212</v>
      </c>
      <c r="S1293" s="6" t="s">
        <v>5454</v>
      </c>
      <c r="T1293" s="6">
        <v>3</v>
      </c>
      <c r="U1293" s="6">
        <v>0</v>
      </c>
      <c r="V1293" s="6">
        <v>0</v>
      </c>
      <c r="W1293" s="6">
        <v>0</v>
      </c>
      <c r="X1293" s="6" t="s">
        <v>169</v>
      </c>
      <c r="Z1293" s="6" t="s">
        <v>170</v>
      </c>
      <c r="AA1293" s="6" t="s">
        <v>171</v>
      </c>
      <c r="AB1293" s="6">
        <v>0</v>
      </c>
      <c r="AC1293" s="6" t="str">
        <f>"KEY-061"</f>
        <v>KEY-061</v>
      </c>
      <c r="AQ1293" s="6" t="str">
        <f>""</f>
        <v/>
      </c>
      <c r="AR1293" s="6" t="s">
        <v>1567</v>
      </c>
      <c r="AS1293" s="6">
        <v>0</v>
      </c>
      <c r="AT1293" s="6">
        <v>3</v>
      </c>
    </row>
    <row r="1294" spans="2:46">
      <c r="B1294" s="6" t="s">
        <v>5041</v>
      </c>
      <c r="D1294" s="6" t="s">
        <v>3316</v>
      </c>
      <c r="F1294" s="6" t="s">
        <v>5455</v>
      </c>
      <c r="G1294" s="6" t="str">
        <f>"NC17SUTE09NYLR"</f>
        <v>NC17SUTE09NYLR</v>
      </c>
      <c r="H1294" s="6" t="s">
        <v>5456</v>
      </c>
      <c r="I1294" s="6" t="s">
        <v>5457</v>
      </c>
      <c r="J1294" s="6" t="str">
        <f>"17 OVER 1/2 TEE NY"</f>
        <v>17 OVER 1/2 TEE NY</v>
      </c>
      <c r="K1294" s="6">
        <v>0</v>
      </c>
      <c r="L1294" s="6">
        <v>0</v>
      </c>
      <c r="M1294" s="6">
        <v>0</v>
      </c>
      <c r="N1294" s="6" t="str">
        <f>""</f>
        <v/>
      </c>
      <c r="O1294" s="6">
        <v>31688</v>
      </c>
      <c r="P1294" s="6" t="s">
        <v>5456</v>
      </c>
      <c r="R1294" s="6" t="s">
        <v>5089</v>
      </c>
      <c r="S1294" s="6" t="s">
        <v>5458</v>
      </c>
      <c r="T1294" s="6">
        <v>0</v>
      </c>
      <c r="U1294" s="6">
        <v>0</v>
      </c>
      <c r="V1294" s="6">
        <v>0</v>
      </c>
      <c r="W1294" s="6">
        <v>0</v>
      </c>
      <c r="X1294" s="6" t="s">
        <v>169</v>
      </c>
      <c r="Z1294" s="6" t="s">
        <v>170</v>
      </c>
      <c r="AA1294" s="6" t="s">
        <v>171</v>
      </c>
      <c r="AB1294" s="6">
        <v>0</v>
      </c>
      <c r="AC1294" s="6" t="str">
        <f>""</f>
        <v/>
      </c>
      <c r="AS1294" s="6">
        <v>0</v>
      </c>
      <c r="AT1294" s="6">
        <v>0</v>
      </c>
    </row>
    <row r="1295" spans="2:46">
      <c r="B1295" s="6" t="s">
        <v>5041</v>
      </c>
      <c r="D1295" s="6" t="s">
        <v>3316</v>
      </c>
      <c r="F1295" s="6" t="s">
        <v>5459</v>
      </c>
      <c r="G1295" s="6" t="str">
        <f>"NC17SUTE09NYMR"</f>
        <v>NC17SUTE09NYMR</v>
      </c>
      <c r="H1295" s="6" t="s">
        <v>5460</v>
      </c>
      <c r="I1295" s="6" t="s">
        <v>5457</v>
      </c>
      <c r="J1295" s="6" t="str">
        <f>"17 OVER 1/2 TEE NY"</f>
        <v>17 OVER 1/2 TEE NY</v>
      </c>
      <c r="K1295" s="6">
        <v>0</v>
      </c>
      <c r="L1295" s="6">
        <v>0</v>
      </c>
      <c r="M1295" s="6">
        <v>0</v>
      </c>
      <c r="N1295" s="6" t="str">
        <f>""</f>
        <v/>
      </c>
      <c r="O1295" s="6">
        <v>31687</v>
      </c>
      <c r="P1295" s="6" t="s">
        <v>5460</v>
      </c>
      <c r="R1295" s="6" t="s">
        <v>571</v>
      </c>
      <c r="S1295" s="6" t="s">
        <v>5461</v>
      </c>
      <c r="T1295" s="6">
        <v>0</v>
      </c>
      <c r="U1295" s="6">
        <v>0</v>
      </c>
      <c r="V1295" s="6">
        <v>0</v>
      </c>
      <c r="W1295" s="6">
        <v>0</v>
      </c>
      <c r="X1295" s="6" t="s">
        <v>169</v>
      </c>
      <c r="Z1295" s="6" t="s">
        <v>170</v>
      </c>
      <c r="AA1295" s="6" t="s">
        <v>171</v>
      </c>
      <c r="AB1295" s="6">
        <v>0</v>
      </c>
      <c r="AC1295" s="6" t="str">
        <f>""</f>
        <v/>
      </c>
      <c r="AS1295" s="6">
        <v>0</v>
      </c>
      <c r="AT1295" s="6">
        <v>0</v>
      </c>
    </row>
    <row r="1296" spans="2:46">
      <c r="B1296" s="6" t="s">
        <v>5041</v>
      </c>
      <c r="D1296" s="6" t="s">
        <v>3316</v>
      </c>
      <c r="F1296" s="6" t="s">
        <v>5462</v>
      </c>
      <c r="G1296" s="6" t="str">
        <f>"NC17SUTE08NYLR"</f>
        <v>NC17SUTE08NYLR</v>
      </c>
      <c r="I1296" s="6" t="s">
        <v>5463</v>
      </c>
      <c r="J1296" s="6" t="str">
        <f>"FD STRIPE TEE BK"</f>
        <v>FD STRIPE TEE BK</v>
      </c>
      <c r="K1296" s="6">
        <v>0</v>
      </c>
      <c r="L1296" s="6">
        <v>0</v>
      </c>
      <c r="M1296" s="6">
        <v>0</v>
      </c>
      <c r="N1296" s="6" t="str">
        <f>""</f>
        <v/>
      </c>
      <c r="O1296" s="6">
        <v>31685</v>
      </c>
      <c r="P1296" s="6" t="s">
        <v>5464</v>
      </c>
      <c r="R1296" s="6" t="s">
        <v>5089</v>
      </c>
      <c r="S1296" s="6" t="s">
        <v>5465</v>
      </c>
      <c r="T1296" s="6">
        <v>3</v>
      </c>
      <c r="U1296" s="6">
        <v>0</v>
      </c>
      <c r="V1296" s="6">
        <v>0</v>
      </c>
      <c r="W1296" s="6">
        <v>0</v>
      </c>
      <c r="X1296" s="6" t="s">
        <v>169</v>
      </c>
      <c r="Z1296" s="6" t="s">
        <v>170</v>
      </c>
      <c r="AA1296" s="6" t="s">
        <v>171</v>
      </c>
      <c r="AB1296" s="6">
        <v>0</v>
      </c>
      <c r="AC1296" s="6" t="str">
        <f>"KEY-067"</f>
        <v>KEY-067</v>
      </c>
      <c r="AQ1296" s="6" t="str">
        <f>""</f>
        <v/>
      </c>
      <c r="AR1296" s="6" t="s">
        <v>1567</v>
      </c>
      <c r="AS1296" s="6">
        <v>0</v>
      </c>
      <c r="AT1296" s="6">
        <v>3</v>
      </c>
    </row>
    <row r="1297" spans="2:46">
      <c r="B1297" s="6" t="s">
        <v>5041</v>
      </c>
      <c r="D1297" s="6" t="s">
        <v>3316</v>
      </c>
      <c r="F1297" s="6" t="s">
        <v>5466</v>
      </c>
      <c r="G1297" s="6" t="str">
        <f>"NC17SUTE08NYSR"</f>
        <v>NC17SUTE08NYSR</v>
      </c>
      <c r="I1297" s="6" t="s">
        <v>5463</v>
      </c>
      <c r="J1297" s="6" t="str">
        <f>"FD STRIPE TEE BK"</f>
        <v>FD STRIPE TEE BK</v>
      </c>
      <c r="K1297" s="6">
        <v>0</v>
      </c>
      <c r="L1297" s="6">
        <v>0</v>
      </c>
      <c r="M1297" s="6">
        <v>0</v>
      </c>
      <c r="N1297" s="6" t="str">
        <f>""</f>
        <v/>
      </c>
      <c r="O1297" s="6">
        <v>31684</v>
      </c>
      <c r="P1297" s="6" t="s">
        <v>5467</v>
      </c>
      <c r="R1297" s="6" t="s">
        <v>566</v>
      </c>
      <c r="S1297" s="6" t="s">
        <v>5468</v>
      </c>
      <c r="T1297" s="6">
        <v>3</v>
      </c>
      <c r="U1297" s="6">
        <v>0</v>
      </c>
      <c r="V1297" s="6">
        <v>0</v>
      </c>
      <c r="W1297" s="6">
        <v>0</v>
      </c>
      <c r="X1297" s="6" t="s">
        <v>169</v>
      </c>
      <c r="Z1297" s="6" t="s">
        <v>170</v>
      </c>
      <c r="AA1297" s="6" t="s">
        <v>171</v>
      </c>
      <c r="AB1297" s="6">
        <v>0</v>
      </c>
      <c r="AC1297" s="6" t="str">
        <f>"KEY-072"</f>
        <v>KEY-072</v>
      </c>
      <c r="AQ1297" s="6" t="str">
        <f>""</f>
        <v/>
      </c>
      <c r="AR1297" s="6" t="s">
        <v>1567</v>
      </c>
      <c r="AS1297" s="6">
        <v>0</v>
      </c>
      <c r="AT1297" s="6">
        <v>3</v>
      </c>
    </row>
    <row r="1298" spans="2:46">
      <c r="B1298" s="6" t="s">
        <v>5041</v>
      </c>
      <c r="D1298" s="6" t="s">
        <v>3316</v>
      </c>
      <c r="F1298" s="6" t="s">
        <v>5469</v>
      </c>
      <c r="G1298" s="6" t="str">
        <f>"NC17SUTE07YELR"</f>
        <v>NC17SUTE07YELR</v>
      </c>
      <c r="H1298" s="6" t="s">
        <v>5470</v>
      </c>
      <c r="I1298" s="6" t="s">
        <v>5471</v>
      </c>
      <c r="J1298" s="6" t="str">
        <f>"FD RUGBY TEE YE"</f>
        <v>FD RUGBY TEE YE</v>
      </c>
      <c r="K1298" s="6">
        <v>0</v>
      </c>
      <c r="L1298" s="6">
        <v>0</v>
      </c>
      <c r="M1298" s="6">
        <v>0</v>
      </c>
      <c r="N1298" s="6" t="str">
        <f>""</f>
        <v/>
      </c>
      <c r="O1298" s="6">
        <v>31682</v>
      </c>
      <c r="P1298" s="6" t="s">
        <v>5470</v>
      </c>
      <c r="R1298" s="6" t="s">
        <v>5329</v>
      </c>
      <c r="S1298" s="6" t="s">
        <v>5472</v>
      </c>
      <c r="T1298" s="6">
        <v>0</v>
      </c>
      <c r="U1298" s="6">
        <v>0</v>
      </c>
      <c r="V1298" s="6">
        <v>0</v>
      </c>
      <c r="W1298" s="6">
        <v>0</v>
      </c>
      <c r="X1298" s="6" t="s">
        <v>169</v>
      </c>
      <c r="Z1298" s="6" t="s">
        <v>170</v>
      </c>
      <c r="AA1298" s="6" t="s">
        <v>171</v>
      </c>
      <c r="AB1298" s="6">
        <v>0</v>
      </c>
      <c r="AC1298" s="6" t="str">
        <f>""</f>
        <v/>
      </c>
      <c r="AS1298" s="6">
        <v>0</v>
      </c>
      <c r="AT1298" s="6">
        <v>0</v>
      </c>
    </row>
    <row r="1299" spans="2:46">
      <c r="B1299" s="6" t="s">
        <v>5041</v>
      </c>
      <c r="D1299" s="6" t="s">
        <v>3316</v>
      </c>
      <c r="F1299" s="6" t="s">
        <v>5473</v>
      </c>
      <c r="G1299" s="6" t="str">
        <f>"NC17SUTE07YEMR"</f>
        <v>NC17SUTE07YEMR</v>
      </c>
      <c r="H1299" s="6" t="s">
        <v>5474</v>
      </c>
      <c r="I1299" s="6" t="s">
        <v>5471</v>
      </c>
      <c r="J1299" s="6" t="str">
        <f>"FD RUGBY TEE YE"</f>
        <v>FD RUGBY TEE YE</v>
      </c>
      <c r="K1299" s="6">
        <v>0</v>
      </c>
      <c r="L1299" s="6">
        <v>0</v>
      </c>
      <c r="M1299" s="6">
        <v>0</v>
      </c>
      <c r="N1299" s="6" t="str">
        <f>""</f>
        <v/>
      </c>
      <c r="O1299" s="6">
        <v>31681</v>
      </c>
      <c r="P1299" s="6" t="s">
        <v>5474</v>
      </c>
      <c r="R1299" s="6" t="s">
        <v>3653</v>
      </c>
      <c r="S1299" s="6" t="s">
        <v>5475</v>
      </c>
      <c r="T1299" s="6">
        <v>0</v>
      </c>
      <c r="U1299" s="6">
        <v>0</v>
      </c>
      <c r="V1299" s="6">
        <v>0</v>
      </c>
      <c r="W1299" s="6">
        <v>0</v>
      </c>
      <c r="X1299" s="6" t="s">
        <v>169</v>
      </c>
      <c r="Z1299" s="6" t="s">
        <v>170</v>
      </c>
      <c r="AA1299" s="6" t="s">
        <v>171</v>
      </c>
      <c r="AB1299" s="6">
        <v>0</v>
      </c>
      <c r="AC1299" s="6" t="str">
        <f>""</f>
        <v/>
      </c>
      <c r="AS1299" s="6">
        <v>0</v>
      </c>
      <c r="AT1299" s="6">
        <v>0</v>
      </c>
    </row>
    <row r="1300" spans="2:46">
      <c r="B1300" s="6" t="s">
        <v>5041</v>
      </c>
      <c r="D1300" s="6" t="s">
        <v>3316</v>
      </c>
      <c r="F1300" s="6" t="s">
        <v>5476</v>
      </c>
      <c r="G1300" s="6" t="str">
        <f>"NC17SUTE07BKLR"</f>
        <v>NC17SUTE07BKLR</v>
      </c>
      <c r="I1300" s="6" t="s">
        <v>5477</v>
      </c>
      <c r="J1300" s="6" t="str">
        <f>"FD RUGBY TEE BK"</f>
        <v>FD RUGBY TEE BK</v>
      </c>
      <c r="K1300" s="6">
        <v>0</v>
      </c>
      <c r="L1300" s="6">
        <v>0</v>
      </c>
      <c r="M1300" s="6">
        <v>0</v>
      </c>
      <c r="N1300" s="6" t="str">
        <f>""</f>
        <v/>
      </c>
      <c r="O1300" s="6">
        <v>31679</v>
      </c>
      <c r="P1300" s="6" t="s">
        <v>5478</v>
      </c>
      <c r="R1300" s="6" t="s">
        <v>5106</v>
      </c>
      <c r="S1300" s="6" t="s">
        <v>5479</v>
      </c>
      <c r="T1300" s="6">
        <v>3</v>
      </c>
      <c r="U1300" s="6">
        <v>0</v>
      </c>
      <c r="V1300" s="6">
        <v>0</v>
      </c>
      <c r="W1300" s="6">
        <v>0</v>
      </c>
      <c r="X1300" s="6" t="s">
        <v>169</v>
      </c>
      <c r="Z1300" s="6" t="s">
        <v>170</v>
      </c>
      <c r="AA1300" s="6" t="s">
        <v>171</v>
      </c>
      <c r="AB1300" s="6">
        <v>0</v>
      </c>
      <c r="AC1300" s="6" t="str">
        <f>"KEY-020"</f>
        <v>KEY-020</v>
      </c>
      <c r="AQ1300" s="6" t="str">
        <f>""</f>
        <v/>
      </c>
      <c r="AR1300" s="6" t="s">
        <v>1567</v>
      </c>
      <c r="AS1300" s="6">
        <v>0</v>
      </c>
      <c r="AT1300" s="6">
        <v>3</v>
      </c>
    </row>
    <row r="1301" spans="2:46">
      <c r="B1301" s="6" t="s">
        <v>5041</v>
      </c>
      <c r="D1301" s="6" t="s">
        <v>3316</v>
      </c>
      <c r="F1301" s="6" t="s">
        <v>5480</v>
      </c>
      <c r="G1301" s="6" t="str">
        <f>"NC17SUTE07BKMR"</f>
        <v>NC17SUTE07BKMR</v>
      </c>
      <c r="I1301" s="6" t="s">
        <v>5477</v>
      </c>
      <c r="J1301" s="6" t="str">
        <f>"FD RUGBY TEE BK"</f>
        <v>FD RUGBY TEE BK</v>
      </c>
      <c r="K1301" s="6">
        <v>0</v>
      </c>
      <c r="L1301" s="6">
        <v>0</v>
      </c>
      <c r="M1301" s="6">
        <v>0</v>
      </c>
      <c r="N1301" s="6" t="str">
        <f>""</f>
        <v/>
      </c>
      <c r="O1301" s="6">
        <v>31678</v>
      </c>
      <c r="P1301" s="6" t="s">
        <v>5481</v>
      </c>
      <c r="R1301" s="6" t="s">
        <v>601</v>
      </c>
      <c r="S1301" s="6" t="s">
        <v>5482</v>
      </c>
      <c r="T1301" s="6">
        <v>3</v>
      </c>
      <c r="U1301" s="6">
        <v>0</v>
      </c>
      <c r="V1301" s="6">
        <v>0</v>
      </c>
      <c r="W1301" s="6">
        <v>0</v>
      </c>
      <c r="X1301" s="6" t="s">
        <v>169</v>
      </c>
      <c r="Z1301" s="6" t="s">
        <v>170</v>
      </c>
      <c r="AA1301" s="6" t="s">
        <v>171</v>
      </c>
      <c r="AB1301" s="6">
        <v>0</v>
      </c>
      <c r="AC1301" s="6" t="str">
        <f>"KEY-020"</f>
        <v>KEY-020</v>
      </c>
      <c r="AQ1301" s="6" t="str">
        <f>""</f>
        <v/>
      </c>
      <c r="AR1301" s="6" t="s">
        <v>1567</v>
      </c>
      <c r="AS1301" s="6">
        <v>0</v>
      </c>
      <c r="AT1301" s="6">
        <v>3</v>
      </c>
    </row>
    <row r="1302" spans="2:46">
      <c r="B1302" s="6" t="s">
        <v>5041</v>
      </c>
      <c r="D1302" s="6" t="s">
        <v>3316</v>
      </c>
      <c r="F1302" s="6" t="s">
        <v>5483</v>
      </c>
      <c r="G1302" s="6" t="str">
        <f>"NC17SUTE06WHLR"</f>
        <v>NC17SUTE06WHLR</v>
      </c>
      <c r="I1302" s="6" t="s">
        <v>5484</v>
      </c>
      <c r="J1302" s="6" t="str">
        <f>"FD V PATCH 1/2 TEE WH"</f>
        <v>FD V PATCH 1/2 TEE WH</v>
      </c>
      <c r="K1302" s="6">
        <v>0</v>
      </c>
      <c r="L1302" s="6">
        <v>0</v>
      </c>
      <c r="M1302" s="6">
        <v>0</v>
      </c>
      <c r="N1302" s="6" t="str">
        <f>""</f>
        <v/>
      </c>
      <c r="O1302" s="6">
        <v>31676</v>
      </c>
      <c r="P1302" s="6" t="s">
        <v>5485</v>
      </c>
      <c r="R1302" s="6" t="s">
        <v>5193</v>
      </c>
      <c r="S1302" s="6" t="s">
        <v>5486</v>
      </c>
      <c r="T1302" s="6">
        <v>3</v>
      </c>
      <c r="U1302" s="6">
        <v>0</v>
      </c>
      <c r="V1302" s="6">
        <v>0</v>
      </c>
      <c r="W1302" s="6">
        <v>0</v>
      </c>
      <c r="X1302" s="6" t="s">
        <v>169</v>
      </c>
      <c r="Z1302" s="6" t="s">
        <v>170</v>
      </c>
      <c r="AA1302" s="6" t="s">
        <v>171</v>
      </c>
      <c r="AB1302" s="6">
        <v>0</v>
      </c>
      <c r="AC1302" s="6" t="str">
        <f>"KEY-069"</f>
        <v>KEY-069</v>
      </c>
      <c r="AQ1302" s="6" t="str">
        <f>""</f>
        <v/>
      </c>
      <c r="AR1302" s="6" t="s">
        <v>1567</v>
      </c>
      <c r="AS1302" s="6">
        <v>0</v>
      </c>
      <c r="AT1302" s="6">
        <v>3</v>
      </c>
    </row>
    <row r="1303" spans="2:46">
      <c r="B1303" s="6" t="s">
        <v>5041</v>
      </c>
      <c r="D1303" s="6" t="s">
        <v>3316</v>
      </c>
      <c r="F1303" s="6" t="s">
        <v>5487</v>
      </c>
      <c r="G1303" s="6" t="str">
        <f>"NC17SUTE06WHMR"</f>
        <v>NC17SUTE06WHMR</v>
      </c>
      <c r="I1303" s="6" t="s">
        <v>5484</v>
      </c>
      <c r="J1303" s="6" t="str">
        <f>"FD V PATCH 1/2 TEE WH"</f>
        <v>FD V PATCH 1/2 TEE WH</v>
      </c>
      <c r="K1303" s="6">
        <v>0</v>
      </c>
      <c r="L1303" s="6">
        <v>0</v>
      </c>
      <c r="M1303" s="6">
        <v>0</v>
      </c>
      <c r="N1303" s="6" t="str">
        <f>""</f>
        <v/>
      </c>
      <c r="O1303" s="6">
        <v>31675</v>
      </c>
      <c r="P1303" s="6" t="s">
        <v>5488</v>
      </c>
      <c r="R1303" s="6" t="s">
        <v>5197</v>
      </c>
      <c r="S1303" s="6" t="s">
        <v>5489</v>
      </c>
      <c r="T1303" s="6">
        <v>2</v>
      </c>
      <c r="U1303" s="6">
        <v>0</v>
      </c>
      <c r="V1303" s="6">
        <v>0</v>
      </c>
      <c r="W1303" s="6">
        <v>0</v>
      </c>
      <c r="X1303" s="6" t="s">
        <v>169</v>
      </c>
      <c r="Z1303" s="6" t="s">
        <v>170</v>
      </c>
      <c r="AA1303" s="6" t="s">
        <v>171</v>
      </c>
      <c r="AB1303" s="6">
        <v>0</v>
      </c>
      <c r="AC1303" s="6" t="str">
        <f>"KEY-070"</f>
        <v>KEY-070</v>
      </c>
      <c r="AQ1303" s="6" t="str">
        <f>""</f>
        <v/>
      </c>
      <c r="AR1303" s="6" t="s">
        <v>1567</v>
      </c>
      <c r="AS1303" s="6">
        <v>0</v>
      </c>
      <c r="AT1303" s="6">
        <v>2</v>
      </c>
    </row>
    <row r="1304" spans="2:46">
      <c r="B1304" s="6" t="s">
        <v>5041</v>
      </c>
      <c r="D1304" s="6" t="s">
        <v>3316</v>
      </c>
      <c r="F1304" s="6" t="s">
        <v>5490</v>
      </c>
      <c r="G1304" s="6" t="str">
        <f>"NC17SUTE06NYLR"</f>
        <v>NC17SUTE06NYLR</v>
      </c>
      <c r="H1304" s="6" t="s">
        <v>5491</v>
      </c>
      <c r="I1304" s="6" t="s">
        <v>5492</v>
      </c>
      <c r="J1304" s="6" t="str">
        <f>"FD V PATCH 1/2 TEE NY"</f>
        <v>FD V PATCH 1/2 TEE NY</v>
      </c>
      <c r="K1304" s="6">
        <v>0</v>
      </c>
      <c r="L1304" s="6">
        <v>0</v>
      </c>
      <c r="M1304" s="6">
        <v>0</v>
      </c>
      <c r="N1304" s="6" t="str">
        <f>""</f>
        <v/>
      </c>
      <c r="O1304" s="6">
        <v>31673</v>
      </c>
      <c r="P1304" s="6" t="s">
        <v>5491</v>
      </c>
      <c r="R1304" s="6" t="s">
        <v>5089</v>
      </c>
      <c r="S1304" s="6" t="s">
        <v>5493</v>
      </c>
      <c r="T1304" s="6">
        <v>0</v>
      </c>
      <c r="U1304" s="6">
        <v>0</v>
      </c>
      <c r="V1304" s="6">
        <v>0</v>
      </c>
      <c r="W1304" s="6">
        <v>0</v>
      </c>
      <c r="X1304" s="6" t="s">
        <v>169</v>
      </c>
      <c r="Z1304" s="6" t="s">
        <v>170</v>
      </c>
      <c r="AA1304" s="6" t="s">
        <v>171</v>
      </c>
      <c r="AB1304" s="6">
        <v>0</v>
      </c>
      <c r="AC1304" s="6" t="str">
        <f>""</f>
        <v/>
      </c>
      <c r="AS1304" s="6">
        <v>0</v>
      </c>
      <c r="AT1304" s="6">
        <v>0</v>
      </c>
    </row>
    <row r="1305" spans="2:46">
      <c r="B1305" s="6" t="s">
        <v>5041</v>
      </c>
      <c r="D1305" s="6" t="s">
        <v>3316</v>
      </c>
      <c r="F1305" s="6" t="s">
        <v>5494</v>
      </c>
      <c r="G1305" s="6" t="str">
        <f>"NC17SUTE06NYMR"</f>
        <v>NC17SUTE06NYMR</v>
      </c>
      <c r="H1305" s="6" t="s">
        <v>5495</v>
      </c>
      <c r="I1305" s="6" t="s">
        <v>5492</v>
      </c>
      <c r="J1305" s="6" t="str">
        <f>"FD V PATCH 1/2 TEE NY"</f>
        <v>FD V PATCH 1/2 TEE NY</v>
      </c>
      <c r="K1305" s="6">
        <v>0</v>
      </c>
      <c r="L1305" s="6">
        <v>0</v>
      </c>
      <c r="M1305" s="6">
        <v>0</v>
      </c>
      <c r="N1305" s="6" t="str">
        <f>""</f>
        <v/>
      </c>
      <c r="O1305" s="6">
        <v>31672</v>
      </c>
      <c r="P1305" s="6" t="s">
        <v>5495</v>
      </c>
      <c r="R1305" s="6" t="s">
        <v>571</v>
      </c>
      <c r="S1305" s="6" t="s">
        <v>5496</v>
      </c>
      <c r="T1305" s="6">
        <v>0</v>
      </c>
      <c r="U1305" s="6">
        <v>0</v>
      </c>
      <c r="V1305" s="6">
        <v>0</v>
      </c>
      <c r="W1305" s="6">
        <v>0</v>
      </c>
      <c r="X1305" s="6" t="s">
        <v>169</v>
      </c>
      <c r="Z1305" s="6" t="s">
        <v>170</v>
      </c>
      <c r="AA1305" s="6" t="s">
        <v>171</v>
      </c>
      <c r="AB1305" s="6">
        <v>0</v>
      </c>
      <c r="AC1305" s="6" t="str">
        <f>""</f>
        <v/>
      </c>
      <c r="AS1305" s="6">
        <v>0</v>
      </c>
      <c r="AT1305" s="6">
        <v>0</v>
      </c>
    </row>
    <row r="1306" spans="2:46">
      <c r="B1306" s="6" t="s">
        <v>5041</v>
      </c>
      <c r="D1306" s="6" t="s">
        <v>3316</v>
      </c>
      <c r="F1306" s="6" t="s">
        <v>5497</v>
      </c>
      <c r="G1306" s="6" t="str">
        <f>"NC17SUTE05YELR"</f>
        <v>NC17SUTE05YELR</v>
      </c>
      <c r="I1306" s="6" t="s">
        <v>5498</v>
      </c>
      <c r="J1306" s="6" t="str">
        <f>"FD BASIC 1/2 TEE YE"</f>
        <v>FD BASIC 1/2 TEE YE</v>
      </c>
      <c r="K1306" s="6">
        <v>0</v>
      </c>
      <c r="L1306" s="6">
        <v>0</v>
      </c>
      <c r="M1306" s="6">
        <v>0</v>
      </c>
      <c r="N1306" s="6" t="str">
        <f>""</f>
        <v/>
      </c>
      <c r="O1306" s="6">
        <v>31670</v>
      </c>
      <c r="P1306" s="6" t="s">
        <v>5499</v>
      </c>
      <c r="R1306" s="6" t="s">
        <v>5329</v>
      </c>
      <c r="S1306" s="6" t="s">
        <v>5500</v>
      </c>
      <c r="T1306" s="6">
        <v>2</v>
      </c>
      <c r="U1306" s="6">
        <v>0</v>
      </c>
      <c r="V1306" s="6">
        <v>0</v>
      </c>
      <c r="W1306" s="6">
        <v>0</v>
      </c>
      <c r="X1306" s="6" t="s">
        <v>169</v>
      </c>
      <c r="Z1306" s="6" t="s">
        <v>170</v>
      </c>
      <c r="AA1306" s="6" t="s">
        <v>171</v>
      </c>
      <c r="AB1306" s="6">
        <v>0</v>
      </c>
      <c r="AC1306" s="6" t="str">
        <f>"KEY-015"</f>
        <v>KEY-015</v>
      </c>
      <c r="AQ1306" s="6" t="str">
        <f>""</f>
        <v/>
      </c>
      <c r="AR1306" s="6" t="s">
        <v>1584</v>
      </c>
      <c r="AS1306" s="6">
        <v>0</v>
      </c>
      <c r="AT1306" s="6">
        <v>2</v>
      </c>
    </row>
    <row r="1307" spans="2:46">
      <c r="B1307" s="6" t="s">
        <v>5041</v>
      </c>
      <c r="D1307" s="6" t="s">
        <v>3316</v>
      </c>
      <c r="F1307" s="6" t="s">
        <v>5501</v>
      </c>
      <c r="G1307" s="6" t="str">
        <f>"NC17SUTE05YESR"</f>
        <v>NC17SUTE05YESR</v>
      </c>
      <c r="H1307" s="6" t="s">
        <v>5502</v>
      </c>
      <c r="I1307" s="6" t="s">
        <v>5498</v>
      </c>
      <c r="J1307" s="6" t="str">
        <f>"FD BASIC 1/2 TEE YE"</f>
        <v>FD BASIC 1/2 TEE YE</v>
      </c>
      <c r="K1307" s="6">
        <v>0</v>
      </c>
      <c r="L1307" s="6">
        <v>0</v>
      </c>
      <c r="M1307" s="6">
        <v>0</v>
      </c>
      <c r="N1307" s="6" t="str">
        <f>""</f>
        <v/>
      </c>
      <c r="O1307" s="6">
        <v>31669</v>
      </c>
      <c r="P1307" s="6" t="s">
        <v>5502</v>
      </c>
      <c r="R1307" s="6" t="s">
        <v>3657</v>
      </c>
      <c r="S1307" s="6" t="s">
        <v>5503</v>
      </c>
      <c r="T1307" s="6">
        <v>0</v>
      </c>
      <c r="U1307" s="6">
        <v>0</v>
      </c>
      <c r="V1307" s="6">
        <v>0</v>
      </c>
      <c r="W1307" s="6">
        <v>0</v>
      </c>
      <c r="X1307" s="6" t="s">
        <v>169</v>
      </c>
      <c r="Z1307" s="6" t="s">
        <v>170</v>
      </c>
      <c r="AA1307" s="6" t="s">
        <v>171</v>
      </c>
      <c r="AB1307" s="6">
        <v>0</v>
      </c>
      <c r="AC1307" s="6" t="str">
        <f>""</f>
        <v/>
      </c>
      <c r="AS1307" s="6">
        <v>0</v>
      </c>
      <c r="AT1307" s="6">
        <v>0</v>
      </c>
    </row>
    <row r="1308" spans="2:46">
      <c r="B1308" s="6" t="s">
        <v>5041</v>
      </c>
      <c r="D1308" s="6" t="s">
        <v>3316</v>
      </c>
      <c r="F1308" s="6" t="s">
        <v>5504</v>
      </c>
      <c r="G1308" s="6" t="str">
        <f>"NC17SUTE04PKFR"</f>
        <v>NC17SUTE04PKFR</v>
      </c>
      <c r="H1308" s="6" t="s">
        <v>5505</v>
      </c>
      <c r="I1308" s="6" t="s">
        <v>5506</v>
      </c>
      <c r="J1308" s="6" t="str">
        <f>"NC LOGO 1/2 TEE PK"</f>
        <v>NC LOGO 1/2 TEE PK</v>
      </c>
      <c r="K1308" s="6">
        <v>0</v>
      </c>
      <c r="L1308" s="6">
        <v>0</v>
      </c>
      <c r="M1308" s="6">
        <v>0</v>
      </c>
      <c r="N1308" s="6" t="str">
        <f>""</f>
        <v/>
      </c>
      <c r="O1308" s="6">
        <v>31667</v>
      </c>
      <c r="P1308" s="6" t="s">
        <v>5505</v>
      </c>
      <c r="R1308" s="6" t="s">
        <v>1469</v>
      </c>
      <c r="S1308" s="6" t="s">
        <v>5507</v>
      </c>
      <c r="T1308" s="6">
        <v>0</v>
      </c>
      <c r="U1308" s="6">
        <v>0</v>
      </c>
      <c r="V1308" s="6">
        <v>0</v>
      </c>
      <c r="W1308" s="6">
        <v>0</v>
      </c>
      <c r="X1308" s="6" t="s">
        <v>169</v>
      </c>
      <c r="Z1308" s="6" t="s">
        <v>170</v>
      </c>
      <c r="AA1308" s="6" t="s">
        <v>171</v>
      </c>
      <c r="AB1308" s="6">
        <v>0</v>
      </c>
      <c r="AC1308" s="6" t="str">
        <f>""</f>
        <v/>
      </c>
      <c r="AS1308" s="6">
        <v>0</v>
      </c>
      <c r="AT1308" s="6">
        <v>0</v>
      </c>
    </row>
    <row r="1309" spans="2:46">
      <c r="B1309" s="6" t="s">
        <v>5041</v>
      </c>
      <c r="D1309" s="6" t="s">
        <v>3316</v>
      </c>
      <c r="F1309" s="6" t="s">
        <v>5508</v>
      </c>
      <c r="G1309" s="6" t="str">
        <f>"NC17SUTE04WHFR"</f>
        <v>NC17SUTE04WHFR</v>
      </c>
      <c r="H1309" s="6" t="s">
        <v>5509</v>
      </c>
      <c r="I1309" s="6" t="s">
        <v>5510</v>
      </c>
      <c r="J1309" s="6" t="str">
        <f>"NC LOGO 1/2 TEE WH"</f>
        <v>NC LOGO 1/2 TEE WH</v>
      </c>
      <c r="K1309" s="6">
        <v>0</v>
      </c>
      <c r="L1309" s="6">
        <v>0</v>
      </c>
      <c r="M1309" s="6">
        <v>0</v>
      </c>
      <c r="N1309" s="6" t="str">
        <f>""</f>
        <v/>
      </c>
      <c r="O1309" s="6">
        <v>31665</v>
      </c>
      <c r="P1309" s="6" t="s">
        <v>5509</v>
      </c>
      <c r="R1309" s="6" t="s">
        <v>5061</v>
      </c>
      <c r="S1309" s="6" t="s">
        <v>5511</v>
      </c>
      <c r="T1309" s="6">
        <v>0</v>
      </c>
      <c r="U1309" s="6">
        <v>0</v>
      </c>
      <c r="V1309" s="6">
        <v>0</v>
      </c>
      <c r="W1309" s="6">
        <v>0</v>
      </c>
      <c r="X1309" s="6" t="s">
        <v>169</v>
      </c>
      <c r="Z1309" s="6" t="s">
        <v>170</v>
      </c>
      <c r="AA1309" s="6" t="s">
        <v>171</v>
      </c>
      <c r="AB1309" s="6">
        <v>0</v>
      </c>
      <c r="AC1309" s="6" t="str">
        <f>""</f>
        <v/>
      </c>
      <c r="AS1309" s="6">
        <v>0</v>
      </c>
      <c r="AT1309" s="6">
        <v>0</v>
      </c>
    </row>
    <row r="1310" spans="2:46">
      <c r="B1310" s="6" t="s">
        <v>5041</v>
      </c>
      <c r="D1310" s="6" t="s">
        <v>3316</v>
      </c>
      <c r="F1310" s="6" t="s">
        <v>5512</v>
      </c>
      <c r="G1310" s="6" t="str">
        <f>"NC17SUTE03NYLR"</f>
        <v>NC17SUTE03NYLR</v>
      </c>
      <c r="H1310" s="6" t="s">
        <v>5513</v>
      </c>
      <c r="I1310" s="6" t="s">
        <v>5514</v>
      </c>
      <c r="J1310" s="6" t="str">
        <f>"SILENTFROG TEE NY"</f>
        <v>SILENTFROG TEE NY</v>
      </c>
      <c r="K1310" s="6">
        <v>0</v>
      </c>
      <c r="L1310" s="6">
        <v>0</v>
      </c>
      <c r="M1310" s="6">
        <v>0</v>
      </c>
      <c r="N1310" s="6" t="str">
        <f>""</f>
        <v/>
      </c>
      <c r="O1310" s="6">
        <v>31663</v>
      </c>
      <c r="P1310" s="6" t="s">
        <v>5513</v>
      </c>
      <c r="R1310" s="6" t="s">
        <v>5089</v>
      </c>
      <c r="S1310" s="6" t="s">
        <v>5515</v>
      </c>
      <c r="T1310" s="6">
        <v>0</v>
      </c>
      <c r="U1310" s="6">
        <v>0</v>
      </c>
      <c r="V1310" s="6">
        <v>0</v>
      </c>
      <c r="W1310" s="6">
        <v>0</v>
      </c>
      <c r="X1310" s="6" t="s">
        <v>169</v>
      </c>
      <c r="Z1310" s="6" t="s">
        <v>170</v>
      </c>
      <c r="AA1310" s="6" t="s">
        <v>171</v>
      </c>
      <c r="AB1310" s="6">
        <v>0</v>
      </c>
      <c r="AC1310" s="6" t="str">
        <f>""</f>
        <v/>
      </c>
      <c r="AS1310" s="6">
        <v>0</v>
      </c>
      <c r="AT1310" s="6">
        <v>0</v>
      </c>
    </row>
    <row r="1311" spans="2:46">
      <c r="B1311" s="6" t="s">
        <v>5041</v>
      </c>
      <c r="D1311" s="6" t="s">
        <v>3316</v>
      </c>
      <c r="F1311" s="6" t="s">
        <v>5516</v>
      </c>
      <c r="G1311" s="6" t="str">
        <f>"NC17SUTE03NYSR"</f>
        <v>NC17SUTE03NYSR</v>
      </c>
      <c r="H1311" s="6" t="s">
        <v>5517</v>
      </c>
      <c r="I1311" s="6" t="s">
        <v>5514</v>
      </c>
      <c r="J1311" s="6" t="str">
        <f>"SILENTFROG TEE NY"</f>
        <v>SILENTFROG TEE NY</v>
      </c>
      <c r="K1311" s="6">
        <v>0</v>
      </c>
      <c r="L1311" s="6">
        <v>0</v>
      </c>
      <c r="M1311" s="6">
        <v>0</v>
      </c>
      <c r="N1311" s="6" t="str">
        <f>""</f>
        <v/>
      </c>
      <c r="O1311" s="6">
        <v>31662</v>
      </c>
      <c r="P1311" s="6" t="s">
        <v>5517</v>
      </c>
      <c r="R1311" s="6" t="s">
        <v>566</v>
      </c>
      <c r="S1311" s="6" t="s">
        <v>5518</v>
      </c>
      <c r="T1311" s="6">
        <v>0</v>
      </c>
      <c r="U1311" s="6">
        <v>0</v>
      </c>
      <c r="V1311" s="6">
        <v>0</v>
      </c>
      <c r="W1311" s="6">
        <v>0</v>
      </c>
      <c r="X1311" s="6" t="s">
        <v>169</v>
      </c>
      <c r="Z1311" s="6" t="s">
        <v>170</v>
      </c>
      <c r="AA1311" s="6" t="s">
        <v>171</v>
      </c>
      <c r="AB1311" s="6">
        <v>0</v>
      </c>
      <c r="AC1311" s="6" t="str">
        <f>""</f>
        <v/>
      </c>
      <c r="AS1311" s="6">
        <v>0</v>
      </c>
      <c r="AT1311" s="6">
        <v>0</v>
      </c>
    </row>
    <row r="1312" spans="2:46">
      <c r="B1312" s="6" t="s">
        <v>5041</v>
      </c>
      <c r="D1312" s="6" t="s">
        <v>3316</v>
      </c>
      <c r="F1312" s="6" t="s">
        <v>5519</v>
      </c>
      <c r="G1312" s="6" t="str">
        <f>"NC17SUTE02WHLR"</f>
        <v>NC17SUTE02WHLR</v>
      </c>
      <c r="I1312" s="6" t="s">
        <v>5520</v>
      </c>
      <c r="J1312" s="6" t="str">
        <f>"SHARK PRINT TEE WH"</f>
        <v>SHARK PRINT TEE WH</v>
      </c>
      <c r="K1312" s="6">
        <v>0</v>
      </c>
      <c r="L1312" s="6">
        <v>0</v>
      </c>
      <c r="M1312" s="6">
        <v>0</v>
      </c>
      <c r="N1312" s="6" t="str">
        <f>""</f>
        <v/>
      </c>
      <c r="O1312" s="6">
        <v>31660</v>
      </c>
      <c r="P1312" s="6" t="s">
        <v>5521</v>
      </c>
      <c r="R1312" s="6" t="s">
        <v>5193</v>
      </c>
      <c r="S1312" s="6" t="s">
        <v>5522</v>
      </c>
      <c r="T1312" s="6">
        <v>2</v>
      </c>
      <c r="U1312" s="6">
        <v>0</v>
      </c>
      <c r="V1312" s="6">
        <v>0</v>
      </c>
      <c r="W1312" s="6">
        <v>0</v>
      </c>
      <c r="X1312" s="6" t="s">
        <v>169</v>
      </c>
      <c r="Z1312" s="6" t="s">
        <v>170</v>
      </c>
      <c r="AA1312" s="6" t="s">
        <v>171</v>
      </c>
      <c r="AB1312" s="6">
        <v>0</v>
      </c>
      <c r="AC1312" s="6" t="str">
        <f>"KEY-020"</f>
        <v>KEY-020</v>
      </c>
      <c r="AQ1312" s="6" t="str">
        <f>""</f>
        <v/>
      </c>
      <c r="AR1312" s="6" t="s">
        <v>1567</v>
      </c>
      <c r="AS1312" s="6">
        <v>0</v>
      </c>
      <c r="AT1312" s="6">
        <v>2</v>
      </c>
    </row>
    <row r="1313" spans="2:46">
      <c r="B1313" s="6" t="s">
        <v>5041</v>
      </c>
      <c r="D1313" s="6" t="s">
        <v>3316</v>
      </c>
      <c r="F1313" s="6" t="s">
        <v>5523</v>
      </c>
      <c r="G1313" s="6" t="str">
        <f>"NC17SUTE02WHSR"</f>
        <v>NC17SUTE02WHSR</v>
      </c>
      <c r="I1313" s="6" t="s">
        <v>5520</v>
      </c>
      <c r="J1313" s="6" t="str">
        <f>"SHARK PRINT TEE WH"</f>
        <v>SHARK PRINT TEE WH</v>
      </c>
      <c r="K1313" s="6">
        <v>0</v>
      </c>
      <c r="L1313" s="6">
        <v>0</v>
      </c>
      <c r="M1313" s="6">
        <v>0</v>
      </c>
      <c r="N1313" s="6" t="str">
        <f>""</f>
        <v/>
      </c>
      <c r="O1313" s="6">
        <v>31659</v>
      </c>
      <c r="P1313" s="6" t="s">
        <v>5524</v>
      </c>
      <c r="R1313" s="6" t="s">
        <v>5242</v>
      </c>
      <c r="S1313" s="6" t="s">
        <v>5525</v>
      </c>
      <c r="T1313" s="6">
        <v>1</v>
      </c>
      <c r="U1313" s="6">
        <v>0</v>
      </c>
      <c r="V1313" s="6">
        <v>0</v>
      </c>
      <c r="W1313" s="6">
        <v>0</v>
      </c>
      <c r="X1313" s="6" t="s">
        <v>169</v>
      </c>
      <c r="Z1313" s="6" t="s">
        <v>170</v>
      </c>
      <c r="AA1313" s="6" t="s">
        <v>171</v>
      </c>
      <c r="AB1313" s="6">
        <v>0</v>
      </c>
      <c r="AC1313" s="6" t="str">
        <f>"KEY-020"</f>
        <v>KEY-020</v>
      </c>
      <c r="AQ1313" s="6" t="str">
        <f>""</f>
        <v/>
      </c>
      <c r="AR1313" s="6" t="s">
        <v>1567</v>
      </c>
      <c r="AS1313" s="6">
        <v>0</v>
      </c>
      <c r="AT1313" s="6">
        <v>1</v>
      </c>
    </row>
    <row r="1314" spans="2:46">
      <c r="B1314" s="6" t="s">
        <v>5041</v>
      </c>
      <c r="D1314" s="6" t="s">
        <v>3316</v>
      </c>
      <c r="F1314" s="6" t="s">
        <v>5526</v>
      </c>
      <c r="G1314" s="6" t="str">
        <f>"NC17SUTE02NYLR"</f>
        <v>NC17SUTE02NYLR</v>
      </c>
      <c r="I1314" s="6" t="s">
        <v>5527</v>
      </c>
      <c r="J1314" s="6" t="str">
        <f>"SHARK PRINT TEE NY"</f>
        <v>SHARK PRINT TEE NY</v>
      </c>
      <c r="K1314" s="6">
        <v>0</v>
      </c>
      <c r="L1314" s="6">
        <v>0</v>
      </c>
      <c r="M1314" s="6">
        <v>0</v>
      </c>
      <c r="N1314" s="6" t="str">
        <f>""</f>
        <v/>
      </c>
      <c r="O1314" s="6">
        <v>31657</v>
      </c>
      <c r="P1314" s="6" t="s">
        <v>5528</v>
      </c>
      <c r="R1314" s="6" t="s">
        <v>5089</v>
      </c>
      <c r="S1314" s="6" t="s">
        <v>5529</v>
      </c>
      <c r="T1314" s="6">
        <v>1</v>
      </c>
      <c r="U1314" s="6">
        <v>0</v>
      </c>
      <c r="V1314" s="6">
        <v>0</v>
      </c>
      <c r="W1314" s="6">
        <v>0</v>
      </c>
      <c r="X1314" s="6" t="s">
        <v>169</v>
      </c>
      <c r="Z1314" s="6" t="s">
        <v>170</v>
      </c>
      <c r="AA1314" s="6" t="s">
        <v>171</v>
      </c>
      <c r="AB1314" s="6">
        <v>0</v>
      </c>
      <c r="AC1314" s="6" t="str">
        <f>"KEY-042"</f>
        <v>KEY-042</v>
      </c>
      <c r="AQ1314" s="6" t="str">
        <f>""</f>
        <v/>
      </c>
      <c r="AR1314" s="6" t="s">
        <v>1567</v>
      </c>
      <c r="AS1314" s="6">
        <v>0</v>
      </c>
      <c r="AT1314" s="6">
        <v>1</v>
      </c>
    </row>
    <row r="1315" spans="2:46">
      <c r="B1315" s="6" t="s">
        <v>5041</v>
      </c>
      <c r="D1315" s="6" t="s">
        <v>3316</v>
      </c>
      <c r="F1315" s="6" t="s">
        <v>5530</v>
      </c>
      <c r="G1315" s="6" t="str">
        <f>"NC17SUTE02NYSR"</f>
        <v>NC17SUTE02NYSR</v>
      </c>
      <c r="I1315" s="6" t="s">
        <v>5527</v>
      </c>
      <c r="J1315" s="6" t="str">
        <f>"SHARK PRINT TEE NY"</f>
        <v>SHARK PRINT TEE NY</v>
      </c>
      <c r="K1315" s="6">
        <v>0</v>
      </c>
      <c r="L1315" s="6">
        <v>0</v>
      </c>
      <c r="M1315" s="6">
        <v>0</v>
      </c>
      <c r="N1315" s="6" t="str">
        <f>""</f>
        <v/>
      </c>
      <c r="O1315" s="6">
        <v>31656</v>
      </c>
      <c r="P1315" s="6" t="s">
        <v>5531</v>
      </c>
      <c r="R1315" s="6" t="s">
        <v>566</v>
      </c>
      <c r="S1315" s="6" t="s">
        <v>5532</v>
      </c>
      <c r="T1315" s="6">
        <v>2</v>
      </c>
      <c r="U1315" s="6">
        <v>0</v>
      </c>
      <c r="V1315" s="6">
        <v>0</v>
      </c>
      <c r="W1315" s="6">
        <v>0</v>
      </c>
      <c r="X1315" s="6" t="s">
        <v>169</v>
      </c>
      <c r="Z1315" s="6" t="s">
        <v>170</v>
      </c>
      <c r="AA1315" s="6" t="s">
        <v>171</v>
      </c>
      <c r="AB1315" s="6">
        <v>0</v>
      </c>
      <c r="AC1315" s="6" t="str">
        <f>"KEY-015"</f>
        <v>KEY-015</v>
      </c>
      <c r="AQ1315" s="6" t="str">
        <f>""</f>
        <v/>
      </c>
      <c r="AR1315" s="6" t="s">
        <v>1584</v>
      </c>
      <c r="AS1315" s="6">
        <v>0</v>
      </c>
      <c r="AT1315" s="6">
        <v>2</v>
      </c>
    </row>
    <row r="1316" spans="2:46">
      <c r="B1316" s="6" t="s">
        <v>5041</v>
      </c>
      <c r="D1316" s="6" t="s">
        <v>3316</v>
      </c>
      <c r="F1316" s="6" t="s">
        <v>5533</v>
      </c>
      <c r="G1316" s="6" t="str">
        <f>"NC17SUTE01OGXR"</f>
        <v>NC17SUTE01OGXR</v>
      </c>
      <c r="I1316" s="6" t="s">
        <v>5534</v>
      </c>
      <c r="J1316" s="6" t="str">
        <f>"PLANET 1/2 TEE OG"</f>
        <v>PLANET 1/2 TEE OG</v>
      </c>
      <c r="K1316" s="6">
        <v>0</v>
      </c>
      <c r="L1316" s="6">
        <v>0</v>
      </c>
      <c r="M1316" s="6">
        <v>0</v>
      </c>
      <c r="N1316" s="6" t="str">
        <f>""</f>
        <v/>
      </c>
      <c r="O1316" s="6">
        <v>31654</v>
      </c>
      <c r="P1316" s="6" t="s">
        <v>5535</v>
      </c>
      <c r="R1316" s="6" t="s">
        <v>5536</v>
      </c>
      <c r="S1316" s="6" t="s">
        <v>5537</v>
      </c>
      <c r="T1316" s="6">
        <v>1</v>
      </c>
      <c r="U1316" s="6">
        <v>0</v>
      </c>
      <c r="V1316" s="6">
        <v>0</v>
      </c>
      <c r="W1316" s="6">
        <v>0</v>
      </c>
      <c r="X1316" s="6" t="s">
        <v>169</v>
      </c>
      <c r="Z1316" s="6" t="s">
        <v>170</v>
      </c>
      <c r="AA1316" s="6" t="s">
        <v>171</v>
      </c>
      <c r="AB1316" s="6">
        <v>0</v>
      </c>
      <c r="AC1316" s="6" t="str">
        <f>"KEY-010"</f>
        <v>KEY-010</v>
      </c>
      <c r="AQ1316" s="6" t="str">
        <f>""</f>
        <v/>
      </c>
      <c r="AR1316" s="6" t="s">
        <v>1584</v>
      </c>
      <c r="AS1316" s="6">
        <v>0</v>
      </c>
      <c r="AT1316" s="6">
        <v>1</v>
      </c>
    </row>
    <row r="1317" spans="2:46">
      <c r="B1317" s="6" t="s">
        <v>5041</v>
      </c>
      <c r="D1317" s="6" t="s">
        <v>3316</v>
      </c>
      <c r="F1317" s="6" t="s">
        <v>5538</v>
      </c>
      <c r="G1317" s="6" t="str">
        <f>"NC17SUTE01OGMR"</f>
        <v>NC17SUTE01OGMR</v>
      </c>
      <c r="H1317" s="6" t="s">
        <v>5539</v>
      </c>
      <c r="I1317" s="6" t="s">
        <v>5534</v>
      </c>
      <c r="J1317" s="6" t="str">
        <f>"PLANET 1/2 TEE OG"</f>
        <v>PLANET 1/2 TEE OG</v>
      </c>
      <c r="K1317" s="6">
        <v>0</v>
      </c>
      <c r="L1317" s="6">
        <v>0</v>
      </c>
      <c r="M1317" s="6">
        <v>0</v>
      </c>
      <c r="N1317" s="6" t="str">
        <f>""</f>
        <v/>
      </c>
      <c r="O1317" s="6">
        <v>31653</v>
      </c>
      <c r="P1317" s="6" t="s">
        <v>5539</v>
      </c>
      <c r="R1317" s="6" t="s">
        <v>5075</v>
      </c>
      <c r="S1317" s="6" t="s">
        <v>5540</v>
      </c>
      <c r="T1317" s="6">
        <v>0</v>
      </c>
      <c r="U1317" s="6">
        <v>0</v>
      </c>
      <c r="V1317" s="6">
        <v>0</v>
      </c>
      <c r="W1317" s="6">
        <v>0</v>
      </c>
      <c r="X1317" s="6" t="s">
        <v>169</v>
      </c>
      <c r="Z1317" s="6" t="s">
        <v>170</v>
      </c>
      <c r="AA1317" s="6" t="s">
        <v>171</v>
      </c>
      <c r="AB1317" s="6">
        <v>0</v>
      </c>
      <c r="AC1317" s="6" t="str">
        <f>""</f>
        <v/>
      </c>
      <c r="AS1317" s="6">
        <v>0</v>
      </c>
      <c r="AT1317" s="6">
        <v>0</v>
      </c>
    </row>
    <row r="1318" spans="2:46">
      <c r="B1318" s="6" t="s">
        <v>5041</v>
      </c>
      <c r="D1318" s="6" t="s">
        <v>3316</v>
      </c>
      <c r="F1318" s="6" t="s">
        <v>5541</v>
      </c>
      <c r="G1318" s="6" t="str">
        <f>"NC17SUTE01NYXR"</f>
        <v>NC17SUTE01NYXR</v>
      </c>
      <c r="I1318" s="6" t="s">
        <v>5542</v>
      </c>
      <c r="J1318" s="6" t="str">
        <f>"PLANET 1/2 TEE NY"</f>
        <v>PLANET 1/2 TEE NY</v>
      </c>
      <c r="K1318" s="6">
        <v>0</v>
      </c>
      <c r="L1318" s="6">
        <v>0</v>
      </c>
      <c r="M1318" s="6">
        <v>0</v>
      </c>
      <c r="N1318" s="6" t="str">
        <f>""</f>
        <v/>
      </c>
      <c r="O1318" s="6">
        <v>31651</v>
      </c>
      <c r="P1318" s="6" t="s">
        <v>5543</v>
      </c>
      <c r="R1318" s="6" t="s">
        <v>5544</v>
      </c>
      <c r="S1318" s="6" t="s">
        <v>5545</v>
      </c>
      <c r="T1318" s="6">
        <v>2</v>
      </c>
      <c r="U1318" s="6">
        <v>0</v>
      </c>
      <c r="V1318" s="6">
        <v>0</v>
      </c>
      <c r="W1318" s="6">
        <v>0</v>
      </c>
      <c r="X1318" s="6" t="s">
        <v>169</v>
      </c>
      <c r="Z1318" s="6" t="s">
        <v>170</v>
      </c>
      <c r="AA1318" s="6" t="s">
        <v>171</v>
      </c>
      <c r="AB1318" s="6">
        <v>0</v>
      </c>
      <c r="AC1318" s="6" t="str">
        <f>"KEY-028"</f>
        <v>KEY-028</v>
      </c>
      <c r="AQ1318" s="6" t="str">
        <f>""</f>
        <v/>
      </c>
      <c r="AR1318" s="6" t="s">
        <v>1567</v>
      </c>
      <c r="AS1318" s="6">
        <v>0</v>
      </c>
      <c r="AT1318" s="6">
        <v>2</v>
      </c>
    </row>
    <row r="1319" spans="2:46">
      <c r="B1319" s="6" t="s">
        <v>5041</v>
      </c>
      <c r="D1319" s="6" t="s">
        <v>3316</v>
      </c>
      <c r="F1319" s="6" t="s">
        <v>5546</v>
      </c>
      <c r="G1319" s="6" t="str">
        <f>"NC17SUTE01NYMR"</f>
        <v>NC17SUTE01NYMR</v>
      </c>
      <c r="I1319" s="6" t="s">
        <v>5542</v>
      </c>
      <c r="J1319" s="6" t="str">
        <f>"PLANET 1/2 TEE NY"</f>
        <v>PLANET 1/2 TEE NY</v>
      </c>
      <c r="K1319" s="6">
        <v>0</v>
      </c>
      <c r="L1319" s="6">
        <v>0</v>
      </c>
      <c r="M1319" s="6">
        <v>0</v>
      </c>
      <c r="N1319" s="6" t="str">
        <f>""</f>
        <v/>
      </c>
      <c r="O1319" s="6">
        <v>31650</v>
      </c>
      <c r="P1319" s="6" t="s">
        <v>5547</v>
      </c>
      <c r="R1319" s="6" t="s">
        <v>571</v>
      </c>
      <c r="S1319" s="6" t="s">
        <v>5548</v>
      </c>
      <c r="T1319" s="6">
        <v>1</v>
      </c>
      <c r="U1319" s="6">
        <v>0</v>
      </c>
      <c r="V1319" s="6">
        <v>0</v>
      </c>
      <c r="W1319" s="6">
        <v>0</v>
      </c>
      <c r="X1319" s="6" t="s">
        <v>169</v>
      </c>
      <c r="Z1319" s="6" t="s">
        <v>170</v>
      </c>
      <c r="AA1319" s="6" t="s">
        <v>171</v>
      </c>
      <c r="AB1319" s="6">
        <v>0</v>
      </c>
      <c r="AC1319" s="6" t="str">
        <f>"KEY-028"</f>
        <v>KEY-028</v>
      </c>
      <c r="AQ1319" s="6" t="str">
        <f>""</f>
        <v/>
      </c>
      <c r="AR1319" s="6" t="s">
        <v>1567</v>
      </c>
      <c r="AS1319" s="6">
        <v>0</v>
      </c>
      <c r="AT1319" s="6">
        <v>1</v>
      </c>
    </row>
    <row r="1320" spans="2:46">
      <c r="B1320" s="6" t="s">
        <v>5041</v>
      </c>
      <c r="D1320" s="6" t="s">
        <v>3316</v>
      </c>
      <c r="F1320" s="6" t="s">
        <v>5549</v>
      </c>
      <c r="G1320" s="6" t="str">
        <f>"NC16SUTE02NYLR"</f>
        <v>NC16SUTE02NYLR</v>
      </c>
      <c r="I1320" s="6" t="s">
        <v>5550</v>
      </c>
      <c r="J1320" s="6" t="str">
        <f>"OVER 1/2 TEE NY"</f>
        <v>OVER 1/2 TEE NY</v>
      </c>
      <c r="K1320" s="6">
        <v>0</v>
      </c>
      <c r="L1320" s="6">
        <v>0</v>
      </c>
      <c r="M1320" s="6">
        <v>0</v>
      </c>
      <c r="N1320" s="6" t="str">
        <f>""</f>
        <v/>
      </c>
      <c r="O1320" s="6">
        <v>31648</v>
      </c>
      <c r="P1320" s="6" t="s">
        <v>5551</v>
      </c>
      <c r="R1320" s="6" t="s">
        <v>5552</v>
      </c>
      <c r="S1320" s="6" t="s">
        <v>5553</v>
      </c>
      <c r="T1320" s="6">
        <v>2</v>
      </c>
      <c r="U1320" s="6">
        <v>0</v>
      </c>
      <c r="V1320" s="6">
        <v>0</v>
      </c>
      <c r="W1320" s="6">
        <v>0</v>
      </c>
      <c r="X1320" s="6" t="s">
        <v>169</v>
      </c>
      <c r="Z1320" s="6" t="s">
        <v>170</v>
      </c>
      <c r="AA1320" s="6" t="s">
        <v>171</v>
      </c>
      <c r="AB1320" s="6">
        <v>0</v>
      </c>
      <c r="AC1320" s="6" t="str">
        <f>"KEY-042"</f>
        <v>KEY-042</v>
      </c>
      <c r="AQ1320" s="6" t="str">
        <f>""</f>
        <v/>
      </c>
      <c r="AR1320" s="6" t="s">
        <v>1567</v>
      </c>
      <c r="AS1320" s="6">
        <v>0</v>
      </c>
      <c r="AT1320" s="6">
        <v>2</v>
      </c>
    </row>
    <row r="1321" spans="2:46">
      <c r="B1321" s="6" t="s">
        <v>5041</v>
      </c>
      <c r="D1321" s="6" t="s">
        <v>3316</v>
      </c>
      <c r="F1321" s="6" t="s">
        <v>5554</v>
      </c>
      <c r="G1321" s="6" t="str">
        <f>"NC16SUTE02NYMR"</f>
        <v>NC16SUTE02NYMR</v>
      </c>
      <c r="I1321" s="6" t="s">
        <v>5550</v>
      </c>
      <c r="J1321" s="6" t="str">
        <f>"OVER 1/2 TEE NY"</f>
        <v>OVER 1/2 TEE NY</v>
      </c>
      <c r="K1321" s="6">
        <v>0</v>
      </c>
      <c r="L1321" s="6">
        <v>0</v>
      </c>
      <c r="M1321" s="6">
        <v>0</v>
      </c>
      <c r="N1321" s="6" t="str">
        <f>""</f>
        <v/>
      </c>
      <c r="O1321" s="6">
        <v>31647</v>
      </c>
      <c r="P1321" s="6" t="s">
        <v>5555</v>
      </c>
      <c r="R1321" s="6" t="s">
        <v>5556</v>
      </c>
      <c r="S1321" s="6" t="s">
        <v>5557</v>
      </c>
      <c r="T1321" s="6">
        <v>3</v>
      </c>
      <c r="U1321" s="6">
        <v>0</v>
      </c>
      <c r="V1321" s="6">
        <v>0</v>
      </c>
      <c r="W1321" s="6">
        <v>0</v>
      </c>
      <c r="X1321" s="6" t="s">
        <v>169</v>
      </c>
      <c r="Z1321" s="6" t="s">
        <v>170</v>
      </c>
      <c r="AA1321" s="6" t="s">
        <v>171</v>
      </c>
      <c r="AB1321" s="6">
        <v>0</v>
      </c>
      <c r="AC1321" s="6" t="str">
        <f>"KEY-029"</f>
        <v>KEY-029</v>
      </c>
      <c r="AQ1321" s="6" t="str">
        <f>""</f>
        <v/>
      </c>
      <c r="AR1321" s="6" t="s">
        <v>1567</v>
      </c>
      <c r="AS1321" s="6">
        <v>0</v>
      </c>
      <c r="AT1321" s="6">
        <v>3</v>
      </c>
    </row>
    <row r="1322" spans="2:46">
      <c r="B1322" s="6" t="s">
        <v>5041</v>
      </c>
      <c r="D1322" s="6" t="s">
        <v>3316</v>
      </c>
      <c r="F1322" s="6" t="s">
        <v>5558</v>
      </c>
      <c r="G1322" s="6" t="str">
        <f>"NC16SUTE02WHLR"</f>
        <v>NC16SUTE02WHLR</v>
      </c>
      <c r="I1322" s="6" t="s">
        <v>5559</v>
      </c>
      <c r="J1322" s="6" t="str">
        <f>"OVER 1/2 TEE WH"</f>
        <v>OVER 1/2 TEE WH</v>
      </c>
      <c r="K1322" s="6">
        <v>0</v>
      </c>
      <c r="L1322" s="6">
        <v>0</v>
      </c>
      <c r="M1322" s="6">
        <v>0</v>
      </c>
      <c r="N1322" s="6" t="str">
        <f>""</f>
        <v/>
      </c>
      <c r="O1322" s="6">
        <v>31645</v>
      </c>
      <c r="P1322" s="6" t="s">
        <v>5560</v>
      </c>
      <c r="R1322" s="6" t="s">
        <v>5561</v>
      </c>
      <c r="S1322" s="6" t="s">
        <v>5562</v>
      </c>
      <c r="T1322" s="6">
        <v>3</v>
      </c>
      <c r="U1322" s="6">
        <v>0</v>
      </c>
      <c r="V1322" s="6">
        <v>0</v>
      </c>
      <c r="W1322" s="6">
        <v>0</v>
      </c>
      <c r="X1322" s="6" t="s">
        <v>169</v>
      </c>
      <c r="Z1322" s="6" t="s">
        <v>170</v>
      </c>
      <c r="AA1322" s="6" t="s">
        <v>171</v>
      </c>
      <c r="AB1322" s="6">
        <v>0</v>
      </c>
      <c r="AC1322" s="6" t="str">
        <f>"KEY-008"</f>
        <v>KEY-008</v>
      </c>
      <c r="AQ1322" s="6" t="str">
        <f>""</f>
        <v/>
      </c>
      <c r="AR1322" s="6" t="s">
        <v>1584</v>
      </c>
      <c r="AS1322" s="6">
        <v>0</v>
      </c>
      <c r="AT1322" s="6">
        <v>3</v>
      </c>
    </row>
    <row r="1323" spans="2:46">
      <c r="B1323" s="6" t="s">
        <v>5041</v>
      </c>
      <c r="D1323" s="6" t="s">
        <v>3316</v>
      </c>
      <c r="F1323" s="6" t="s">
        <v>5563</v>
      </c>
      <c r="G1323" s="6" t="str">
        <f>"NC16SUTE02WHMR"</f>
        <v>NC16SUTE02WHMR</v>
      </c>
      <c r="I1323" s="6" t="s">
        <v>5559</v>
      </c>
      <c r="J1323" s="6" t="str">
        <f>"OVER 1/2 TEE WH"</f>
        <v>OVER 1/2 TEE WH</v>
      </c>
      <c r="K1323" s="6">
        <v>0</v>
      </c>
      <c r="L1323" s="6">
        <v>0</v>
      </c>
      <c r="M1323" s="6">
        <v>0</v>
      </c>
      <c r="N1323" s="6" t="str">
        <f>""</f>
        <v/>
      </c>
      <c r="O1323" s="6">
        <v>31644</v>
      </c>
      <c r="P1323" s="6" t="s">
        <v>5564</v>
      </c>
      <c r="R1323" s="6" t="s">
        <v>5565</v>
      </c>
      <c r="S1323" s="6" t="s">
        <v>5566</v>
      </c>
      <c r="T1323" s="6">
        <v>3</v>
      </c>
      <c r="U1323" s="6">
        <v>0</v>
      </c>
      <c r="V1323" s="6">
        <v>0</v>
      </c>
      <c r="W1323" s="6">
        <v>0</v>
      </c>
      <c r="X1323" s="6" t="s">
        <v>169</v>
      </c>
      <c r="Z1323" s="6" t="s">
        <v>170</v>
      </c>
      <c r="AA1323" s="6" t="s">
        <v>171</v>
      </c>
      <c r="AB1323" s="6">
        <v>0</v>
      </c>
      <c r="AC1323" s="6" t="str">
        <f>"KEY-008"</f>
        <v>KEY-008</v>
      </c>
      <c r="AQ1323" s="6" t="str">
        <f>""</f>
        <v/>
      </c>
      <c r="AR1323" s="6" t="s">
        <v>1584</v>
      </c>
      <c r="AS1323" s="6">
        <v>0</v>
      </c>
      <c r="AT1323" s="6">
        <v>3</v>
      </c>
    </row>
    <row r="1324" spans="2:46">
      <c r="B1324" s="6" t="s">
        <v>5041</v>
      </c>
      <c r="D1324" s="6" t="s">
        <v>3316</v>
      </c>
      <c r="F1324" s="6" t="s">
        <v>5567</v>
      </c>
      <c r="G1324" s="6" t="str">
        <f>"NC16SUTE01PKFR"</f>
        <v>NC16SUTE01PKFR</v>
      </c>
      <c r="H1324" s="6" t="s">
        <v>5568</v>
      </c>
      <c r="I1324" s="6" t="s">
        <v>5569</v>
      </c>
      <c r="J1324" s="6" t="str">
        <f>"FLOWER TEE PK"</f>
        <v>FLOWER TEE PK</v>
      </c>
      <c r="K1324" s="6">
        <v>0</v>
      </c>
      <c r="L1324" s="6">
        <v>0</v>
      </c>
      <c r="M1324" s="6">
        <v>0</v>
      </c>
      <c r="N1324" s="6" t="str">
        <f>""</f>
        <v/>
      </c>
      <c r="O1324" s="6">
        <v>31642</v>
      </c>
      <c r="P1324" s="6" t="s">
        <v>5568</v>
      </c>
      <c r="R1324" s="6" t="s">
        <v>1469</v>
      </c>
      <c r="S1324" s="6" t="s">
        <v>5570</v>
      </c>
      <c r="T1324" s="6">
        <v>0</v>
      </c>
      <c r="U1324" s="6">
        <v>0</v>
      </c>
      <c r="V1324" s="6">
        <v>0</v>
      </c>
      <c r="W1324" s="6">
        <v>0</v>
      </c>
      <c r="X1324" s="6" t="s">
        <v>169</v>
      </c>
      <c r="Z1324" s="6" t="s">
        <v>170</v>
      </c>
      <c r="AA1324" s="6" t="s">
        <v>171</v>
      </c>
      <c r="AB1324" s="6">
        <v>0</v>
      </c>
      <c r="AC1324" s="6" t="str">
        <f>""</f>
        <v/>
      </c>
      <c r="AS1324" s="6">
        <v>0</v>
      </c>
      <c r="AT1324" s="6">
        <v>0</v>
      </c>
    </row>
    <row r="1325" spans="2:46">
      <c r="B1325" s="6" t="s">
        <v>5041</v>
      </c>
      <c r="D1325" s="6" t="s">
        <v>3316</v>
      </c>
      <c r="F1325" s="6" t="s">
        <v>5571</v>
      </c>
      <c r="G1325" s="6" t="str">
        <f>"NC16SUTE01WHMR"</f>
        <v>NC16SUTE01WHMR</v>
      </c>
      <c r="I1325" s="6" t="s">
        <v>5572</v>
      </c>
      <c r="J1325" s="6" t="str">
        <f>"FLOWER TEE WH"</f>
        <v>FLOWER TEE WH</v>
      </c>
      <c r="K1325" s="6">
        <v>0</v>
      </c>
      <c r="L1325" s="6">
        <v>0</v>
      </c>
      <c r="M1325" s="6">
        <v>0</v>
      </c>
      <c r="N1325" s="6" t="str">
        <f>""</f>
        <v/>
      </c>
      <c r="O1325" s="6">
        <v>31640</v>
      </c>
      <c r="P1325" s="6" t="s">
        <v>5573</v>
      </c>
      <c r="R1325" s="6" t="s">
        <v>5197</v>
      </c>
      <c r="S1325" s="6" t="s">
        <v>5574</v>
      </c>
      <c r="T1325" s="6">
        <v>1</v>
      </c>
      <c r="U1325" s="6">
        <v>0</v>
      </c>
      <c r="V1325" s="6">
        <v>0</v>
      </c>
      <c r="W1325" s="6">
        <v>0</v>
      </c>
      <c r="X1325" s="6" t="s">
        <v>169</v>
      </c>
      <c r="Z1325" s="6" t="s">
        <v>170</v>
      </c>
      <c r="AA1325" s="6" t="s">
        <v>171</v>
      </c>
      <c r="AB1325" s="6">
        <v>0</v>
      </c>
      <c r="AC1325" s="6" t="str">
        <f>"KEY-053"</f>
        <v>KEY-053</v>
      </c>
      <c r="AQ1325" s="6" t="str">
        <f>""</f>
        <v/>
      </c>
      <c r="AR1325" s="6" t="s">
        <v>1567</v>
      </c>
      <c r="AS1325" s="6">
        <v>0</v>
      </c>
      <c r="AT1325" s="6">
        <v>1</v>
      </c>
    </row>
    <row r="1326" spans="2:46">
      <c r="B1326" s="6" t="s">
        <v>5041</v>
      </c>
      <c r="D1326" s="6" t="s">
        <v>3316</v>
      </c>
      <c r="F1326" s="6" t="s">
        <v>5575</v>
      </c>
      <c r="G1326" s="6" t="str">
        <f>"NC15SSTE01WHLR"</f>
        <v>NC15SSTE01WHLR</v>
      </c>
      <c r="I1326" s="6" t="s">
        <v>5576</v>
      </c>
      <c r="J1326" s="6" t="str">
        <f>"MARCH PATCH 1/2 TEE WH"</f>
        <v>MARCH PATCH 1/2 TEE WH</v>
      </c>
      <c r="K1326" s="6">
        <v>0</v>
      </c>
      <c r="L1326" s="6">
        <v>0</v>
      </c>
      <c r="M1326" s="6">
        <v>0</v>
      </c>
      <c r="N1326" s="6" t="str">
        <f>""</f>
        <v/>
      </c>
      <c r="O1326" s="6">
        <v>31638</v>
      </c>
      <c r="P1326" s="6" t="s">
        <v>5577</v>
      </c>
      <c r="R1326" s="6" t="s">
        <v>5193</v>
      </c>
      <c r="S1326" s="6" t="s">
        <v>5578</v>
      </c>
      <c r="T1326" s="6">
        <v>1</v>
      </c>
      <c r="U1326" s="6">
        <v>0</v>
      </c>
      <c r="V1326" s="6">
        <v>0</v>
      </c>
      <c r="W1326" s="6">
        <v>0</v>
      </c>
      <c r="X1326" s="6" t="s">
        <v>169</v>
      </c>
      <c r="Z1326" s="6" t="s">
        <v>170</v>
      </c>
      <c r="AA1326" s="6" t="s">
        <v>171</v>
      </c>
      <c r="AB1326" s="6">
        <v>0</v>
      </c>
      <c r="AC1326" s="6" t="str">
        <f>"KEY-012"</f>
        <v>KEY-012</v>
      </c>
      <c r="AQ1326" s="6" t="str">
        <f>""</f>
        <v/>
      </c>
      <c r="AR1326" s="6" t="s">
        <v>1584</v>
      </c>
      <c r="AS1326" s="6">
        <v>0</v>
      </c>
      <c r="AT1326" s="6">
        <v>1</v>
      </c>
    </row>
    <row r="1327" spans="2:46">
      <c r="B1327" s="6" t="s">
        <v>5041</v>
      </c>
      <c r="D1327" s="6" t="s">
        <v>3316</v>
      </c>
      <c r="F1327" s="6" t="s">
        <v>5579</v>
      </c>
      <c r="G1327" s="6" t="str">
        <f>"NC15SSTE01WHMR"</f>
        <v>NC15SSTE01WHMR</v>
      </c>
      <c r="H1327" s="6" t="s">
        <v>5580</v>
      </c>
      <c r="I1327" s="6" t="s">
        <v>5576</v>
      </c>
      <c r="J1327" s="6" t="str">
        <f>"MARCH PATCH 1/2 TEE WH"</f>
        <v>MARCH PATCH 1/2 TEE WH</v>
      </c>
      <c r="K1327" s="6">
        <v>0</v>
      </c>
      <c r="L1327" s="6">
        <v>0</v>
      </c>
      <c r="M1327" s="6">
        <v>0</v>
      </c>
      <c r="N1327" s="6" t="str">
        <f>""</f>
        <v/>
      </c>
      <c r="O1327" s="6">
        <v>31637</v>
      </c>
      <c r="P1327" s="6" t="s">
        <v>5580</v>
      </c>
      <c r="R1327" s="6" t="s">
        <v>5197</v>
      </c>
      <c r="S1327" s="6" t="s">
        <v>5581</v>
      </c>
      <c r="T1327" s="6">
        <v>0</v>
      </c>
      <c r="U1327" s="6">
        <v>0</v>
      </c>
      <c r="V1327" s="6">
        <v>0</v>
      </c>
      <c r="W1327" s="6">
        <v>0</v>
      </c>
      <c r="X1327" s="6" t="s">
        <v>169</v>
      </c>
      <c r="Z1327" s="6" t="s">
        <v>170</v>
      </c>
      <c r="AA1327" s="6" t="s">
        <v>171</v>
      </c>
      <c r="AB1327" s="6">
        <v>0</v>
      </c>
      <c r="AC1327" s="6" t="str">
        <f>""</f>
        <v/>
      </c>
      <c r="AS1327" s="6">
        <v>0</v>
      </c>
      <c r="AT1327" s="6">
        <v>0</v>
      </c>
    </row>
    <row r="1328" spans="2:46">
      <c r="B1328" s="6" t="s">
        <v>5041</v>
      </c>
      <c r="D1328" s="6" t="s">
        <v>3316</v>
      </c>
      <c r="F1328" s="6" t="s">
        <v>5582</v>
      </c>
      <c r="G1328" s="6" t="str">
        <f>"NC17SSTE11BKLR"</f>
        <v>NC17SSTE11BKLR</v>
      </c>
      <c r="I1328" s="6" t="s">
        <v>5583</v>
      </c>
      <c r="J1328" s="6" t="str">
        <f>"NEWKID TEE BK"</f>
        <v>NEWKID TEE BK</v>
      </c>
      <c r="K1328" s="6">
        <v>0</v>
      </c>
      <c r="L1328" s="6">
        <v>0</v>
      </c>
      <c r="M1328" s="6">
        <v>0</v>
      </c>
      <c r="N1328" s="6" t="str">
        <f>""</f>
        <v/>
      </c>
      <c r="O1328" s="6">
        <v>31635</v>
      </c>
      <c r="P1328" s="6" t="s">
        <v>5584</v>
      </c>
      <c r="R1328" s="6" t="s">
        <v>5106</v>
      </c>
      <c r="S1328" s="6" t="s">
        <v>5585</v>
      </c>
      <c r="T1328" s="6">
        <v>3</v>
      </c>
      <c r="U1328" s="6">
        <v>0</v>
      </c>
      <c r="V1328" s="6">
        <v>0</v>
      </c>
      <c r="W1328" s="6">
        <v>0</v>
      </c>
      <c r="X1328" s="6" t="s">
        <v>169</v>
      </c>
      <c r="Z1328" s="6" t="s">
        <v>170</v>
      </c>
      <c r="AA1328" s="6" t="s">
        <v>171</v>
      </c>
      <c r="AB1328" s="6">
        <v>0</v>
      </c>
      <c r="AC1328" s="6" t="str">
        <f>"KEY-067"</f>
        <v>KEY-067</v>
      </c>
      <c r="AQ1328" s="6" t="str">
        <f>""</f>
        <v/>
      </c>
      <c r="AR1328" s="6" t="s">
        <v>1567</v>
      </c>
      <c r="AS1328" s="6">
        <v>0</v>
      </c>
      <c r="AT1328" s="6">
        <v>3</v>
      </c>
    </row>
    <row r="1329" spans="2:46">
      <c r="B1329" s="6" t="s">
        <v>5041</v>
      </c>
      <c r="D1329" s="6" t="s">
        <v>3316</v>
      </c>
      <c r="F1329" s="6" t="s">
        <v>5586</v>
      </c>
      <c r="G1329" s="6" t="str">
        <f>"NC17SSTE11BKMR"</f>
        <v>NC17SSTE11BKMR</v>
      </c>
      <c r="I1329" s="6" t="s">
        <v>5583</v>
      </c>
      <c r="J1329" s="6" t="str">
        <f>"NEWKID TEE BK"</f>
        <v>NEWKID TEE BK</v>
      </c>
      <c r="K1329" s="6">
        <v>0</v>
      </c>
      <c r="L1329" s="6">
        <v>0</v>
      </c>
      <c r="M1329" s="6">
        <v>0</v>
      </c>
      <c r="N1329" s="6" t="str">
        <f>""</f>
        <v/>
      </c>
      <c r="O1329" s="6">
        <v>31634</v>
      </c>
      <c r="P1329" s="6" t="s">
        <v>5587</v>
      </c>
      <c r="R1329" s="6" t="s">
        <v>601</v>
      </c>
      <c r="S1329" s="6" t="s">
        <v>5588</v>
      </c>
      <c r="T1329" s="6">
        <v>3</v>
      </c>
      <c r="U1329" s="6">
        <v>0</v>
      </c>
      <c r="V1329" s="6">
        <v>0</v>
      </c>
      <c r="W1329" s="6">
        <v>0</v>
      </c>
      <c r="X1329" s="6" t="s">
        <v>169</v>
      </c>
      <c r="Z1329" s="6" t="s">
        <v>170</v>
      </c>
      <c r="AA1329" s="6" t="s">
        <v>171</v>
      </c>
      <c r="AB1329" s="6">
        <v>0</v>
      </c>
      <c r="AC1329" s="6" t="str">
        <f>"KEY-073"</f>
        <v>KEY-073</v>
      </c>
      <c r="AQ1329" s="6" t="str">
        <f>""</f>
        <v/>
      </c>
      <c r="AR1329" s="6" t="s">
        <v>1567</v>
      </c>
      <c r="AS1329" s="6">
        <v>0</v>
      </c>
      <c r="AT1329" s="6">
        <v>3</v>
      </c>
    </row>
    <row r="1330" spans="2:46">
      <c r="B1330" s="6" t="s">
        <v>5041</v>
      </c>
      <c r="D1330" s="6" t="s">
        <v>3316</v>
      </c>
      <c r="F1330" s="6" t="s">
        <v>5589</v>
      </c>
      <c r="G1330" s="6" t="str">
        <f>"NC17SSTE10BKLR"</f>
        <v>NC17SSTE10BKLR</v>
      </c>
      <c r="I1330" s="6" t="s">
        <v>5590</v>
      </c>
      <c r="J1330" s="6" t="str">
        <f>"NEWCOMER TEE BK"</f>
        <v>NEWCOMER TEE BK</v>
      </c>
      <c r="K1330" s="6">
        <v>0</v>
      </c>
      <c r="L1330" s="6">
        <v>0</v>
      </c>
      <c r="M1330" s="6">
        <v>0</v>
      </c>
      <c r="N1330" s="6" t="str">
        <f>""</f>
        <v/>
      </c>
      <c r="O1330" s="6">
        <v>31632</v>
      </c>
      <c r="P1330" s="6" t="s">
        <v>5591</v>
      </c>
      <c r="R1330" s="6" t="s">
        <v>5106</v>
      </c>
      <c r="S1330" s="6" t="s">
        <v>5592</v>
      </c>
      <c r="T1330" s="6">
        <v>1</v>
      </c>
      <c r="U1330" s="6">
        <v>0</v>
      </c>
      <c r="V1330" s="6">
        <v>0</v>
      </c>
      <c r="W1330" s="6">
        <v>0</v>
      </c>
      <c r="X1330" s="6" t="s">
        <v>169</v>
      </c>
      <c r="Z1330" s="6" t="s">
        <v>170</v>
      </c>
      <c r="AA1330" s="6" t="s">
        <v>171</v>
      </c>
      <c r="AB1330" s="6">
        <v>0</v>
      </c>
      <c r="AC1330" s="6" t="str">
        <f>"KEY-069"</f>
        <v>KEY-069</v>
      </c>
      <c r="AQ1330" s="6" t="str">
        <f>""</f>
        <v/>
      </c>
      <c r="AR1330" s="6" t="s">
        <v>1567</v>
      </c>
      <c r="AS1330" s="6">
        <v>0</v>
      </c>
      <c r="AT1330" s="6">
        <v>1</v>
      </c>
    </row>
    <row r="1331" spans="2:46">
      <c r="B1331" s="6" t="s">
        <v>5041</v>
      </c>
      <c r="D1331" s="6" t="s">
        <v>3316</v>
      </c>
      <c r="F1331" s="6" t="s">
        <v>5593</v>
      </c>
      <c r="G1331" s="6" t="str">
        <f>"NC17SSTE10BKMR"</f>
        <v>NC17SSTE10BKMR</v>
      </c>
      <c r="I1331" s="6" t="s">
        <v>5590</v>
      </c>
      <c r="J1331" s="6" t="str">
        <f>"NEWCOMER TEE BK"</f>
        <v>NEWCOMER TEE BK</v>
      </c>
      <c r="K1331" s="6">
        <v>0</v>
      </c>
      <c r="L1331" s="6">
        <v>0</v>
      </c>
      <c r="M1331" s="6">
        <v>0</v>
      </c>
      <c r="N1331" s="6" t="str">
        <f>""</f>
        <v/>
      </c>
      <c r="O1331" s="6">
        <v>31631</v>
      </c>
      <c r="P1331" s="6" t="s">
        <v>5594</v>
      </c>
      <c r="R1331" s="6" t="s">
        <v>601</v>
      </c>
      <c r="S1331" s="6" t="s">
        <v>5595</v>
      </c>
      <c r="T1331" s="6">
        <v>3</v>
      </c>
      <c r="U1331" s="6">
        <v>0</v>
      </c>
      <c r="V1331" s="6">
        <v>0</v>
      </c>
      <c r="W1331" s="6">
        <v>0</v>
      </c>
      <c r="X1331" s="6" t="s">
        <v>169</v>
      </c>
      <c r="Z1331" s="6" t="s">
        <v>170</v>
      </c>
      <c r="AA1331" s="6" t="s">
        <v>171</v>
      </c>
      <c r="AB1331" s="6">
        <v>0</v>
      </c>
      <c r="AC1331" s="6" t="str">
        <f>"KEY-073"</f>
        <v>KEY-073</v>
      </c>
      <c r="AQ1331" s="6" t="str">
        <f>""</f>
        <v/>
      </c>
      <c r="AR1331" s="6" t="s">
        <v>1567</v>
      </c>
      <c r="AS1331" s="6">
        <v>0</v>
      </c>
      <c r="AT1331" s="6">
        <v>3</v>
      </c>
    </row>
    <row r="1332" spans="2:46">
      <c r="B1332" s="6" t="s">
        <v>5041</v>
      </c>
      <c r="D1332" s="6" t="s">
        <v>3316</v>
      </c>
      <c r="F1332" s="6" t="s">
        <v>5596</v>
      </c>
      <c r="G1332" s="6" t="str">
        <f>"NC17SSTE10YELR"</f>
        <v>NC17SSTE10YELR</v>
      </c>
      <c r="H1332" s="6" t="s">
        <v>5597</v>
      </c>
      <c r="I1332" s="6" t="s">
        <v>5598</v>
      </c>
      <c r="J1332" s="6" t="str">
        <f>"NEWCOMER TEE YE"</f>
        <v>NEWCOMER TEE YE</v>
      </c>
      <c r="K1332" s="6">
        <v>0</v>
      </c>
      <c r="L1332" s="6">
        <v>0</v>
      </c>
      <c r="M1332" s="6">
        <v>0</v>
      </c>
      <c r="N1332" s="6" t="str">
        <f>""</f>
        <v/>
      </c>
      <c r="O1332" s="6">
        <v>31629</v>
      </c>
      <c r="P1332" s="6" t="s">
        <v>5597</v>
      </c>
      <c r="R1332" s="6" t="s">
        <v>5329</v>
      </c>
      <c r="S1332" s="6" t="s">
        <v>5599</v>
      </c>
      <c r="T1332" s="6">
        <v>0</v>
      </c>
      <c r="U1332" s="6">
        <v>0</v>
      </c>
      <c r="V1332" s="6">
        <v>0</v>
      </c>
      <c r="W1332" s="6">
        <v>0</v>
      </c>
      <c r="X1332" s="6" t="s">
        <v>169</v>
      </c>
      <c r="Z1332" s="6" t="s">
        <v>170</v>
      </c>
      <c r="AA1332" s="6" t="s">
        <v>171</v>
      </c>
      <c r="AB1332" s="6">
        <v>0</v>
      </c>
      <c r="AC1332" s="6" t="str">
        <f>""</f>
        <v/>
      </c>
      <c r="AS1332" s="6">
        <v>0</v>
      </c>
      <c r="AT1332" s="6">
        <v>0</v>
      </c>
    </row>
    <row r="1333" spans="2:46">
      <c r="B1333" s="6" t="s">
        <v>5041</v>
      </c>
      <c r="D1333" s="6" t="s">
        <v>3316</v>
      </c>
      <c r="F1333" s="6" t="s">
        <v>5600</v>
      </c>
      <c r="G1333" s="6" t="str">
        <f>"NC17SSTE10YEMR"</f>
        <v>NC17SSTE10YEMR</v>
      </c>
      <c r="H1333" s="6" t="s">
        <v>5601</v>
      </c>
      <c r="I1333" s="6" t="s">
        <v>5598</v>
      </c>
      <c r="J1333" s="6" t="str">
        <f>"NEWCOMER TEE YE"</f>
        <v>NEWCOMER TEE YE</v>
      </c>
      <c r="K1333" s="6">
        <v>0</v>
      </c>
      <c r="L1333" s="6">
        <v>0</v>
      </c>
      <c r="M1333" s="6">
        <v>0</v>
      </c>
      <c r="N1333" s="6" t="str">
        <f>""</f>
        <v/>
      </c>
      <c r="O1333" s="6">
        <v>31628</v>
      </c>
      <c r="P1333" s="6" t="s">
        <v>5601</v>
      </c>
      <c r="R1333" s="6" t="s">
        <v>3653</v>
      </c>
      <c r="S1333" s="6" t="s">
        <v>5602</v>
      </c>
      <c r="T1333" s="6">
        <v>0</v>
      </c>
      <c r="U1333" s="6">
        <v>0</v>
      </c>
      <c r="V1333" s="6">
        <v>0</v>
      </c>
      <c r="W1333" s="6">
        <v>0</v>
      </c>
      <c r="X1333" s="6" t="s">
        <v>169</v>
      </c>
      <c r="Z1333" s="6" t="s">
        <v>170</v>
      </c>
      <c r="AA1333" s="6" t="s">
        <v>171</v>
      </c>
      <c r="AB1333" s="6">
        <v>0</v>
      </c>
      <c r="AC1333" s="6" t="str">
        <f>""</f>
        <v/>
      </c>
      <c r="AS1333" s="6">
        <v>0</v>
      </c>
      <c r="AT1333" s="6">
        <v>0</v>
      </c>
    </row>
    <row r="1334" spans="2:46">
      <c r="B1334" s="6" t="s">
        <v>5041</v>
      </c>
      <c r="D1334" s="6" t="s">
        <v>3316</v>
      </c>
      <c r="F1334" s="6" t="s">
        <v>5603</v>
      </c>
      <c r="G1334" s="6" t="str">
        <f>"NC17SSHD05GYLR"</f>
        <v>NC17SSHD05GYLR</v>
      </c>
      <c r="H1334" s="6" t="s">
        <v>5604</v>
      </c>
      <c r="I1334" s="6" t="s">
        <v>5605</v>
      </c>
      <c r="J1334" s="6" t="str">
        <f>"NCS HOODIE GY"</f>
        <v>NCS HOODIE GY</v>
      </c>
      <c r="K1334" s="6">
        <v>0</v>
      </c>
      <c r="L1334" s="6">
        <v>0</v>
      </c>
      <c r="M1334" s="6">
        <v>0</v>
      </c>
      <c r="N1334" s="6" t="str">
        <f>""</f>
        <v/>
      </c>
      <c r="O1334" s="6">
        <v>31625</v>
      </c>
      <c r="P1334" s="6" t="s">
        <v>5604</v>
      </c>
      <c r="R1334" s="6" t="s">
        <v>5097</v>
      </c>
      <c r="S1334" s="6" t="s">
        <v>5606</v>
      </c>
      <c r="T1334" s="6">
        <v>0</v>
      </c>
      <c r="U1334" s="6">
        <v>0</v>
      </c>
      <c r="V1334" s="6">
        <v>0</v>
      </c>
      <c r="W1334" s="6">
        <v>0</v>
      </c>
      <c r="X1334" s="6" t="s">
        <v>169</v>
      </c>
      <c r="Z1334" s="6" t="s">
        <v>170</v>
      </c>
      <c r="AA1334" s="6" t="s">
        <v>171</v>
      </c>
      <c r="AB1334" s="6">
        <v>0</v>
      </c>
      <c r="AC1334" s="6" t="str">
        <f>""</f>
        <v/>
      </c>
      <c r="AS1334" s="6">
        <v>0</v>
      </c>
      <c r="AT1334" s="6">
        <v>0</v>
      </c>
    </row>
    <row r="1335" spans="2:46">
      <c r="B1335" s="6" t="s">
        <v>5041</v>
      </c>
      <c r="D1335" s="6" t="s">
        <v>3316</v>
      </c>
      <c r="F1335" s="6" t="s">
        <v>5607</v>
      </c>
      <c r="G1335" s="6" t="str">
        <f>"NC17SSHD05GYMR"</f>
        <v>NC17SSHD05GYMR</v>
      </c>
      <c r="H1335" s="6" t="s">
        <v>5608</v>
      </c>
      <c r="I1335" s="6" t="s">
        <v>5605</v>
      </c>
      <c r="J1335" s="6" t="str">
        <f>"NCS HOODIE GY"</f>
        <v>NCS HOODIE GY</v>
      </c>
      <c r="K1335" s="6">
        <v>0</v>
      </c>
      <c r="L1335" s="6">
        <v>0</v>
      </c>
      <c r="M1335" s="6">
        <v>0</v>
      </c>
      <c r="N1335" s="6" t="str">
        <f>""</f>
        <v/>
      </c>
      <c r="O1335" s="6">
        <v>31624</v>
      </c>
      <c r="P1335" s="6" t="s">
        <v>5608</v>
      </c>
      <c r="R1335" s="6" t="s">
        <v>5212</v>
      </c>
      <c r="S1335" s="6" t="s">
        <v>5609</v>
      </c>
      <c r="T1335" s="6">
        <v>0</v>
      </c>
      <c r="U1335" s="6">
        <v>0</v>
      </c>
      <c r="V1335" s="6">
        <v>0</v>
      </c>
      <c r="W1335" s="6">
        <v>0</v>
      </c>
      <c r="X1335" s="6" t="s">
        <v>169</v>
      </c>
      <c r="Z1335" s="6" t="s">
        <v>170</v>
      </c>
      <c r="AA1335" s="6" t="s">
        <v>171</v>
      </c>
      <c r="AB1335" s="6">
        <v>0</v>
      </c>
      <c r="AC1335" s="6" t="str">
        <f>""</f>
        <v/>
      </c>
      <c r="AS1335" s="6">
        <v>0</v>
      </c>
      <c r="AT1335" s="6">
        <v>0</v>
      </c>
    </row>
    <row r="1336" spans="2:46">
      <c r="B1336" s="6" t="s">
        <v>5041</v>
      </c>
      <c r="D1336" s="6" t="s">
        <v>3316</v>
      </c>
      <c r="F1336" s="6" t="s">
        <v>5610</v>
      </c>
      <c r="G1336" s="6" t="str">
        <f>"NC17SSHD05WHLR"</f>
        <v>NC17SSHD05WHLR</v>
      </c>
      <c r="H1336" s="6" t="s">
        <v>5611</v>
      </c>
      <c r="I1336" s="6" t="s">
        <v>5612</v>
      </c>
      <c r="J1336" s="6" t="str">
        <f>"NCS HOODIE WH"</f>
        <v>NCS HOODIE WH</v>
      </c>
      <c r="K1336" s="6">
        <v>0</v>
      </c>
      <c r="L1336" s="6">
        <v>0</v>
      </c>
      <c r="M1336" s="6">
        <v>0</v>
      </c>
      <c r="N1336" s="6" t="str">
        <f>""</f>
        <v/>
      </c>
      <c r="O1336" s="6">
        <v>31622</v>
      </c>
      <c r="P1336" s="6" t="s">
        <v>5611</v>
      </c>
      <c r="R1336" s="6" t="s">
        <v>5193</v>
      </c>
      <c r="S1336" s="6" t="s">
        <v>5613</v>
      </c>
      <c r="T1336" s="6">
        <v>0</v>
      </c>
      <c r="U1336" s="6">
        <v>0</v>
      </c>
      <c r="V1336" s="6">
        <v>0</v>
      </c>
      <c r="W1336" s="6">
        <v>0</v>
      </c>
      <c r="X1336" s="6" t="s">
        <v>169</v>
      </c>
      <c r="Z1336" s="6" t="s">
        <v>170</v>
      </c>
      <c r="AA1336" s="6" t="s">
        <v>171</v>
      </c>
      <c r="AB1336" s="6">
        <v>0</v>
      </c>
      <c r="AC1336" s="6" t="str">
        <f>""</f>
        <v/>
      </c>
      <c r="AS1336" s="6">
        <v>0</v>
      </c>
      <c r="AT1336" s="6">
        <v>0</v>
      </c>
    </row>
    <row r="1337" spans="2:46">
      <c r="B1337" s="6" t="s">
        <v>5041</v>
      </c>
      <c r="D1337" s="6" t="s">
        <v>3316</v>
      </c>
      <c r="F1337" s="6" t="s">
        <v>5614</v>
      </c>
      <c r="G1337" s="6" t="str">
        <f>"NC17SSHD05WHMR"</f>
        <v>NC17SSHD05WHMR</v>
      </c>
      <c r="H1337" s="6" t="s">
        <v>5615</v>
      </c>
      <c r="I1337" s="6" t="s">
        <v>5612</v>
      </c>
      <c r="J1337" s="6" t="str">
        <f>"NCS HOODIE WH"</f>
        <v>NCS HOODIE WH</v>
      </c>
      <c r="K1337" s="6">
        <v>0</v>
      </c>
      <c r="L1337" s="6">
        <v>0</v>
      </c>
      <c r="M1337" s="6">
        <v>0</v>
      </c>
      <c r="N1337" s="6" t="str">
        <f>""</f>
        <v/>
      </c>
      <c r="O1337" s="6">
        <v>31621</v>
      </c>
      <c r="P1337" s="6" t="s">
        <v>5615</v>
      </c>
      <c r="R1337" s="6" t="s">
        <v>5197</v>
      </c>
      <c r="S1337" s="6" t="s">
        <v>5616</v>
      </c>
      <c r="T1337" s="6">
        <v>0</v>
      </c>
      <c r="U1337" s="6">
        <v>0</v>
      </c>
      <c r="V1337" s="6">
        <v>0</v>
      </c>
      <c r="W1337" s="6">
        <v>0</v>
      </c>
      <c r="X1337" s="6" t="s">
        <v>169</v>
      </c>
      <c r="Z1337" s="6" t="s">
        <v>170</v>
      </c>
      <c r="AA1337" s="6" t="s">
        <v>171</v>
      </c>
      <c r="AB1337" s="6">
        <v>0</v>
      </c>
      <c r="AC1337" s="6" t="str">
        <f>""</f>
        <v/>
      </c>
      <c r="AS1337" s="6">
        <v>0</v>
      </c>
      <c r="AT1337" s="6">
        <v>0</v>
      </c>
    </row>
    <row r="1338" spans="2:46">
      <c r="B1338" s="6" t="s">
        <v>5041</v>
      </c>
      <c r="D1338" s="6" t="s">
        <v>3316</v>
      </c>
      <c r="F1338" s="6" t="s">
        <v>5617</v>
      </c>
      <c r="G1338" s="6" t="str">
        <f>"NC17SSOP02BLFR"</f>
        <v>NC17SSOP02BLFR</v>
      </c>
      <c r="H1338" s="6" t="s">
        <v>5618</v>
      </c>
      <c r="I1338" s="6" t="s">
        <v>5619</v>
      </c>
      <c r="J1338" s="6" t="str">
        <f>"NC SHIRT ONEPIECE BL"</f>
        <v>NC SHIRT ONEPIECE BL</v>
      </c>
      <c r="K1338" s="6">
        <v>0</v>
      </c>
      <c r="L1338" s="6">
        <v>0</v>
      </c>
      <c r="M1338" s="6">
        <v>0</v>
      </c>
      <c r="N1338" s="6" t="str">
        <f>""</f>
        <v/>
      </c>
      <c r="O1338" s="6">
        <v>31619</v>
      </c>
      <c r="P1338" s="6" t="s">
        <v>5618</v>
      </c>
      <c r="R1338" s="6" t="s">
        <v>5620</v>
      </c>
      <c r="S1338" s="6" t="s">
        <v>5621</v>
      </c>
      <c r="T1338" s="6">
        <v>0</v>
      </c>
      <c r="U1338" s="6">
        <v>0</v>
      </c>
      <c r="V1338" s="6">
        <v>0</v>
      </c>
      <c r="W1338" s="6">
        <v>0</v>
      </c>
      <c r="X1338" s="6" t="s">
        <v>169</v>
      </c>
      <c r="Z1338" s="6" t="s">
        <v>170</v>
      </c>
      <c r="AA1338" s="6" t="s">
        <v>171</v>
      </c>
      <c r="AB1338" s="6">
        <v>0</v>
      </c>
      <c r="AC1338" s="6" t="str">
        <f>""</f>
        <v/>
      </c>
      <c r="AS1338" s="6">
        <v>0</v>
      </c>
      <c r="AT1338" s="6">
        <v>0</v>
      </c>
    </row>
    <row r="1339" spans="2:46">
      <c r="B1339" s="6" t="s">
        <v>5041</v>
      </c>
      <c r="D1339" s="6" t="s">
        <v>3316</v>
      </c>
      <c r="F1339" s="6" t="s">
        <v>5622</v>
      </c>
      <c r="G1339" s="6" t="str">
        <f>"NC17SSTE04NYLR"</f>
        <v>NC17SSTE04NYLR</v>
      </c>
      <c r="I1339" s="6" t="s">
        <v>5623</v>
      </c>
      <c r="J1339" s="6" t="str">
        <f>"17 MARCH SWEATSHIRT NY"</f>
        <v>17 MARCH SWEATSHIRT NY</v>
      </c>
      <c r="K1339" s="6">
        <v>0</v>
      </c>
      <c r="L1339" s="6">
        <v>0</v>
      </c>
      <c r="M1339" s="6">
        <v>0</v>
      </c>
      <c r="N1339" s="6" t="str">
        <f>""</f>
        <v/>
      </c>
      <c r="O1339" s="6">
        <v>31617</v>
      </c>
      <c r="P1339" s="6" t="s">
        <v>5624</v>
      </c>
      <c r="R1339" s="6" t="s">
        <v>5089</v>
      </c>
      <c r="S1339" s="6" t="s">
        <v>5625</v>
      </c>
      <c r="T1339" s="6">
        <v>1</v>
      </c>
      <c r="U1339" s="6">
        <v>0</v>
      </c>
      <c r="V1339" s="6">
        <v>0</v>
      </c>
      <c r="W1339" s="6">
        <v>0</v>
      </c>
      <c r="X1339" s="6" t="s">
        <v>169</v>
      </c>
      <c r="Z1339" s="6" t="s">
        <v>170</v>
      </c>
      <c r="AA1339" s="6" t="s">
        <v>171</v>
      </c>
      <c r="AB1339" s="6">
        <v>0</v>
      </c>
      <c r="AC1339" s="6" t="str">
        <f>"KEY-051"</f>
        <v>KEY-051</v>
      </c>
      <c r="AQ1339" s="6" t="str">
        <f>""</f>
        <v/>
      </c>
      <c r="AR1339" s="6" t="s">
        <v>1567</v>
      </c>
      <c r="AS1339" s="6">
        <v>0</v>
      </c>
      <c r="AT1339" s="6">
        <v>1</v>
      </c>
    </row>
    <row r="1340" spans="2:46">
      <c r="B1340" s="6" t="s">
        <v>5041</v>
      </c>
      <c r="D1340" s="6" t="s">
        <v>3316</v>
      </c>
      <c r="F1340" s="6" t="s">
        <v>5626</v>
      </c>
      <c r="G1340" s="6" t="str">
        <f>"NC17SSTE04NYMR"</f>
        <v>NC17SSTE04NYMR</v>
      </c>
      <c r="I1340" s="6" t="s">
        <v>5623</v>
      </c>
      <c r="J1340" s="6" t="str">
        <f>"17 MARCH SWEATSHIRT NY"</f>
        <v>17 MARCH SWEATSHIRT NY</v>
      </c>
      <c r="K1340" s="6">
        <v>0</v>
      </c>
      <c r="L1340" s="6">
        <v>0</v>
      </c>
      <c r="M1340" s="6">
        <v>0</v>
      </c>
      <c r="N1340" s="6" t="str">
        <f>""</f>
        <v/>
      </c>
      <c r="O1340" s="6">
        <v>31616</v>
      </c>
      <c r="P1340" s="6" t="s">
        <v>5627</v>
      </c>
      <c r="R1340" s="6" t="s">
        <v>571</v>
      </c>
      <c r="S1340" s="6" t="s">
        <v>5628</v>
      </c>
      <c r="T1340" s="6">
        <v>2</v>
      </c>
      <c r="U1340" s="6">
        <v>0</v>
      </c>
      <c r="V1340" s="6">
        <v>0</v>
      </c>
      <c r="W1340" s="6">
        <v>0</v>
      </c>
      <c r="X1340" s="6" t="s">
        <v>169</v>
      </c>
      <c r="Z1340" s="6" t="s">
        <v>170</v>
      </c>
      <c r="AA1340" s="6" t="s">
        <v>171</v>
      </c>
      <c r="AB1340" s="6">
        <v>0</v>
      </c>
      <c r="AC1340" s="6" t="str">
        <f>"KEY-066"</f>
        <v>KEY-066</v>
      </c>
      <c r="AQ1340" s="6" t="str">
        <f>""</f>
        <v/>
      </c>
      <c r="AR1340" s="6" t="s">
        <v>1567</v>
      </c>
      <c r="AS1340" s="6">
        <v>0</v>
      </c>
      <c r="AT1340" s="6">
        <v>2</v>
      </c>
    </row>
    <row r="1341" spans="2:46">
      <c r="B1341" s="6" t="s">
        <v>5041</v>
      </c>
      <c r="D1341" s="6" t="s">
        <v>3316</v>
      </c>
      <c r="F1341" s="6" t="s">
        <v>5629</v>
      </c>
      <c r="G1341" s="6" t="str">
        <f>"NC17SSTE03GYLR"</f>
        <v>NC17SSTE03GYLR</v>
      </c>
      <c r="H1341" s="6" t="s">
        <v>5630</v>
      </c>
      <c r="I1341" s="6" t="s">
        <v>5631</v>
      </c>
      <c r="J1341" s="6" t="str">
        <f>"NEWKID SWEATSHIRT GY"</f>
        <v>NEWKID SWEATSHIRT GY</v>
      </c>
      <c r="K1341" s="6">
        <v>0</v>
      </c>
      <c r="L1341" s="6">
        <v>0</v>
      </c>
      <c r="M1341" s="6">
        <v>0</v>
      </c>
      <c r="N1341" s="6" t="str">
        <f>""</f>
        <v/>
      </c>
      <c r="O1341" s="6">
        <v>31614</v>
      </c>
      <c r="P1341" s="6" t="s">
        <v>5630</v>
      </c>
      <c r="R1341" s="6" t="s">
        <v>5097</v>
      </c>
      <c r="S1341" s="6" t="s">
        <v>5632</v>
      </c>
      <c r="T1341" s="6">
        <v>0</v>
      </c>
      <c r="U1341" s="6">
        <v>0</v>
      </c>
      <c r="V1341" s="6">
        <v>0</v>
      </c>
      <c r="W1341" s="6">
        <v>0</v>
      </c>
      <c r="X1341" s="6" t="s">
        <v>169</v>
      </c>
      <c r="Z1341" s="6" t="s">
        <v>170</v>
      </c>
      <c r="AA1341" s="6" t="s">
        <v>171</v>
      </c>
      <c r="AB1341" s="6">
        <v>0</v>
      </c>
      <c r="AC1341" s="6" t="str">
        <f>""</f>
        <v/>
      </c>
      <c r="AS1341" s="6">
        <v>0</v>
      </c>
      <c r="AT1341" s="6">
        <v>0</v>
      </c>
    </row>
    <row r="1342" spans="2:46">
      <c r="B1342" s="6" t="s">
        <v>5041</v>
      </c>
      <c r="D1342" s="6" t="s">
        <v>3316</v>
      </c>
      <c r="F1342" s="6" t="s">
        <v>5633</v>
      </c>
      <c r="G1342" s="6" t="str">
        <f>"NC17SSTE03GYMR"</f>
        <v>NC17SSTE03GYMR</v>
      </c>
      <c r="H1342" s="6" t="s">
        <v>5634</v>
      </c>
      <c r="I1342" s="6" t="s">
        <v>5631</v>
      </c>
      <c r="J1342" s="6" t="str">
        <f>"NEWKID SWEATSHIRT GY"</f>
        <v>NEWKID SWEATSHIRT GY</v>
      </c>
      <c r="K1342" s="6">
        <v>0</v>
      </c>
      <c r="L1342" s="6">
        <v>0</v>
      </c>
      <c r="M1342" s="6">
        <v>0</v>
      </c>
      <c r="N1342" s="6" t="str">
        <f>""</f>
        <v/>
      </c>
      <c r="O1342" s="6">
        <v>31613</v>
      </c>
      <c r="P1342" s="6" t="s">
        <v>5634</v>
      </c>
      <c r="R1342" s="6" t="s">
        <v>5212</v>
      </c>
      <c r="S1342" s="6" t="s">
        <v>5635</v>
      </c>
      <c r="T1342" s="6">
        <v>0</v>
      </c>
      <c r="U1342" s="6">
        <v>0</v>
      </c>
      <c r="V1342" s="6">
        <v>0</v>
      </c>
      <c r="W1342" s="6">
        <v>0</v>
      </c>
      <c r="X1342" s="6" t="s">
        <v>169</v>
      </c>
      <c r="Z1342" s="6" t="s">
        <v>170</v>
      </c>
      <c r="AA1342" s="6" t="s">
        <v>171</v>
      </c>
      <c r="AB1342" s="6">
        <v>0</v>
      </c>
      <c r="AC1342" s="6" t="str">
        <f>""</f>
        <v/>
      </c>
      <c r="AS1342" s="6">
        <v>0</v>
      </c>
      <c r="AT1342" s="6">
        <v>0</v>
      </c>
    </row>
    <row r="1343" spans="2:46">
      <c r="B1343" s="6" t="s">
        <v>5041</v>
      </c>
      <c r="D1343" s="6" t="s">
        <v>3316</v>
      </c>
      <c r="F1343" s="6" t="s">
        <v>5636</v>
      </c>
      <c r="G1343" s="6" t="str">
        <f>"NC17SSHD04NYLR"</f>
        <v>NC17SSHD04NYLR</v>
      </c>
      <c r="I1343" s="6" t="s">
        <v>5637</v>
      </c>
      <c r="J1343" s="6" t="str">
        <f>"NEWKID LINE HOODIE NY"</f>
        <v>NEWKID LINE HOODIE NY</v>
      </c>
      <c r="K1343" s="6">
        <v>0</v>
      </c>
      <c r="L1343" s="6">
        <v>0</v>
      </c>
      <c r="M1343" s="6">
        <v>0</v>
      </c>
      <c r="N1343" s="6" t="str">
        <f>""</f>
        <v/>
      </c>
      <c r="O1343" s="6">
        <v>31611</v>
      </c>
      <c r="P1343" s="6" t="s">
        <v>5638</v>
      </c>
      <c r="R1343" s="6" t="s">
        <v>5089</v>
      </c>
      <c r="S1343" s="6" t="s">
        <v>5639</v>
      </c>
      <c r="T1343" s="6">
        <v>3</v>
      </c>
      <c r="U1343" s="6">
        <v>0</v>
      </c>
      <c r="V1343" s="6">
        <v>0</v>
      </c>
      <c r="W1343" s="6">
        <v>0</v>
      </c>
      <c r="X1343" s="6" t="s">
        <v>169</v>
      </c>
      <c r="Z1343" s="6" t="s">
        <v>170</v>
      </c>
      <c r="AA1343" s="6" t="s">
        <v>171</v>
      </c>
      <c r="AB1343" s="6">
        <v>0</v>
      </c>
      <c r="AC1343" s="6" t="str">
        <f>"KEY-031"</f>
        <v>KEY-031</v>
      </c>
      <c r="AQ1343" s="6" t="str">
        <f>""</f>
        <v/>
      </c>
      <c r="AR1343" s="6" t="s">
        <v>1567</v>
      </c>
      <c r="AS1343" s="6">
        <v>0</v>
      </c>
      <c r="AT1343" s="6">
        <v>3</v>
      </c>
    </row>
    <row r="1344" spans="2:46">
      <c r="B1344" s="6" t="s">
        <v>5041</v>
      </c>
      <c r="D1344" s="6" t="s">
        <v>3316</v>
      </c>
      <c r="F1344" s="6" t="s">
        <v>5640</v>
      </c>
      <c r="G1344" s="6" t="str">
        <f>"NC17SSHD04NYMR"</f>
        <v>NC17SSHD04NYMR</v>
      </c>
      <c r="I1344" s="6" t="s">
        <v>5637</v>
      </c>
      <c r="J1344" s="6" t="str">
        <f>"NEWKID LINE HOODIE NY"</f>
        <v>NEWKID LINE HOODIE NY</v>
      </c>
      <c r="K1344" s="6">
        <v>0</v>
      </c>
      <c r="L1344" s="6">
        <v>0</v>
      </c>
      <c r="M1344" s="6">
        <v>0</v>
      </c>
      <c r="N1344" s="6" t="str">
        <f>""</f>
        <v/>
      </c>
      <c r="O1344" s="6">
        <v>31610</v>
      </c>
      <c r="P1344" s="6" t="s">
        <v>5641</v>
      </c>
      <c r="R1344" s="6" t="s">
        <v>571</v>
      </c>
      <c r="S1344" s="6" t="s">
        <v>5642</v>
      </c>
      <c r="T1344" s="6">
        <v>1</v>
      </c>
      <c r="U1344" s="6">
        <v>0</v>
      </c>
      <c r="V1344" s="6">
        <v>0</v>
      </c>
      <c r="W1344" s="6">
        <v>0</v>
      </c>
      <c r="X1344" s="6" t="s">
        <v>169</v>
      </c>
      <c r="Z1344" s="6" t="s">
        <v>170</v>
      </c>
      <c r="AA1344" s="6" t="s">
        <v>171</v>
      </c>
      <c r="AB1344" s="6">
        <v>0</v>
      </c>
      <c r="AC1344" s="6" t="str">
        <f>"KEY-005"</f>
        <v>KEY-005</v>
      </c>
      <c r="AQ1344" s="6" t="str">
        <f>""</f>
        <v/>
      </c>
      <c r="AR1344" s="6" t="s">
        <v>1584</v>
      </c>
      <c r="AS1344" s="6">
        <v>0</v>
      </c>
      <c r="AT1344" s="6">
        <v>1</v>
      </c>
    </row>
    <row r="1345" spans="2:46">
      <c r="B1345" s="6" t="s">
        <v>5041</v>
      </c>
      <c r="D1345" s="6" t="s">
        <v>3316</v>
      </c>
      <c r="F1345" s="6" t="s">
        <v>5643</v>
      </c>
      <c r="G1345" s="6" t="str">
        <f>"NC17SSHD04GNLR"</f>
        <v>NC17SSHD04GNLR</v>
      </c>
      <c r="I1345" s="6" t="s">
        <v>5644</v>
      </c>
      <c r="J1345" s="6" t="str">
        <f>"NEWKID LINE HOODIE GN"</f>
        <v>NEWKID LINE HOODIE GN</v>
      </c>
      <c r="K1345" s="6">
        <v>0</v>
      </c>
      <c r="L1345" s="6">
        <v>0</v>
      </c>
      <c r="M1345" s="6">
        <v>0</v>
      </c>
      <c r="N1345" s="6" t="str">
        <f>""</f>
        <v/>
      </c>
      <c r="O1345" s="6">
        <v>31608</v>
      </c>
      <c r="P1345" s="6" t="s">
        <v>5645</v>
      </c>
      <c r="R1345" s="6" t="s">
        <v>5406</v>
      </c>
      <c r="S1345" s="6" t="s">
        <v>5646</v>
      </c>
      <c r="T1345" s="6">
        <v>2</v>
      </c>
      <c r="U1345" s="6">
        <v>0</v>
      </c>
      <c r="V1345" s="6">
        <v>0</v>
      </c>
      <c r="W1345" s="6">
        <v>0</v>
      </c>
      <c r="X1345" s="6" t="s">
        <v>169</v>
      </c>
      <c r="Z1345" s="6" t="s">
        <v>170</v>
      </c>
      <c r="AA1345" s="6" t="s">
        <v>171</v>
      </c>
      <c r="AB1345" s="6">
        <v>0</v>
      </c>
      <c r="AC1345" s="6" t="str">
        <f>"KEY-031"</f>
        <v>KEY-031</v>
      </c>
      <c r="AQ1345" s="6" t="str">
        <f>""</f>
        <v/>
      </c>
      <c r="AR1345" s="6" t="s">
        <v>1567</v>
      </c>
      <c r="AS1345" s="6">
        <v>0</v>
      </c>
      <c r="AT1345" s="6">
        <v>2</v>
      </c>
    </row>
    <row r="1346" spans="2:46">
      <c r="B1346" s="6" t="s">
        <v>5041</v>
      </c>
      <c r="D1346" s="6" t="s">
        <v>3316</v>
      </c>
      <c r="F1346" s="6" t="s">
        <v>5647</v>
      </c>
      <c r="G1346" s="6" t="str">
        <f>"NC17SSHD04GNMR"</f>
        <v>NC17SSHD04GNMR</v>
      </c>
      <c r="H1346" s="6" t="s">
        <v>5648</v>
      </c>
      <c r="I1346" s="6" t="s">
        <v>5644</v>
      </c>
      <c r="J1346" s="6" t="str">
        <f>"NEWKID LINE HOODIE GN"</f>
        <v>NEWKID LINE HOODIE GN</v>
      </c>
      <c r="K1346" s="6">
        <v>0</v>
      </c>
      <c r="L1346" s="6">
        <v>0</v>
      </c>
      <c r="M1346" s="6">
        <v>0</v>
      </c>
      <c r="N1346" s="6" t="str">
        <f>""</f>
        <v/>
      </c>
      <c r="O1346" s="6">
        <v>31607</v>
      </c>
      <c r="P1346" s="6" t="s">
        <v>5648</v>
      </c>
      <c r="R1346" s="6" t="s">
        <v>5649</v>
      </c>
      <c r="S1346" s="6" t="s">
        <v>5650</v>
      </c>
      <c r="T1346" s="6">
        <v>0</v>
      </c>
      <c r="U1346" s="6">
        <v>0</v>
      </c>
      <c r="V1346" s="6">
        <v>0</v>
      </c>
      <c r="W1346" s="6">
        <v>0</v>
      </c>
      <c r="X1346" s="6" t="s">
        <v>169</v>
      </c>
      <c r="Z1346" s="6" t="s">
        <v>170</v>
      </c>
      <c r="AA1346" s="6" t="s">
        <v>171</v>
      </c>
      <c r="AB1346" s="6">
        <v>0</v>
      </c>
      <c r="AC1346" s="6" t="str">
        <f>""</f>
        <v/>
      </c>
      <c r="AS1346" s="6">
        <v>0</v>
      </c>
      <c r="AT1346" s="6">
        <v>0</v>
      </c>
    </row>
    <row r="1347" spans="2:46">
      <c r="B1347" s="6" t="s">
        <v>5041</v>
      </c>
      <c r="D1347" s="6" t="s">
        <v>3316</v>
      </c>
      <c r="F1347" s="6" t="s">
        <v>5651</v>
      </c>
      <c r="G1347" s="6" t="str">
        <f>"NC17SSTE02GYLR"</f>
        <v>NC17SSTE02GYLR</v>
      </c>
      <c r="H1347" s="6" t="s">
        <v>5652</v>
      </c>
      <c r="I1347" s="6" t="s">
        <v>5653</v>
      </c>
      <c r="J1347" s="6" t="str">
        <f>"OVER SWEATSHIRT GY"</f>
        <v>OVER SWEATSHIRT GY</v>
      </c>
      <c r="K1347" s="6">
        <v>0</v>
      </c>
      <c r="L1347" s="6">
        <v>0</v>
      </c>
      <c r="M1347" s="6">
        <v>0</v>
      </c>
      <c r="N1347" s="6" t="str">
        <f>""</f>
        <v/>
      </c>
      <c r="O1347" s="6">
        <v>31605</v>
      </c>
      <c r="P1347" s="6" t="s">
        <v>5652</v>
      </c>
      <c r="R1347" s="6" t="s">
        <v>5097</v>
      </c>
      <c r="S1347" s="6" t="s">
        <v>5654</v>
      </c>
      <c r="T1347" s="6">
        <v>0</v>
      </c>
      <c r="U1347" s="6">
        <v>0</v>
      </c>
      <c r="V1347" s="6">
        <v>0</v>
      </c>
      <c r="W1347" s="6">
        <v>0</v>
      </c>
      <c r="X1347" s="6" t="s">
        <v>169</v>
      </c>
      <c r="Z1347" s="6" t="s">
        <v>170</v>
      </c>
      <c r="AA1347" s="6" t="s">
        <v>171</v>
      </c>
      <c r="AB1347" s="6">
        <v>0</v>
      </c>
      <c r="AC1347" s="6" t="str">
        <f>""</f>
        <v/>
      </c>
      <c r="AS1347" s="6">
        <v>0</v>
      </c>
      <c r="AT1347" s="6">
        <v>0</v>
      </c>
    </row>
    <row r="1348" spans="2:46">
      <c r="B1348" s="6" t="s">
        <v>5041</v>
      </c>
      <c r="D1348" s="6" t="s">
        <v>3316</v>
      </c>
      <c r="F1348" s="6" t="s">
        <v>5655</v>
      </c>
      <c r="G1348" s="6" t="str">
        <f>"NC17SSTE02GYSR"</f>
        <v>NC17SSTE02GYSR</v>
      </c>
      <c r="I1348" s="6" t="s">
        <v>5653</v>
      </c>
      <c r="J1348" s="6" t="str">
        <f>"OVER SWEATSHIRT GY"</f>
        <v>OVER SWEATSHIRT GY</v>
      </c>
      <c r="K1348" s="6">
        <v>0</v>
      </c>
      <c r="L1348" s="6">
        <v>0</v>
      </c>
      <c r="M1348" s="6">
        <v>0</v>
      </c>
      <c r="N1348" s="6" t="str">
        <f>""</f>
        <v/>
      </c>
      <c r="O1348" s="6">
        <v>31604</v>
      </c>
      <c r="P1348" s="6" t="s">
        <v>5656</v>
      </c>
      <c r="R1348" s="6" t="s">
        <v>5101</v>
      </c>
      <c r="S1348" s="6" t="s">
        <v>5657</v>
      </c>
      <c r="T1348" s="6">
        <v>3</v>
      </c>
      <c r="U1348" s="6">
        <v>0</v>
      </c>
      <c r="V1348" s="6">
        <v>0</v>
      </c>
      <c r="W1348" s="6">
        <v>0</v>
      </c>
      <c r="X1348" s="6" t="s">
        <v>169</v>
      </c>
      <c r="Z1348" s="6" t="s">
        <v>170</v>
      </c>
      <c r="AA1348" s="6" t="s">
        <v>171</v>
      </c>
      <c r="AB1348" s="6">
        <v>0</v>
      </c>
      <c r="AC1348" s="6" t="str">
        <f>"KEY-051"</f>
        <v>KEY-051</v>
      </c>
      <c r="AQ1348" s="6" t="str">
        <f>""</f>
        <v/>
      </c>
      <c r="AR1348" s="6" t="s">
        <v>1567</v>
      </c>
      <c r="AS1348" s="6">
        <v>0</v>
      </c>
      <c r="AT1348" s="6">
        <v>3</v>
      </c>
    </row>
    <row r="1349" spans="2:46">
      <c r="B1349" s="6" t="s">
        <v>5041</v>
      </c>
      <c r="D1349" s="6" t="s">
        <v>3316</v>
      </c>
      <c r="F1349" s="6" t="s">
        <v>5658</v>
      </c>
      <c r="G1349" s="6" t="str">
        <f>"NC17SSTE02BKLR"</f>
        <v>NC17SSTE02BKLR</v>
      </c>
      <c r="H1349" s="6" t="s">
        <v>5659</v>
      </c>
      <c r="I1349" s="6" t="s">
        <v>5660</v>
      </c>
      <c r="J1349" s="6" t="str">
        <f>"OVER SWEATSHIRT BK"</f>
        <v>OVER SWEATSHIRT BK</v>
      </c>
      <c r="K1349" s="6">
        <v>0</v>
      </c>
      <c r="L1349" s="6">
        <v>0</v>
      </c>
      <c r="M1349" s="6">
        <v>0</v>
      </c>
      <c r="N1349" s="6" t="str">
        <f>""</f>
        <v/>
      </c>
      <c r="O1349" s="6">
        <v>31602</v>
      </c>
      <c r="P1349" s="6" t="s">
        <v>5659</v>
      </c>
      <c r="R1349" s="6" t="s">
        <v>5106</v>
      </c>
      <c r="S1349" s="6" t="s">
        <v>5661</v>
      </c>
      <c r="T1349" s="6">
        <v>0</v>
      </c>
      <c r="U1349" s="6">
        <v>0</v>
      </c>
      <c r="V1349" s="6">
        <v>0</v>
      </c>
      <c r="W1349" s="6">
        <v>0</v>
      </c>
      <c r="X1349" s="6" t="s">
        <v>169</v>
      </c>
      <c r="Z1349" s="6" t="s">
        <v>170</v>
      </c>
      <c r="AA1349" s="6" t="s">
        <v>171</v>
      </c>
      <c r="AB1349" s="6">
        <v>0</v>
      </c>
      <c r="AC1349" s="6" t="str">
        <f>""</f>
        <v/>
      </c>
      <c r="AS1349" s="6">
        <v>0</v>
      </c>
      <c r="AT1349" s="6">
        <v>0</v>
      </c>
    </row>
    <row r="1350" spans="2:46">
      <c r="B1350" s="6" t="s">
        <v>5041</v>
      </c>
      <c r="D1350" s="6" t="s">
        <v>3316</v>
      </c>
      <c r="F1350" s="6" t="s">
        <v>5662</v>
      </c>
      <c r="G1350" s="6" t="str">
        <f>"NC17SSTE02BKSR"</f>
        <v>NC17SSTE02BKSR</v>
      </c>
      <c r="H1350" s="6" t="s">
        <v>5663</v>
      </c>
      <c r="I1350" s="6" t="s">
        <v>5660</v>
      </c>
      <c r="J1350" s="6" t="str">
        <f>"OVER SWEATSHIRT BK"</f>
        <v>OVER SWEATSHIRT BK</v>
      </c>
      <c r="K1350" s="6">
        <v>0</v>
      </c>
      <c r="L1350" s="6">
        <v>0</v>
      </c>
      <c r="M1350" s="6">
        <v>0</v>
      </c>
      <c r="N1350" s="6" t="str">
        <f>""</f>
        <v/>
      </c>
      <c r="O1350" s="6">
        <v>31601</v>
      </c>
      <c r="P1350" s="6" t="s">
        <v>5663</v>
      </c>
      <c r="R1350" s="6" t="s">
        <v>606</v>
      </c>
      <c r="S1350" s="6" t="s">
        <v>5664</v>
      </c>
      <c r="T1350" s="6">
        <v>0</v>
      </c>
      <c r="U1350" s="6">
        <v>0</v>
      </c>
      <c r="V1350" s="6">
        <v>0</v>
      </c>
      <c r="W1350" s="6">
        <v>0</v>
      </c>
      <c r="X1350" s="6" t="s">
        <v>169</v>
      </c>
      <c r="Z1350" s="6" t="s">
        <v>170</v>
      </c>
      <c r="AA1350" s="6" t="s">
        <v>171</v>
      </c>
      <c r="AB1350" s="6">
        <v>0</v>
      </c>
      <c r="AC1350" s="6" t="str">
        <f>""</f>
        <v/>
      </c>
      <c r="AS1350" s="6">
        <v>0</v>
      </c>
      <c r="AT1350" s="6">
        <v>0</v>
      </c>
    </row>
    <row r="1351" spans="2:46">
      <c r="B1351" s="6" t="s">
        <v>5041</v>
      </c>
      <c r="D1351" s="6" t="s">
        <v>3316</v>
      </c>
      <c r="F1351" s="6" t="s">
        <v>5665</v>
      </c>
      <c r="G1351" s="6" t="str">
        <f>"NC17SSTE02BELR"</f>
        <v>NC17SSTE02BELR</v>
      </c>
      <c r="H1351" s="6" t="s">
        <v>5666</v>
      </c>
      <c r="I1351" s="6" t="s">
        <v>5667</v>
      </c>
      <c r="J1351" s="6" t="str">
        <f>"OVER SWEATSHIRT BE"</f>
        <v>OVER SWEATSHIRT BE</v>
      </c>
      <c r="K1351" s="6">
        <v>0</v>
      </c>
      <c r="L1351" s="6">
        <v>0</v>
      </c>
      <c r="M1351" s="6">
        <v>0</v>
      </c>
      <c r="N1351" s="6" t="str">
        <f>""</f>
        <v/>
      </c>
      <c r="O1351" s="6">
        <v>31599</v>
      </c>
      <c r="P1351" s="6" t="s">
        <v>5666</v>
      </c>
      <c r="R1351" s="6" t="s">
        <v>5224</v>
      </c>
      <c r="S1351" s="6" t="s">
        <v>5668</v>
      </c>
      <c r="T1351" s="6">
        <v>0</v>
      </c>
      <c r="U1351" s="6">
        <v>0</v>
      </c>
      <c r="V1351" s="6">
        <v>0</v>
      </c>
      <c r="W1351" s="6">
        <v>0</v>
      </c>
      <c r="X1351" s="6" t="s">
        <v>169</v>
      </c>
      <c r="Z1351" s="6" t="s">
        <v>170</v>
      </c>
      <c r="AA1351" s="6" t="s">
        <v>171</v>
      </c>
      <c r="AB1351" s="6">
        <v>0</v>
      </c>
      <c r="AC1351" s="6" t="str">
        <f>""</f>
        <v/>
      </c>
      <c r="AS1351" s="6">
        <v>0</v>
      </c>
      <c r="AT1351" s="6">
        <v>0</v>
      </c>
    </row>
    <row r="1352" spans="2:46">
      <c r="B1352" s="6" t="s">
        <v>5041</v>
      </c>
      <c r="D1352" s="6" t="s">
        <v>3316</v>
      </c>
      <c r="F1352" s="6" t="s">
        <v>5669</v>
      </c>
      <c r="G1352" s="6" t="str">
        <f>"NC17SSTE02BESR"</f>
        <v>NC17SSTE02BESR</v>
      </c>
      <c r="H1352" s="6" t="s">
        <v>5670</v>
      </c>
      <c r="I1352" s="6" t="s">
        <v>5667</v>
      </c>
      <c r="J1352" s="6" t="str">
        <f>"OVER SWEATSHIRT BE"</f>
        <v>OVER SWEATSHIRT BE</v>
      </c>
      <c r="K1352" s="6">
        <v>0</v>
      </c>
      <c r="L1352" s="6">
        <v>0</v>
      </c>
      <c r="M1352" s="6">
        <v>0</v>
      </c>
      <c r="N1352" s="6" t="str">
        <f>""</f>
        <v/>
      </c>
      <c r="O1352" s="6">
        <v>31598</v>
      </c>
      <c r="P1352" s="6" t="s">
        <v>5670</v>
      </c>
      <c r="R1352" s="6" t="s">
        <v>644</v>
      </c>
      <c r="S1352" s="6" t="s">
        <v>5671</v>
      </c>
      <c r="T1352" s="6">
        <v>0</v>
      </c>
      <c r="U1352" s="6">
        <v>0</v>
      </c>
      <c r="V1352" s="6">
        <v>0</v>
      </c>
      <c r="W1352" s="6">
        <v>0</v>
      </c>
      <c r="X1352" s="6" t="s">
        <v>169</v>
      </c>
      <c r="Z1352" s="6" t="s">
        <v>170</v>
      </c>
      <c r="AA1352" s="6" t="s">
        <v>171</v>
      </c>
      <c r="AB1352" s="6">
        <v>0</v>
      </c>
      <c r="AC1352" s="6" t="str">
        <f>""</f>
        <v/>
      </c>
      <c r="AS1352" s="6">
        <v>0</v>
      </c>
      <c r="AT1352" s="6">
        <v>0</v>
      </c>
    </row>
    <row r="1353" spans="2:46">
      <c r="B1353" s="6" t="s">
        <v>5041</v>
      </c>
      <c r="D1353" s="6" t="s">
        <v>3316</v>
      </c>
      <c r="F1353" s="6" t="s">
        <v>5672</v>
      </c>
      <c r="G1353" s="6" t="str">
        <f>"NC17SSOP01NYFR"</f>
        <v>NC17SSOP01NYFR</v>
      </c>
      <c r="H1353" s="6" t="s">
        <v>5673</v>
      </c>
      <c r="I1353" s="6" t="s">
        <v>5674</v>
      </c>
      <c r="J1353" s="6" t="str">
        <f>"NC SAILOR ONEPIECE NY"</f>
        <v>NC SAILOR ONEPIECE NY</v>
      </c>
      <c r="K1353" s="6">
        <v>0</v>
      </c>
      <c r="L1353" s="6">
        <v>0</v>
      </c>
      <c r="M1353" s="6">
        <v>0</v>
      </c>
      <c r="N1353" s="6" t="str">
        <f>""</f>
        <v/>
      </c>
      <c r="O1353" s="6">
        <v>31596</v>
      </c>
      <c r="P1353" s="6" t="s">
        <v>5673</v>
      </c>
      <c r="R1353" s="6" t="s">
        <v>2111</v>
      </c>
      <c r="S1353" s="6" t="s">
        <v>5675</v>
      </c>
      <c r="T1353" s="6">
        <v>0</v>
      </c>
      <c r="U1353" s="6">
        <v>0</v>
      </c>
      <c r="V1353" s="6">
        <v>0</v>
      </c>
      <c r="W1353" s="6">
        <v>0</v>
      </c>
      <c r="X1353" s="6" t="s">
        <v>169</v>
      </c>
      <c r="Z1353" s="6" t="s">
        <v>170</v>
      </c>
      <c r="AA1353" s="6" t="s">
        <v>171</v>
      </c>
      <c r="AB1353" s="6">
        <v>0</v>
      </c>
      <c r="AC1353" s="6" t="str">
        <f>""</f>
        <v/>
      </c>
      <c r="AS1353" s="6">
        <v>0</v>
      </c>
      <c r="AT1353" s="6">
        <v>0</v>
      </c>
    </row>
    <row r="1354" spans="2:46">
      <c r="B1354" s="6" t="s">
        <v>5041</v>
      </c>
      <c r="D1354" s="6" t="s">
        <v>3316</v>
      </c>
      <c r="F1354" s="6" t="s">
        <v>5676</v>
      </c>
      <c r="G1354" s="6" t="str">
        <f>"NC17SSHD03BKLR"</f>
        <v>NC17SSHD03BKLR</v>
      </c>
      <c r="H1354" s="6" t="s">
        <v>5677</v>
      </c>
      <c r="I1354" s="6" t="s">
        <v>5678</v>
      </c>
      <c r="J1354" s="6" t="str">
        <f>"WIDE SLEEVES HOODIE BK"</f>
        <v>WIDE SLEEVES HOODIE BK</v>
      </c>
      <c r="K1354" s="6">
        <v>0</v>
      </c>
      <c r="L1354" s="6">
        <v>0</v>
      </c>
      <c r="M1354" s="6">
        <v>0</v>
      </c>
      <c r="N1354" s="6" t="str">
        <f>""</f>
        <v/>
      </c>
      <c r="O1354" s="6">
        <v>31594</v>
      </c>
      <c r="P1354" s="6" t="s">
        <v>5677</v>
      </c>
      <c r="R1354" s="6" t="s">
        <v>5106</v>
      </c>
      <c r="S1354" s="6" t="s">
        <v>5679</v>
      </c>
      <c r="T1354" s="6">
        <v>0</v>
      </c>
      <c r="U1354" s="6">
        <v>0</v>
      </c>
      <c r="V1354" s="6">
        <v>0</v>
      </c>
      <c r="W1354" s="6">
        <v>0</v>
      </c>
      <c r="X1354" s="6" t="s">
        <v>169</v>
      </c>
      <c r="Z1354" s="6" t="s">
        <v>170</v>
      </c>
      <c r="AA1354" s="6" t="s">
        <v>171</v>
      </c>
      <c r="AB1354" s="6">
        <v>0</v>
      </c>
      <c r="AC1354" s="6" t="str">
        <f>""</f>
        <v/>
      </c>
      <c r="AS1354" s="6">
        <v>0</v>
      </c>
      <c r="AT1354" s="6">
        <v>0</v>
      </c>
    </row>
    <row r="1355" spans="2:46">
      <c r="B1355" s="6" t="s">
        <v>5041</v>
      </c>
      <c r="D1355" s="6" t="s">
        <v>3316</v>
      </c>
      <c r="F1355" s="6" t="s">
        <v>5680</v>
      </c>
      <c r="G1355" s="6" t="str">
        <f>"NC17SSHD03BKMR"</f>
        <v>NC17SSHD03BKMR</v>
      </c>
      <c r="H1355" s="6" t="s">
        <v>5681</v>
      </c>
      <c r="I1355" s="6" t="s">
        <v>5678</v>
      </c>
      <c r="J1355" s="6" t="str">
        <f>"WIDE SLEEVES HOODIE BK"</f>
        <v>WIDE SLEEVES HOODIE BK</v>
      </c>
      <c r="K1355" s="6">
        <v>0</v>
      </c>
      <c r="L1355" s="6">
        <v>0</v>
      </c>
      <c r="M1355" s="6">
        <v>0</v>
      </c>
      <c r="N1355" s="6" t="str">
        <f>""</f>
        <v/>
      </c>
      <c r="O1355" s="6">
        <v>31593</v>
      </c>
      <c r="P1355" s="6" t="s">
        <v>5681</v>
      </c>
      <c r="R1355" s="6" t="s">
        <v>601</v>
      </c>
      <c r="S1355" s="6" t="s">
        <v>5682</v>
      </c>
      <c r="T1355" s="6">
        <v>0</v>
      </c>
      <c r="U1355" s="6">
        <v>0</v>
      </c>
      <c r="V1355" s="6">
        <v>0</v>
      </c>
      <c r="W1355" s="6">
        <v>0</v>
      </c>
      <c r="X1355" s="6" t="s">
        <v>169</v>
      </c>
      <c r="Z1355" s="6" t="s">
        <v>170</v>
      </c>
      <c r="AA1355" s="6" t="s">
        <v>171</v>
      </c>
      <c r="AB1355" s="6">
        <v>0</v>
      </c>
      <c r="AC1355" s="6" t="str">
        <f>""</f>
        <v/>
      </c>
      <c r="AS1355" s="6">
        <v>0</v>
      </c>
      <c r="AT1355" s="6">
        <v>0</v>
      </c>
    </row>
    <row r="1356" spans="2:46">
      <c r="B1356" s="6" t="s">
        <v>5041</v>
      </c>
      <c r="D1356" s="6" t="s">
        <v>3316</v>
      </c>
      <c r="F1356" s="6" t="s">
        <v>5683</v>
      </c>
      <c r="G1356" s="6" t="str">
        <f>"NC17SSHD02GYLR"</f>
        <v>NC17SSHD02GYLR</v>
      </c>
      <c r="H1356" s="6" t="s">
        <v>5684</v>
      </c>
      <c r="I1356" s="6" t="s">
        <v>5685</v>
      </c>
      <c r="J1356" s="6" t="str">
        <f>"NEW CLW HOODIE GY"</f>
        <v>NEW CLW HOODIE GY</v>
      </c>
      <c r="K1356" s="6">
        <v>0</v>
      </c>
      <c r="L1356" s="6">
        <v>0</v>
      </c>
      <c r="M1356" s="6">
        <v>0</v>
      </c>
      <c r="N1356" s="6" t="str">
        <f>""</f>
        <v/>
      </c>
      <c r="O1356" s="6">
        <v>31591</v>
      </c>
      <c r="P1356" s="6" t="s">
        <v>5684</v>
      </c>
      <c r="R1356" s="6" t="s">
        <v>5097</v>
      </c>
      <c r="S1356" s="6" t="s">
        <v>5686</v>
      </c>
      <c r="T1356" s="6">
        <v>0</v>
      </c>
      <c r="U1356" s="6">
        <v>0</v>
      </c>
      <c r="V1356" s="6">
        <v>0</v>
      </c>
      <c r="W1356" s="6">
        <v>0</v>
      </c>
      <c r="X1356" s="6" t="s">
        <v>169</v>
      </c>
      <c r="Z1356" s="6" t="s">
        <v>170</v>
      </c>
      <c r="AA1356" s="6" t="s">
        <v>171</v>
      </c>
      <c r="AB1356" s="6">
        <v>0</v>
      </c>
      <c r="AC1356" s="6" t="str">
        <f>""</f>
        <v/>
      </c>
      <c r="AS1356" s="6">
        <v>0</v>
      </c>
      <c r="AT1356" s="6">
        <v>0</v>
      </c>
    </row>
    <row r="1357" spans="2:46">
      <c r="B1357" s="6" t="s">
        <v>5041</v>
      </c>
      <c r="D1357" s="6" t="s">
        <v>3316</v>
      </c>
      <c r="F1357" s="6" t="s">
        <v>5687</v>
      </c>
      <c r="G1357" s="6" t="str">
        <f>"NC17SSHD02GYMR"</f>
        <v>NC17SSHD02GYMR</v>
      </c>
      <c r="H1357" s="6" t="s">
        <v>5688</v>
      </c>
      <c r="I1357" s="6" t="s">
        <v>5685</v>
      </c>
      <c r="J1357" s="6" t="str">
        <f>"NEW CLW HOODIE GY"</f>
        <v>NEW CLW HOODIE GY</v>
      </c>
      <c r="K1357" s="6">
        <v>0</v>
      </c>
      <c r="L1357" s="6">
        <v>0</v>
      </c>
      <c r="M1357" s="6">
        <v>0</v>
      </c>
      <c r="N1357" s="6" t="str">
        <f>""</f>
        <v/>
      </c>
      <c r="O1357" s="6">
        <v>31590</v>
      </c>
      <c r="P1357" s="6" t="s">
        <v>5688</v>
      </c>
      <c r="R1357" s="6" t="s">
        <v>5212</v>
      </c>
      <c r="S1357" s="6" t="s">
        <v>5689</v>
      </c>
      <c r="T1357" s="6">
        <v>0</v>
      </c>
      <c r="U1357" s="6">
        <v>0</v>
      </c>
      <c r="V1357" s="6">
        <v>0</v>
      </c>
      <c r="W1357" s="6">
        <v>0</v>
      </c>
      <c r="X1357" s="6" t="s">
        <v>169</v>
      </c>
      <c r="Z1357" s="6" t="s">
        <v>170</v>
      </c>
      <c r="AA1357" s="6" t="s">
        <v>171</v>
      </c>
      <c r="AB1357" s="6">
        <v>0</v>
      </c>
      <c r="AC1357" s="6" t="str">
        <f>""</f>
        <v/>
      </c>
      <c r="AS1357" s="6">
        <v>0</v>
      </c>
      <c r="AT1357" s="6">
        <v>0</v>
      </c>
    </row>
    <row r="1358" spans="2:46">
      <c r="B1358" s="6" t="s">
        <v>5041</v>
      </c>
      <c r="D1358" s="6" t="s">
        <v>3316</v>
      </c>
      <c r="F1358" s="6" t="s">
        <v>5690</v>
      </c>
      <c r="G1358" s="6" t="str">
        <f>"NC17SSHD02BKLR"</f>
        <v>NC17SSHD02BKLR</v>
      </c>
      <c r="H1358" s="6" t="s">
        <v>5691</v>
      </c>
      <c r="I1358" s="6" t="s">
        <v>5692</v>
      </c>
      <c r="J1358" s="6" t="str">
        <f>"NEW CLW HOODIE BK"</f>
        <v>NEW CLW HOODIE BK</v>
      </c>
      <c r="K1358" s="6">
        <v>0</v>
      </c>
      <c r="L1358" s="6">
        <v>0</v>
      </c>
      <c r="M1358" s="6">
        <v>0</v>
      </c>
      <c r="N1358" s="6" t="str">
        <f>""</f>
        <v/>
      </c>
      <c r="O1358" s="6">
        <v>31588</v>
      </c>
      <c r="P1358" s="6" t="s">
        <v>5691</v>
      </c>
      <c r="R1358" s="6" t="s">
        <v>5106</v>
      </c>
      <c r="S1358" s="6" t="s">
        <v>5693</v>
      </c>
      <c r="T1358" s="6">
        <v>0</v>
      </c>
      <c r="U1358" s="6">
        <v>0</v>
      </c>
      <c r="V1358" s="6">
        <v>0</v>
      </c>
      <c r="W1358" s="6">
        <v>0</v>
      </c>
      <c r="X1358" s="6" t="s">
        <v>169</v>
      </c>
      <c r="Z1358" s="6" t="s">
        <v>170</v>
      </c>
      <c r="AA1358" s="6" t="s">
        <v>171</v>
      </c>
      <c r="AB1358" s="6">
        <v>0</v>
      </c>
      <c r="AC1358" s="6" t="str">
        <f>""</f>
        <v/>
      </c>
      <c r="AS1358" s="6">
        <v>0</v>
      </c>
      <c r="AT1358" s="6">
        <v>0</v>
      </c>
    </row>
    <row r="1359" spans="2:46">
      <c r="B1359" s="6" t="s">
        <v>5041</v>
      </c>
      <c r="D1359" s="6" t="s">
        <v>3316</v>
      </c>
      <c r="F1359" s="6" t="s">
        <v>5694</v>
      </c>
      <c r="G1359" s="6" t="str">
        <f>"NC17SSHD02BKMR"</f>
        <v>NC17SSHD02BKMR</v>
      </c>
      <c r="H1359" s="6" t="s">
        <v>5695</v>
      </c>
      <c r="I1359" s="6" t="s">
        <v>5692</v>
      </c>
      <c r="J1359" s="6" t="str">
        <f>"NEW CLW HOODIE BK"</f>
        <v>NEW CLW HOODIE BK</v>
      </c>
      <c r="K1359" s="6">
        <v>0</v>
      </c>
      <c r="L1359" s="6">
        <v>0</v>
      </c>
      <c r="M1359" s="6">
        <v>0</v>
      </c>
      <c r="N1359" s="6" t="str">
        <f>""</f>
        <v/>
      </c>
      <c r="O1359" s="6">
        <v>31587</v>
      </c>
      <c r="P1359" s="6" t="s">
        <v>5695</v>
      </c>
      <c r="R1359" s="6" t="s">
        <v>601</v>
      </c>
      <c r="S1359" s="6" t="s">
        <v>5696</v>
      </c>
      <c r="T1359" s="6">
        <v>0</v>
      </c>
      <c r="U1359" s="6">
        <v>0</v>
      </c>
      <c r="V1359" s="6">
        <v>0</v>
      </c>
      <c r="W1359" s="6">
        <v>0</v>
      </c>
      <c r="X1359" s="6" t="s">
        <v>169</v>
      </c>
      <c r="Z1359" s="6" t="s">
        <v>170</v>
      </c>
      <c r="AA1359" s="6" t="s">
        <v>171</v>
      </c>
      <c r="AB1359" s="6">
        <v>0</v>
      </c>
      <c r="AC1359" s="6" t="str">
        <f>""</f>
        <v/>
      </c>
      <c r="AS1359" s="6">
        <v>0</v>
      </c>
      <c r="AT1359" s="6">
        <v>0</v>
      </c>
    </row>
    <row r="1360" spans="2:46">
      <c r="B1360" s="6" t="s">
        <v>5041</v>
      </c>
      <c r="D1360" s="6" t="s">
        <v>3316</v>
      </c>
      <c r="F1360" s="6" t="s">
        <v>5697</v>
      </c>
      <c r="G1360" s="6" t="str">
        <f>"NC17SSHD01BKLR"</f>
        <v>NC17SSHD01BKLR</v>
      </c>
      <c r="H1360" s="6" t="s">
        <v>5698</v>
      </c>
      <c r="I1360" s="6" t="s">
        <v>5699</v>
      </c>
      <c r="J1360" s="6" t="str">
        <f>"NC BLOCK HOODIE BK"</f>
        <v>NC BLOCK HOODIE BK</v>
      </c>
      <c r="K1360" s="6">
        <v>0</v>
      </c>
      <c r="L1360" s="6">
        <v>0</v>
      </c>
      <c r="M1360" s="6">
        <v>0</v>
      </c>
      <c r="N1360" s="6" t="str">
        <f>""</f>
        <v/>
      </c>
      <c r="O1360" s="6">
        <v>31585</v>
      </c>
      <c r="P1360" s="6" t="s">
        <v>5698</v>
      </c>
      <c r="R1360" s="6" t="s">
        <v>5106</v>
      </c>
      <c r="S1360" s="6" t="s">
        <v>5700</v>
      </c>
      <c r="T1360" s="6">
        <v>0</v>
      </c>
      <c r="U1360" s="6">
        <v>0</v>
      </c>
      <c r="V1360" s="6">
        <v>0</v>
      </c>
      <c r="W1360" s="6">
        <v>0</v>
      </c>
      <c r="X1360" s="6" t="s">
        <v>169</v>
      </c>
      <c r="Z1360" s="6" t="s">
        <v>170</v>
      </c>
      <c r="AA1360" s="6" t="s">
        <v>171</v>
      </c>
      <c r="AB1360" s="6">
        <v>0</v>
      </c>
      <c r="AC1360" s="6" t="str">
        <f>""</f>
        <v/>
      </c>
      <c r="AS1360" s="6">
        <v>0</v>
      </c>
      <c r="AT1360" s="6">
        <v>0</v>
      </c>
    </row>
    <row r="1361" spans="2:46">
      <c r="B1361" s="6" t="s">
        <v>5041</v>
      </c>
      <c r="D1361" s="6" t="s">
        <v>3316</v>
      </c>
      <c r="F1361" s="6" t="s">
        <v>5701</v>
      </c>
      <c r="G1361" s="6" t="str">
        <f>"NC17SSHD01BKMR"</f>
        <v>NC17SSHD01BKMR</v>
      </c>
      <c r="I1361" s="6" t="s">
        <v>5699</v>
      </c>
      <c r="J1361" s="6" t="str">
        <f>"NC BLOCK HOODIE BK"</f>
        <v>NC BLOCK HOODIE BK</v>
      </c>
      <c r="K1361" s="6">
        <v>0</v>
      </c>
      <c r="L1361" s="6">
        <v>0</v>
      </c>
      <c r="M1361" s="6">
        <v>0</v>
      </c>
      <c r="N1361" s="6" t="str">
        <f>""</f>
        <v/>
      </c>
      <c r="O1361" s="6">
        <v>31584</v>
      </c>
      <c r="P1361" s="6" t="s">
        <v>5702</v>
      </c>
      <c r="R1361" s="6" t="s">
        <v>601</v>
      </c>
      <c r="S1361" s="6" t="s">
        <v>5703</v>
      </c>
      <c r="T1361" s="6">
        <v>1</v>
      </c>
      <c r="U1361" s="6">
        <v>0</v>
      </c>
      <c r="V1361" s="6">
        <v>0</v>
      </c>
      <c r="W1361" s="6">
        <v>0</v>
      </c>
      <c r="X1361" s="6" t="s">
        <v>169</v>
      </c>
      <c r="Z1361" s="6" t="s">
        <v>170</v>
      </c>
      <c r="AA1361" s="6" t="s">
        <v>171</v>
      </c>
      <c r="AB1361" s="6">
        <v>0</v>
      </c>
      <c r="AC1361" s="6" t="str">
        <f>"KEY-026"</f>
        <v>KEY-026</v>
      </c>
      <c r="AQ1361" s="6" t="str">
        <f>""</f>
        <v/>
      </c>
      <c r="AR1361" s="6" t="s">
        <v>1567</v>
      </c>
      <c r="AS1361" s="6">
        <v>0</v>
      </c>
      <c r="AT1361" s="6">
        <v>1</v>
      </c>
    </row>
    <row r="1362" spans="2:46">
      <c r="B1362" s="6" t="s">
        <v>5041</v>
      </c>
      <c r="D1362" s="6" t="s">
        <v>3316</v>
      </c>
      <c r="F1362" s="6" t="s">
        <v>5704</v>
      </c>
      <c r="G1362" s="6" t="str">
        <f>"NC17SSTE01BKLR"</f>
        <v>NC17SSTE01BKLR</v>
      </c>
      <c r="H1362" s="6" t="s">
        <v>5705</v>
      </c>
      <c r="I1362" s="6" t="s">
        <v>5706</v>
      </c>
      <c r="J1362" s="6" t="str">
        <f>"NC V SWEATSHIRT BK"</f>
        <v>NC V SWEATSHIRT BK</v>
      </c>
      <c r="K1362" s="6">
        <v>0</v>
      </c>
      <c r="L1362" s="6">
        <v>0</v>
      </c>
      <c r="M1362" s="6">
        <v>0</v>
      </c>
      <c r="N1362" s="6" t="str">
        <f>""</f>
        <v/>
      </c>
      <c r="O1362" s="6">
        <v>31582</v>
      </c>
      <c r="P1362" s="6" t="s">
        <v>5705</v>
      </c>
      <c r="R1362" s="6" t="s">
        <v>5106</v>
      </c>
      <c r="S1362" s="6" t="s">
        <v>5707</v>
      </c>
      <c r="T1362" s="6">
        <v>0</v>
      </c>
      <c r="U1362" s="6">
        <v>0</v>
      </c>
      <c r="V1362" s="6">
        <v>0</v>
      </c>
      <c r="W1362" s="6">
        <v>0</v>
      </c>
      <c r="X1362" s="6" t="s">
        <v>169</v>
      </c>
      <c r="Z1362" s="6" t="s">
        <v>170</v>
      </c>
      <c r="AA1362" s="6" t="s">
        <v>171</v>
      </c>
      <c r="AB1362" s="6">
        <v>0</v>
      </c>
      <c r="AC1362" s="6" t="str">
        <f>""</f>
        <v/>
      </c>
      <c r="AS1362" s="6">
        <v>0</v>
      </c>
      <c r="AT1362" s="6">
        <v>0</v>
      </c>
    </row>
    <row r="1363" spans="2:46">
      <c r="B1363" s="6" t="s">
        <v>5041</v>
      </c>
      <c r="D1363" s="6" t="s">
        <v>3316</v>
      </c>
      <c r="F1363" s="6" t="s">
        <v>5708</v>
      </c>
      <c r="G1363" s="6" t="str">
        <f>"NC17SSTE01BKMR"</f>
        <v>NC17SSTE01BKMR</v>
      </c>
      <c r="H1363" s="6" t="s">
        <v>5709</v>
      </c>
      <c r="I1363" s="6" t="s">
        <v>5706</v>
      </c>
      <c r="J1363" s="6" t="str">
        <f>"NC V SWEATSHIRT BK"</f>
        <v>NC V SWEATSHIRT BK</v>
      </c>
      <c r="K1363" s="6">
        <v>0</v>
      </c>
      <c r="L1363" s="6">
        <v>0</v>
      </c>
      <c r="M1363" s="6">
        <v>0</v>
      </c>
      <c r="N1363" s="6" t="str">
        <f>""</f>
        <v/>
      </c>
      <c r="O1363" s="6">
        <v>31581</v>
      </c>
      <c r="P1363" s="6" t="s">
        <v>5709</v>
      </c>
      <c r="R1363" s="6" t="s">
        <v>601</v>
      </c>
      <c r="S1363" s="6" t="s">
        <v>5710</v>
      </c>
      <c r="T1363" s="6">
        <v>0</v>
      </c>
      <c r="U1363" s="6">
        <v>0</v>
      </c>
      <c r="V1363" s="6">
        <v>0</v>
      </c>
      <c r="W1363" s="6">
        <v>0</v>
      </c>
      <c r="X1363" s="6" t="s">
        <v>169</v>
      </c>
      <c r="Z1363" s="6" t="s">
        <v>170</v>
      </c>
      <c r="AA1363" s="6" t="s">
        <v>171</v>
      </c>
      <c r="AB1363" s="6">
        <v>0</v>
      </c>
      <c r="AC1363" s="6" t="str">
        <f>""</f>
        <v/>
      </c>
      <c r="AS1363" s="6">
        <v>0</v>
      </c>
      <c r="AT1363" s="6">
        <v>0</v>
      </c>
    </row>
    <row r="1364" spans="2:46" ht="66">
      <c r="B1364" s="6" t="s">
        <v>5041</v>
      </c>
      <c r="D1364" s="6" t="s">
        <v>3316</v>
      </c>
      <c r="F1364" s="6" t="s">
        <v>5711</v>
      </c>
      <c r="G1364" s="6" t="str">
        <f>"NC16SSOP01WHFR"</f>
        <v>NC16SSOP01WHFR</v>
      </c>
      <c r="H1364" s="6" t="s">
        <v>5712</v>
      </c>
      <c r="I1364" s="7" t="s">
        <v>5713</v>
      </c>
      <c r="J1364" s="6" t="str">
        <f>"ROCKET PATCH
ONEPIECE WH"</f>
        <v>ROCKET PATCH
ONEPIECE WH</v>
      </c>
      <c r="K1364" s="6">
        <v>0</v>
      </c>
      <c r="L1364" s="6">
        <v>0</v>
      </c>
      <c r="M1364" s="6">
        <v>0</v>
      </c>
      <c r="N1364" s="6" t="str">
        <f>""</f>
        <v/>
      </c>
      <c r="O1364" s="6">
        <v>31577</v>
      </c>
      <c r="P1364" s="6" t="s">
        <v>5714</v>
      </c>
      <c r="R1364" s="6" t="s">
        <v>5715</v>
      </c>
      <c r="S1364" s="7" t="s">
        <v>5716</v>
      </c>
      <c r="T1364" s="6">
        <v>0</v>
      </c>
      <c r="U1364" s="6">
        <v>0</v>
      </c>
      <c r="V1364" s="6">
        <v>0</v>
      </c>
      <c r="W1364" s="6">
        <v>0</v>
      </c>
      <c r="X1364" s="6" t="s">
        <v>169</v>
      </c>
      <c r="Z1364" s="6" t="s">
        <v>170</v>
      </c>
      <c r="AA1364" s="6" t="s">
        <v>171</v>
      </c>
      <c r="AB1364" s="6">
        <v>0</v>
      </c>
      <c r="AC1364" s="6" t="str">
        <f>""</f>
        <v/>
      </c>
      <c r="AS1364" s="6">
        <v>0</v>
      </c>
      <c r="AT1364" s="6">
        <v>0</v>
      </c>
    </row>
    <row r="1365" spans="2:46" ht="66">
      <c r="B1365" s="6" t="s">
        <v>5041</v>
      </c>
      <c r="D1365" s="6" t="s">
        <v>3316</v>
      </c>
      <c r="F1365" s="6" t="s">
        <v>5717</v>
      </c>
      <c r="G1365" s="6" t="str">
        <f>"NC16SSOP01NYFR"</f>
        <v>NC16SSOP01NYFR</v>
      </c>
      <c r="H1365" s="6" t="s">
        <v>5718</v>
      </c>
      <c r="I1365" s="7" t="s">
        <v>5719</v>
      </c>
      <c r="J1365" s="6" t="str">
        <f>"ROCKET PATCH
ONEPIECE NY"</f>
        <v>ROCKET PATCH
ONEPIECE NY</v>
      </c>
      <c r="K1365" s="6">
        <v>0</v>
      </c>
      <c r="L1365" s="6">
        <v>0</v>
      </c>
      <c r="M1365" s="6">
        <v>0</v>
      </c>
      <c r="N1365" s="6" t="str">
        <f>""</f>
        <v/>
      </c>
      <c r="O1365" s="6">
        <v>31575</v>
      </c>
      <c r="P1365" s="6" t="s">
        <v>5720</v>
      </c>
      <c r="R1365" s="6" t="s">
        <v>5721</v>
      </c>
      <c r="S1365" s="7" t="s">
        <v>5722</v>
      </c>
      <c r="T1365" s="6">
        <v>0</v>
      </c>
      <c r="U1365" s="6">
        <v>0</v>
      </c>
      <c r="V1365" s="6">
        <v>0</v>
      </c>
      <c r="W1365" s="6">
        <v>0</v>
      </c>
      <c r="X1365" s="6" t="s">
        <v>169</v>
      </c>
      <c r="Z1365" s="6" t="s">
        <v>170</v>
      </c>
      <c r="AA1365" s="6" t="s">
        <v>171</v>
      </c>
      <c r="AB1365" s="6">
        <v>0</v>
      </c>
      <c r="AC1365" s="6" t="str">
        <f>""</f>
        <v/>
      </c>
      <c r="AS1365" s="6">
        <v>0</v>
      </c>
      <c r="AT1365" s="6">
        <v>0</v>
      </c>
    </row>
    <row r="1366" spans="2:46" ht="49.5">
      <c r="B1366" s="6" t="s">
        <v>5041</v>
      </c>
      <c r="D1366" s="6" t="s">
        <v>3316</v>
      </c>
      <c r="F1366" s="6" t="s">
        <v>5723</v>
      </c>
      <c r="G1366" s="6" t="str">
        <f>"NC15FWHD01BKMR"</f>
        <v>NC15FWHD01BKMR</v>
      </c>
      <c r="H1366" s="6" t="s">
        <v>5724</v>
      </c>
      <c r="I1366" s="7" t="s">
        <v>5725</v>
      </c>
      <c r="J1366" s="6" t="str">
        <f>"CLW HOODIE
BK"</f>
        <v>CLW HOODIE
BK</v>
      </c>
      <c r="K1366" s="6">
        <v>0</v>
      </c>
      <c r="L1366" s="6">
        <v>0</v>
      </c>
      <c r="M1366" s="6">
        <v>0</v>
      </c>
      <c r="N1366" s="6" t="str">
        <f>""</f>
        <v/>
      </c>
      <c r="O1366" s="6">
        <v>31578</v>
      </c>
      <c r="P1366" s="6" t="s">
        <v>5726</v>
      </c>
      <c r="R1366" s="6" t="s">
        <v>188</v>
      </c>
      <c r="S1366" s="7" t="s">
        <v>5727</v>
      </c>
      <c r="T1366" s="6">
        <v>0</v>
      </c>
      <c r="U1366" s="6">
        <v>0</v>
      </c>
      <c r="V1366" s="6">
        <v>0</v>
      </c>
      <c r="W1366" s="6">
        <v>0</v>
      </c>
      <c r="X1366" s="6" t="s">
        <v>169</v>
      </c>
      <c r="Z1366" s="6" t="s">
        <v>170</v>
      </c>
      <c r="AA1366" s="6" t="s">
        <v>171</v>
      </c>
      <c r="AB1366" s="6">
        <v>0</v>
      </c>
      <c r="AC1366" s="6" t="str">
        <f>""</f>
        <v/>
      </c>
      <c r="AS1366" s="6">
        <v>0</v>
      </c>
      <c r="AT1366" s="6">
        <v>1</v>
      </c>
    </row>
    <row r="1367" spans="2:46" ht="49.5">
      <c r="B1367" s="6" t="s">
        <v>5041</v>
      </c>
      <c r="D1367" s="6" t="s">
        <v>3316</v>
      </c>
      <c r="F1367" s="6" t="s">
        <v>5728</v>
      </c>
      <c r="G1367" s="6" t="str">
        <f>"NC15FWHD01BKLR"</f>
        <v>NC15FWHD01BKLR</v>
      </c>
      <c r="I1367" s="7" t="s">
        <v>5725</v>
      </c>
      <c r="J1367" s="6" t="str">
        <f>"CLW HOODIE
BK"</f>
        <v>CLW HOODIE
BK</v>
      </c>
      <c r="K1367" s="6">
        <v>0</v>
      </c>
      <c r="L1367" s="6">
        <v>0</v>
      </c>
      <c r="M1367" s="6">
        <v>0</v>
      </c>
      <c r="N1367" s="6" t="str">
        <f>""</f>
        <v/>
      </c>
      <c r="O1367" s="6">
        <v>31573</v>
      </c>
      <c r="P1367" s="6" t="s">
        <v>5729</v>
      </c>
      <c r="R1367" s="6" t="s">
        <v>5730</v>
      </c>
      <c r="S1367" s="7" t="s">
        <v>5731</v>
      </c>
      <c r="T1367" s="6">
        <v>1</v>
      </c>
      <c r="U1367" s="6">
        <v>0</v>
      </c>
      <c r="V1367" s="6">
        <v>0</v>
      </c>
      <c r="W1367" s="6">
        <v>0</v>
      </c>
      <c r="X1367" s="6" t="s">
        <v>169</v>
      </c>
      <c r="Z1367" s="6" t="s">
        <v>170</v>
      </c>
      <c r="AA1367" s="6" t="s">
        <v>171</v>
      </c>
      <c r="AB1367" s="6">
        <v>0</v>
      </c>
      <c r="AC1367" s="6" t="str">
        <f>"KEY-028"</f>
        <v>KEY-028</v>
      </c>
      <c r="AQ1367" s="6" t="str">
        <f>""</f>
        <v/>
      </c>
      <c r="AR1367" s="6" t="s">
        <v>1567</v>
      </c>
      <c r="AS1367" s="6">
        <v>0</v>
      </c>
      <c r="AT1367" s="6">
        <v>1</v>
      </c>
    </row>
    <row r="1368" spans="2:46" ht="49.5">
      <c r="B1368" s="6" t="s">
        <v>5041</v>
      </c>
      <c r="D1368" s="6" t="s">
        <v>3316</v>
      </c>
      <c r="F1368" s="6" t="s">
        <v>5732</v>
      </c>
      <c r="G1368" s="6" t="str">
        <f>"NC15FWHD01GRLR"</f>
        <v>NC15FWHD01GRLR</v>
      </c>
      <c r="H1368" s="6" t="s">
        <v>5733</v>
      </c>
      <c r="I1368" s="7" t="s">
        <v>5734</v>
      </c>
      <c r="J1368" s="6" t="str">
        <f>"CLW HOODIE
GR"</f>
        <v>CLW HOODIE
GR</v>
      </c>
      <c r="K1368" s="6">
        <v>0</v>
      </c>
      <c r="L1368" s="6">
        <v>0</v>
      </c>
      <c r="M1368" s="6">
        <v>0</v>
      </c>
      <c r="N1368" s="6" t="str">
        <f>""</f>
        <v/>
      </c>
      <c r="O1368" s="6">
        <v>31571</v>
      </c>
      <c r="P1368" s="6" t="s">
        <v>5735</v>
      </c>
      <c r="R1368" s="6" t="s">
        <v>5736</v>
      </c>
      <c r="S1368" s="7" t="s">
        <v>5737</v>
      </c>
      <c r="T1368" s="6">
        <v>0</v>
      </c>
      <c r="U1368" s="6">
        <v>0</v>
      </c>
      <c r="V1368" s="6">
        <v>0</v>
      </c>
      <c r="W1368" s="6">
        <v>0</v>
      </c>
      <c r="X1368" s="6" t="s">
        <v>169</v>
      </c>
      <c r="Z1368" s="6" t="s">
        <v>170</v>
      </c>
      <c r="AA1368" s="6" t="s">
        <v>171</v>
      </c>
      <c r="AB1368" s="6">
        <v>0</v>
      </c>
      <c r="AC1368" s="6" t="str">
        <f>""</f>
        <v/>
      </c>
      <c r="AS1368" s="6">
        <v>0</v>
      </c>
      <c r="AT1368" s="6">
        <v>0</v>
      </c>
    </row>
    <row r="1369" spans="2:46">
      <c r="B1369" s="6" t="s">
        <v>5041</v>
      </c>
      <c r="D1369" s="6" t="s">
        <v>3316</v>
      </c>
      <c r="F1369" s="6" t="s">
        <v>5738</v>
      </c>
      <c r="G1369" s="6" t="str">
        <f>"NC16SUTE01WH"</f>
        <v>NC16SUTE01WH</v>
      </c>
      <c r="H1369" s="6" t="s">
        <v>5739</v>
      </c>
      <c r="I1369" s="6" t="e">
        <v>#N/A</v>
      </c>
      <c r="J1369" s="6" t="str">
        <f>"#N/A"</f>
        <v>#N/A</v>
      </c>
      <c r="K1369" s="6">
        <v>0</v>
      </c>
      <c r="L1369" s="6">
        <v>0</v>
      </c>
      <c r="M1369" s="6">
        <v>0</v>
      </c>
      <c r="N1369" s="6" t="str">
        <f>""</f>
        <v/>
      </c>
      <c r="O1369" s="6">
        <v>31626</v>
      </c>
      <c r="P1369" s="6" t="s">
        <v>5739</v>
      </c>
      <c r="R1369" s="6" t="s">
        <v>5197</v>
      </c>
      <c r="S1369" s="6" t="s">
        <v>5740</v>
      </c>
      <c r="T1369" s="6">
        <v>0</v>
      </c>
      <c r="U1369" s="6">
        <v>0</v>
      </c>
      <c r="V1369" s="6">
        <v>0</v>
      </c>
      <c r="W1369" s="6">
        <v>0</v>
      </c>
      <c r="X1369" s="6" t="s">
        <v>169</v>
      </c>
      <c r="Z1369" s="6" t="s">
        <v>170</v>
      </c>
      <c r="AA1369" s="6" t="s">
        <v>171</v>
      </c>
      <c r="AB1369" s="6">
        <v>0</v>
      </c>
      <c r="AC1369" s="6" t="str">
        <f>""</f>
        <v/>
      </c>
      <c r="AS1369" s="6">
        <v>0</v>
      </c>
      <c r="AT1369" s="6">
        <v>0</v>
      </c>
    </row>
    <row r="1370" spans="2:46">
      <c r="B1370" s="6" t="s">
        <v>5041</v>
      </c>
      <c r="D1370" s="6" t="s">
        <v>3316</v>
      </c>
      <c r="F1370" s="6" t="s">
        <v>5741</v>
      </c>
      <c r="G1370" s="6" t="str">
        <f>"NC16SSHD01BKMR"</f>
        <v>NC16SSHD01BKMR</v>
      </c>
      <c r="H1370" s="6" t="s">
        <v>5742</v>
      </c>
      <c r="I1370" s="6" t="e">
        <v>#N/A</v>
      </c>
      <c r="J1370" s="6" t="str">
        <f>"#N/A"</f>
        <v>#N/A</v>
      </c>
      <c r="K1370" s="6">
        <v>0</v>
      </c>
      <c r="L1370" s="6">
        <v>0</v>
      </c>
      <c r="M1370" s="6">
        <v>0</v>
      </c>
      <c r="N1370" s="6" t="str">
        <f>""</f>
        <v/>
      </c>
      <c r="O1370" s="6">
        <v>31579</v>
      </c>
      <c r="P1370" s="6" t="s">
        <v>5743</v>
      </c>
      <c r="R1370" s="6" t="s">
        <v>601</v>
      </c>
      <c r="S1370" s="6" t="s">
        <v>5744</v>
      </c>
      <c r="T1370" s="6">
        <v>0</v>
      </c>
      <c r="U1370" s="6">
        <v>0</v>
      </c>
      <c r="V1370" s="6">
        <v>0</v>
      </c>
      <c r="W1370" s="6">
        <v>0</v>
      </c>
      <c r="X1370" s="6" t="s">
        <v>169</v>
      </c>
      <c r="Z1370" s="6" t="s">
        <v>170</v>
      </c>
      <c r="AA1370" s="6" t="s">
        <v>171</v>
      </c>
      <c r="AB1370" s="6">
        <v>0</v>
      </c>
      <c r="AC1370" s="6" t="str">
        <f>""</f>
        <v/>
      </c>
      <c r="AS1370" s="6">
        <v>0</v>
      </c>
      <c r="AT1370" s="6">
        <v>0</v>
      </c>
    </row>
    <row r="1371" spans="2:46">
      <c r="B1371" s="6" t="s">
        <v>5041</v>
      </c>
      <c r="D1371" s="6" t="s">
        <v>3316</v>
      </c>
      <c r="F1371" s="6" t="s">
        <v>5745</v>
      </c>
      <c r="G1371" s="6" t="str">
        <f>"NC15FWHD01GRMR"</f>
        <v>NC15FWHD01GRMR</v>
      </c>
      <c r="H1371" s="6" t="s">
        <v>5746</v>
      </c>
      <c r="I1371" s="6" t="e">
        <v>#N/A</v>
      </c>
      <c r="J1371" s="6" t="str">
        <f>"#N/A"</f>
        <v>#N/A</v>
      </c>
      <c r="K1371" s="6">
        <v>0</v>
      </c>
      <c r="L1371" s="6">
        <v>0</v>
      </c>
      <c r="M1371" s="6">
        <v>0</v>
      </c>
      <c r="N1371" s="6" t="str">
        <f>""</f>
        <v/>
      </c>
      <c r="O1371" s="6">
        <v>31569</v>
      </c>
      <c r="P1371" s="6" t="s">
        <v>5746</v>
      </c>
      <c r="R1371" s="6" t="s">
        <v>5747</v>
      </c>
      <c r="S1371" s="6" t="s">
        <v>5748</v>
      </c>
      <c r="T1371" s="6">
        <v>0</v>
      </c>
      <c r="U1371" s="6">
        <v>0</v>
      </c>
      <c r="V1371" s="6">
        <v>0</v>
      </c>
      <c r="W1371" s="6">
        <v>0</v>
      </c>
      <c r="X1371" s="6" t="s">
        <v>169</v>
      </c>
      <c r="Z1371" s="6" t="s">
        <v>170</v>
      </c>
      <c r="AA1371" s="6" t="s">
        <v>171</v>
      </c>
      <c r="AB1371" s="6">
        <v>0</v>
      </c>
      <c r="AC1371" s="6" t="str">
        <f>""</f>
        <v/>
      </c>
      <c r="AS1371" s="6">
        <v>0</v>
      </c>
      <c r="AT1371" s="6">
        <v>0</v>
      </c>
    </row>
    <row r="1372" spans="2:46" ht="49.5">
      <c r="B1372" s="6" t="s">
        <v>5041</v>
      </c>
      <c r="D1372" s="6" t="s">
        <v>3316</v>
      </c>
      <c r="F1372" s="6" t="s">
        <v>5749</v>
      </c>
      <c r="G1372" s="6" t="str">
        <f>"NC16SSHD01BKLR"</f>
        <v>NC16SSHD01BKLR</v>
      </c>
      <c r="H1372" s="6" t="s">
        <v>5750</v>
      </c>
      <c r="I1372" s="7" t="s">
        <v>5751</v>
      </c>
      <c r="J1372" s="6" t="str">
        <f>"MARS HOODIE
BK"</f>
        <v>MARS HOODIE
BK</v>
      </c>
      <c r="K1372" s="6">
        <v>0</v>
      </c>
      <c r="L1372" s="6">
        <v>0</v>
      </c>
      <c r="M1372" s="6">
        <v>0</v>
      </c>
      <c r="N1372" s="6" t="str">
        <f>""</f>
        <v/>
      </c>
      <c r="O1372" s="6">
        <v>31567</v>
      </c>
      <c r="P1372" s="6" t="s">
        <v>5752</v>
      </c>
      <c r="R1372" s="6" t="s">
        <v>5730</v>
      </c>
      <c r="S1372" s="7" t="s">
        <v>5753</v>
      </c>
      <c r="T1372" s="6">
        <v>0</v>
      </c>
      <c r="U1372" s="6">
        <v>0</v>
      </c>
      <c r="V1372" s="6">
        <v>0</v>
      </c>
      <c r="W1372" s="6">
        <v>0</v>
      </c>
      <c r="X1372" s="6" t="s">
        <v>169</v>
      </c>
      <c r="Z1372" s="6" t="s">
        <v>170</v>
      </c>
      <c r="AA1372" s="6" t="s">
        <v>171</v>
      </c>
      <c r="AB1372" s="6">
        <v>0</v>
      </c>
      <c r="AC1372" s="6" t="str">
        <f>""</f>
        <v/>
      </c>
      <c r="AS1372" s="6">
        <v>0</v>
      </c>
      <c r="AT1372" s="6">
        <v>0</v>
      </c>
    </row>
    <row r="1373" spans="2:46" ht="33">
      <c r="B1373" s="6" t="s">
        <v>5041</v>
      </c>
      <c r="D1373" s="6" t="s">
        <v>3316</v>
      </c>
      <c r="F1373" s="6" t="s">
        <v>5754</v>
      </c>
      <c r="G1373" s="6" t="str">
        <f>"NC16FWHD01BKFR"</f>
        <v>NC16FWHD01BKFR</v>
      </c>
      <c r="H1373" s="6" t="s">
        <v>5755</v>
      </c>
      <c r="I1373" s="7" t="s">
        <v>5756</v>
      </c>
      <c r="J1373" s="6" t="str">
        <f>"NC TAPE
HOODIE"</f>
        <v>NC TAPE
HOODIE</v>
      </c>
      <c r="K1373" s="6">
        <v>0</v>
      </c>
      <c r="L1373" s="6">
        <v>0</v>
      </c>
      <c r="M1373" s="6">
        <v>0</v>
      </c>
      <c r="N1373" s="6" t="str">
        <f>""</f>
        <v/>
      </c>
      <c r="O1373" s="6">
        <v>31565</v>
      </c>
      <c r="P1373" s="6" t="s">
        <v>5757</v>
      </c>
      <c r="R1373" s="6" t="s">
        <v>5758</v>
      </c>
      <c r="S1373" s="7" t="s">
        <v>5759</v>
      </c>
      <c r="T1373" s="6">
        <v>0</v>
      </c>
      <c r="U1373" s="6">
        <v>0</v>
      </c>
      <c r="V1373" s="6">
        <v>0</v>
      </c>
      <c r="W1373" s="6">
        <v>0</v>
      </c>
      <c r="X1373" s="6" t="s">
        <v>169</v>
      </c>
      <c r="Z1373" s="6" t="s">
        <v>170</v>
      </c>
      <c r="AA1373" s="6" t="s">
        <v>171</v>
      </c>
      <c r="AB1373" s="6">
        <v>0</v>
      </c>
      <c r="AC1373" s="6" t="str">
        <f>""</f>
        <v/>
      </c>
      <c r="AS1373" s="6">
        <v>0</v>
      </c>
      <c r="AT1373" s="6">
        <v>0</v>
      </c>
    </row>
    <row r="1374" spans="2:46" ht="49.5">
      <c r="B1374" s="6" t="s">
        <v>5041</v>
      </c>
      <c r="D1374" s="6" t="s">
        <v>3316</v>
      </c>
      <c r="F1374" s="6" t="s">
        <v>5760</v>
      </c>
      <c r="G1374" s="6" t="str">
        <f>"NC16FWTE05NYLR"</f>
        <v>NC16FWTE05NYLR</v>
      </c>
      <c r="H1374" s="6" t="s">
        <v>5761</v>
      </c>
      <c r="I1374" s="7" t="s">
        <v>5762</v>
      </c>
      <c r="J1374" s="6" t="str">
        <f>"LOGO
STRIPE TEE"</f>
        <v>LOGO
STRIPE TEE</v>
      </c>
      <c r="K1374" s="6">
        <v>0</v>
      </c>
      <c r="L1374" s="6">
        <v>0</v>
      </c>
      <c r="M1374" s="6">
        <v>0</v>
      </c>
      <c r="N1374" s="6" t="str">
        <f>""</f>
        <v/>
      </c>
      <c r="O1374" s="6">
        <v>31563</v>
      </c>
      <c r="P1374" s="6" t="s">
        <v>5763</v>
      </c>
      <c r="R1374" s="6" t="s">
        <v>5764</v>
      </c>
      <c r="S1374" s="7" t="s">
        <v>5765</v>
      </c>
      <c r="T1374" s="6">
        <v>0</v>
      </c>
      <c r="U1374" s="6">
        <v>0</v>
      </c>
      <c r="V1374" s="6">
        <v>0</v>
      </c>
      <c r="W1374" s="6">
        <v>0</v>
      </c>
      <c r="X1374" s="6" t="s">
        <v>169</v>
      </c>
      <c r="Z1374" s="6" t="s">
        <v>170</v>
      </c>
      <c r="AA1374" s="6" t="s">
        <v>171</v>
      </c>
      <c r="AB1374" s="6">
        <v>0</v>
      </c>
      <c r="AC1374" s="6" t="str">
        <f>""</f>
        <v/>
      </c>
      <c r="AS1374" s="6">
        <v>0</v>
      </c>
      <c r="AT1374" s="6">
        <v>0</v>
      </c>
    </row>
    <row r="1375" spans="2:46" ht="49.5">
      <c r="B1375" s="6" t="s">
        <v>5041</v>
      </c>
      <c r="D1375" s="6" t="s">
        <v>3316</v>
      </c>
      <c r="F1375" s="6" t="s">
        <v>5766</v>
      </c>
      <c r="G1375" s="6" t="str">
        <f>"NC16FWTE05NYMR"</f>
        <v>NC16FWTE05NYMR</v>
      </c>
      <c r="H1375" s="6" t="s">
        <v>5767</v>
      </c>
      <c r="I1375" s="7" t="s">
        <v>5762</v>
      </c>
      <c r="J1375" s="6" t="str">
        <f>"LOGO
STRIPE TEE"</f>
        <v>LOGO
STRIPE TEE</v>
      </c>
      <c r="K1375" s="6">
        <v>0</v>
      </c>
      <c r="L1375" s="6">
        <v>0</v>
      </c>
      <c r="M1375" s="6">
        <v>0</v>
      </c>
      <c r="N1375" s="6" t="str">
        <f>""</f>
        <v/>
      </c>
      <c r="O1375" s="6">
        <v>31562</v>
      </c>
      <c r="P1375" s="6" t="s">
        <v>5768</v>
      </c>
      <c r="R1375" s="6" t="s">
        <v>586</v>
      </c>
      <c r="S1375" s="7" t="s">
        <v>5769</v>
      </c>
      <c r="T1375" s="6">
        <v>0</v>
      </c>
      <c r="U1375" s="6">
        <v>0</v>
      </c>
      <c r="V1375" s="6">
        <v>0</v>
      </c>
      <c r="W1375" s="6">
        <v>0</v>
      </c>
      <c r="X1375" s="6" t="s">
        <v>169</v>
      </c>
      <c r="Z1375" s="6" t="s">
        <v>170</v>
      </c>
      <c r="AA1375" s="6" t="s">
        <v>171</v>
      </c>
      <c r="AB1375" s="6">
        <v>0</v>
      </c>
      <c r="AC1375" s="6" t="str">
        <f>""</f>
        <v/>
      </c>
      <c r="AS1375" s="6">
        <v>0</v>
      </c>
      <c r="AT1375" s="6">
        <v>0</v>
      </c>
    </row>
    <row r="1376" spans="2:46" ht="66">
      <c r="B1376" s="6" t="s">
        <v>5041</v>
      </c>
      <c r="D1376" s="6" t="s">
        <v>3316</v>
      </c>
      <c r="F1376" s="6" t="s">
        <v>5770</v>
      </c>
      <c r="G1376" s="6" t="str">
        <f>"NC16FWTE04BRLR"</f>
        <v>NC16FWTE04BRLR</v>
      </c>
      <c r="I1376" s="7" t="s">
        <v>5771</v>
      </c>
      <c r="J1376" s="6" t="str">
        <f>"TIGER
SWEATSHIRT
BR"</f>
        <v>TIGER
SWEATSHIRT
BR</v>
      </c>
      <c r="K1376" s="6">
        <v>0</v>
      </c>
      <c r="L1376" s="6">
        <v>0</v>
      </c>
      <c r="M1376" s="6">
        <v>0</v>
      </c>
      <c r="N1376" s="6" t="str">
        <f>""</f>
        <v/>
      </c>
      <c r="O1376" s="6">
        <v>31560</v>
      </c>
      <c r="P1376" s="6" t="s">
        <v>5772</v>
      </c>
      <c r="R1376" s="6" t="s">
        <v>5773</v>
      </c>
      <c r="S1376" s="7" t="s">
        <v>5774</v>
      </c>
      <c r="T1376" s="6">
        <v>2</v>
      </c>
      <c r="U1376" s="6">
        <v>0</v>
      </c>
      <c r="V1376" s="6">
        <v>0</v>
      </c>
      <c r="W1376" s="6">
        <v>0</v>
      </c>
      <c r="X1376" s="6" t="s">
        <v>169</v>
      </c>
      <c r="Z1376" s="6" t="s">
        <v>170</v>
      </c>
      <c r="AA1376" s="6" t="s">
        <v>171</v>
      </c>
      <c r="AB1376" s="6">
        <v>0</v>
      </c>
      <c r="AC1376" s="6" t="str">
        <f>"KEY-031"</f>
        <v>KEY-031</v>
      </c>
      <c r="AQ1376" s="6" t="str">
        <f>""</f>
        <v/>
      </c>
      <c r="AR1376" s="6" t="s">
        <v>1567</v>
      </c>
      <c r="AS1376" s="6">
        <v>0</v>
      </c>
      <c r="AT1376" s="6">
        <v>2</v>
      </c>
    </row>
    <row r="1377" spans="2:46" ht="66">
      <c r="B1377" s="6" t="s">
        <v>5041</v>
      </c>
      <c r="D1377" s="6" t="s">
        <v>3316</v>
      </c>
      <c r="F1377" s="6" t="s">
        <v>5775</v>
      </c>
      <c r="G1377" s="6" t="str">
        <f>"NC16FWTE04BRSR"</f>
        <v>NC16FWTE04BRSR</v>
      </c>
      <c r="I1377" s="7" t="s">
        <v>5771</v>
      </c>
      <c r="J1377" s="6" t="str">
        <f>"TIGER
SWEATSHIRT
BR"</f>
        <v>TIGER
SWEATSHIRT
BR</v>
      </c>
      <c r="K1377" s="6">
        <v>0</v>
      </c>
      <c r="L1377" s="6">
        <v>0</v>
      </c>
      <c r="M1377" s="6">
        <v>0</v>
      </c>
      <c r="N1377" s="6" t="str">
        <f>""</f>
        <v/>
      </c>
      <c r="O1377" s="6">
        <v>31559</v>
      </c>
      <c r="P1377" s="6" t="s">
        <v>5776</v>
      </c>
      <c r="R1377" s="6" t="s">
        <v>5777</v>
      </c>
      <c r="S1377" s="7" t="s">
        <v>5778</v>
      </c>
      <c r="T1377" s="6">
        <v>2</v>
      </c>
      <c r="U1377" s="6">
        <v>0</v>
      </c>
      <c r="V1377" s="6">
        <v>0</v>
      </c>
      <c r="W1377" s="6">
        <v>0</v>
      </c>
      <c r="X1377" s="6" t="s">
        <v>169</v>
      </c>
      <c r="Z1377" s="6" t="s">
        <v>170</v>
      </c>
      <c r="AA1377" s="6" t="s">
        <v>171</v>
      </c>
      <c r="AB1377" s="6">
        <v>0</v>
      </c>
      <c r="AC1377" s="6" t="str">
        <f>"KEY-032"</f>
        <v>KEY-032</v>
      </c>
      <c r="AQ1377" s="6" t="str">
        <f>""</f>
        <v/>
      </c>
      <c r="AR1377" s="6" t="s">
        <v>1567</v>
      </c>
      <c r="AS1377" s="6">
        <v>0</v>
      </c>
      <c r="AT1377" s="6">
        <v>2</v>
      </c>
    </row>
    <row r="1378" spans="2:46" ht="66">
      <c r="B1378" s="6" t="s">
        <v>5041</v>
      </c>
      <c r="D1378" s="6" t="s">
        <v>3316</v>
      </c>
      <c r="F1378" s="6" t="s">
        <v>5779</v>
      </c>
      <c r="G1378" s="6" t="str">
        <f>"NC16FWTE03GNLR"</f>
        <v>NC16FWTE03GNLR</v>
      </c>
      <c r="H1378" s="6" t="s">
        <v>5780</v>
      </c>
      <c r="I1378" s="7" t="s">
        <v>5781</v>
      </c>
      <c r="J1378" s="6" t="str">
        <f>"LOGO
SWEATSHIRT
GN"</f>
        <v>LOGO
SWEATSHIRT
GN</v>
      </c>
      <c r="K1378" s="6">
        <v>0</v>
      </c>
      <c r="L1378" s="6">
        <v>0</v>
      </c>
      <c r="M1378" s="6">
        <v>0</v>
      </c>
      <c r="N1378" s="6" t="str">
        <f>""</f>
        <v/>
      </c>
      <c r="O1378" s="6">
        <v>31557</v>
      </c>
      <c r="P1378" s="6" t="s">
        <v>5782</v>
      </c>
      <c r="R1378" s="6" t="s">
        <v>5783</v>
      </c>
      <c r="S1378" s="7" t="s">
        <v>5784</v>
      </c>
      <c r="T1378" s="6">
        <v>0</v>
      </c>
      <c r="U1378" s="6">
        <v>0</v>
      </c>
      <c r="V1378" s="6">
        <v>0</v>
      </c>
      <c r="W1378" s="6">
        <v>0</v>
      </c>
      <c r="X1378" s="6" t="s">
        <v>169</v>
      </c>
      <c r="Z1378" s="6" t="s">
        <v>170</v>
      </c>
      <c r="AA1378" s="6" t="s">
        <v>171</v>
      </c>
      <c r="AB1378" s="6">
        <v>0</v>
      </c>
      <c r="AC1378" s="6" t="str">
        <f>""</f>
        <v/>
      </c>
      <c r="AS1378" s="6">
        <v>0</v>
      </c>
      <c r="AT1378" s="6">
        <v>0</v>
      </c>
    </row>
    <row r="1379" spans="2:46" ht="66">
      <c r="B1379" s="6" t="s">
        <v>5041</v>
      </c>
      <c r="D1379" s="6" t="s">
        <v>3316</v>
      </c>
      <c r="F1379" s="6" t="s">
        <v>5785</v>
      </c>
      <c r="G1379" s="6" t="str">
        <f>"NC16FWTE03GNSR"</f>
        <v>NC16FWTE03GNSR</v>
      </c>
      <c r="I1379" s="7" t="s">
        <v>5781</v>
      </c>
      <c r="J1379" s="6" t="str">
        <f>"LOGO
SWEATSHIRT
GN"</f>
        <v>LOGO
SWEATSHIRT
GN</v>
      </c>
      <c r="K1379" s="6">
        <v>0</v>
      </c>
      <c r="L1379" s="6">
        <v>0</v>
      </c>
      <c r="M1379" s="6">
        <v>0</v>
      </c>
      <c r="N1379" s="6" t="str">
        <f>""</f>
        <v/>
      </c>
      <c r="O1379" s="6">
        <v>31556</v>
      </c>
      <c r="P1379" s="6" t="s">
        <v>5786</v>
      </c>
      <c r="R1379" s="6" t="s">
        <v>5787</v>
      </c>
      <c r="S1379" s="7" t="s">
        <v>5788</v>
      </c>
      <c r="T1379" s="6">
        <v>4</v>
      </c>
      <c r="U1379" s="6">
        <v>0</v>
      </c>
      <c r="V1379" s="6">
        <v>0</v>
      </c>
      <c r="W1379" s="6">
        <v>0</v>
      </c>
      <c r="X1379" s="6" t="s">
        <v>169</v>
      </c>
      <c r="Z1379" s="6" t="s">
        <v>170</v>
      </c>
      <c r="AA1379" s="6" t="s">
        <v>171</v>
      </c>
      <c r="AB1379" s="6">
        <v>0</v>
      </c>
      <c r="AC1379" s="6" t="str">
        <f>"KEY-021"</f>
        <v>KEY-021</v>
      </c>
      <c r="AQ1379" s="6" t="str">
        <f>""</f>
        <v/>
      </c>
      <c r="AR1379" s="6" t="s">
        <v>1567</v>
      </c>
      <c r="AS1379" s="6">
        <v>0</v>
      </c>
      <c r="AT1379" s="6">
        <v>4</v>
      </c>
    </row>
    <row r="1380" spans="2:46" ht="66">
      <c r="B1380" s="6" t="s">
        <v>5041</v>
      </c>
      <c r="D1380" s="6" t="s">
        <v>3316</v>
      </c>
      <c r="F1380" s="6" t="s">
        <v>5789</v>
      </c>
      <c r="G1380" s="6" t="str">
        <f>"NC16FWTE03BKSR"</f>
        <v>NC16FWTE03BKSR</v>
      </c>
      <c r="H1380" s="6" t="s">
        <v>5790</v>
      </c>
      <c r="I1380" s="7" t="s">
        <v>5791</v>
      </c>
      <c r="J1380" s="6" t="str">
        <f>"LOGO
SWEATSHIRT
BK"</f>
        <v>LOGO
SWEATSHIRT
BK</v>
      </c>
      <c r="K1380" s="6">
        <v>0</v>
      </c>
      <c r="L1380" s="6">
        <v>0</v>
      </c>
      <c r="M1380" s="6">
        <v>0</v>
      </c>
      <c r="N1380" s="6" t="str">
        <f>""</f>
        <v/>
      </c>
      <c r="O1380" s="6">
        <v>31554</v>
      </c>
      <c r="P1380" s="6" t="s">
        <v>5792</v>
      </c>
      <c r="R1380" s="6" t="s">
        <v>192</v>
      </c>
      <c r="S1380" s="7" t="s">
        <v>5793</v>
      </c>
      <c r="T1380" s="6">
        <v>0</v>
      </c>
      <c r="U1380" s="6">
        <v>0</v>
      </c>
      <c r="V1380" s="6">
        <v>0</v>
      </c>
      <c r="W1380" s="6">
        <v>0</v>
      </c>
      <c r="X1380" s="6" t="s">
        <v>169</v>
      </c>
      <c r="Z1380" s="6" t="s">
        <v>170</v>
      </c>
      <c r="AA1380" s="6" t="s">
        <v>171</v>
      </c>
      <c r="AB1380" s="6">
        <v>0</v>
      </c>
      <c r="AC1380" s="6" t="str">
        <f>""</f>
        <v/>
      </c>
      <c r="AS1380" s="6">
        <v>0</v>
      </c>
      <c r="AT1380" s="6">
        <v>0</v>
      </c>
    </row>
    <row r="1381" spans="2:46" ht="49.5">
      <c r="B1381" s="6" t="s">
        <v>5041</v>
      </c>
      <c r="D1381" s="6" t="s">
        <v>3316</v>
      </c>
      <c r="F1381" s="6" t="s">
        <v>5794</v>
      </c>
      <c r="G1381" s="6" t="str">
        <f>"NC16FWTE02BKSR"</f>
        <v>NC16FWTE02BKSR</v>
      </c>
      <c r="H1381" s="6" t="s">
        <v>5795</v>
      </c>
      <c r="I1381" s="7" t="s">
        <v>5796</v>
      </c>
      <c r="J1381" s="6" t="str">
        <f>"DESTROY
SWEATSHIRT"</f>
        <v>DESTROY
SWEATSHIRT</v>
      </c>
      <c r="K1381" s="6">
        <v>0</v>
      </c>
      <c r="L1381" s="6">
        <v>0</v>
      </c>
      <c r="M1381" s="6">
        <v>0</v>
      </c>
      <c r="N1381" s="6" t="str">
        <f>""</f>
        <v/>
      </c>
      <c r="O1381" s="6">
        <v>31552</v>
      </c>
      <c r="P1381" s="6" t="s">
        <v>5797</v>
      </c>
      <c r="R1381" s="6" t="s">
        <v>192</v>
      </c>
      <c r="S1381" s="7" t="s">
        <v>5798</v>
      </c>
      <c r="T1381" s="6">
        <v>0</v>
      </c>
      <c r="U1381" s="6">
        <v>0</v>
      </c>
      <c r="V1381" s="6">
        <v>0</v>
      </c>
      <c r="W1381" s="6">
        <v>0</v>
      </c>
      <c r="X1381" s="6" t="s">
        <v>169</v>
      </c>
      <c r="Z1381" s="6" t="s">
        <v>170</v>
      </c>
      <c r="AA1381" s="6" t="s">
        <v>171</v>
      </c>
      <c r="AB1381" s="6">
        <v>0</v>
      </c>
      <c r="AC1381" s="6" t="str">
        <f>""</f>
        <v/>
      </c>
      <c r="AS1381" s="6">
        <v>0</v>
      </c>
      <c r="AT1381" s="6">
        <v>0</v>
      </c>
    </row>
    <row r="1382" spans="2:46" ht="49.5">
      <c r="B1382" s="6" t="s">
        <v>5041</v>
      </c>
      <c r="D1382" s="6" t="s">
        <v>3316</v>
      </c>
      <c r="F1382" s="6" t="s">
        <v>5799</v>
      </c>
      <c r="G1382" s="6" t="str">
        <f>"NC16FWTE01WHFR"</f>
        <v>NC16FWTE01WHFR</v>
      </c>
      <c r="H1382" s="6" t="s">
        <v>5800</v>
      </c>
      <c r="I1382" s="7" t="s">
        <v>5801</v>
      </c>
      <c r="J1382" s="6" t="str">
        <f>"BOTTLE
SWEATSHIRT WH"</f>
        <v>BOTTLE
SWEATSHIRT WH</v>
      </c>
      <c r="K1382" s="6">
        <v>0</v>
      </c>
      <c r="L1382" s="6">
        <v>0</v>
      </c>
      <c r="M1382" s="6">
        <v>0</v>
      </c>
      <c r="N1382" s="6" t="str">
        <f>""</f>
        <v/>
      </c>
      <c r="O1382" s="6">
        <v>31550</v>
      </c>
      <c r="P1382" s="6" t="s">
        <v>5802</v>
      </c>
      <c r="R1382" s="6" t="s">
        <v>5715</v>
      </c>
      <c r="S1382" s="7" t="s">
        <v>5803</v>
      </c>
      <c r="T1382" s="6">
        <v>0</v>
      </c>
      <c r="U1382" s="6">
        <v>0</v>
      </c>
      <c r="V1382" s="6">
        <v>0</v>
      </c>
      <c r="W1382" s="6">
        <v>0</v>
      </c>
      <c r="X1382" s="6" t="s">
        <v>169</v>
      </c>
      <c r="Z1382" s="6" t="s">
        <v>170</v>
      </c>
      <c r="AA1382" s="6" t="s">
        <v>171</v>
      </c>
      <c r="AB1382" s="6">
        <v>0</v>
      </c>
      <c r="AC1382" s="6" t="str">
        <f>""</f>
        <v/>
      </c>
      <c r="AS1382" s="6">
        <v>0</v>
      </c>
      <c r="AT1382" s="6">
        <v>0</v>
      </c>
    </row>
    <row r="1383" spans="2:46" ht="49.5">
      <c r="B1383" s="6" t="s">
        <v>5041</v>
      </c>
      <c r="D1383" s="6" t="s">
        <v>3316</v>
      </c>
      <c r="F1383" s="6" t="s">
        <v>5804</v>
      </c>
      <c r="G1383" s="6" t="str">
        <f>"NC16FWTE01NYFR"</f>
        <v>NC16FWTE01NYFR</v>
      </c>
      <c r="H1383" s="6" t="s">
        <v>5805</v>
      </c>
      <c r="I1383" s="7" t="s">
        <v>5806</v>
      </c>
      <c r="J1383" s="6" t="str">
        <f>"BOTTLE
SWEATSHIRT NY"</f>
        <v>BOTTLE
SWEATSHIRT NY</v>
      </c>
      <c r="K1383" s="6">
        <v>0</v>
      </c>
      <c r="L1383" s="6">
        <v>0</v>
      </c>
      <c r="M1383" s="6">
        <v>0</v>
      </c>
      <c r="N1383" s="6" t="str">
        <f>""</f>
        <v/>
      </c>
      <c r="O1383" s="6">
        <v>31548</v>
      </c>
      <c r="P1383" s="6" t="s">
        <v>5807</v>
      </c>
      <c r="R1383" s="6" t="s">
        <v>5721</v>
      </c>
      <c r="S1383" s="7" t="s">
        <v>5808</v>
      </c>
      <c r="T1383" s="6">
        <v>0</v>
      </c>
      <c r="U1383" s="6">
        <v>0</v>
      </c>
      <c r="V1383" s="6">
        <v>0</v>
      </c>
      <c r="W1383" s="6">
        <v>0</v>
      </c>
      <c r="X1383" s="6" t="s">
        <v>169</v>
      </c>
      <c r="Z1383" s="6" t="s">
        <v>170</v>
      </c>
      <c r="AA1383" s="6" t="s">
        <v>171</v>
      </c>
      <c r="AB1383" s="6">
        <v>0</v>
      </c>
      <c r="AC1383" s="6" t="str">
        <f>""</f>
        <v/>
      </c>
      <c r="AS1383" s="6">
        <v>0</v>
      </c>
      <c r="AT1383" s="6">
        <v>0</v>
      </c>
    </row>
    <row r="1384" spans="2:46" ht="66">
      <c r="B1384" s="6" t="s">
        <v>5041</v>
      </c>
      <c r="D1384" s="6" t="s">
        <v>3316</v>
      </c>
      <c r="F1384" s="6" t="s">
        <v>5809</v>
      </c>
      <c r="G1384" s="6" t="str">
        <f>"NC16FWNK02WHFR"</f>
        <v>NC16FWNK02WHFR</v>
      </c>
      <c r="H1384" s="6" t="s">
        <v>5810</v>
      </c>
      <c r="I1384" s="7" t="s">
        <v>5811</v>
      </c>
      <c r="J1384" s="6" t="str">
        <f>"DRUG KNIT
SWEATSHIRT WH"</f>
        <v>DRUG KNIT
SWEATSHIRT WH</v>
      </c>
      <c r="K1384" s="6">
        <v>0</v>
      </c>
      <c r="L1384" s="6">
        <v>0</v>
      </c>
      <c r="M1384" s="6">
        <v>0</v>
      </c>
      <c r="N1384" s="6" t="str">
        <f>""</f>
        <v/>
      </c>
      <c r="O1384" s="6">
        <v>31546</v>
      </c>
      <c r="P1384" s="6" t="s">
        <v>5812</v>
      </c>
      <c r="R1384" s="6" t="s">
        <v>5715</v>
      </c>
      <c r="S1384" s="7" t="s">
        <v>5813</v>
      </c>
      <c r="T1384" s="6">
        <v>0</v>
      </c>
      <c r="U1384" s="6">
        <v>0</v>
      </c>
      <c r="V1384" s="6">
        <v>0</v>
      </c>
      <c r="W1384" s="6">
        <v>0</v>
      </c>
      <c r="X1384" s="6" t="s">
        <v>169</v>
      </c>
      <c r="Z1384" s="6" t="s">
        <v>170</v>
      </c>
      <c r="AA1384" s="6" t="s">
        <v>171</v>
      </c>
      <c r="AB1384" s="6">
        <v>0</v>
      </c>
      <c r="AC1384" s="6" t="str">
        <f>""</f>
        <v/>
      </c>
      <c r="AS1384" s="6">
        <v>0</v>
      </c>
      <c r="AT1384" s="6">
        <v>0</v>
      </c>
    </row>
    <row r="1385" spans="2:46" ht="66">
      <c r="B1385" s="6" t="s">
        <v>5041</v>
      </c>
      <c r="D1385" s="6" t="s">
        <v>3316</v>
      </c>
      <c r="F1385" s="6" t="s">
        <v>5814</v>
      </c>
      <c r="G1385" s="6" t="str">
        <f>"NC16FWNK02BKFR"</f>
        <v>NC16FWNK02BKFR</v>
      </c>
      <c r="I1385" s="7" t="s">
        <v>5815</v>
      </c>
      <c r="J1385" s="6" t="str">
        <f>"DRUG KNIT
SWEATSHIRT BK"</f>
        <v>DRUG KNIT
SWEATSHIRT BK</v>
      </c>
      <c r="K1385" s="6">
        <v>0</v>
      </c>
      <c r="L1385" s="6">
        <v>0</v>
      </c>
      <c r="M1385" s="6">
        <v>0</v>
      </c>
      <c r="N1385" s="6" t="str">
        <f>""</f>
        <v/>
      </c>
      <c r="O1385" s="6">
        <v>31544</v>
      </c>
      <c r="P1385" s="6" t="s">
        <v>5816</v>
      </c>
      <c r="R1385" s="6" t="s">
        <v>5758</v>
      </c>
      <c r="S1385" s="7" t="s">
        <v>5817</v>
      </c>
      <c r="T1385" s="6">
        <v>2</v>
      </c>
      <c r="U1385" s="6">
        <v>0</v>
      </c>
      <c r="V1385" s="6">
        <v>0</v>
      </c>
      <c r="W1385" s="6">
        <v>0</v>
      </c>
      <c r="X1385" s="6" t="s">
        <v>169</v>
      </c>
      <c r="Z1385" s="6" t="s">
        <v>170</v>
      </c>
      <c r="AA1385" s="6" t="s">
        <v>171</v>
      </c>
      <c r="AB1385" s="6">
        <v>0</v>
      </c>
      <c r="AC1385" s="6" t="str">
        <f>"KEY-005"</f>
        <v>KEY-005</v>
      </c>
      <c r="AQ1385" s="6" t="str">
        <f>""</f>
        <v/>
      </c>
      <c r="AR1385" s="6" t="s">
        <v>1584</v>
      </c>
      <c r="AS1385" s="6">
        <v>0</v>
      </c>
      <c r="AT1385" s="6">
        <v>2</v>
      </c>
    </row>
    <row r="1386" spans="2:46" ht="66">
      <c r="B1386" s="6" t="s">
        <v>5041</v>
      </c>
      <c r="D1386" s="6" t="s">
        <v>3316</v>
      </c>
      <c r="F1386" s="6" t="s">
        <v>5818</v>
      </c>
      <c r="G1386" s="6" t="str">
        <f>"NC16FWOP02NYFR"</f>
        <v>NC16FWOP02NYFR</v>
      </c>
      <c r="H1386" s="6" t="s">
        <v>5819</v>
      </c>
      <c r="I1386" s="7" t="s">
        <v>5820</v>
      </c>
      <c r="J1386" s="6" t="str">
        <f>"STRIPE SHIRT
ONEPIECE"</f>
        <v>STRIPE SHIRT
ONEPIECE</v>
      </c>
      <c r="K1386" s="6">
        <v>0</v>
      </c>
      <c r="L1386" s="6">
        <v>0</v>
      </c>
      <c r="M1386" s="6">
        <v>0</v>
      </c>
      <c r="N1386" s="6" t="str">
        <f>""</f>
        <v/>
      </c>
      <c r="O1386" s="6">
        <v>31542</v>
      </c>
      <c r="P1386" s="6" t="s">
        <v>5821</v>
      </c>
      <c r="R1386" s="6" t="s">
        <v>5721</v>
      </c>
      <c r="S1386" s="7" t="s">
        <v>5822</v>
      </c>
      <c r="T1386" s="6">
        <v>0</v>
      </c>
      <c r="U1386" s="6">
        <v>0</v>
      </c>
      <c r="V1386" s="6">
        <v>0</v>
      </c>
      <c r="W1386" s="6">
        <v>0</v>
      </c>
      <c r="X1386" s="6" t="s">
        <v>169</v>
      </c>
      <c r="Z1386" s="6" t="s">
        <v>170</v>
      </c>
      <c r="AA1386" s="6" t="s">
        <v>171</v>
      </c>
      <c r="AB1386" s="6">
        <v>0</v>
      </c>
      <c r="AC1386" s="6" t="str">
        <f>""</f>
        <v/>
      </c>
      <c r="AS1386" s="6">
        <v>0</v>
      </c>
      <c r="AT1386" s="6">
        <v>0</v>
      </c>
    </row>
    <row r="1387" spans="2:46" ht="66">
      <c r="B1387" s="6" t="s">
        <v>5041</v>
      </c>
      <c r="D1387" s="6" t="s">
        <v>3316</v>
      </c>
      <c r="F1387" s="6" t="s">
        <v>5823</v>
      </c>
      <c r="G1387" s="6" t="str">
        <f>"NC16FWOP01BKFR"</f>
        <v>NC16FWOP01BKFR</v>
      </c>
      <c r="I1387" s="7" t="s">
        <v>5824</v>
      </c>
      <c r="J1387" s="6" t="str">
        <f>"TIGER WOOL
ONEPIECE"</f>
        <v>TIGER WOOL
ONEPIECE</v>
      </c>
      <c r="K1387" s="6">
        <v>0</v>
      </c>
      <c r="L1387" s="6">
        <v>0</v>
      </c>
      <c r="M1387" s="6">
        <v>0</v>
      </c>
      <c r="N1387" s="6" t="str">
        <f>""</f>
        <v/>
      </c>
      <c r="O1387" s="6">
        <v>31540</v>
      </c>
      <c r="P1387" s="6" t="s">
        <v>5825</v>
      </c>
      <c r="R1387" s="6" t="s">
        <v>5758</v>
      </c>
      <c r="S1387" s="7" t="s">
        <v>5826</v>
      </c>
      <c r="T1387" s="6">
        <v>3</v>
      </c>
      <c r="U1387" s="6">
        <v>0</v>
      </c>
      <c r="V1387" s="6">
        <v>0</v>
      </c>
      <c r="W1387" s="6">
        <v>0</v>
      </c>
      <c r="X1387" s="6" t="s">
        <v>169</v>
      </c>
      <c r="Z1387" s="6" t="s">
        <v>170</v>
      </c>
      <c r="AA1387" s="6" t="s">
        <v>171</v>
      </c>
      <c r="AB1387" s="6">
        <v>0</v>
      </c>
      <c r="AC1387" s="6" t="str">
        <f>"KEY-023"</f>
        <v>KEY-023</v>
      </c>
      <c r="AQ1387" s="6" t="str">
        <f>""</f>
        <v/>
      </c>
      <c r="AR1387" s="6" t="s">
        <v>1567</v>
      </c>
      <c r="AS1387" s="6">
        <v>0</v>
      </c>
      <c r="AT1387" s="6">
        <v>3</v>
      </c>
    </row>
    <row r="1388" spans="2:46" ht="49.5">
      <c r="B1388" s="6" t="s">
        <v>5041</v>
      </c>
      <c r="D1388" s="6" t="s">
        <v>3316</v>
      </c>
      <c r="F1388" s="6" t="s">
        <v>5827</v>
      </c>
      <c r="G1388" s="6" t="str">
        <f>"NC16FWNK01GRFR"</f>
        <v>NC16FWNK01GRFR</v>
      </c>
      <c r="H1388" s="6" t="s">
        <v>5828</v>
      </c>
      <c r="I1388" s="7" t="s">
        <v>5829</v>
      </c>
      <c r="J1388" s="6" t="str">
        <f>"MARCH
CARDIGAN GR"</f>
        <v>MARCH
CARDIGAN GR</v>
      </c>
      <c r="K1388" s="6">
        <v>0</v>
      </c>
      <c r="L1388" s="6">
        <v>0</v>
      </c>
      <c r="M1388" s="6">
        <v>0</v>
      </c>
      <c r="N1388" s="6" t="str">
        <f>""</f>
        <v/>
      </c>
      <c r="O1388" s="6">
        <v>31538</v>
      </c>
      <c r="P1388" s="6" t="s">
        <v>5830</v>
      </c>
      <c r="R1388" s="6" t="s">
        <v>5831</v>
      </c>
      <c r="S1388" s="7" t="s">
        <v>5832</v>
      </c>
      <c r="T1388" s="6">
        <v>0</v>
      </c>
      <c r="U1388" s="6">
        <v>0</v>
      </c>
      <c r="V1388" s="6">
        <v>0</v>
      </c>
      <c r="W1388" s="6">
        <v>0</v>
      </c>
      <c r="X1388" s="6" t="s">
        <v>169</v>
      </c>
      <c r="Z1388" s="6" t="s">
        <v>170</v>
      </c>
      <c r="AA1388" s="6" t="s">
        <v>171</v>
      </c>
      <c r="AB1388" s="6">
        <v>0</v>
      </c>
      <c r="AC1388" s="6" t="str">
        <f>""</f>
        <v/>
      </c>
      <c r="AS1388" s="6">
        <v>0</v>
      </c>
      <c r="AT1388" s="6">
        <v>0</v>
      </c>
    </row>
    <row r="1389" spans="2:46" ht="49.5">
      <c r="B1389" s="6" t="s">
        <v>5041</v>
      </c>
      <c r="D1389" s="6" t="s">
        <v>3316</v>
      </c>
      <c r="F1389" s="6" t="s">
        <v>5833</v>
      </c>
      <c r="G1389" s="6" t="str">
        <f>"NC16FWNK01BKFR"</f>
        <v>NC16FWNK01BKFR</v>
      </c>
      <c r="H1389" s="6" t="s">
        <v>5834</v>
      </c>
      <c r="I1389" s="7" t="s">
        <v>5835</v>
      </c>
      <c r="J1389" s="6" t="str">
        <f>"MARCH
CARDIGAN BK"</f>
        <v>MARCH
CARDIGAN BK</v>
      </c>
      <c r="K1389" s="6">
        <v>0</v>
      </c>
      <c r="L1389" s="6">
        <v>0</v>
      </c>
      <c r="M1389" s="6">
        <v>0</v>
      </c>
      <c r="N1389" s="6" t="str">
        <f>""</f>
        <v/>
      </c>
      <c r="O1389" s="6">
        <v>31536</v>
      </c>
      <c r="P1389" s="6" t="s">
        <v>5836</v>
      </c>
      <c r="R1389" s="6" t="s">
        <v>5758</v>
      </c>
      <c r="S1389" s="7" t="s">
        <v>5837</v>
      </c>
      <c r="T1389" s="6">
        <v>0</v>
      </c>
      <c r="U1389" s="6">
        <v>0</v>
      </c>
      <c r="V1389" s="6">
        <v>0</v>
      </c>
      <c r="W1389" s="6">
        <v>0</v>
      </c>
      <c r="X1389" s="6" t="s">
        <v>169</v>
      </c>
      <c r="Z1389" s="6" t="s">
        <v>170</v>
      </c>
      <c r="AA1389" s="6" t="s">
        <v>171</v>
      </c>
      <c r="AB1389" s="6">
        <v>0</v>
      </c>
      <c r="AC1389" s="6" t="str">
        <f>""</f>
        <v/>
      </c>
      <c r="AS1389" s="6">
        <v>0</v>
      </c>
      <c r="AT1389" s="6">
        <v>0</v>
      </c>
    </row>
    <row r="1390" spans="2:46">
      <c r="B1390" s="6" t="s">
        <v>113</v>
      </c>
      <c r="D1390" s="6" t="s">
        <v>3316</v>
      </c>
      <c r="F1390" s="6" t="s">
        <v>5838</v>
      </c>
      <c r="G1390" s="6" t="str">
        <f>"M17FWRN005SV"</f>
        <v>M17FWRN005SV</v>
      </c>
      <c r="H1390" s="6" t="s">
        <v>5839</v>
      </c>
      <c r="I1390" s="6" t="s">
        <v>5840</v>
      </c>
      <c r="J1390" s="6" t="str">
        <f>"Round &amp; ball ring"</f>
        <v>Round &amp; ball ring</v>
      </c>
      <c r="K1390" s="6">
        <v>0</v>
      </c>
      <c r="L1390" s="6">
        <v>0</v>
      </c>
      <c r="M1390" s="6">
        <v>0</v>
      </c>
      <c r="N1390" s="6" t="str">
        <f>""</f>
        <v/>
      </c>
      <c r="O1390" s="6">
        <v>31534</v>
      </c>
      <c r="P1390" s="6" t="s">
        <v>5839</v>
      </c>
      <c r="R1390" s="6" t="s">
        <v>5841</v>
      </c>
      <c r="S1390" s="6" t="s">
        <v>5842</v>
      </c>
      <c r="T1390" s="6">
        <v>0</v>
      </c>
      <c r="U1390" s="6">
        <v>0</v>
      </c>
      <c r="V1390" s="6">
        <v>0</v>
      </c>
      <c r="W1390" s="6">
        <v>0</v>
      </c>
      <c r="X1390" s="6" t="s">
        <v>169</v>
      </c>
      <c r="Z1390" s="6" t="s">
        <v>170</v>
      </c>
      <c r="AA1390" s="6" t="s">
        <v>171</v>
      </c>
      <c r="AB1390" s="6">
        <v>0</v>
      </c>
      <c r="AC1390" s="6" t="str">
        <f>""</f>
        <v/>
      </c>
      <c r="AS1390" s="6">
        <v>0</v>
      </c>
      <c r="AT1390" s="6">
        <v>0</v>
      </c>
    </row>
    <row r="1391" spans="2:46">
      <c r="B1391" s="6" t="s">
        <v>113</v>
      </c>
      <c r="D1391" s="6" t="s">
        <v>3316</v>
      </c>
      <c r="F1391" s="6" t="s">
        <v>5843</v>
      </c>
      <c r="G1391" s="6" t="str">
        <f>"M17FWRN005GD"</f>
        <v>M17FWRN005GD</v>
      </c>
      <c r="H1391" s="6" t="s">
        <v>5844</v>
      </c>
      <c r="I1391" s="6" t="s">
        <v>5840</v>
      </c>
      <c r="J1391" s="6" t="str">
        <f>"Round &amp; ball ring"</f>
        <v>Round &amp; ball ring</v>
      </c>
      <c r="K1391" s="6">
        <v>0</v>
      </c>
      <c r="L1391" s="6">
        <v>0</v>
      </c>
      <c r="M1391" s="6">
        <v>0</v>
      </c>
      <c r="N1391" s="6" t="str">
        <f>""</f>
        <v/>
      </c>
      <c r="O1391" s="6">
        <v>31533</v>
      </c>
      <c r="P1391" s="6" t="s">
        <v>5844</v>
      </c>
      <c r="R1391" s="6" t="s">
        <v>5845</v>
      </c>
      <c r="S1391" s="6" t="s">
        <v>5846</v>
      </c>
      <c r="T1391" s="6">
        <v>0</v>
      </c>
      <c r="U1391" s="6">
        <v>0</v>
      </c>
      <c r="V1391" s="6">
        <v>0</v>
      </c>
      <c r="W1391" s="6">
        <v>0</v>
      </c>
      <c r="X1391" s="6" t="s">
        <v>169</v>
      </c>
      <c r="Z1391" s="6" t="s">
        <v>170</v>
      </c>
      <c r="AA1391" s="6" t="s">
        <v>171</v>
      </c>
      <c r="AB1391" s="6">
        <v>0</v>
      </c>
      <c r="AC1391" s="6" t="str">
        <f>""</f>
        <v/>
      </c>
      <c r="AS1391" s="6">
        <v>0</v>
      </c>
      <c r="AT1391" s="6">
        <v>0</v>
      </c>
    </row>
    <row r="1392" spans="2:46">
      <c r="B1392" s="6" t="s">
        <v>113</v>
      </c>
      <c r="D1392" s="6" t="s">
        <v>3316</v>
      </c>
      <c r="F1392" s="6" t="s">
        <v>5847</v>
      </c>
      <c r="G1392" s="6" t="str">
        <f>"M17FWRN003SV"</f>
        <v>M17FWRN003SV</v>
      </c>
      <c r="H1392" s="6" t="s">
        <v>5848</v>
      </c>
      <c r="I1392" s="6" t="s">
        <v>5849</v>
      </c>
      <c r="J1392" s="6" t="str">
        <f>"Holiday twist ring"</f>
        <v>Holiday twist ring</v>
      </c>
      <c r="K1392" s="6">
        <v>0</v>
      </c>
      <c r="L1392" s="6">
        <v>0</v>
      </c>
      <c r="M1392" s="6">
        <v>0</v>
      </c>
      <c r="N1392" s="6" t="str">
        <f>""</f>
        <v/>
      </c>
      <c r="O1392" s="6">
        <v>31531</v>
      </c>
      <c r="P1392" s="6" t="s">
        <v>5848</v>
      </c>
      <c r="R1392" s="6" t="s">
        <v>5841</v>
      </c>
      <c r="S1392" s="6" t="s">
        <v>5850</v>
      </c>
      <c r="T1392" s="6">
        <v>0</v>
      </c>
      <c r="U1392" s="6">
        <v>0</v>
      </c>
      <c r="V1392" s="6">
        <v>0</v>
      </c>
      <c r="W1392" s="6">
        <v>0</v>
      </c>
      <c r="X1392" s="6" t="s">
        <v>169</v>
      </c>
      <c r="Z1392" s="6" t="s">
        <v>170</v>
      </c>
      <c r="AA1392" s="6" t="s">
        <v>171</v>
      </c>
      <c r="AB1392" s="6">
        <v>0</v>
      </c>
      <c r="AC1392" s="6" t="str">
        <f>""</f>
        <v/>
      </c>
      <c r="AS1392" s="6">
        <v>0</v>
      </c>
      <c r="AT1392" s="6">
        <v>0</v>
      </c>
    </row>
    <row r="1393" spans="2:46">
      <c r="B1393" s="6" t="s">
        <v>113</v>
      </c>
      <c r="D1393" s="6" t="s">
        <v>3316</v>
      </c>
      <c r="F1393" s="6" t="s">
        <v>5851</v>
      </c>
      <c r="G1393" s="6" t="str">
        <f>"M17FWRN003GD"</f>
        <v>M17FWRN003GD</v>
      </c>
      <c r="H1393" s="6" t="s">
        <v>5852</v>
      </c>
      <c r="I1393" s="6" t="s">
        <v>5849</v>
      </c>
      <c r="J1393" s="6" t="str">
        <f>"Holiday twist ring"</f>
        <v>Holiday twist ring</v>
      </c>
      <c r="K1393" s="6">
        <v>0</v>
      </c>
      <c r="L1393" s="6">
        <v>0</v>
      </c>
      <c r="M1393" s="6">
        <v>0</v>
      </c>
      <c r="N1393" s="6" t="str">
        <f>""</f>
        <v/>
      </c>
      <c r="O1393" s="6">
        <v>31530</v>
      </c>
      <c r="P1393" s="6" t="s">
        <v>5852</v>
      </c>
      <c r="R1393" s="6" t="s">
        <v>5845</v>
      </c>
      <c r="S1393" s="6" t="s">
        <v>5853</v>
      </c>
      <c r="T1393" s="6">
        <v>0</v>
      </c>
      <c r="U1393" s="6">
        <v>0</v>
      </c>
      <c r="V1393" s="6">
        <v>0</v>
      </c>
      <c r="W1393" s="6">
        <v>0</v>
      </c>
      <c r="X1393" s="6" t="s">
        <v>169</v>
      </c>
      <c r="Z1393" s="6" t="s">
        <v>170</v>
      </c>
      <c r="AA1393" s="6" t="s">
        <v>171</v>
      </c>
      <c r="AB1393" s="6">
        <v>0</v>
      </c>
      <c r="AC1393" s="6" t="str">
        <f>""</f>
        <v/>
      </c>
      <c r="AS1393" s="6">
        <v>0</v>
      </c>
      <c r="AT1393" s="6">
        <v>0</v>
      </c>
    </row>
    <row r="1394" spans="2:46">
      <c r="B1394" s="6" t="s">
        <v>113</v>
      </c>
      <c r="D1394" s="6" t="s">
        <v>3316</v>
      </c>
      <c r="F1394" s="6" t="s">
        <v>5854</v>
      </c>
      <c r="G1394" s="6" t="str">
        <f>"M17FWRN002BL"</f>
        <v>M17FWRN002BL</v>
      </c>
      <c r="H1394" s="6" t="s">
        <v>5855</v>
      </c>
      <c r="I1394" s="6" t="s">
        <v>5856</v>
      </c>
      <c r="J1394" s="6" t="str">
        <f>"Holiday tear ring"</f>
        <v>Holiday tear ring</v>
      </c>
      <c r="K1394" s="6">
        <v>0</v>
      </c>
      <c r="L1394" s="6">
        <v>0</v>
      </c>
      <c r="M1394" s="6">
        <v>0</v>
      </c>
      <c r="N1394" s="6" t="str">
        <f>""</f>
        <v/>
      </c>
      <c r="O1394" s="6">
        <v>31528</v>
      </c>
      <c r="P1394" s="6" t="s">
        <v>5855</v>
      </c>
      <c r="R1394" s="6" t="s">
        <v>3037</v>
      </c>
      <c r="S1394" s="6" t="s">
        <v>5857</v>
      </c>
      <c r="T1394" s="6">
        <v>0</v>
      </c>
      <c r="U1394" s="6">
        <v>0</v>
      </c>
      <c r="V1394" s="6">
        <v>0</v>
      </c>
      <c r="W1394" s="6">
        <v>0</v>
      </c>
      <c r="X1394" s="6" t="s">
        <v>169</v>
      </c>
      <c r="Z1394" s="6" t="s">
        <v>170</v>
      </c>
      <c r="AA1394" s="6" t="s">
        <v>171</v>
      </c>
      <c r="AB1394" s="6">
        <v>0</v>
      </c>
      <c r="AC1394" s="6" t="str">
        <f>""</f>
        <v/>
      </c>
      <c r="AS1394" s="6">
        <v>0</v>
      </c>
      <c r="AT1394" s="6">
        <v>0</v>
      </c>
    </row>
    <row r="1395" spans="2:46">
      <c r="B1395" s="6" t="s">
        <v>113</v>
      </c>
      <c r="D1395" s="6" t="s">
        <v>3316</v>
      </c>
      <c r="F1395" s="6" t="s">
        <v>5858</v>
      </c>
      <c r="G1395" s="6" t="str">
        <f>"M17FWRN002RD"</f>
        <v>M17FWRN002RD</v>
      </c>
      <c r="H1395" s="6" t="s">
        <v>5859</v>
      </c>
      <c r="I1395" s="6" t="s">
        <v>5856</v>
      </c>
      <c r="J1395" s="6" t="str">
        <f>"Holiday tear ring"</f>
        <v>Holiday tear ring</v>
      </c>
      <c r="K1395" s="6">
        <v>0</v>
      </c>
      <c r="L1395" s="6">
        <v>0</v>
      </c>
      <c r="M1395" s="6">
        <v>0</v>
      </c>
      <c r="N1395" s="6" t="str">
        <f>""</f>
        <v/>
      </c>
      <c r="O1395" s="6">
        <v>31527</v>
      </c>
      <c r="P1395" s="6" t="s">
        <v>5859</v>
      </c>
      <c r="R1395" s="6" t="s">
        <v>2954</v>
      </c>
      <c r="S1395" s="6" t="s">
        <v>5860</v>
      </c>
      <c r="T1395" s="6">
        <v>0</v>
      </c>
      <c r="U1395" s="6">
        <v>0</v>
      </c>
      <c r="V1395" s="6">
        <v>0</v>
      </c>
      <c r="W1395" s="6">
        <v>0</v>
      </c>
      <c r="X1395" s="6" t="s">
        <v>169</v>
      </c>
      <c r="Z1395" s="6" t="s">
        <v>170</v>
      </c>
      <c r="AA1395" s="6" t="s">
        <v>171</v>
      </c>
      <c r="AB1395" s="6">
        <v>0</v>
      </c>
      <c r="AC1395" s="6" t="str">
        <f>""</f>
        <v/>
      </c>
      <c r="AS1395" s="6">
        <v>0</v>
      </c>
      <c r="AT1395" s="6">
        <v>0</v>
      </c>
    </row>
    <row r="1396" spans="2:46">
      <c r="B1396" s="6" t="s">
        <v>113</v>
      </c>
      <c r="D1396" s="6" t="s">
        <v>3316</v>
      </c>
      <c r="F1396" s="6" t="s">
        <v>5861</v>
      </c>
      <c r="G1396" s="6" t="str">
        <f>"M17FWRN001KH"</f>
        <v>M17FWRN001KH</v>
      </c>
      <c r="H1396" s="6" t="s">
        <v>5862</v>
      </c>
      <c r="I1396" s="6" t="s">
        <v>5863</v>
      </c>
      <c r="J1396" s="6" t="str">
        <f>"Holiday cube ring"</f>
        <v>Holiday cube ring</v>
      </c>
      <c r="K1396" s="6">
        <v>0</v>
      </c>
      <c r="L1396" s="6">
        <v>0</v>
      </c>
      <c r="M1396" s="6">
        <v>0</v>
      </c>
      <c r="N1396" s="6" t="str">
        <f>""</f>
        <v/>
      </c>
      <c r="O1396" s="6">
        <v>31525</v>
      </c>
      <c r="P1396" s="6" t="s">
        <v>5862</v>
      </c>
      <c r="R1396" s="6" t="s">
        <v>5864</v>
      </c>
      <c r="S1396" s="6" t="s">
        <v>5865</v>
      </c>
      <c r="T1396" s="6">
        <v>0</v>
      </c>
      <c r="U1396" s="6">
        <v>0</v>
      </c>
      <c r="V1396" s="6">
        <v>0</v>
      </c>
      <c r="W1396" s="6">
        <v>0</v>
      </c>
      <c r="X1396" s="6" t="s">
        <v>169</v>
      </c>
      <c r="Z1396" s="6" t="s">
        <v>170</v>
      </c>
      <c r="AA1396" s="6" t="s">
        <v>171</v>
      </c>
      <c r="AB1396" s="6">
        <v>0</v>
      </c>
      <c r="AC1396" s="6" t="str">
        <f>""</f>
        <v/>
      </c>
      <c r="AS1396" s="6">
        <v>0</v>
      </c>
      <c r="AT1396" s="6">
        <v>0</v>
      </c>
    </row>
    <row r="1397" spans="2:46">
      <c r="B1397" s="6" t="s">
        <v>113</v>
      </c>
      <c r="D1397" s="6" t="s">
        <v>3316</v>
      </c>
      <c r="F1397" s="6" t="s">
        <v>5866</v>
      </c>
      <c r="G1397" s="6" t="str">
        <f>"M17FWRN001RD"</f>
        <v>M17FWRN001RD</v>
      </c>
      <c r="H1397" s="6" t="s">
        <v>5867</v>
      </c>
      <c r="I1397" s="6" t="s">
        <v>5863</v>
      </c>
      <c r="J1397" s="6" t="str">
        <f>"Holiday cube ring"</f>
        <v>Holiday cube ring</v>
      </c>
      <c r="K1397" s="6">
        <v>0</v>
      </c>
      <c r="L1397" s="6">
        <v>0</v>
      </c>
      <c r="M1397" s="6">
        <v>0</v>
      </c>
      <c r="N1397" s="6" t="str">
        <f>""</f>
        <v/>
      </c>
      <c r="O1397" s="6">
        <v>31524</v>
      </c>
      <c r="P1397" s="6" t="s">
        <v>5867</v>
      </c>
      <c r="R1397" s="6" t="s">
        <v>2954</v>
      </c>
      <c r="S1397" s="6" t="s">
        <v>5868</v>
      </c>
      <c r="T1397" s="6">
        <v>0</v>
      </c>
      <c r="U1397" s="6">
        <v>0</v>
      </c>
      <c r="V1397" s="6">
        <v>0</v>
      </c>
      <c r="W1397" s="6">
        <v>0</v>
      </c>
      <c r="X1397" s="6" t="s">
        <v>169</v>
      </c>
      <c r="Z1397" s="6" t="s">
        <v>170</v>
      </c>
      <c r="AA1397" s="6" t="s">
        <v>171</v>
      </c>
      <c r="AB1397" s="6">
        <v>0</v>
      </c>
      <c r="AC1397" s="6" t="str">
        <f>""</f>
        <v/>
      </c>
      <c r="AS1397" s="6">
        <v>0</v>
      </c>
      <c r="AT1397" s="6">
        <v>0</v>
      </c>
    </row>
    <row r="1398" spans="2:46">
      <c r="B1398" s="6" t="s">
        <v>113</v>
      </c>
      <c r="D1398" s="6" t="s">
        <v>3316</v>
      </c>
      <c r="F1398" s="6" t="s">
        <v>5869</v>
      </c>
      <c r="G1398" s="6" t="str">
        <f>"M17FWNC003GD"</f>
        <v>M17FWNC003GD</v>
      </c>
      <c r="H1398" s="6" t="s">
        <v>5870</v>
      </c>
      <c r="I1398" s="6" t="s">
        <v>5871</v>
      </c>
      <c r="J1398" s="6" t="str">
        <f>"Pearl &amp; crystal necklace"</f>
        <v>Pearl &amp; crystal necklace</v>
      </c>
      <c r="K1398" s="6">
        <v>0</v>
      </c>
      <c r="L1398" s="6">
        <v>0</v>
      </c>
      <c r="M1398" s="6">
        <v>0</v>
      </c>
      <c r="N1398" s="6" t="str">
        <f>""</f>
        <v/>
      </c>
      <c r="O1398" s="6">
        <v>31522</v>
      </c>
      <c r="P1398" s="6" t="s">
        <v>5870</v>
      </c>
      <c r="R1398" s="6" t="s">
        <v>5845</v>
      </c>
      <c r="S1398" s="6" t="s">
        <v>5872</v>
      </c>
      <c r="T1398" s="6">
        <v>0</v>
      </c>
      <c r="U1398" s="6">
        <v>0</v>
      </c>
      <c r="V1398" s="6">
        <v>0</v>
      </c>
      <c r="W1398" s="6">
        <v>0</v>
      </c>
      <c r="X1398" s="6" t="s">
        <v>169</v>
      </c>
      <c r="Z1398" s="6" t="s">
        <v>170</v>
      </c>
      <c r="AA1398" s="6" t="s">
        <v>171</v>
      </c>
      <c r="AB1398" s="6">
        <v>0</v>
      </c>
      <c r="AC1398" s="6" t="str">
        <f>""</f>
        <v/>
      </c>
      <c r="AS1398" s="6">
        <v>0</v>
      </c>
      <c r="AT1398" s="6">
        <v>0</v>
      </c>
    </row>
    <row r="1399" spans="2:46">
      <c r="B1399" s="6" t="s">
        <v>113</v>
      </c>
      <c r="D1399" s="6" t="s">
        <v>3316</v>
      </c>
      <c r="F1399" s="6" t="s">
        <v>5873</v>
      </c>
      <c r="G1399" s="6" t="str">
        <f>"M17FWNC002GD"</f>
        <v>M17FWNC002GD</v>
      </c>
      <c r="H1399" s="6" t="s">
        <v>5874</v>
      </c>
      <c r="I1399" s="6" t="s">
        <v>5875</v>
      </c>
      <c r="J1399" s="6" t="str">
        <f>"Holiday crystal necklace"</f>
        <v>Holiday crystal necklace</v>
      </c>
      <c r="K1399" s="6">
        <v>0</v>
      </c>
      <c r="L1399" s="6">
        <v>0</v>
      </c>
      <c r="M1399" s="6">
        <v>0</v>
      </c>
      <c r="N1399" s="6" t="str">
        <f>""</f>
        <v/>
      </c>
      <c r="O1399" s="6">
        <v>31520</v>
      </c>
      <c r="P1399" s="6" t="s">
        <v>5874</v>
      </c>
      <c r="R1399" s="6" t="s">
        <v>5845</v>
      </c>
      <c r="S1399" s="6" t="s">
        <v>5876</v>
      </c>
      <c r="T1399" s="6">
        <v>0</v>
      </c>
      <c r="U1399" s="6">
        <v>0</v>
      </c>
      <c r="V1399" s="6">
        <v>0</v>
      </c>
      <c r="W1399" s="6">
        <v>0</v>
      </c>
      <c r="X1399" s="6" t="s">
        <v>169</v>
      </c>
      <c r="Z1399" s="6" t="s">
        <v>170</v>
      </c>
      <c r="AA1399" s="6" t="s">
        <v>171</v>
      </c>
      <c r="AB1399" s="6">
        <v>0</v>
      </c>
      <c r="AC1399" s="6" t="str">
        <f>""</f>
        <v/>
      </c>
      <c r="AS1399" s="6">
        <v>0</v>
      </c>
      <c r="AT1399" s="6">
        <v>0</v>
      </c>
    </row>
    <row r="1400" spans="2:46">
      <c r="B1400" s="6" t="s">
        <v>113</v>
      </c>
      <c r="D1400" s="6" t="s">
        <v>3316</v>
      </c>
      <c r="F1400" s="6" t="s">
        <v>5877</v>
      </c>
      <c r="G1400" s="6" t="str">
        <f>"M17FWNC006SV"</f>
        <v>M17FWNC006SV</v>
      </c>
      <c r="H1400" s="6" t="s">
        <v>5878</v>
      </c>
      <c r="I1400" s="6" t="s">
        <v>5879</v>
      </c>
      <c r="J1400" s="6" t="str">
        <f>"Season 2 curved bar necklace"</f>
        <v>Season 2 curved bar necklace</v>
      </c>
      <c r="K1400" s="6">
        <v>0</v>
      </c>
      <c r="L1400" s="6">
        <v>0</v>
      </c>
      <c r="M1400" s="6">
        <v>0</v>
      </c>
      <c r="N1400" s="6" t="str">
        <f>""</f>
        <v/>
      </c>
      <c r="O1400" s="6">
        <v>31518</v>
      </c>
      <c r="P1400" s="6" t="s">
        <v>5878</v>
      </c>
      <c r="R1400" s="6" t="s">
        <v>5841</v>
      </c>
      <c r="S1400" s="6" t="s">
        <v>5880</v>
      </c>
      <c r="T1400" s="6">
        <v>0</v>
      </c>
      <c r="U1400" s="6">
        <v>0</v>
      </c>
      <c r="V1400" s="6">
        <v>0</v>
      </c>
      <c r="W1400" s="6">
        <v>0</v>
      </c>
      <c r="X1400" s="6" t="s">
        <v>169</v>
      </c>
      <c r="Z1400" s="6" t="s">
        <v>170</v>
      </c>
      <c r="AA1400" s="6" t="s">
        <v>171</v>
      </c>
      <c r="AB1400" s="6">
        <v>0</v>
      </c>
      <c r="AC1400" s="6" t="str">
        <f>""</f>
        <v/>
      </c>
      <c r="AS1400" s="6">
        <v>0</v>
      </c>
      <c r="AT1400" s="6">
        <v>0</v>
      </c>
    </row>
    <row r="1401" spans="2:46">
      <c r="B1401" s="6" t="s">
        <v>113</v>
      </c>
      <c r="D1401" s="6" t="s">
        <v>3316</v>
      </c>
      <c r="F1401" s="6" t="s">
        <v>5881</v>
      </c>
      <c r="G1401" s="6" t="str">
        <f>"M17FWNC006GD"</f>
        <v>M17FWNC006GD</v>
      </c>
      <c r="H1401" s="6" t="s">
        <v>5882</v>
      </c>
      <c r="I1401" s="6" t="s">
        <v>5879</v>
      </c>
      <c r="J1401" s="6" t="str">
        <f>"Season 2 curved bar necklace"</f>
        <v>Season 2 curved bar necklace</v>
      </c>
      <c r="K1401" s="6">
        <v>0</v>
      </c>
      <c r="L1401" s="6">
        <v>0</v>
      </c>
      <c r="M1401" s="6">
        <v>0</v>
      </c>
      <c r="N1401" s="6" t="str">
        <f>""</f>
        <v/>
      </c>
      <c r="O1401" s="6">
        <v>31517</v>
      </c>
      <c r="P1401" s="6" t="s">
        <v>5882</v>
      </c>
      <c r="R1401" s="6" t="s">
        <v>5845</v>
      </c>
      <c r="S1401" s="6" t="s">
        <v>5883</v>
      </c>
      <c r="T1401" s="6">
        <v>0</v>
      </c>
      <c r="U1401" s="6">
        <v>0</v>
      </c>
      <c r="V1401" s="6">
        <v>0</v>
      </c>
      <c r="W1401" s="6">
        <v>0</v>
      </c>
      <c r="X1401" s="6" t="s">
        <v>169</v>
      </c>
      <c r="Z1401" s="6" t="s">
        <v>170</v>
      </c>
      <c r="AA1401" s="6" t="s">
        <v>171</v>
      </c>
      <c r="AB1401" s="6">
        <v>0</v>
      </c>
      <c r="AC1401" s="6" t="str">
        <f>""</f>
        <v/>
      </c>
      <c r="AS1401" s="6">
        <v>0</v>
      </c>
      <c r="AT1401" s="6">
        <v>0</v>
      </c>
    </row>
    <row r="1402" spans="2:46">
      <c r="B1402" s="6" t="s">
        <v>113</v>
      </c>
      <c r="D1402" s="6" t="s">
        <v>3316</v>
      </c>
      <c r="F1402" s="6" t="s">
        <v>5884</v>
      </c>
      <c r="G1402" s="6" t="str">
        <f>"M17FWNC001SV"</f>
        <v>M17FWNC001SV</v>
      </c>
      <c r="H1402" s="6" t="s">
        <v>5885</v>
      </c>
      <c r="I1402" s="6" t="s">
        <v>5886</v>
      </c>
      <c r="J1402" s="6" t="str">
        <f>"The Galaxy long necklace"</f>
        <v>The Galaxy long necklace</v>
      </c>
      <c r="K1402" s="6">
        <v>0</v>
      </c>
      <c r="L1402" s="6">
        <v>0</v>
      </c>
      <c r="M1402" s="6">
        <v>0</v>
      </c>
      <c r="N1402" s="6" t="str">
        <f>""</f>
        <v/>
      </c>
      <c r="O1402" s="6">
        <v>31515</v>
      </c>
      <c r="P1402" s="6" t="s">
        <v>5885</v>
      </c>
      <c r="R1402" s="6" t="s">
        <v>5841</v>
      </c>
      <c r="S1402" s="6" t="s">
        <v>5887</v>
      </c>
      <c r="T1402" s="6">
        <v>0</v>
      </c>
      <c r="U1402" s="6">
        <v>0</v>
      </c>
      <c r="V1402" s="6">
        <v>0</v>
      </c>
      <c r="W1402" s="6">
        <v>0</v>
      </c>
      <c r="X1402" s="6" t="s">
        <v>169</v>
      </c>
      <c r="Z1402" s="6" t="s">
        <v>170</v>
      </c>
      <c r="AA1402" s="6" t="s">
        <v>171</v>
      </c>
      <c r="AB1402" s="6">
        <v>0</v>
      </c>
      <c r="AC1402" s="6" t="str">
        <f>""</f>
        <v/>
      </c>
      <c r="AS1402" s="6">
        <v>0</v>
      </c>
      <c r="AT1402" s="6">
        <v>0</v>
      </c>
    </row>
    <row r="1403" spans="2:46">
      <c r="B1403" s="6" t="s">
        <v>113</v>
      </c>
      <c r="D1403" s="6" t="s">
        <v>3316</v>
      </c>
      <c r="F1403" s="6" t="s">
        <v>5888</v>
      </c>
      <c r="G1403" s="6" t="str">
        <f>"M17FWER008SV"</f>
        <v>M17FWER008SV</v>
      </c>
      <c r="H1403" s="6" t="s">
        <v>5889</v>
      </c>
      <c r="I1403" s="6" t="s">
        <v>5890</v>
      </c>
      <c r="J1403" s="6" t="str">
        <f>"Holiday moon earrings"</f>
        <v>Holiday moon earrings</v>
      </c>
      <c r="K1403" s="6">
        <v>0</v>
      </c>
      <c r="L1403" s="6">
        <v>0</v>
      </c>
      <c r="M1403" s="6">
        <v>0</v>
      </c>
      <c r="N1403" s="6" t="str">
        <f>""</f>
        <v/>
      </c>
      <c r="O1403" s="6">
        <v>31513</v>
      </c>
      <c r="P1403" s="6" t="s">
        <v>5889</v>
      </c>
      <c r="R1403" s="6" t="s">
        <v>5841</v>
      </c>
      <c r="S1403" s="6" t="s">
        <v>5891</v>
      </c>
      <c r="T1403" s="6">
        <v>0</v>
      </c>
      <c r="U1403" s="6">
        <v>0</v>
      </c>
      <c r="V1403" s="6">
        <v>0</v>
      </c>
      <c r="W1403" s="6">
        <v>0</v>
      </c>
      <c r="X1403" s="6" t="s">
        <v>169</v>
      </c>
      <c r="Z1403" s="6" t="s">
        <v>170</v>
      </c>
      <c r="AA1403" s="6" t="s">
        <v>171</v>
      </c>
      <c r="AB1403" s="6">
        <v>0</v>
      </c>
      <c r="AC1403" s="6" t="str">
        <f>""</f>
        <v/>
      </c>
      <c r="AS1403" s="6">
        <v>0</v>
      </c>
      <c r="AT1403" s="6">
        <v>0</v>
      </c>
    </row>
    <row r="1404" spans="2:46">
      <c r="B1404" s="6" t="s">
        <v>113</v>
      </c>
      <c r="D1404" s="6" t="s">
        <v>3316</v>
      </c>
      <c r="F1404" s="6" t="s">
        <v>5892</v>
      </c>
      <c r="G1404" s="6" t="str">
        <f>"M17FWER008GD"</f>
        <v>M17FWER008GD</v>
      </c>
      <c r="H1404" s="6" t="s">
        <v>5893</v>
      </c>
      <c r="I1404" s="6" t="s">
        <v>5890</v>
      </c>
      <c r="J1404" s="6" t="str">
        <f>"Holiday moon earrings"</f>
        <v>Holiday moon earrings</v>
      </c>
      <c r="K1404" s="6">
        <v>0</v>
      </c>
      <c r="L1404" s="6">
        <v>0</v>
      </c>
      <c r="M1404" s="6">
        <v>0</v>
      </c>
      <c r="N1404" s="6" t="str">
        <f>""</f>
        <v/>
      </c>
      <c r="O1404" s="6">
        <v>31512</v>
      </c>
      <c r="P1404" s="6" t="s">
        <v>5893</v>
      </c>
      <c r="R1404" s="6" t="s">
        <v>5845</v>
      </c>
      <c r="S1404" s="6" t="s">
        <v>5894</v>
      </c>
      <c r="T1404" s="6">
        <v>0</v>
      </c>
      <c r="U1404" s="6">
        <v>0</v>
      </c>
      <c r="V1404" s="6">
        <v>0</v>
      </c>
      <c r="W1404" s="6">
        <v>0</v>
      </c>
      <c r="X1404" s="6" t="s">
        <v>169</v>
      </c>
      <c r="Z1404" s="6" t="s">
        <v>170</v>
      </c>
      <c r="AA1404" s="6" t="s">
        <v>171</v>
      </c>
      <c r="AB1404" s="6">
        <v>0</v>
      </c>
      <c r="AC1404" s="6" t="str">
        <f>""</f>
        <v/>
      </c>
      <c r="AS1404" s="6">
        <v>0</v>
      </c>
      <c r="AT1404" s="6">
        <v>0</v>
      </c>
    </row>
    <row r="1405" spans="2:46">
      <c r="B1405" s="6" t="s">
        <v>113</v>
      </c>
      <c r="D1405" s="6" t="s">
        <v>3316</v>
      </c>
      <c r="F1405" s="6" t="s">
        <v>5895</v>
      </c>
      <c r="G1405" s="6" t="str">
        <f>"M17FWER007GD"</f>
        <v>M17FWER007GD</v>
      </c>
      <c r="H1405" s="6" t="s">
        <v>5896</v>
      </c>
      <c r="I1405" s="6" t="s">
        <v>5897</v>
      </c>
      <c r="J1405" s="6" t="str">
        <f>"Charms earrings"</f>
        <v>Charms earrings</v>
      </c>
      <c r="K1405" s="6">
        <v>0</v>
      </c>
      <c r="L1405" s="6">
        <v>0</v>
      </c>
      <c r="M1405" s="6">
        <v>0</v>
      </c>
      <c r="N1405" s="6" t="str">
        <f>""</f>
        <v/>
      </c>
      <c r="O1405" s="6">
        <v>31510</v>
      </c>
      <c r="P1405" s="6" t="s">
        <v>5896</v>
      </c>
      <c r="R1405" s="6" t="s">
        <v>5845</v>
      </c>
      <c r="S1405" s="6" t="s">
        <v>5898</v>
      </c>
      <c r="T1405" s="6">
        <v>0</v>
      </c>
      <c r="U1405" s="6">
        <v>0</v>
      </c>
      <c r="V1405" s="6">
        <v>0</v>
      </c>
      <c r="W1405" s="6">
        <v>0</v>
      </c>
      <c r="X1405" s="6" t="s">
        <v>169</v>
      </c>
      <c r="Z1405" s="6" t="s">
        <v>170</v>
      </c>
      <c r="AA1405" s="6" t="s">
        <v>171</v>
      </c>
      <c r="AB1405" s="6">
        <v>0</v>
      </c>
      <c r="AC1405" s="6" t="str">
        <f>""</f>
        <v/>
      </c>
      <c r="AS1405" s="6">
        <v>0</v>
      </c>
      <c r="AT1405" s="6">
        <v>0</v>
      </c>
    </row>
    <row r="1406" spans="2:46">
      <c r="B1406" s="6" t="s">
        <v>113</v>
      </c>
      <c r="D1406" s="6" t="s">
        <v>3316</v>
      </c>
      <c r="F1406" s="6" t="s">
        <v>5899</v>
      </c>
      <c r="G1406" s="6" t="str">
        <f>"M17FWER006SV"</f>
        <v>M17FWER006SV</v>
      </c>
      <c r="H1406" s="6" t="s">
        <v>5900</v>
      </c>
      <c r="I1406" s="6" t="s">
        <v>5901</v>
      </c>
      <c r="J1406" s="6" t="str">
        <f>"Season2 curved bar earrings"</f>
        <v>Season2 curved bar earrings</v>
      </c>
      <c r="K1406" s="6">
        <v>0</v>
      </c>
      <c r="L1406" s="6">
        <v>0</v>
      </c>
      <c r="M1406" s="6">
        <v>0</v>
      </c>
      <c r="N1406" s="6" t="str">
        <f>""</f>
        <v/>
      </c>
      <c r="O1406" s="6">
        <v>31508</v>
      </c>
      <c r="P1406" s="6" t="s">
        <v>5900</v>
      </c>
      <c r="R1406" s="6" t="s">
        <v>5841</v>
      </c>
      <c r="S1406" s="6" t="s">
        <v>5902</v>
      </c>
      <c r="T1406" s="6">
        <v>0</v>
      </c>
      <c r="U1406" s="6">
        <v>0</v>
      </c>
      <c r="V1406" s="6">
        <v>0</v>
      </c>
      <c r="W1406" s="6">
        <v>0</v>
      </c>
      <c r="X1406" s="6" t="s">
        <v>169</v>
      </c>
      <c r="Z1406" s="6" t="s">
        <v>170</v>
      </c>
      <c r="AA1406" s="6" t="s">
        <v>171</v>
      </c>
      <c r="AB1406" s="6">
        <v>0</v>
      </c>
      <c r="AC1406" s="6" t="str">
        <f>""</f>
        <v/>
      </c>
      <c r="AS1406" s="6">
        <v>0</v>
      </c>
      <c r="AT1406" s="6">
        <v>0</v>
      </c>
    </row>
    <row r="1407" spans="2:46">
      <c r="B1407" s="6" t="s">
        <v>113</v>
      </c>
      <c r="D1407" s="6" t="s">
        <v>3316</v>
      </c>
      <c r="F1407" s="6" t="s">
        <v>5903</v>
      </c>
      <c r="G1407" s="6" t="str">
        <f>"M17FWER006GD"</f>
        <v>M17FWER006GD</v>
      </c>
      <c r="H1407" s="6" t="s">
        <v>5904</v>
      </c>
      <c r="I1407" s="6" t="s">
        <v>5901</v>
      </c>
      <c r="J1407" s="6" t="str">
        <f>"Season2 curved bar earrings"</f>
        <v>Season2 curved bar earrings</v>
      </c>
      <c r="K1407" s="6">
        <v>0</v>
      </c>
      <c r="L1407" s="6">
        <v>0</v>
      </c>
      <c r="M1407" s="6">
        <v>0</v>
      </c>
      <c r="N1407" s="6" t="str">
        <f>""</f>
        <v/>
      </c>
      <c r="O1407" s="6">
        <v>31507</v>
      </c>
      <c r="P1407" s="6" t="s">
        <v>5904</v>
      </c>
      <c r="R1407" s="6" t="s">
        <v>5845</v>
      </c>
      <c r="S1407" s="6" t="s">
        <v>5905</v>
      </c>
      <c r="T1407" s="6">
        <v>0</v>
      </c>
      <c r="U1407" s="6">
        <v>0</v>
      </c>
      <c r="V1407" s="6">
        <v>0</v>
      </c>
      <c r="W1407" s="6">
        <v>0</v>
      </c>
      <c r="X1407" s="6" t="s">
        <v>169</v>
      </c>
      <c r="Z1407" s="6" t="s">
        <v>170</v>
      </c>
      <c r="AA1407" s="6" t="s">
        <v>171</v>
      </c>
      <c r="AB1407" s="6">
        <v>0</v>
      </c>
      <c r="AC1407" s="6" t="str">
        <f>""</f>
        <v/>
      </c>
      <c r="AS1407" s="6">
        <v>0</v>
      </c>
      <c r="AT1407" s="6">
        <v>0</v>
      </c>
    </row>
    <row r="1408" spans="2:46">
      <c r="B1408" s="6" t="s">
        <v>113</v>
      </c>
      <c r="D1408" s="6" t="s">
        <v>3316</v>
      </c>
      <c r="F1408" s="6" t="s">
        <v>5906</v>
      </c>
      <c r="G1408" s="6" t="str">
        <f>"M17FWER005SV"</f>
        <v>M17FWER005SV</v>
      </c>
      <c r="H1408" s="6" t="s">
        <v>5907</v>
      </c>
      <c r="I1408" s="6" t="s">
        <v>5908</v>
      </c>
      <c r="J1408" s="6" t="str">
        <f>"Unbalanced round drop earrings"</f>
        <v>Unbalanced round drop earrings</v>
      </c>
      <c r="K1408" s="6">
        <v>0</v>
      </c>
      <c r="L1408" s="6">
        <v>0</v>
      </c>
      <c r="M1408" s="6">
        <v>0</v>
      </c>
      <c r="N1408" s="6" t="str">
        <f>""</f>
        <v/>
      </c>
      <c r="O1408" s="6">
        <v>31505</v>
      </c>
      <c r="P1408" s="6" t="s">
        <v>5907</v>
      </c>
      <c r="R1408" s="6" t="s">
        <v>5841</v>
      </c>
      <c r="S1408" s="6" t="s">
        <v>5909</v>
      </c>
      <c r="T1408" s="6">
        <v>0</v>
      </c>
      <c r="U1408" s="6">
        <v>0</v>
      </c>
      <c r="V1408" s="6">
        <v>0</v>
      </c>
      <c r="W1408" s="6">
        <v>0</v>
      </c>
      <c r="X1408" s="6" t="s">
        <v>169</v>
      </c>
      <c r="Z1408" s="6" t="s">
        <v>170</v>
      </c>
      <c r="AA1408" s="6" t="s">
        <v>171</v>
      </c>
      <c r="AB1408" s="6">
        <v>0</v>
      </c>
      <c r="AC1408" s="6" t="str">
        <f>""</f>
        <v/>
      </c>
      <c r="AS1408" s="6">
        <v>0</v>
      </c>
      <c r="AT1408" s="6">
        <v>0</v>
      </c>
    </row>
    <row r="1409" spans="2:46">
      <c r="B1409" s="6" t="s">
        <v>113</v>
      </c>
      <c r="D1409" s="6" t="s">
        <v>3316</v>
      </c>
      <c r="F1409" s="6" t="s">
        <v>5910</v>
      </c>
      <c r="G1409" s="6" t="str">
        <f>"M17FWER005GD"</f>
        <v>M17FWER005GD</v>
      </c>
      <c r="H1409" s="6" t="s">
        <v>5911</v>
      </c>
      <c r="I1409" s="6" t="s">
        <v>5908</v>
      </c>
      <c r="J1409" s="6" t="str">
        <f>"Unbalanced round drop earrings"</f>
        <v>Unbalanced round drop earrings</v>
      </c>
      <c r="K1409" s="6">
        <v>0</v>
      </c>
      <c r="L1409" s="6">
        <v>0</v>
      </c>
      <c r="M1409" s="6">
        <v>0</v>
      </c>
      <c r="N1409" s="6" t="str">
        <f>""</f>
        <v/>
      </c>
      <c r="O1409" s="6">
        <v>31504</v>
      </c>
      <c r="P1409" s="6" t="s">
        <v>5911</v>
      </c>
      <c r="R1409" s="6" t="s">
        <v>5845</v>
      </c>
      <c r="S1409" s="6" t="s">
        <v>5912</v>
      </c>
      <c r="T1409" s="6">
        <v>0</v>
      </c>
      <c r="U1409" s="6">
        <v>0</v>
      </c>
      <c r="V1409" s="6">
        <v>0</v>
      </c>
      <c r="W1409" s="6">
        <v>0</v>
      </c>
      <c r="X1409" s="6" t="s">
        <v>169</v>
      </c>
      <c r="Z1409" s="6" t="s">
        <v>170</v>
      </c>
      <c r="AA1409" s="6" t="s">
        <v>171</v>
      </c>
      <c r="AB1409" s="6">
        <v>0</v>
      </c>
      <c r="AC1409" s="6" t="str">
        <f>""</f>
        <v/>
      </c>
      <c r="AS1409" s="6">
        <v>0</v>
      </c>
      <c r="AT1409" s="6">
        <v>0</v>
      </c>
    </row>
    <row r="1410" spans="2:46">
      <c r="B1410" s="6" t="s">
        <v>113</v>
      </c>
      <c r="D1410" s="6" t="s">
        <v>3316</v>
      </c>
      <c r="F1410" s="6" t="s">
        <v>5913</v>
      </c>
      <c r="G1410" s="6" t="str">
        <f>"M17FWER003SV"</f>
        <v>M17FWER003SV</v>
      </c>
      <c r="H1410" s="6" t="s">
        <v>5914</v>
      </c>
      <c r="I1410" s="6" t="s">
        <v>5915</v>
      </c>
      <c r="J1410" s="6" t="str">
        <f>"Double chain earrings"</f>
        <v>Double chain earrings</v>
      </c>
      <c r="K1410" s="6">
        <v>0</v>
      </c>
      <c r="L1410" s="6">
        <v>0</v>
      </c>
      <c r="M1410" s="6">
        <v>0</v>
      </c>
      <c r="N1410" s="6" t="str">
        <f>""</f>
        <v/>
      </c>
      <c r="O1410" s="6">
        <v>31502</v>
      </c>
      <c r="P1410" s="6" t="s">
        <v>5914</v>
      </c>
      <c r="R1410" s="6" t="s">
        <v>5841</v>
      </c>
      <c r="S1410" s="6" t="s">
        <v>5916</v>
      </c>
      <c r="T1410" s="6">
        <v>0</v>
      </c>
      <c r="U1410" s="6">
        <v>0</v>
      </c>
      <c r="V1410" s="6">
        <v>0</v>
      </c>
      <c r="W1410" s="6">
        <v>0</v>
      </c>
      <c r="X1410" s="6" t="s">
        <v>169</v>
      </c>
      <c r="Z1410" s="6" t="s">
        <v>170</v>
      </c>
      <c r="AA1410" s="6" t="s">
        <v>171</v>
      </c>
      <c r="AB1410" s="6">
        <v>0</v>
      </c>
      <c r="AC1410" s="6" t="str">
        <f>""</f>
        <v/>
      </c>
      <c r="AS1410" s="6">
        <v>0</v>
      </c>
      <c r="AT1410" s="6">
        <v>0</v>
      </c>
    </row>
    <row r="1411" spans="2:46">
      <c r="B1411" s="6" t="s">
        <v>113</v>
      </c>
      <c r="D1411" s="6" t="s">
        <v>3316</v>
      </c>
      <c r="F1411" s="6" t="s">
        <v>5917</v>
      </c>
      <c r="G1411" s="6" t="str">
        <f>"M17FWER003GD"</f>
        <v>M17FWER003GD</v>
      </c>
      <c r="H1411" s="6" t="s">
        <v>5918</v>
      </c>
      <c r="I1411" s="6" t="s">
        <v>5915</v>
      </c>
      <c r="J1411" s="6" t="str">
        <f>"Double chain earrings"</f>
        <v>Double chain earrings</v>
      </c>
      <c r="K1411" s="6">
        <v>0</v>
      </c>
      <c r="L1411" s="6">
        <v>0</v>
      </c>
      <c r="M1411" s="6">
        <v>0</v>
      </c>
      <c r="N1411" s="6" t="str">
        <f>""</f>
        <v/>
      </c>
      <c r="O1411" s="6">
        <v>31501</v>
      </c>
      <c r="P1411" s="6" t="s">
        <v>5918</v>
      </c>
      <c r="R1411" s="6" t="s">
        <v>5845</v>
      </c>
      <c r="S1411" s="6" t="s">
        <v>5919</v>
      </c>
      <c r="T1411" s="6">
        <v>0</v>
      </c>
      <c r="U1411" s="6">
        <v>0</v>
      </c>
      <c r="V1411" s="6">
        <v>0</v>
      </c>
      <c r="W1411" s="6">
        <v>0</v>
      </c>
      <c r="X1411" s="6" t="s">
        <v>169</v>
      </c>
      <c r="Z1411" s="6" t="s">
        <v>170</v>
      </c>
      <c r="AA1411" s="6" t="s">
        <v>171</v>
      </c>
      <c r="AB1411" s="6">
        <v>0</v>
      </c>
      <c r="AC1411" s="6" t="str">
        <f>""</f>
        <v/>
      </c>
      <c r="AS1411" s="6">
        <v>0</v>
      </c>
      <c r="AT1411" s="6">
        <v>0</v>
      </c>
    </row>
    <row r="1412" spans="2:46">
      <c r="B1412" s="6" t="s">
        <v>113</v>
      </c>
      <c r="D1412" s="6" t="s">
        <v>3316</v>
      </c>
      <c r="F1412" s="6" t="s">
        <v>5920</v>
      </c>
      <c r="G1412" s="6" t="str">
        <f>"M17FWER002SV"</f>
        <v>M17FWER002SV</v>
      </c>
      <c r="H1412" s="6" t="s">
        <v>5921</v>
      </c>
      <c r="I1412" s="6" t="s">
        <v>63</v>
      </c>
      <c r="J1412" s="6" t="str">
        <f>"Shining star earrings"</f>
        <v>Shining star earrings</v>
      </c>
      <c r="K1412" s="6">
        <v>0</v>
      </c>
      <c r="L1412" s="6">
        <v>0</v>
      </c>
      <c r="M1412" s="6">
        <v>0</v>
      </c>
      <c r="N1412" s="6" t="str">
        <f>""</f>
        <v/>
      </c>
      <c r="O1412" s="6">
        <v>31499</v>
      </c>
      <c r="P1412" s="6" t="s">
        <v>5921</v>
      </c>
      <c r="R1412" s="6" t="s">
        <v>5841</v>
      </c>
      <c r="S1412" s="6" t="s">
        <v>5922</v>
      </c>
      <c r="T1412" s="6">
        <v>0</v>
      </c>
      <c r="U1412" s="6">
        <v>0</v>
      </c>
      <c r="V1412" s="6">
        <v>0</v>
      </c>
      <c r="W1412" s="6">
        <v>0</v>
      </c>
      <c r="X1412" s="6" t="s">
        <v>169</v>
      </c>
      <c r="Z1412" s="6" t="s">
        <v>170</v>
      </c>
      <c r="AA1412" s="6" t="s">
        <v>171</v>
      </c>
      <c r="AB1412" s="6">
        <v>0</v>
      </c>
      <c r="AC1412" s="6" t="str">
        <f>""</f>
        <v/>
      </c>
      <c r="AS1412" s="6">
        <v>0</v>
      </c>
      <c r="AT1412" s="6">
        <v>0</v>
      </c>
    </row>
    <row r="1413" spans="2:46">
      <c r="B1413" s="6" t="s">
        <v>113</v>
      </c>
      <c r="D1413" s="6" t="s">
        <v>3316</v>
      </c>
      <c r="F1413" s="6" t="s">
        <v>5923</v>
      </c>
      <c r="G1413" s="6" t="str">
        <f>"M17FWER002GD"</f>
        <v>M17FWER002GD</v>
      </c>
      <c r="I1413" s="6" t="s">
        <v>63</v>
      </c>
      <c r="J1413" s="6" t="str">
        <f>"Shining star earrings"</f>
        <v>Shining star earrings</v>
      </c>
      <c r="K1413" s="6">
        <v>0</v>
      </c>
      <c r="L1413" s="6">
        <v>0</v>
      </c>
      <c r="M1413" s="6">
        <v>0</v>
      </c>
      <c r="N1413" s="6" t="str">
        <f>""</f>
        <v/>
      </c>
      <c r="O1413" s="6">
        <v>31498</v>
      </c>
      <c r="P1413" s="6" t="s">
        <v>62</v>
      </c>
      <c r="R1413" s="6" t="s">
        <v>5845</v>
      </c>
      <c r="S1413" s="6" t="s">
        <v>5924</v>
      </c>
      <c r="T1413" s="6">
        <v>0</v>
      </c>
      <c r="U1413" s="6">
        <v>0</v>
      </c>
      <c r="V1413" s="6">
        <v>0</v>
      </c>
      <c r="W1413" s="6">
        <v>0</v>
      </c>
      <c r="X1413" s="6" t="s">
        <v>169</v>
      </c>
      <c r="Z1413" s="6" t="s">
        <v>170</v>
      </c>
      <c r="AA1413" s="6" t="s">
        <v>171</v>
      </c>
      <c r="AB1413" s="6">
        <v>0</v>
      </c>
      <c r="AC1413" s="6" t="str">
        <f>"KEY-011"</f>
        <v>KEY-011</v>
      </c>
      <c r="AQ1413" s="6" t="str">
        <f>""</f>
        <v/>
      </c>
      <c r="AR1413" s="6" t="s">
        <v>1472</v>
      </c>
      <c r="AS1413" s="6">
        <v>0</v>
      </c>
      <c r="AT1413" s="6">
        <v>0</v>
      </c>
    </row>
    <row r="1414" spans="2:46">
      <c r="B1414" s="6" t="s">
        <v>113</v>
      </c>
      <c r="D1414" s="6" t="s">
        <v>3316</v>
      </c>
      <c r="F1414" s="6" t="s">
        <v>5925</v>
      </c>
      <c r="G1414" s="6" t="str">
        <f>"M17FWER001SV"</f>
        <v>M17FWER001SV</v>
      </c>
      <c r="H1414" s="6" t="s">
        <v>5926</v>
      </c>
      <c r="I1414" s="6" t="s">
        <v>5927</v>
      </c>
      <c r="J1414" s="6" t="str">
        <f>"Holiday earrings"</f>
        <v>Holiday earrings</v>
      </c>
      <c r="K1414" s="6">
        <v>0</v>
      </c>
      <c r="L1414" s="6">
        <v>0</v>
      </c>
      <c r="M1414" s="6">
        <v>0</v>
      </c>
      <c r="N1414" s="6" t="str">
        <f>""</f>
        <v/>
      </c>
      <c r="O1414" s="6">
        <v>31496</v>
      </c>
      <c r="P1414" s="6" t="s">
        <v>5926</v>
      </c>
      <c r="R1414" s="6" t="s">
        <v>5841</v>
      </c>
      <c r="S1414" s="6" t="s">
        <v>5928</v>
      </c>
      <c r="T1414" s="6">
        <v>0</v>
      </c>
      <c r="U1414" s="6">
        <v>0</v>
      </c>
      <c r="V1414" s="6">
        <v>0</v>
      </c>
      <c r="W1414" s="6">
        <v>0</v>
      </c>
      <c r="X1414" s="6" t="s">
        <v>169</v>
      </c>
      <c r="Z1414" s="6" t="s">
        <v>170</v>
      </c>
      <c r="AA1414" s="6" t="s">
        <v>171</v>
      </c>
      <c r="AB1414" s="6">
        <v>0</v>
      </c>
      <c r="AC1414" s="6" t="str">
        <f>""</f>
        <v/>
      </c>
      <c r="AS1414" s="6">
        <v>0</v>
      </c>
      <c r="AT1414" s="6">
        <v>0</v>
      </c>
    </row>
    <row r="1415" spans="2:46">
      <c r="B1415" s="6" t="s">
        <v>113</v>
      </c>
      <c r="D1415" s="6" t="s">
        <v>3316</v>
      </c>
      <c r="F1415" s="6" t="s">
        <v>5929</v>
      </c>
      <c r="G1415" s="6" t="str">
        <f>"M17FWER001GD"</f>
        <v>M17FWER001GD</v>
      </c>
      <c r="H1415" s="6" t="s">
        <v>5930</v>
      </c>
      <c r="I1415" s="6" t="s">
        <v>5927</v>
      </c>
      <c r="J1415" s="6" t="str">
        <f>"Holiday earrings"</f>
        <v>Holiday earrings</v>
      </c>
      <c r="K1415" s="6">
        <v>0</v>
      </c>
      <c r="L1415" s="6">
        <v>0</v>
      </c>
      <c r="M1415" s="6">
        <v>0</v>
      </c>
      <c r="N1415" s="6" t="str">
        <f>""</f>
        <v/>
      </c>
      <c r="O1415" s="6">
        <v>31495</v>
      </c>
      <c r="P1415" s="6" t="s">
        <v>5930</v>
      </c>
      <c r="R1415" s="6" t="s">
        <v>5845</v>
      </c>
      <c r="S1415" s="6" t="s">
        <v>5931</v>
      </c>
      <c r="T1415" s="6">
        <v>0</v>
      </c>
      <c r="U1415" s="6">
        <v>0</v>
      </c>
      <c r="V1415" s="6">
        <v>0</v>
      </c>
      <c r="W1415" s="6">
        <v>0</v>
      </c>
      <c r="X1415" s="6" t="s">
        <v>169</v>
      </c>
      <c r="Z1415" s="6" t="s">
        <v>170</v>
      </c>
      <c r="AA1415" s="6" t="s">
        <v>171</v>
      </c>
      <c r="AB1415" s="6">
        <v>0</v>
      </c>
      <c r="AC1415" s="6" t="str">
        <f>""</f>
        <v/>
      </c>
      <c r="AS1415" s="6">
        <v>0</v>
      </c>
      <c r="AT1415" s="6">
        <v>0</v>
      </c>
    </row>
    <row r="1416" spans="2:46">
      <c r="B1416" s="6" t="s">
        <v>113</v>
      </c>
      <c r="D1416" s="6" t="s">
        <v>3316</v>
      </c>
      <c r="F1416" s="6" t="s">
        <v>5932</v>
      </c>
      <c r="G1416" s="6" t="str">
        <f>"M17FWBC003GD"</f>
        <v>M17FWBC003GD</v>
      </c>
      <c r="H1416" s="6" t="s">
        <v>5933</v>
      </c>
      <c r="I1416" s="6" t="s">
        <v>5934</v>
      </c>
      <c r="J1416" s="6" t="str">
        <f>"Cubic &amp; round bangle"</f>
        <v>Cubic &amp; round bangle</v>
      </c>
      <c r="K1416" s="6">
        <v>0</v>
      </c>
      <c r="L1416" s="6">
        <v>0</v>
      </c>
      <c r="M1416" s="6">
        <v>0</v>
      </c>
      <c r="N1416" s="6" t="str">
        <f>""</f>
        <v/>
      </c>
      <c r="O1416" s="6">
        <v>31493</v>
      </c>
      <c r="P1416" s="6" t="s">
        <v>5933</v>
      </c>
      <c r="R1416" s="6" t="s">
        <v>5845</v>
      </c>
      <c r="S1416" s="6" t="s">
        <v>5935</v>
      </c>
      <c r="T1416" s="6">
        <v>0</v>
      </c>
      <c r="U1416" s="6">
        <v>0</v>
      </c>
      <c r="V1416" s="6">
        <v>0</v>
      </c>
      <c r="W1416" s="6">
        <v>0</v>
      </c>
      <c r="X1416" s="6" t="s">
        <v>169</v>
      </c>
      <c r="Z1416" s="6" t="s">
        <v>170</v>
      </c>
      <c r="AA1416" s="6" t="s">
        <v>171</v>
      </c>
      <c r="AB1416" s="6">
        <v>0</v>
      </c>
      <c r="AC1416" s="6" t="str">
        <f>""</f>
        <v/>
      </c>
      <c r="AS1416" s="6">
        <v>0</v>
      </c>
      <c r="AT1416" s="6">
        <v>0</v>
      </c>
    </row>
    <row r="1417" spans="2:46">
      <c r="B1417" s="6" t="s">
        <v>113</v>
      </c>
      <c r="D1417" s="6" t="s">
        <v>3316</v>
      </c>
      <c r="F1417" s="6" t="s">
        <v>5936</v>
      </c>
      <c r="G1417" s="6" t="str">
        <f>"M17FWBC002GD"</f>
        <v>M17FWBC002GD</v>
      </c>
      <c r="H1417" s="6" t="s">
        <v>5937</v>
      </c>
      <c r="I1417" s="6" t="s">
        <v>5938</v>
      </c>
      <c r="J1417" s="6" t="str">
        <f>"Holiday crystal bracelet"</f>
        <v>Holiday crystal bracelet</v>
      </c>
      <c r="K1417" s="6">
        <v>0</v>
      </c>
      <c r="L1417" s="6">
        <v>0</v>
      </c>
      <c r="M1417" s="6">
        <v>0</v>
      </c>
      <c r="N1417" s="6" t="str">
        <f>""</f>
        <v/>
      </c>
      <c r="O1417" s="6">
        <v>31491</v>
      </c>
      <c r="P1417" s="6" t="s">
        <v>5937</v>
      </c>
      <c r="R1417" s="6" t="s">
        <v>5845</v>
      </c>
      <c r="S1417" s="6" t="s">
        <v>5939</v>
      </c>
      <c r="T1417" s="6">
        <v>0</v>
      </c>
      <c r="U1417" s="6">
        <v>0</v>
      </c>
      <c r="V1417" s="6">
        <v>0</v>
      </c>
      <c r="W1417" s="6">
        <v>0</v>
      </c>
      <c r="X1417" s="6" t="s">
        <v>169</v>
      </c>
      <c r="Z1417" s="6" t="s">
        <v>170</v>
      </c>
      <c r="AA1417" s="6" t="s">
        <v>171</v>
      </c>
      <c r="AB1417" s="6">
        <v>0</v>
      </c>
      <c r="AC1417" s="6" t="str">
        <f>""</f>
        <v/>
      </c>
      <c r="AS1417" s="6">
        <v>0</v>
      </c>
      <c r="AT1417" s="6">
        <v>0</v>
      </c>
    </row>
    <row r="1418" spans="2:46">
      <c r="B1418" s="6" t="s">
        <v>113</v>
      </c>
      <c r="D1418" s="6" t="s">
        <v>3316</v>
      </c>
      <c r="F1418" s="6" t="s">
        <v>5940</v>
      </c>
      <c r="G1418" s="6" t="str">
        <f>"M17FWBC001SV"</f>
        <v>M17FWBC001SV</v>
      </c>
      <c r="H1418" s="6" t="s">
        <v>5941</v>
      </c>
      <c r="I1418" s="6" t="s">
        <v>5942</v>
      </c>
      <c r="J1418" s="6" t="str">
        <f>"The Galaxy  bracelet"</f>
        <v>The Galaxy  bracelet</v>
      </c>
      <c r="K1418" s="6">
        <v>0</v>
      </c>
      <c r="L1418" s="6">
        <v>0</v>
      </c>
      <c r="M1418" s="6">
        <v>0</v>
      </c>
      <c r="N1418" s="6" t="str">
        <f>""</f>
        <v/>
      </c>
      <c r="O1418" s="6">
        <v>31489</v>
      </c>
      <c r="P1418" s="6" t="s">
        <v>5941</v>
      </c>
      <c r="R1418" s="6" t="s">
        <v>5841</v>
      </c>
      <c r="S1418" s="6" t="s">
        <v>5943</v>
      </c>
      <c r="T1418" s="6">
        <v>0</v>
      </c>
      <c r="U1418" s="6">
        <v>0</v>
      </c>
      <c r="V1418" s="6">
        <v>0</v>
      </c>
      <c r="W1418" s="6">
        <v>0</v>
      </c>
      <c r="X1418" s="6" t="s">
        <v>169</v>
      </c>
      <c r="Z1418" s="6" t="s">
        <v>170</v>
      </c>
      <c r="AA1418" s="6" t="s">
        <v>171</v>
      </c>
      <c r="AB1418" s="6">
        <v>0</v>
      </c>
      <c r="AC1418" s="6" t="str">
        <f>""</f>
        <v/>
      </c>
      <c r="AS1418" s="6">
        <v>0</v>
      </c>
      <c r="AT1418" s="6">
        <v>0</v>
      </c>
    </row>
    <row r="1419" spans="2:46">
      <c r="B1419" s="6" t="s">
        <v>113</v>
      </c>
      <c r="D1419" s="6" t="s">
        <v>3316</v>
      </c>
      <c r="F1419" s="6" t="s">
        <v>5944</v>
      </c>
      <c r="G1419" s="6" t="str">
        <f>"M17SSRN002SV"</f>
        <v>M17SSRN002SV</v>
      </c>
      <c r="I1419" s="6" t="s">
        <v>5945</v>
      </c>
      <c r="J1419" s="6" t="str">
        <f>"Round ring"</f>
        <v>Round ring</v>
      </c>
      <c r="K1419" s="6">
        <v>0</v>
      </c>
      <c r="L1419" s="6">
        <v>0</v>
      </c>
      <c r="M1419" s="6">
        <v>0</v>
      </c>
      <c r="N1419" s="6" t="str">
        <f>""</f>
        <v/>
      </c>
      <c r="O1419" s="6">
        <v>31487</v>
      </c>
      <c r="P1419" s="6" t="s">
        <v>5946</v>
      </c>
      <c r="R1419" s="6" t="s">
        <v>5841</v>
      </c>
      <c r="S1419" s="6" t="s">
        <v>5947</v>
      </c>
      <c r="T1419" s="6">
        <v>2</v>
      </c>
      <c r="U1419" s="6">
        <v>0</v>
      </c>
      <c r="V1419" s="6">
        <v>0</v>
      </c>
      <c r="W1419" s="6">
        <v>0</v>
      </c>
      <c r="X1419" s="6" t="s">
        <v>169</v>
      </c>
      <c r="Z1419" s="6" t="s">
        <v>170</v>
      </c>
      <c r="AA1419" s="6" t="s">
        <v>171</v>
      </c>
      <c r="AB1419" s="6">
        <v>0</v>
      </c>
      <c r="AC1419" s="6" t="str">
        <f>"KEY-002"</f>
        <v>KEY-002</v>
      </c>
      <c r="AQ1419" s="6" t="str">
        <f>""</f>
        <v/>
      </c>
      <c r="AR1419" s="6" t="s">
        <v>1584</v>
      </c>
      <c r="AS1419" s="6">
        <v>0</v>
      </c>
      <c r="AT1419" s="6">
        <v>2</v>
      </c>
    </row>
    <row r="1420" spans="2:46">
      <c r="B1420" s="6" t="s">
        <v>113</v>
      </c>
      <c r="D1420" s="6" t="s">
        <v>3316</v>
      </c>
      <c r="F1420" s="6" t="s">
        <v>5948</v>
      </c>
      <c r="G1420" s="6" t="str">
        <f>"M17SSRN002GD"</f>
        <v>M17SSRN002GD</v>
      </c>
      <c r="H1420" s="6" t="s">
        <v>5949</v>
      </c>
      <c r="I1420" s="6" t="s">
        <v>5945</v>
      </c>
      <c r="J1420" s="6" t="str">
        <f>"Round ring"</f>
        <v>Round ring</v>
      </c>
      <c r="K1420" s="6">
        <v>0</v>
      </c>
      <c r="L1420" s="6">
        <v>0</v>
      </c>
      <c r="M1420" s="6">
        <v>0</v>
      </c>
      <c r="N1420" s="6" t="str">
        <f>""</f>
        <v/>
      </c>
      <c r="O1420" s="6">
        <v>31486</v>
      </c>
      <c r="P1420" s="6" t="s">
        <v>5949</v>
      </c>
      <c r="R1420" s="6" t="s">
        <v>5845</v>
      </c>
      <c r="S1420" s="6" t="s">
        <v>5950</v>
      </c>
      <c r="T1420" s="6">
        <v>0</v>
      </c>
      <c r="U1420" s="6">
        <v>0</v>
      </c>
      <c r="V1420" s="6">
        <v>0</v>
      </c>
      <c r="W1420" s="6">
        <v>0</v>
      </c>
      <c r="X1420" s="6" t="s">
        <v>169</v>
      </c>
      <c r="Z1420" s="6" t="s">
        <v>170</v>
      </c>
      <c r="AA1420" s="6" t="s">
        <v>171</v>
      </c>
      <c r="AB1420" s="6">
        <v>0</v>
      </c>
      <c r="AC1420" s="6" t="str">
        <f>""</f>
        <v/>
      </c>
      <c r="AS1420" s="6">
        <v>0</v>
      </c>
      <c r="AT1420" s="6">
        <v>0</v>
      </c>
    </row>
    <row r="1421" spans="2:46">
      <c r="B1421" s="6" t="s">
        <v>113</v>
      </c>
      <c r="D1421" s="6" t="s">
        <v>3316</v>
      </c>
      <c r="F1421" s="6" t="s">
        <v>5951</v>
      </c>
      <c r="G1421" s="6" t="str">
        <f>"M17SSRN001GD"</f>
        <v>M17SSRN001GD</v>
      </c>
      <c r="I1421" s="6" t="s">
        <v>5952</v>
      </c>
      <c r="J1421" s="6" t="str">
        <f>"O-ring"</f>
        <v>O-ring</v>
      </c>
      <c r="K1421" s="6">
        <v>0</v>
      </c>
      <c r="L1421" s="6">
        <v>0</v>
      </c>
      <c r="M1421" s="6">
        <v>0</v>
      </c>
      <c r="N1421" s="6" t="str">
        <f>""</f>
        <v/>
      </c>
      <c r="O1421" s="6">
        <v>31484</v>
      </c>
      <c r="P1421" s="6" t="s">
        <v>5953</v>
      </c>
      <c r="R1421" s="6" t="s">
        <v>5845</v>
      </c>
      <c r="S1421" s="6" t="s">
        <v>5954</v>
      </c>
      <c r="T1421" s="6">
        <v>2</v>
      </c>
      <c r="U1421" s="6">
        <v>0</v>
      </c>
      <c r="V1421" s="6">
        <v>0</v>
      </c>
      <c r="W1421" s="6">
        <v>0</v>
      </c>
      <c r="X1421" s="6" t="s">
        <v>169</v>
      </c>
      <c r="Z1421" s="6" t="s">
        <v>170</v>
      </c>
      <c r="AA1421" s="6" t="s">
        <v>171</v>
      </c>
      <c r="AB1421" s="6">
        <v>0</v>
      </c>
      <c r="AC1421" s="6" t="str">
        <f>"KEY-002"</f>
        <v>KEY-002</v>
      </c>
      <c r="AQ1421" s="6" t="str">
        <f>""</f>
        <v/>
      </c>
      <c r="AR1421" s="6" t="s">
        <v>1584</v>
      </c>
      <c r="AS1421" s="6">
        <v>0</v>
      </c>
      <c r="AT1421" s="6">
        <v>2</v>
      </c>
    </row>
    <row r="1422" spans="2:46">
      <c r="B1422" s="6" t="s">
        <v>113</v>
      </c>
      <c r="D1422" s="6" t="s">
        <v>3316</v>
      </c>
      <c r="F1422" s="6" t="s">
        <v>5955</v>
      </c>
      <c r="G1422" s="6" t="str">
        <f>"M17SSNC007GD"</f>
        <v>M17SSNC007GD</v>
      </c>
      <c r="H1422" s="6" t="s">
        <v>5956</v>
      </c>
      <c r="I1422" s="6" t="s">
        <v>5957</v>
      </c>
      <c r="J1422" s="6" t="str">
        <f>"O ring simple necklace"</f>
        <v>O ring simple necklace</v>
      </c>
      <c r="K1422" s="6">
        <v>0</v>
      </c>
      <c r="L1422" s="6">
        <v>0</v>
      </c>
      <c r="M1422" s="6">
        <v>0</v>
      </c>
      <c r="N1422" s="6" t="str">
        <f>""</f>
        <v/>
      </c>
      <c r="O1422" s="6">
        <v>31482</v>
      </c>
      <c r="P1422" s="6" t="s">
        <v>5956</v>
      </c>
      <c r="R1422" s="6" t="s">
        <v>5841</v>
      </c>
      <c r="S1422" s="6" t="s">
        <v>5958</v>
      </c>
      <c r="T1422" s="6">
        <v>0</v>
      </c>
      <c r="U1422" s="6">
        <v>0</v>
      </c>
      <c r="V1422" s="6">
        <v>0</v>
      </c>
      <c r="W1422" s="6">
        <v>0</v>
      </c>
      <c r="X1422" s="6" t="s">
        <v>169</v>
      </c>
      <c r="Z1422" s="6" t="s">
        <v>170</v>
      </c>
      <c r="AA1422" s="6" t="s">
        <v>171</v>
      </c>
      <c r="AB1422" s="6">
        <v>0</v>
      </c>
      <c r="AC1422" s="6" t="str">
        <f>""</f>
        <v/>
      </c>
      <c r="AS1422" s="6">
        <v>0</v>
      </c>
      <c r="AT1422" s="6">
        <v>0</v>
      </c>
    </row>
    <row r="1423" spans="2:46">
      <c r="B1423" s="6" t="s">
        <v>113</v>
      </c>
      <c r="D1423" s="6" t="s">
        <v>3316</v>
      </c>
      <c r="F1423" s="6" t="s">
        <v>5959</v>
      </c>
      <c r="G1423" s="6" t="str">
        <f>"M17SSNC002GD"</f>
        <v>M17SSNC002GD</v>
      </c>
      <c r="I1423" s="6" t="s">
        <v>5960</v>
      </c>
      <c r="J1423" s="6" t="str">
        <f>"Chandelier drop necklace"</f>
        <v>Chandelier drop necklace</v>
      </c>
      <c r="K1423" s="6">
        <v>0</v>
      </c>
      <c r="L1423" s="6">
        <v>0</v>
      </c>
      <c r="M1423" s="6">
        <v>0</v>
      </c>
      <c r="N1423" s="6" t="str">
        <f>""</f>
        <v/>
      </c>
      <c r="O1423" s="6">
        <v>31480</v>
      </c>
      <c r="P1423" s="6" t="s">
        <v>5961</v>
      </c>
      <c r="R1423" s="6" t="s">
        <v>5845</v>
      </c>
      <c r="S1423" s="6" t="s">
        <v>5962</v>
      </c>
      <c r="T1423" s="6">
        <v>2</v>
      </c>
      <c r="U1423" s="6">
        <v>0</v>
      </c>
      <c r="V1423" s="6">
        <v>0</v>
      </c>
      <c r="W1423" s="6">
        <v>0</v>
      </c>
      <c r="X1423" s="6" t="s">
        <v>169</v>
      </c>
      <c r="Z1423" s="6" t="s">
        <v>170</v>
      </c>
      <c r="AA1423" s="6" t="s">
        <v>171</v>
      </c>
      <c r="AB1423" s="6">
        <v>0</v>
      </c>
      <c r="AC1423" s="6" t="str">
        <f>"KEY-002"</f>
        <v>KEY-002</v>
      </c>
      <c r="AQ1423" s="6" t="str">
        <f>""</f>
        <v/>
      </c>
      <c r="AR1423" s="6" t="s">
        <v>1584</v>
      </c>
      <c r="AS1423" s="6">
        <v>0</v>
      </c>
      <c r="AT1423" s="6">
        <v>2</v>
      </c>
    </row>
    <row r="1424" spans="2:46">
      <c r="B1424" s="6" t="s">
        <v>113</v>
      </c>
      <c r="D1424" s="6" t="s">
        <v>3316</v>
      </c>
      <c r="F1424" s="6" t="s">
        <v>5963</v>
      </c>
      <c r="G1424" s="6" t="str">
        <f>"M17SSNC001GD"</f>
        <v>M17SSNC001GD</v>
      </c>
      <c r="H1424" s="6" t="s">
        <v>5964</v>
      </c>
      <c r="I1424" s="6" t="s">
        <v>5965</v>
      </c>
      <c r="J1424" s="6" t="str">
        <f>"OT simple necklace"</f>
        <v>OT simple necklace</v>
      </c>
      <c r="K1424" s="6">
        <v>0</v>
      </c>
      <c r="L1424" s="6">
        <v>0</v>
      </c>
      <c r="M1424" s="6">
        <v>0</v>
      </c>
      <c r="N1424" s="6" t="str">
        <f>""</f>
        <v/>
      </c>
      <c r="O1424" s="6">
        <v>31478</v>
      </c>
      <c r="P1424" s="6" t="s">
        <v>5964</v>
      </c>
      <c r="R1424" s="6" t="s">
        <v>5845</v>
      </c>
      <c r="S1424" s="6" t="s">
        <v>5966</v>
      </c>
      <c r="T1424" s="6">
        <v>0</v>
      </c>
      <c r="U1424" s="6">
        <v>0</v>
      </c>
      <c r="V1424" s="6">
        <v>0</v>
      </c>
      <c r="W1424" s="6">
        <v>0</v>
      </c>
      <c r="X1424" s="6" t="s">
        <v>169</v>
      </c>
      <c r="Z1424" s="6" t="s">
        <v>170</v>
      </c>
      <c r="AA1424" s="6" t="s">
        <v>171</v>
      </c>
      <c r="AB1424" s="6">
        <v>0</v>
      </c>
      <c r="AC1424" s="6" t="str">
        <f>""</f>
        <v/>
      </c>
      <c r="AS1424" s="6">
        <v>0</v>
      </c>
      <c r="AT1424" s="6">
        <v>0</v>
      </c>
    </row>
    <row r="1425" spans="2:46">
      <c r="B1425" s="6" t="s">
        <v>113</v>
      </c>
      <c r="D1425" s="6" t="s">
        <v>3316</v>
      </c>
      <c r="F1425" s="6" t="s">
        <v>5967</v>
      </c>
      <c r="G1425" s="6" t="str">
        <f>"M17SSER008SV"</f>
        <v>M17SSER008SV</v>
      </c>
      <c r="H1425" s="6" t="s">
        <v>5968</v>
      </c>
      <c r="I1425" s="6" t="s">
        <v>5969</v>
      </c>
      <c r="J1425" s="6" t="str">
        <f>"Unsymmetrical chain earrings"</f>
        <v>Unsymmetrical chain earrings</v>
      </c>
      <c r="K1425" s="6">
        <v>0</v>
      </c>
      <c r="L1425" s="6">
        <v>0</v>
      </c>
      <c r="M1425" s="6">
        <v>0</v>
      </c>
      <c r="N1425" s="6" t="str">
        <f>""</f>
        <v/>
      </c>
      <c r="O1425" s="6">
        <v>31476</v>
      </c>
      <c r="P1425" s="6" t="s">
        <v>5968</v>
      </c>
      <c r="R1425" s="6" t="s">
        <v>5841</v>
      </c>
      <c r="S1425" s="6" t="s">
        <v>5970</v>
      </c>
      <c r="T1425" s="6">
        <v>0</v>
      </c>
      <c r="U1425" s="6">
        <v>0</v>
      </c>
      <c r="V1425" s="6">
        <v>0</v>
      </c>
      <c r="W1425" s="6">
        <v>0</v>
      </c>
      <c r="X1425" s="6" t="s">
        <v>169</v>
      </c>
      <c r="Z1425" s="6" t="s">
        <v>170</v>
      </c>
      <c r="AA1425" s="6" t="s">
        <v>171</v>
      </c>
      <c r="AB1425" s="6">
        <v>0</v>
      </c>
      <c r="AC1425" s="6" t="str">
        <f>""</f>
        <v/>
      </c>
      <c r="AS1425" s="6">
        <v>0</v>
      </c>
      <c r="AT1425" s="6">
        <v>1</v>
      </c>
    </row>
    <row r="1426" spans="2:46">
      <c r="B1426" s="6" t="s">
        <v>113</v>
      </c>
      <c r="D1426" s="6" t="s">
        <v>3316</v>
      </c>
      <c r="F1426" s="6" t="s">
        <v>5971</v>
      </c>
      <c r="G1426" s="6" t="str">
        <f>"M17SSER007GD"</f>
        <v>M17SSER007GD</v>
      </c>
      <c r="H1426" s="6" t="s">
        <v>5972</v>
      </c>
      <c r="I1426" s="6" t="s">
        <v>5973</v>
      </c>
      <c r="J1426" s="6" t="str">
        <f>"O rings earrings"</f>
        <v>O rings earrings</v>
      </c>
      <c r="K1426" s="6">
        <v>0</v>
      </c>
      <c r="L1426" s="6">
        <v>0</v>
      </c>
      <c r="M1426" s="6">
        <v>0</v>
      </c>
      <c r="N1426" s="6" t="str">
        <f>""</f>
        <v/>
      </c>
      <c r="O1426" s="6">
        <v>31474</v>
      </c>
      <c r="P1426" s="6" t="s">
        <v>5972</v>
      </c>
      <c r="R1426" s="6" t="s">
        <v>5845</v>
      </c>
      <c r="S1426" s="6" t="s">
        <v>5974</v>
      </c>
      <c r="T1426" s="6">
        <v>0</v>
      </c>
      <c r="U1426" s="6">
        <v>0</v>
      </c>
      <c r="V1426" s="6">
        <v>0</v>
      </c>
      <c r="W1426" s="6">
        <v>0</v>
      </c>
      <c r="X1426" s="6" t="s">
        <v>169</v>
      </c>
      <c r="Z1426" s="6" t="s">
        <v>170</v>
      </c>
      <c r="AA1426" s="6" t="s">
        <v>171</v>
      </c>
      <c r="AB1426" s="6">
        <v>0</v>
      </c>
      <c r="AC1426" s="6" t="str">
        <f>""</f>
        <v/>
      </c>
      <c r="AS1426" s="6">
        <v>0</v>
      </c>
      <c r="AT1426" s="6">
        <v>0</v>
      </c>
    </row>
    <row r="1427" spans="2:46">
      <c r="B1427" s="6" t="s">
        <v>113</v>
      </c>
      <c r="D1427" s="6" t="s">
        <v>3316</v>
      </c>
      <c r="F1427" s="6" t="s">
        <v>5975</v>
      </c>
      <c r="G1427" s="6" t="str">
        <f>"M17SSER006GD"</f>
        <v>M17SSER006GD</v>
      </c>
      <c r="I1427" s="6" t="s">
        <v>5976</v>
      </c>
      <c r="J1427" s="6" t="str">
        <f>"Doorknob ver2. earrings"</f>
        <v>Doorknob ver2. earrings</v>
      </c>
      <c r="K1427" s="6">
        <v>0</v>
      </c>
      <c r="L1427" s="6">
        <v>0</v>
      </c>
      <c r="M1427" s="6">
        <v>0</v>
      </c>
      <c r="N1427" s="6" t="str">
        <f>""</f>
        <v/>
      </c>
      <c r="O1427" s="6">
        <v>31472</v>
      </c>
      <c r="P1427" s="6" t="s">
        <v>5977</v>
      </c>
      <c r="R1427" s="6" t="s">
        <v>5845</v>
      </c>
      <c r="S1427" s="6" t="s">
        <v>5978</v>
      </c>
      <c r="T1427" s="6">
        <v>2</v>
      </c>
      <c r="U1427" s="6">
        <v>0</v>
      </c>
      <c r="V1427" s="6">
        <v>0</v>
      </c>
      <c r="W1427" s="6">
        <v>0</v>
      </c>
      <c r="X1427" s="6" t="s">
        <v>169</v>
      </c>
      <c r="Z1427" s="6" t="s">
        <v>170</v>
      </c>
      <c r="AA1427" s="6" t="s">
        <v>171</v>
      </c>
      <c r="AB1427" s="6">
        <v>0</v>
      </c>
      <c r="AC1427" s="6" t="str">
        <f>"KEY-002"</f>
        <v>KEY-002</v>
      </c>
      <c r="AQ1427" s="6" t="str">
        <f>""</f>
        <v/>
      </c>
      <c r="AR1427" s="6" t="s">
        <v>1584</v>
      </c>
      <c r="AS1427" s="6">
        <v>0</v>
      </c>
      <c r="AT1427" s="6">
        <v>2</v>
      </c>
    </row>
    <row r="1428" spans="2:46">
      <c r="B1428" s="6" t="s">
        <v>113</v>
      </c>
      <c r="D1428" s="6" t="s">
        <v>3316</v>
      </c>
      <c r="F1428" s="6" t="s">
        <v>5979</v>
      </c>
      <c r="G1428" s="6" t="str">
        <f>"M17SSER005GD"</f>
        <v>M17SSER005GD</v>
      </c>
      <c r="H1428" s="6" t="s">
        <v>5980</v>
      </c>
      <c r="I1428" s="6" t="s">
        <v>5981</v>
      </c>
      <c r="J1428" s="6" t="str">
        <f>"Double hexagons earrings"</f>
        <v>Double hexagons earrings</v>
      </c>
      <c r="K1428" s="6">
        <v>0</v>
      </c>
      <c r="L1428" s="6">
        <v>0</v>
      </c>
      <c r="M1428" s="6">
        <v>0</v>
      </c>
      <c r="N1428" s="6" t="str">
        <f>""</f>
        <v/>
      </c>
      <c r="O1428" s="6">
        <v>31470</v>
      </c>
      <c r="P1428" s="6" t="s">
        <v>5980</v>
      </c>
      <c r="R1428" s="6" t="s">
        <v>5845</v>
      </c>
      <c r="S1428" s="6" t="s">
        <v>5982</v>
      </c>
      <c r="T1428" s="6">
        <v>0</v>
      </c>
      <c r="U1428" s="6">
        <v>0</v>
      </c>
      <c r="V1428" s="6">
        <v>0</v>
      </c>
      <c r="W1428" s="6">
        <v>0</v>
      </c>
      <c r="X1428" s="6" t="s">
        <v>169</v>
      </c>
      <c r="Z1428" s="6" t="s">
        <v>170</v>
      </c>
      <c r="AA1428" s="6" t="s">
        <v>171</v>
      </c>
      <c r="AB1428" s="6">
        <v>0</v>
      </c>
      <c r="AC1428" s="6" t="str">
        <f>""</f>
        <v/>
      </c>
      <c r="AS1428" s="6">
        <v>0</v>
      </c>
      <c r="AT1428" s="6">
        <v>0</v>
      </c>
    </row>
    <row r="1429" spans="2:46">
      <c r="B1429" s="6" t="s">
        <v>113</v>
      </c>
      <c r="D1429" s="6" t="s">
        <v>3316</v>
      </c>
      <c r="F1429" s="6" t="s">
        <v>5983</v>
      </c>
      <c r="G1429" s="6" t="str">
        <f>"M17SSER003SV"</f>
        <v>M17SSER003SV</v>
      </c>
      <c r="I1429" s="6" t="s">
        <v>5984</v>
      </c>
      <c r="J1429" s="6" t="str">
        <f>"Doorknob earrings"</f>
        <v>Doorknob earrings</v>
      </c>
      <c r="K1429" s="6">
        <v>0</v>
      </c>
      <c r="L1429" s="6">
        <v>0</v>
      </c>
      <c r="M1429" s="6">
        <v>0</v>
      </c>
      <c r="N1429" s="6" t="str">
        <f>""</f>
        <v/>
      </c>
      <c r="O1429" s="6">
        <v>31468</v>
      </c>
      <c r="P1429" s="6" t="s">
        <v>5985</v>
      </c>
      <c r="R1429" s="6" t="s">
        <v>5841</v>
      </c>
      <c r="S1429" s="6" t="s">
        <v>5986</v>
      </c>
      <c r="T1429" s="6">
        <v>1</v>
      </c>
      <c r="U1429" s="6">
        <v>0</v>
      </c>
      <c r="V1429" s="6">
        <v>0</v>
      </c>
      <c r="W1429" s="6">
        <v>0</v>
      </c>
      <c r="X1429" s="6" t="s">
        <v>169</v>
      </c>
      <c r="Z1429" s="6" t="s">
        <v>170</v>
      </c>
      <c r="AA1429" s="6" t="s">
        <v>171</v>
      </c>
      <c r="AB1429" s="6">
        <v>0</v>
      </c>
      <c r="AC1429" s="6" t="str">
        <f>"KEY-002"</f>
        <v>KEY-002</v>
      </c>
      <c r="AQ1429" s="6" t="str">
        <f>""</f>
        <v/>
      </c>
      <c r="AR1429" s="6" t="s">
        <v>1584</v>
      </c>
      <c r="AS1429" s="6">
        <v>0</v>
      </c>
      <c r="AT1429" s="6">
        <v>1</v>
      </c>
    </row>
    <row r="1430" spans="2:46">
      <c r="B1430" s="6" t="s">
        <v>113</v>
      </c>
      <c r="D1430" s="6" t="s">
        <v>3316</v>
      </c>
      <c r="F1430" s="6" t="s">
        <v>5987</v>
      </c>
      <c r="G1430" s="6" t="str">
        <f>"M17SSER003GD"</f>
        <v>M17SSER003GD</v>
      </c>
      <c r="H1430" s="6" t="s">
        <v>5988</v>
      </c>
      <c r="I1430" s="6" t="s">
        <v>5984</v>
      </c>
      <c r="J1430" s="6" t="str">
        <f>"Doorknob earrings"</f>
        <v>Doorknob earrings</v>
      </c>
      <c r="K1430" s="6">
        <v>0</v>
      </c>
      <c r="L1430" s="6">
        <v>0</v>
      </c>
      <c r="M1430" s="6">
        <v>0</v>
      </c>
      <c r="N1430" s="6" t="str">
        <f>""</f>
        <v/>
      </c>
      <c r="O1430" s="6">
        <v>31467</v>
      </c>
      <c r="P1430" s="6" t="s">
        <v>5988</v>
      </c>
      <c r="R1430" s="6" t="s">
        <v>5845</v>
      </c>
      <c r="S1430" s="6" t="s">
        <v>5989</v>
      </c>
      <c r="T1430" s="6">
        <v>0</v>
      </c>
      <c r="U1430" s="6">
        <v>0</v>
      </c>
      <c r="V1430" s="6">
        <v>0</v>
      </c>
      <c r="W1430" s="6">
        <v>0</v>
      </c>
      <c r="X1430" s="6" t="s">
        <v>169</v>
      </c>
      <c r="Z1430" s="6" t="s">
        <v>170</v>
      </c>
      <c r="AA1430" s="6" t="s">
        <v>171</v>
      </c>
      <c r="AB1430" s="6">
        <v>0</v>
      </c>
      <c r="AC1430" s="6" t="str">
        <f>""</f>
        <v/>
      </c>
      <c r="AS1430" s="6">
        <v>0</v>
      </c>
      <c r="AT1430" s="6">
        <v>0</v>
      </c>
    </row>
    <row r="1431" spans="2:46">
      <c r="B1431" s="6" t="s">
        <v>113</v>
      </c>
      <c r="D1431" s="6" t="s">
        <v>3316</v>
      </c>
      <c r="F1431" s="6" t="s">
        <v>5990</v>
      </c>
      <c r="G1431" s="6" t="str">
        <f>"M17SSER002SV"</f>
        <v>M17SSER002SV</v>
      </c>
      <c r="H1431" s="6" t="s">
        <v>5991</v>
      </c>
      <c r="I1431" s="6" t="s">
        <v>5992</v>
      </c>
      <c r="J1431" s="6" t="str">
        <f>"Chandelier drop earrings"</f>
        <v>Chandelier drop earrings</v>
      </c>
      <c r="K1431" s="6">
        <v>0</v>
      </c>
      <c r="L1431" s="6">
        <v>0</v>
      </c>
      <c r="M1431" s="6">
        <v>0</v>
      </c>
      <c r="N1431" s="6" t="str">
        <f>""</f>
        <v/>
      </c>
      <c r="O1431" s="6">
        <v>31465</v>
      </c>
      <c r="P1431" s="6" t="s">
        <v>5991</v>
      </c>
      <c r="R1431" s="6" t="s">
        <v>5841</v>
      </c>
      <c r="S1431" s="6" t="s">
        <v>5993</v>
      </c>
      <c r="T1431" s="6">
        <v>0</v>
      </c>
      <c r="U1431" s="6">
        <v>0</v>
      </c>
      <c r="V1431" s="6">
        <v>0</v>
      </c>
      <c r="W1431" s="6">
        <v>0</v>
      </c>
      <c r="X1431" s="6" t="s">
        <v>169</v>
      </c>
      <c r="Z1431" s="6" t="s">
        <v>170</v>
      </c>
      <c r="AA1431" s="6" t="s">
        <v>171</v>
      </c>
      <c r="AB1431" s="6">
        <v>0</v>
      </c>
      <c r="AC1431" s="6" t="str">
        <f>""</f>
        <v/>
      </c>
      <c r="AS1431" s="6">
        <v>0</v>
      </c>
      <c r="AT1431" s="6">
        <v>0</v>
      </c>
    </row>
    <row r="1432" spans="2:46">
      <c r="B1432" s="6" t="s">
        <v>113</v>
      </c>
      <c r="D1432" s="6" t="s">
        <v>3316</v>
      </c>
      <c r="F1432" s="6" t="s">
        <v>5994</v>
      </c>
      <c r="G1432" s="6" t="str">
        <f>"M17SSER002GD"</f>
        <v>M17SSER002GD</v>
      </c>
      <c r="H1432" s="6" t="s">
        <v>5995</v>
      </c>
      <c r="I1432" s="6" t="s">
        <v>5992</v>
      </c>
      <c r="J1432" s="6" t="str">
        <f>"Chandelier drop earrings"</f>
        <v>Chandelier drop earrings</v>
      </c>
      <c r="K1432" s="6">
        <v>0</v>
      </c>
      <c r="L1432" s="6">
        <v>0</v>
      </c>
      <c r="M1432" s="6">
        <v>0</v>
      </c>
      <c r="N1432" s="6" t="str">
        <f>""</f>
        <v/>
      </c>
      <c r="O1432" s="6">
        <v>31464</v>
      </c>
      <c r="P1432" s="6" t="s">
        <v>5995</v>
      </c>
      <c r="R1432" s="6" t="s">
        <v>5845</v>
      </c>
      <c r="S1432" s="6" t="s">
        <v>5996</v>
      </c>
      <c r="T1432" s="6">
        <v>0</v>
      </c>
      <c r="U1432" s="6">
        <v>0</v>
      </c>
      <c r="V1432" s="6">
        <v>0</v>
      </c>
      <c r="W1432" s="6">
        <v>0</v>
      </c>
      <c r="X1432" s="6" t="s">
        <v>169</v>
      </c>
      <c r="Z1432" s="6" t="s">
        <v>170</v>
      </c>
      <c r="AA1432" s="6" t="s">
        <v>171</v>
      </c>
      <c r="AB1432" s="6">
        <v>0</v>
      </c>
      <c r="AC1432" s="6" t="str">
        <f>""</f>
        <v/>
      </c>
      <c r="AS1432" s="6">
        <v>0</v>
      </c>
      <c r="AT1432" s="6">
        <v>0</v>
      </c>
    </row>
    <row r="1433" spans="2:46">
      <c r="B1433" s="6" t="s">
        <v>113</v>
      </c>
      <c r="D1433" s="6" t="s">
        <v>3316</v>
      </c>
      <c r="F1433" s="6" t="s">
        <v>5997</v>
      </c>
      <c r="G1433" s="6" t="str">
        <f>"M17SSER001SV"</f>
        <v>M17SSER001SV</v>
      </c>
      <c r="I1433" s="6" t="s">
        <v>5998</v>
      </c>
      <c r="J1433" s="6" t="str">
        <f>"Variable chandelier earrings"</f>
        <v>Variable chandelier earrings</v>
      </c>
      <c r="K1433" s="6">
        <v>0</v>
      </c>
      <c r="L1433" s="6">
        <v>0</v>
      </c>
      <c r="M1433" s="6">
        <v>0</v>
      </c>
      <c r="N1433" s="6" t="str">
        <f>""</f>
        <v/>
      </c>
      <c r="O1433" s="6">
        <v>31462</v>
      </c>
      <c r="P1433" s="6" t="s">
        <v>5999</v>
      </c>
      <c r="R1433" s="6" t="s">
        <v>5841</v>
      </c>
      <c r="S1433" s="6" t="s">
        <v>6000</v>
      </c>
      <c r="T1433" s="6">
        <v>2</v>
      </c>
      <c r="U1433" s="6">
        <v>0</v>
      </c>
      <c r="V1433" s="6">
        <v>0</v>
      </c>
      <c r="W1433" s="6">
        <v>0</v>
      </c>
      <c r="X1433" s="6" t="s">
        <v>169</v>
      </c>
      <c r="Z1433" s="6" t="s">
        <v>170</v>
      </c>
      <c r="AA1433" s="6" t="s">
        <v>171</v>
      </c>
      <c r="AB1433" s="6">
        <v>0</v>
      </c>
      <c r="AC1433" s="6" t="str">
        <f>"KEY-002"</f>
        <v>KEY-002</v>
      </c>
      <c r="AQ1433" s="6" t="str">
        <f>""</f>
        <v/>
      </c>
      <c r="AR1433" s="6" t="s">
        <v>1584</v>
      </c>
      <c r="AS1433" s="6">
        <v>0</v>
      </c>
      <c r="AT1433" s="6">
        <v>2</v>
      </c>
    </row>
    <row r="1434" spans="2:46">
      <c r="B1434" s="6" t="s">
        <v>113</v>
      </c>
      <c r="D1434" s="6" t="s">
        <v>3316</v>
      </c>
      <c r="F1434" s="6" t="s">
        <v>6001</v>
      </c>
      <c r="G1434" s="6" t="str">
        <f>"M17SSER001GD"</f>
        <v>M17SSER001GD</v>
      </c>
      <c r="I1434" s="6" t="s">
        <v>5998</v>
      </c>
      <c r="J1434" s="6" t="str">
        <f>"Variable chandelier earrings"</f>
        <v>Variable chandelier earrings</v>
      </c>
      <c r="K1434" s="6">
        <v>0</v>
      </c>
      <c r="L1434" s="6">
        <v>0</v>
      </c>
      <c r="M1434" s="6">
        <v>0</v>
      </c>
      <c r="N1434" s="6" t="str">
        <f>""</f>
        <v/>
      </c>
      <c r="O1434" s="6">
        <v>31461</v>
      </c>
      <c r="P1434" s="6" t="s">
        <v>6002</v>
      </c>
      <c r="R1434" s="6" t="s">
        <v>5845</v>
      </c>
      <c r="S1434" s="6" t="s">
        <v>6003</v>
      </c>
      <c r="T1434" s="6">
        <v>2</v>
      </c>
      <c r="U1434" s="6">
        <v>0</v>
      </c>
      <c r="V1434" s="6">
        <v>0</v>
      </c>
      <c r="W1434" s="6">
        <v>0</v>
      </c>
      <c r="X1434" s="6" t="s">
        <v>169</v>
      </c>
      <c r="Z1434" s="6" t="s">
        <v>170</v>
      </c>
      <c r="AA1434" s="6" t="s">
        <v>171</v>
      </c>
      <c r="AB1434" s="6">
        <v>0</v>
      </c>
      <c r="AC1434" s="6" t="str">
        <f>"KEY-002"</f>
        <v>KEY-002</v>
      </c>
      <c r="AQ1434" s="6" t="str">
        <f>""</f>
        <v/>
      </c>
      <c r="AR1434" s="6" t="s">
        <v>1584</v>
      </c>
      <c r="AS1434" s="6">
        <v>0</v>
      </c>
      <c r="AT1434" s="6">
        <v>2</v>
      </c>
    </row>
    <row r="1435" spans="2:46">
      <c r="B1435" s="6" t="s">
        <v>113</v>
      </c>
      <c r="D1435" s="6" t="s">
        <v>3316</v>
      </c>
      <c r="F1435" s="6" t="s">
        <v>6004</v>
      </c>
      <c r="G1435" s="6" t="str">
        <f>"M17SSBC005GD"</f>
        <v>M17SSBC005GD</v>
      </c>
      <c r="I1435" s="6" t="s">
        <v>6005</v>
      </c>
      <c r="J1435" s="6" t="str">
        <f>"Double hexagons bracelet"</f>
        <v>Double hexagons bracelet</v>
      </c>
      <c r="K1435" s="6">
        <v>0</v>
      </c>
      <c r="L1435" s="6">
        <v>0</v>
      </c>
      <c r="M1435" s="6">
        <v>0</v>
      </c>
      <c r="N1435" s="6" t="str">
        <f>""</f>
        <v/>
      </c>
      <c r="O1435" s="6">
        <v>31459</v>
      </c>
      <c r="P1435" s="6" t="s">
        <v>6006</v>
      </c>
      <c r="R1435" s="6" t="s">
        <v>5845</v>
      </c>
      <c r="S1435" s="6" t="s">
        <v>6007</v>
      </c>
      <c r="T1435" s="6">
        <v>2</v>
      </c>
      <c r="U1435" s="6">
        <v>0</v>
      </c>
      <c r="V1435" s="6">
        <v>0</v>
      </c>
      <c r="W1435" s="6">
        <v>0</v>
      </c>
      <c r="X1435" s="6" t="s">
        <v>169</v>
      </c>
      <c r="Z1435" s="6" t="s">
        <v>170</v>
      </c>
      <c r="AA1435" s="6" t="s">
        <v>171</v>
      </c>
      <c r="AB1435" s="6">
        <v>0</v>
      </c>
      <c r="AC1435" s="6" t="str">
        <f>"KEY-002"</f>
        <v>KEY-002</v>
      </c>
      <c r="AQ1435" s="6" t="str">
        <f>""</f>
        <v/>
      </c>
      <c r="AR1435" s="6" t="s">
        <v>1584</v>
      </c>
      <c r="AS1435" s="6">
        <v>0</v>
      </c>
      <c r="AT1435" s="6">
        <v>2</v>
      </c>
    </row>
    <row r="1436" spans="2:46">
      <c r="B1436" s="6" t="s">
        <v>113</v>
      </c>
      <c r="D1436" s="6" t="s">
        <v>3316</v>
      </c>
      <c r="F1436" s="6" t="s">
        <v>6008</v>
      </c>
      <c r="G1436" s="6" t="str">
        <f>"M17SSBC002GD"</f>
        <v>M17SSBC002GD</v>
      </c>
      <c r="I1436" s="6" t="s">
        <v>6009</v>
      </c>
      <c r="J1436" s="6" t="str">
        <f>"Chandelier drop bracelet"</f>
        <v>Chandelier drop bracelet</v>
      </c>
      <c r="K1436" s="6">
        <v>0</v>
      </c>
      <c r="L1436" s="6">
        <v>0</v>
      </c>
      <c r="M1436" s="6">
        <v>0</v>
      </c>
      <c r="N1436" s="6" t="str">
        <f>""</f>
        <v/>
      </c>
      <c r="O1436" s="6">
        <v>31457</v>
      </c>
      <c r="P1436" s="6" t="s">
        <v>6010</v>
      </c>
      <c r="R1436" s="6" t="s">
        <v>5845</v>
      </c>
      <c r="S1436" s="6" t="s">
        <v>6011</v>
      </c>
      <c r="T1436" s="6">
        <v>2</v>
      </c>
      <c r="U1436" s="6">
        <v>0</v>
      </c>
      <c r="V1436" s="6">
        <v>0</v>
      </c>
      <c r="W1436" s="6">
        <v>0</v>
      </c>
      <c r="X1436" s="6" t="s">
        <v>169</v>
      </c>
      <c r="Z1436" s="6" t="s">
        <v>170</v>
      </c>
      <c r="AA1436" s="6" t="s">
        <v>171</v>
      </c>
      <c r="AB1436" s="6">
        <v>0</v>
      </c>
      <c r="AC1436" s="6" t="str">
        <f>"KEY-002"</f>
        <v>KEY-002</v>
      </c>
      <c r="AQ1436" s="6" t="str">
        <f>""</f>
        <v/>
      </c>
      <c r="AR1436" s="6" t="s">
        <v>1584</v>
      </c>
      <c r="AS1436" s="6">
        <v>0</v>
      </c>
      <c r="AT1436" s="6">
        <v>2</v>
      </c>
    </row>
    <row r="1437" spans="2:46">
      <c r="B1437" s="6" t="s">
        <v>106</v>
      </c>
      <c r="D1437" s="6" t="s">
        <v>3316</v>
      </c>
      <c r="F1437" s="6" t="s">
        <v>6012</v>
      </c>
      <c r="G1437" s="6" t="str">
        <f>"mnmm17fwc03_x"</f>
        <v>mnmm17fwc03_x</v>
      </c>
      <c r="H1437" s="6" t="s">
        <v>6013</v>
      </c>
      <c r="I1437" s="6" t="s">
        <v>6014</v>
      </c>
      <c r="J1437" s="6" t="str">
        <f t="shared" ref="J1437:J1443" si="3">"gold mix ball case"</f>
        <v>gold mix ball case</v>
      </c>
      <c r="K1437" s="6">
        <v>0</v>
      </c>
      <c r="L1437" s="6">
        <v>0</v>
      </c>
      <c r="M1437" s="6">
        <v>0</v>
      </c>
      <c r="N1437" s="6" t="str">
        <f>""</f>
        <v/>
      </c>
      <c r="O1437" s="6">
        <v>31455</v>
      </c>
      <c r="P1437" s="6" t="s">
        <v>6015</v>
      </c>
      <c r="R1437" s="6" t="s">
        <v>6016</v>
      </c>
      <c r="S1437" s="6" t="s">
        <v>6017</v>
      </c>
      <c r="T1437" s="6">
        <v>0</v>
      </c>
      <c r="U1437" s="6">
        <v>0</v>
      </c>
      <c r="V1437" s="6">
        <v>0</v>
      </c>
      <c r="W1437" s="6">
        <v>0</v>
      </c>
      <c r="X1437" s="6" t="s">
        <v>169</v>
      </c>
      <c r="Z1437" s="6" t="s">
        <v>170</v>
      </c>
      <c r="AA1437" s="6" t="s">
        <v>171</v>
      </c>
      <c r="AB1437" s="6">
        <v>0</v>
      </c>
      <c r="AC1437" s="6" t="str">
        <f>""</f>
        <v/>
      </c>
      <c r="AS1437" s="6">
        <v>0</v>
      </c>
      <c r="AT1437" s="6">
        <v>0</v>
      </c>
    </row>
    <row r="1438" spans="2:46">
      <c r="B1438" s="6" t="s">
        <v>106</v>
      </c>
      <c r="D1438" s="6" t="s">
        <v>3316</v>
      </c>
      <c r="F1438" s="6" t="s">
        <v>6018</v>
      </c>
      <c r="G1438" s="6" t="str">
        <f>"mnmm17fwc03_8p"</f>
        <v>mnmm17fwc03_8p</v>
      </c>
      <c r="H1438" s="6" t="s">
        <v>6019</v>
      </c>
      <c r="I1438" s="6" t="s">
        <v>6014</v>
      </c>
      <c r="J1438" s="6" t="str">
        <f t="shared" si="3"/>
        <v>gold mix ball case</v>
      </c>
      <c r="K1438" s="6">
        <v>0</v>
      </c>
      <c r="L1438" s="6">
        <v>0</v>
      </c>
      <c r="M1438" s="6">
        <v>0</v>
      </c>
      <c r="N1438" s="6" t="str">
        <f>""</f>
        <v/>
      </c>
      <c r="O1438" s="6">
        <v>31454</v>
      </c>
      <c r="P1438" s="6" t="s">
        <v>6020</v>
      </c>
      <c r="R1438" s="6" t="s">
        <v>6021</v>
      </c>
      <c r="S1438" s="6" t="s">
        <v>6022</v>
      </c>
      <c r="T1438" s="6">
        <v>0</v>
      </c>
      <c r="U1438" s="6">
        <v>0</v>
      </c>
      <c r="V1438" s="6">
        <v>0</v>
      </c>
      <c r="W1438" s="6">
        <v>0</v>
      </c>
      <c r="X1438" s="6" t="s">
        <v>169</v>
      </c>
      <c r="Z1438" s="6" t="s">
        <v>170</v>
      </c>
      <c r="AA1438" s="6" t="s">
        <v>171</v>
      </c>
      <c r="AB1438" s="6">
        <v>0</v>
      </c>
      <c r="AC1438" s="6" t="str">
        <f>""</f>
        <v/>
      </c>
      <c r="AS1438" s="6">
        <v>0</v>
      </c>
      <c r="AT1438" s="6">
        <v>0</v>
      </c>
    </row>
    <row r="1439" spans="2:46">
      <c r="B1439" s="6" t="s">
        <v>106</v>
      </c>
      <c r="D1439" s="6" t="s">
        <v>3316</v>
      </c>
      <c r="F1439" s="6" t="s">
        <v>6023</v>
      </c>
      <c r="G1439" s="6" t="str">
        <f>"mnmm17fwc03_8"</f>
        <v>mnmm17fwc03_8</v>
      </c>
      <c r="H1439" s="6" t="s">
        <v>6024</v>
      </c>
      <c r="I1439" s="6" t="s">
        <v>6014</v>
      </c>
      <c r="J1439" s="6" t="str">
        <f t="shared" si="3"/>
        <v>gold mix ball case</v>
      </c>
      <c r="K1439" s="6">
        <v>0</v>
      </c>
      <c r="L1439" s="6">
        <v>0</v>
      </c>
      <c r="M1439" s="6">
        <v>0</v>
      </c>
      <c r="N1439" s="6" t="str">
        <f>""</f>
        <v/>
      </c>
      <c r="O1439" s="6">
        <v>31453</v>
      </c>
      <c r="P1439" s="6" t="s">
        <v>6025</v>
      </c>
      <c r="R1439" s="6" t="s">
        <v>6026</v>
      </c>
      <c r="S1439" s="6" t="s">
        <v>6027</v>
      </c>
      <c r="T1439" s="6">
        <v>0</v>
      </c>
      <c r="U1439" s="6">
        <v>0</v>
      </c>
      <c r="V1439" s="6">
        <v>0</v>
      </c>
      <c r="W1439" s="6">
        <v>0</v>
      </c>
      <c r="X1439" s="6" t="s">
        <v>169</v>
      </c>
      <c r="Z1439" s="6" t="s">
        <v>170</v>
      </c>
      <c r="AA1439" s="6" t="s">
        <v>171</v>
      </c>
      <c r="AB1439" s="6">
        <v>0</v>
      </c>
      <c r="AC1439" s="6" t="str">
        <f>""</f>
        <v/>
      </c>
      <c r="AS1439" s="6">
        <v>0</v>
      </c>
      <c r="AT1439" s="6">
        <v>0</v>
      </c>
    </row>
    <row r="1440" spans="2:46">
      <c r="B1440" s="6" t="s">
        <v>106</v>
      </c>
      <c r="D1440" s="6" t="s">
        <v>3316</v>
      </c>
      <c r="F1440" s="6" t="s">
        <v>6028</v>
      </c>
      <c r="G1440" s="6" t="str">
        <f>"mnmm17fwc03_7p"</f>
        <v>mnmm17fwc03_7p</v>
      </c>
      <c r="H1440" s="6" t="s">
        <v>6029</v>
      </c>
      <c r="I1440" s="6" t="s">
        <v>6014</v>
      </c>
      <c r="J1440" s="6" t="str">
        <f t="shared" si="3"/>
        <v>gold mix ball case</v>
      </c>
      <c r="K1440" s="6">
        <v>0</v>
      </c>
      <c r="L1440" s="6">
        <v>0</v>
      </c>
      <c r="M1440" s="6">
        <v>0</v>
      </c>
      <c r="N1440" s="6" t="str">
        <f>""</f>
        <v/>
      </c>
      <c r="O1440" s="6">
        <v>31452</v>
      </c>
      <c r="P1440" s="6" t="s">
        <v>6030</v>
      </c>
      <c r="R1440" s="6" t="s">
        <v>6031</v>
      </c>
      <c r="S1440" s="6" t="s">
        <v>6032</v>
      </c>
      <c r="T1440" s="6">
        <v>0</v>
      </c>
      <c r="U1440" s="6">
        <v>0</v>
      </c>
      <c r="V1440" s="6">
        <v>0</v>
      </c>
      <c r="W1440" s="6">
        <v>0</v>
      </c>
      <c r="X1440" s="6" t="s">
        <v>169</v>
      </c>
      <c r="Z1440" s="6" t="s">
        <v>170</v>
      </c>
      <c r="AA1440" s="6" t="s">
        <v>171</v>
      </c>
      <c r="AB1440" s="6">
        <v>0</v>
      </c>
      <c r="AC1440" s="6" t="str">
        <f>""</f>
        <v/>
      </c>
      <c r="AS1440" s="6">
        <v>0</v>
      </c>
      <c r="AT1440" s="6">
        <v>0</v>
      </c>
    </row>
    <row r="1441" spans="2:46">
      <c r="B1441" s="6" t="s">
        <v>106</v>
      </c>
      <c r="D1441" s="6" t="s">
        <v>3316</v>
      </c>
      <c r="F1441" s="6" t="s">
        <v>6033</v>
      </c>
      <c r="G1441" s="6" t="str">
        <f>"mnmm17fwc03_7"</f>
        <v>mnmm17fwc03_7</v>
      </c>
      <c r="H1441" s="6" t="s">
        <v>6034</v>
      </c>
      <c r="I1441" s="6" t="s">
        <v>6014</v>
      </c>
      <c r="J1441" s="6" t="str">
        <f t="shared" si="3"/>
        <v>gold mix ball case</v>
      </c>
      <c r="K1441" s="6">
        <v>0</v>
      </c>
      <c r="L1441" s="6">
        <v>0</v>
      </c>
      <c r="M1441" s="6">
        <v>0</v>
      </c>
      <c r="N1441" s="6" t="str">
        <f>""</f>
        <v/>
      </c>
      <c r="O1441" s="6">
        <v>31451</v>
      </c>
      <c r="P1441" s="6" t="s">
        <v>6035</v>
      </c>
      <c r="R1441" s="6" t="s">
        <v>6036</v>
      </c>
      <c r="S1441" s="6" t="s">
        <v>6037</v>
      </c>
      <c r="T1441" s="6">
        <v>0</v>
      </c>
      <c r="U1441" s="6">
        <v>0</v>
      </c>
      <c r="V1441" s="6">
        <v>0</v>
      </c>
      <c r="W1441" s="6">
        <v>0</v>
      </c>
      <c r="X1441" s="6" t="s">
        <v>169</v>
      </c>
      <c r="Z1441" s="6" t="s">
        <v>170</v>
      </c>
      <c r="AA1441" s="6" t="s">
        <v>171</v>
      </c>
      <c r="AB1441" s="6">
        <v>0</v>
      </c>
      <c r="AC1441" s="6" t="str">
        <f>""</f>
        <v/>
      </c>
      <c r="AS1441" s="6">
        <v>0</v>
      </c>
      <c r="AT1441" s="6">
        <v>0</v>
      </c>
    </row>
    <row r="1442" spans="2:46">
      <c r="B1442" s="6" t="s">
        <v>106</v>
      </c>
      <c r="D1442" s="6" t="s">
        <v>3316</v>
      </c>
      <c r="F1442" s="6" t="s">
        <v>6038</v>
      </c>
      <c r="G1442" s="6" t="str">
        <f>"mnmm17fwc03_6p6ps"</f>
        <v>mnmm17fwc03_6p6ps</v>
      </c>
      <c r="H1442" s="6" t="s">
        <v>6039</v>
      </c>
      <c r="I1442" s="6" t="s">
        <v>6014</v>
      </c>
      <c r="J1442" s="6" t="str">
        <f t="shared" si="3"/>
        <v>gold mix ball case</v>
      </c>
      <c r="K1442" s="6">
        <v>0</v>
      </c>
      <c r="L1442" s="6">
        <v>0</v>
      </c>
      <c r="M1442" s="6">
        <v>0</v>
      </c>
      <c r="N1442" s="6" t="str">
        <f>""</f>
        <v/>
      </c>
      <c r="O1442" s="6">
        <v>31450</v>
      </c>
      <c r="P1442" s="6" t="s">
        <v>6040</v>
      </c>
      <c r="R1442" s="6" t="s">
        <v>6041</v>
      </c>
      <c r="S1442" s="6" t="s">
        <v>6042</v>
      </c>
      <c r="T1442" s="6">
        <v>0</v>
      </c>
      <c r="U1442" s="6">
        <v>0</v>
      </c>
      <c r="V1442" s="6">
        <v>0</v>
      </c>
      <c r="W1442" s="6">
        <v>0</v>
      </c>
      <c r="X1442" s="6" t="s">
        <v>169</v>
      </c>
      <c r="Z1442" s="6" t="s">
        <v>170</v>
      </c>
      <c r="AA1442" s="6" t="s">
        <v>171</v>
      </c>
      <c r="AB1442" s="6">
        <v>0</v>
      </c>
      <c r="AC1442" s="6" t="str">
        <f>""</f>
        <v/>
      </c>
      <c r="AS1442" s="6">
        <v>0</v>
      </c>
      <c r="AT1442" s="6">
        <v>0</v>
      </c>
    </row>
    <row r="1443" spans="2:46">
      <c r="B1443" s="6" t="s">
        <v>106</v>
      </c>
      <c r="D1443" s="6" t="s">
        <v>3316</v>
      </c>
      <c r="F1443" s="6" t="s">
        <v>6043</v>
      </c>
      <c r="G1443" s="6" t="str">
        <f>"mnmm17fwc03_66s"</f>
        <v>mnmm17fwc03_66s</v>
      </c>
      <c r="H1443" s="6" t="s">
        <v>6044</v>
      </c>
      <c r="I1443" s="6" t="s">
        <v>6014</v>
      </c>
      <c r="J1443" s="6" t="str">
        <f t="shared" si="3"/>
        <v>gold mix ball case</v>
      </c>
      <c r="K1443" s="6">
        <v>0</v>
      </c>
      <c r="L1443" s="6">
        <v>0</v>
      </c>
      <c r="M1443" s="6">
        <v>0</v>
      </c>
      <c r="N1443" s="6" t="str">
        <f>""</f>
        <v/>
      </c>
      <c r="O1443" s="6">
        <v>31449</v>
      </c>
      <c r="P1443" s="6" t="s">
        <v>6045</v>
      </c>
      <c r="R1443" s="6" t="s">
        <v>6046</v>
      </c>
      <c r="S1443" s="6" t="s">
        <v>6047</v>
      </c>
      <c r="T1443" s="6">
        <v>0</v>
      </c>
      <c r="U1443" s="6">
        <v>0</v>
      </c>
      <c r="V1443" s="6">
        <v>0</v>
      </c>
      <c r="W1443" s="6">
        <v>0</v>
      </c>
      <c r="X1443" s="6" t="s">
        <v>169</v>
      </c>
      <c r="Z1443" s="6" t="s">
        <v>170</v>
      </c>
      <c r="AA1443" s="6" t="s">
        <v>171</v>
      </c>
      <c r="AB1443" s="6">
        <v>0</v>
      </c>
      <c r="AC1443" s="6" t="str">
        <f>""</f>
        <v/>
      </c>
      <c r="AS1443" s="6">
        <v>0</v>
      </c>
      <c r="AT1443" s="6">
        <v>0</v>
      </c>
    </row>
    <row r="1444" spans="2:46">
      <c r="B1444" s="6" t="s">
        <v>106</v>
      </c>
      <c r="D1444" s="6" t="s">
        <v>3316</v>
      </c>
      <c r="F1444" s="6" t="s">
        <v>6048</v>
      </c>
      <c r="G1444" s="6" t="str">
        <f>"mnmm17fwc02_x"</f>
        <v>mnmm17fwc02_x</v>
      </c>
      <c r="H1444" s="6" t="s">
        <v>6049</v>
      </c>
      <c r="I1444" s="6" t="s">
        <v>6050</v>
      </c>
      <c r="J1444" s="6" t="str">
        <f t="shared" ref="J1444:J1450" si="4">"lather grip case sand"</f>
        <v>lather grip case sand</v>
      </c>
      <c r="K1444" s="6">
        <v>0</v>
      </c>
      <c r="L1444" s="6">
        <v>0</v>
      </c>
      <c r="M1444" s="6">
        <v>0</v>
      </c>
      <c r="N1444" s="6" t="str">
        <f>""</f>
        <v/>
      </c>
      <c r="O1444" s="6">
        <v>31447</v>
      </c>
      <c r="P1444" s="6" t="s">
        <v>6051</v>
      </c>
      <c r="R1444" s="6" t="s">
        <v>6052</v>
      </c>
      <c r="S1444" s="6" t="s">
        <v>6053</v>
      </c>
      <c r="T1444" s="6">
        <v>0</v>
      </c>
      <c r="U1444" s="6">
        <v>0</v>
      </c>
      <c r="V1444" s="6">
        <v>0</v>
      </c>
      <c r="W1444" s="6">
        <v>0</v>
      </c>
      <c r="X1444" s="6" t="s">
        <v>169</v>
      </c>
      <c r="Z1444" s="6" t="s">
        <v>170</v>
      </c>
      <c r="AA1444" s="6" t="s">
        <v>171</v>
      </c>
      <c r="AB1444" s="6">
        <v>0</v>
      </c>
      <c r="AC1444" s="6" t="str">
        <f>""</f>
        <v/>
      </c>
      <c r="AS1444" s="6">
        <v>0</v>
      </c>
      <c r="AT1444" s="6">
        <v>0</v>
      </c>
    </row>
    <row r="1445" spans="2:46">
      <c r="B1445" s="6" t="s">
        <v>106</v>
      </c>
      <c r="D1445" s="6" t="s">
        <v>3316</v>
      </c>
      <c r="F1445" s="6" t="s">
        <v>6054</v>
      </c>
      <c r="G1445" s="6" t="str">
        <f>"mnmm17fwc02_8p"</f>
        <v>mnmm17fwc02_8p</v>
      </c>
      <c r="H1445" s="6" t="s">
        <v>6055</v>
      </c>
      <c r="I1445" s="6" t="s">
        <v>6050</v>
      </c>
      <c r="J1445" s="6" t="str">
        <f t="shared" si="4"/>
        <v>lather grip case sand</v>
      </c>
      <c r="K1445" s="6">
        <v>0</v>
      </c>
      <c r="L1445" s="6">
        <v>0</v>
      </c>
      <c r="M1445" s="6">
        <v>0</v>
      </c>
      <c r="N1445" s="6" t="str">
        <f>""</f>
        <v/>
      </c>
      <c r="O1445" s="6">
        <v>31446</v>
      </c>
      <c r="P1445" s="6" t="s">
        <v>6056</v>
      </c>
      <c r="R1445" s="6" t="s">
        <v>6057</v>
      </c>
      <c r="S1445" s="6" t="s">
        <v>6058</v>
      </c>
      <c r="T1445" s="6">
        <v>0</v>
      </c>
      <c r="U1445" s="6">
        <v>0</v>
      </c>
      <c r="V1445" s="6">
        <v>0</v>
      </c>
      <c r="W1445" s="6">
        <v>0</v>
      </c>
      <c r="X1445" s="6" t="s">
        <v>169</v>
      </c>
      <c r="Z1445" s="6" t="s">
        <v>170</v>
      </c>
      <c r="AA1445" s="6" t="s">
        <v>171</v>
      </c>
      <c r="AB1445" s="6">
        <v>0</v>
      </c>
      <c r="AC1445" s="6" t="str">
        <f>""</f>
        <v/>
      </c>
      <c r="AS1445" s="6">
        <v>0</v>
      </c>
      <c r="AT1445" s="6">
        <v>0</v>
      </c>
    </row>
    <row r="1446" spans="2:46">
      <c r="B1446" s="6" t="s">
        <v>106</v>
      </c>
      <c r="D1446" s="6" t="s">
        <v>3316</v>
      </c>
      <c r="F1446" s="6" t="s">
        <v>6059</v>
      </c>
      <c r="G1446" s="6" t="str">
        <f>"mnmm17fwc02_8"</f>
        <v>mnmm17fwc02_8</v>
      </c>
      <c r="H1446" s="6" t="s">
        <v>6060</v>
      </c>
      <c r="I1446" s="6" t="s">
        <v>6050</v>
      </c>
      <c r="J1446" s="6" t="str">
        <f t="shared" si="4"/>
        <v>lather grip case sand</v>
      </c>
      <c r="K1446" s="6">
        <v>0</v>
      </c>
      <c r="L1446" s="6">
        <v>0</v>
      </c>
      <c r="M1446" s="6">
        <v>0</v>
      </c>
      <c r="N1446" s="6" t="str">
        <f>""</f>
        <v/>
      </c>
      <c r="O1446" s="6">
        <v>31445</v>
      </c>
      <c r="P1446" s="6" t="s">
        <v>6061</v>
      </c>
      <c r="R1446" s="6" t="s">
        <v>6062</v>
      </c>
      <c r="S1446" s="6" t="s">
        <v>6063</v>
      </c>
      <c r="T1446" s="6">
        <v>0</v>
      </c>
      <c r="U1446" s="6">
        <v>0</v>
      </c>
      <c r="V1446" s="6">
        <v>0</v>
      </c>
      <c r="W1446" s="6">
        <v>0</v>
      </c>
      <c r="X1446" s="6" t="s">
        <v>169</v>
      </c>
      <c r="Z1446" s="6" t="s">
        <v>170</v>
      </c>
      <c r="AA1446" s="6" t="s">
        <v>171</v>
      </c>
      <c r="AB1446" s="6">
        <v>0</v>
      </c>
      <c r="AC1446" s="6" t="str">
        <f>""</f>
        <v/>
      </c>
      <c r="AS1446" s="6">
        <v>0</v>
      </c>
      <c r="AT1446" s="6">
        <v>0</v>
      </c>
    </row>
    <row r="1447" spans="2:46">
      <c r="B1447" s="6" t="s">
        <v>106</v>
      </c>
      <c r="D1447" s="6" t="s">
        <v>3316</v>
      </c>
      <c r="F1447" s="6" t="s">
        <v>6064</v>
      </c>
      <c r="G1447" s="6" t="str">
        <f>"mnmm17fwc02_7p"</f>
        <v>mnmm17fwc02_7p</v>
      </c>
      <c r="H1447" s="6" t="s">
        <v>6065</v>
      </c>
      <c r="I1447" s="6" t="s">
        <v>6050</v>
      </c>
      <c r="J1447" s="6" t="str">
        <f t="shared" si="4"/>
        <v>lather grip case sand</v>
      </c>
      <c r="K1447" s="6">
        <v>0</v>
      </c>
      <c r="L1447" s="6">
        <v>0</v>
      </c>
      <c r="M1447" s="6">
        <v>0</v>
      </c>
      <c r="N1447" s="6" t="str">
        <f>""</f>
        <v/>
      </c>
      <c r="O1447" s="6">
        <v>31444</v>
      </c>
      <c r="P1447" s="6" t="s">
        <v>6066</v>
      </c>
      <c r="R1447" s="6" t="s">
        <v>6067</v>
      </c>
      <c r="S1447" s="6" t="s">
        <v>6068</v>
      </c>
      <c r="T1447" s="6">
        <v>0</v>
      </c>
      <c r="U1447" s="6">
        <v>0</v>
      </c>
      <c r="V1447" s="6">
        <v>0</v>
      </c>
      <c r="W1447" s="6">
        <v>0</v>
      </c>
      <c r="X1447" s="6" t="s">
        <v>169</v>
      </c>
      <c r="Z1447" s="6" t="s">
        <v>170</v>
      </c>
      <c r="AA1447" s="6" t="s">
        <v>171</v>
      </c>
      <c r="AB1447" s="6">
        <v>0</v>
      </c>
      <c r="AC1447" s="6" t="str">
        <f>""</f>
        <v/>
      </c>
      <c r="AS1447" s="6">
        <v>0</v>
      </c>
      <c r="AT1447" s="6">
        <v>0</v>
      </c>
    </row>
    <row r="1448" spans="2:46">
      <c r="B1448" s="6" t="s">
        <v>106</v>
      </c>
      <c r="D1448" s="6" t="s">
        <v>3316</v>
      </c>
      <c r="F1448" s="6" t="s">
        <v>6069</v>
      </c>
      <c r="G1448" s="6" t="str">
        <f>"mnmm17fwc02_7"</f>
        <v>mnmm17fwc02_7</v>
      </c>
      <c r="H1448" s="6" t="s">
        <v>6070</v>
      </c>
      <c r="I1448" s="6" t="s">
        <v>6050</v>
      </c>
      <c r="J1448" s="6" t="str">
        <f t="shared" si="4"/>
        <v>lather grip case sand</v>
      </c>
      <c r="K1448" s="6">
        <v>0</v>
      </c>
      <c r="L1448" s="6">
        <v>0</v>
      </c>
      <c r="M1448" s="6">
        <v>0</v>
      </c>
      <c r="N1448" s="6" t="str">
        <f>""</f>
        <v/>
      </c>
      <c r="O1448" s="6">
        <v>31443</v>
      </c>
      <c r="P1448" s="6" t="s">
        <v>6071</v>
      </c>
      <c r="R1448" s="6" t="s">
        <v>6072</v>
      </c>
      <c r="S1448" s="6" t="s">
        <v>6073</v>
      </c>
      <c r="T1448" s="6">
        <v>0</v>
      </c>
      <c r="U1448" s="6">
        <v>0</v>
      </c>
      <c r="V1448" s="6">
        <v>0</v>
      </c>
      <c r="W1448" s="6">
        <v>0</v>
      </c>
      <c r="X1448" s="6" t="s">
        <v>169</v>
      </c>
      <c r="Z1448" s="6" t="s">
        <v>170</v>
      </c>
      <c r="AA1448" s="6" t="s">
        <v>171</v>
      </c>
      <c r="AB1448" s="6">
        <v>0</v>
      </c>
      <c r="AC1448" s="6" t="str">
        <f>""</f>
        <v/>
      </c>
      <c r="AS1448" s="6">
        <v>0</v>
      </c>
      <c r="AT1448" s="6">
        <v>0</v>
      </c>
    </row>
    <row r="1449" spans="2:46">
      <c r="B1449" s="6" t="s">
        <v>106</v>
      </c>
      <c r="D1449" s="6" t="s">
        <v>3316</v>
      </c>
      <c r="F1449" s="6" t="s">
        <v>6074</v>
      </c>
      <c r="G1449" s="6" t="str">
        <f>"mnmm17fwc02_6p6ps"</f>
        <v>mnmm17fwc02_6p6ps</v>
      </c>
      <c r="H1449" s="6" t="s">
        <v>6075</v>
      </c>
      <c r="I1449" s="6" t="s">
        <v>6050</v>
      </c>
      <c r="J1449" s="6" t="str">
        <f t="shared" si="4"/>
        <v>lather grip case sand</v>
      </c>
      <c r="K1449" s="6">
        <v>0</v>
      </c>
      <c r="L1449" s="6">
        <v>0</v>
      </c>
      <c r="M1449" s="6">
        <v>0</v>
      </c>
      <c r="N1449" s="6" t="str">
        <f>""</f>
        <v/>
      </c>
      <c r="O1449" s="6">
        <v>31442</v>
      </c>
      <c r="P1449" s="6" t="s">
        <v>6076</v>
      </c>
      <c r="R1449" s="6" t="s">
        <v>6077</v>
      </c>
      <c r="S1449" s="6" t="s">
        <v>6078</v>
      </c>
      <c r="T1449" s="6">
        <v>0</v>
      </c>
      <c r="U1449" s="6">
        <v>0</v>
      </c>
      <c r="V1449" s="6">
        <v>0</v>
      </c>
      <c r="W1449" s="6">
        <v>0</v>
      </c>
      <c r="X1449" s="6" t="s">
        <v>169</v>
      </c>
      <c r="Z1449" s="6" t="s">
        <v>170</v>
      </c>
      <c r="AA1449" s="6" t="s">
        <v>171</v>
      </c>
      <c r="AB1449" s="6">
        <v>0</v>
      </c>
      <c r="AC1449" s="6" t="str">
        <f>""</f>
        <v/>
      </c>
      <c r="AS1449" s="6">
        <v>0</v>
      </c>
      <c r="AT1449" s="6">
        <v>0</v>
      </c>
    </row>
    <row r="1450" spans="2:46">
      <c r="B1450" s="6" t="s">
        <v>106</v>
      </c>
      <c r="D1450" s="6" t="s">
        <v>3316</v>
      </c>
      <c r="F1450" s="6" t="s">
        <v>6079</v>
      </c>
      <c r="G1450" s="6" t="str">
        <f>"mnmm17fwc02_66s"</f>
        <v>mnmm17fwc02_66s</v>
      </c>
      <c r="H1450" s="6" t="s">
        <v>6080</v>
      </c>
      <c r="I1450" s="6" t="s">
        <v>6050</v>
      </c>
      <c r="J1450" s="6" t="str">
        <f t="shared" si="4"/>
        <v>lather grip case sand</v>
      </c>
      <c r="K1450" s="6">
        <v>0</v>
      </c>
      <c r="L1450" s="6">
        <v>0</v>
      </c>
      <c r="M1450" s="6">
        <v>0</v>
      </c>
      <c r="N1450" s="6" t="str">
        <f>""</f>
        <v/>
      </c>
      <c r="O1450" s="6">
        <v>31441</v>
      </c>
      <c r="P1450" s="6" t="s">
        <v>6081</v>
      </c>
      <c r="R1450" s="6" t="s">
        <v>6082</v>
      </c>
      <c r="S1450" s="6" t="s">
        <v>6083</v>
      </c>
      <c r="T1450" s="6">
        <v>0</v>
      </c>
      <c r="U1450" s="6">
        <v>0</v>
      </c>
      <c r="V1450" s="6">
        <v>0</v>
      </c>
      <c r="W1450" s="6">
        <v>0</v>
      </c>
      <c r="X1450" s="6" t="s">
        <v>169</v>
      </c>
      <c r="Z1450" s="6" t="s">
        <v>170</v>
      </c>
      <c r="AA1450" s="6" t="s">
        <v>171</v>
      </c>
      <c r="AB1450" s="6">
        <v>0</v>
      </c>
      <c r="AC1450" s="6" t="str">
        <f>""</f>
        <v/>
      </c>
      <c r="AS1450" s="6">
        <v>0</v>
      </c>
      <c r="AT1450" s="6">
        <v>0</v>
      </c>
    </row>
    <row r="1451" spans="2:46">
      <c r="B1451" s="6" t="s">
        <v>106</v>
      </c>
      <c r="D1451" s="6" t="s">
        <v>3316</v>
      </c>
      <c r="F1451" s="6" t="s">
        <v>6084</v>
      </c>
      <c r="G1451" s="6" t="str">
        <f>"mnmm17fwc01_x"</f>
        <v>mnmm17fwc01_x</v>
      </c>
      <c r="H1451" s="6" t="s">
        <v>6085</v>
      </c>
      <c r="I1451" s="6" t="s">
        <v>6086</v>
      </c>
      <c r="J1451" s="6" t="str">
        <f t="shared" ref="J1451:J1457" si="5">"lather grip case tree"</f>
        <v>lather grip case tree</v>
      </c>
      <c r="K1451" s="6">
        <v>0</v>
      </c>
      <c r="L1451" s="6">
        <v>0</v>
      </c>
      <c r="M1451" s="6">
        <v>0</v>
      </c>
      <c r="N1451" s="6" t="str">
        <f>""</f>
        <v/>
      </c>
      <c r="O1451" s="6">
        <v>31439</v>
      </c>
      <c r="P1451" s="6" t="s">
        <v>6087</v>
      </c>
      <c r="R1451" s="6" t="s">
        <v>6016</v>
      </c>
      <c r="S1451" s="6" t="s">
        <v>6088</v>
      </c>
      <c r="T1451" s="6">
        <v>0</v>
      </c>
      <c r="U1451" s="6">
        <v>0</v>
      </c>
      <c r="V1451" s="6">
        <v>0</v>
      </c>
      <c r="W1451" s="6">
        <v>0</v>
      </c>
      <c r="X1451" s="6" t="s">
        <v>169</v>
      </c>
      <c r="Z1451" s="6" t="s">
        <v>170</v>
      </c>
      <c r="AA1451" s="6" t="s">
        <v>171</v>
      </c>
      <c r="AB1451" s="6">
        <v>0</v>
      </c>
      <c r="AC1451" s="6" t="str">
        <f>""</f>
        <v/>
      </c>
      <c r="AS1451" s="6">
        <v>0</v>
      </c>
      <c r="AT1451" s="6">
        <v>0</v>
      </c>
    </row>
    <row r="1452" spans="2:46">
      <c r="B1452" s="6" t="s">
        <v>106</v>
      </c>
      <c r="D1452" s="6" t="s">
        <v>3316</v>
      </c>
      <c r="F1452" s="6" t="s">
        <v>6089</v>
      </c>
      <c r="G1452" s="6" t="str">
        <f>"mnmm17fwc01_8p"</f>
        <v>mnmm17fwc01_8p</v>
      </c>
      <c r="H1452" s="6" t="s">
        <v>6090</v>
      </c>
      <c r="I1452" s="6" t="s">
        <v>6086</v>
      </c>
      <c r="J1452" s="6" t="str">
        <f t="shared" si="5"/>
        <v>lather grip case tree</v>
      </c>
      <c r="K1452" s="6">
        <v>0</v>
      </c>
      <c r="L1452" s="6">
        <v>0</v>
      </c>
      <c r="M1452" s="6">
        <v>0</v>
      </c>
      <c r="N1452" s="6" t="str">
        <f>""</f>
        <v/>
      </c>
      <c r="O1452" s="6">
        <v>31438</v>
      </c>
      <c r="P1452" s="6" t="s">
        <v>6091</v>
      </c>
      <c r="R1452" s="6" t="s">
        <v>6021</v>
      </c>
      <c r="S1452" s="6" t="s">
        <v>6092</v>
      </c>
      <c r="T1452" s="6">
        <v>0</v>
      </c>
      <c r="U1452" s="6">
        <v>0</v>
      </c>
      <c r="V1452" s="6">
        <v>0</v>
      </c>
      <c r="W1452" s="6">
        <v>0</v>
      </c>
      <c r="X1452" s="6" t="s">
        <v>169</v>
      </c>
      <c r="Z1452" s="6" t="s">
        <v>170</v>
      </c>
      <c r="AA1452" s="6" t="s">
        <v>171</v>
      </c>
      <c r="AB1452" s="6">
        <v>0</v>
      </c>
      <c r="AC1452" s="6" t="str">
        <f>""</f>
        <v/>
      </c>
      <c r="AS1452" s="6">
        <v>0</v>
      </c>
      <c r="AT1452" s="6">
        <v>0</v>
      </c>
    </row>
    <row r="1453" spans="2:46">
      <c r="B1453" s="6" t="s">
        <v>106</v>
      </c>
      <c r="D1453" s="6" t="s">
        <v>3316</v>
      </c>
      <c r="F1453" s="6" t="s">
        <v>6093</v>
      </c>
      <c r="G1453" s="6" t="str">
        <f>"mnmm17fwc01_8"</f>
        <v>mnmm17fwc01_8</v>
      </c>
      <c r="H1453" s="6" t="s">
        <v>6094</v>
      </c>
      <c r="I1453" s="6" t="s">
        <v>6086</v>
      </c>
      <c r="J1453" s="6" t="str">
        <f t="shared" si="5"/>
        <v>lather grip case tree</v>
      </c>
      <c r="K1453" s="6">
        <v>0</v>
      </c>
      <c r="L1453" s="6">
        <v>0</v>
      </c>
      <c r="M1453" s="6">
        <v>0</v>
      </c>
      <c r="N1453" s="6" t="str">
        <f>""</f>
        <v/>
      </c>
      <c r="O1453" s="6">
        <v>31437</v>
      </c>
      <c r="P1453" s="6" t="s">
        <v>6095</v>
      </c>
      <c r="R1453" s="6" t="s">
        <v>6026</v>
      </c>
      <c r="S1453" s="6" t="s">
        <v>6096</v>
      </c>
      <c r="T1453" s="6">
        <v>0</v>
      </c>
      <c r="U1453" s="6">
        <v>0</v>
      </c>
      <c r="V1453" s="6">
        <v>0</v>
      </c>
      <c r="W1453" s="6">
        <v>0</v>
      </c>
      <c r="X1453" s="6" t="s">
        <v>169</v>
      </c>
      <c r="Z1453" s="6" t="s">
        <v>170</v>
      </c>
      <c r="AA1453" s="6" t="s">
        <v>171</v>
      </c>
      <c r="AB1453" s="6">
        <v>0</v>
      </c>
      <c r="AC1453" s="6" t="str">
        <f>""</f>
        <v/>
      </c>
      <c r="AS1453" s="6">
        <v>0</v>
      </c>
      <c r="AT1453" s="6">
        <v>0</v>
      </c>
    </row>
    <row r="1454" spans="2:46">
      <c r="B1454" s="6" t="s">
        <v>106</v>
      </c>
      <c r="D1454" s="6" t="s">
        <v>3316</v>
      </c>
      <c r="F1454" s="6" t="s">
        <v>6097</v>
      </c>
      <c r="G1454" s="6" t="str">
        <f>"mnmm17fwc01_7p"</f>
        <v>mnmm17fwc01_7p</v>
      </c>
      <c r="H1454" s="6" t="s">
        <v>6098</v>
      </c>
      <c r="I1454" s="6" t="s">
        <v>6086</v>
      </c>
      <c r="J1454" s="6" t="str">
        <f t="shared" si="5"/>
        <v>lather grip case tree</v>
      </c>
      <c r="K1454" s="6">
        <v>0</v>
      </c>
      <c r="L1454" s="6">
        <v>0</v>
      </c>
      <c r="M1454" s="6">
        <v>0</v>
      </c>
      <c r="N1454" s="6" t="str">
        <f>""</f>
        <v/>
      </c>
      <c r="O1454" s="6">
        <v>31436</v>
      </c>
      <c r="P1454" s="6" t="s">
        <v>6099</v>
      </c>
      <c r="R1454" s="6" t="s">
        <v>6031</v>
      </c>
      <c r="S1454" s="6" t="s">
        <v>6100</v>
      </c>
      <c r="T1454" s="6">
        <v>0</v>
      </c>
      <c r="U1454" s="6">
        <v>0</v>
      </c>
      <c r="V1454" s="6">
        <v>0</v>
      </c>
      <c r="W1454" s="6">
        <v>0</v>
      </c>
      <c r="X1454" s="6" t="s">
        <v>169</v>
      </c>
      <c r="Z1454" s="6" t="s">
        <v>170</v>
      </c>
      <c r="AA1454" s="6" t="s">
        <v>171</v>
      </c>
      <c r="AB1454" s="6">
        <v>0</v>
      </c>
      <c r="AC1454" s="6" t="str">
        <f>""</f>
        <v/>
      </c>
      <c r="AS1454" s="6">
        <v>0</v>
      </c>
      <c r="AT1454" s="6">
        <v>0</v>
      </c>
    </row>
    <row r="1455" spans="2:46">
      <c r="B1455" s="6" t="s">
        <v>106</v>
      </c>
      <c r="D1455" s="6" t="s">
        <v>3316</v>
      </c>
      <c r="F1455" s="6" t="s">
        <v>6101</v>
      </c>
      <c r="G1455" s="6" t="str">
        <f>"mnmm17fwc01_7"</f>
        <v>mnmm17fwc01_7</v>
      </c>
      <c r="H1455" s="6" t="s">
        <v>6102</v>
      </c>
      <c r="I1455" s="6" t="s">
        <v>6086</v>
      </c>
      <c r="J1455" s="6" t="str">
        <f t="shared" si="5"/>
        <v>lather grip case tree</v>
      </c>
      <c r="K1455" s="6">
        <v>0</v>
      </c>
      <c r="L1455" s="6">
        <v>0</v>
      </c>
      <c r="M1455" s="6">
        <v>0</v>
      </c>
      <c r="N1455" s="6" t="str">
        <f>""</f>
        <v/>
      </c>
      <c r="O1455" s="6">
        <v>31435</v>
      </c>
      <c r="P1455" s="6" t="s">
        <v>6103</v>
      </c>
      <c r="R1455" s="6" t="s">
        <v>6036</v>
      </c>
      <c r="S1455" s="6" t="s">
        <v>6104</v>
      </c>
      <c r="T1455" s="6">
        <v>0</v>
      </c>
      <c r="U1455" s="6">
        <v>0</v>
      </c>
      <c r="V1455" s="6">
        <v>0</v>
      </c>
      <c r="W1455" s="6">
        <v>0</v>
      </c>
      <c r="X1455" s="6" t="s">
        <v>169</v>
      </c>
      <c r="Z1455" s="6" t="s">
        <v>170</v>
      </c>
      <c r="AA1455" s="6" t="s">
        <v>171</v>
      </c>
      <c r="AB1455" s="6">
        <v>0</v>
      </c>
      <c r="AC1455" s="6" t="str">
        <f>""</f>
        <v/>
      </c>
      <c r="AS1455" s="6">
        <v>0</v>
      </c>
      <c r="AT1455" s="6">
        <v>0</v>
      </c>
    </row>
    <row r="1456" spans="2:46">
      <c r="B1456" s="6" t="s">
        <v>106</v>
      </c>
      <c r="D1456" s="6" t="s">
        <v>3316</v>
      </c>
      <c r="F1456" s="6" t="s">
        <v>6105</v>
      </c>
      <c r="G1456" s="6" t="str">
        <f>"mnmm17fwc01_6p6ps"</f>
        <v>mnmm17fwc01_6p6ps</v>
      </c>
      <c r="H1456" s="6" t="s">
        <v>6106</v>
      </c>
      <c r="I1456" s="6" t="s">
        <v>6086</v>
      </c>
      <c r="J1456" s="6" t="str">
        <f t="shared" si="5"/>
        <v>lather grip case tree</v>
      </c>
      <c r="K1456" s="6">
        <v>0</v>
      </c>
      <c r="L1456" s="6">
        <v>0</v>
      </c>
      <c r="M1456" s="6">
        <v>0</v>
      </c>
      <c r="N1456" s="6" t="str">
        <f>""</f>
        <v/>
      </c>
      <c r="O1456" s="6">
        <v>31434</v>
      </c>
      <c r="P1456" s="6" t="s">
        <v>6107</v>
      </c>
      <c r="R1456" s="6" t="s">
        <v>6041</v>
      </c>
      <c r="S1456" s="6" t="s">
        <v>6108</v>
      </c>
      <c r="T1456" s="6">
        <v>0</v>
      </c>
      <c r="U1456" s="6">
        <v>0</v>
      </c>
      <c r="V1456" s="6">
        <v>0</v>
      </c>
      <c r="W1456" s="6">
        <v>0</v>
      </c>
      <c r="X1456" s="6" t="s">
        <v>169</v>
      </c>
      <c r="Z1456" s="6" t="s">
        <v>170</v>
      </c>
      <c r="AA1456" s="6" t="s">
        <v>171</v>
      </c>
      <c r="AB1456" s="6">
        <v>0</v>
      </c>
      <c r="AC1456" s="6" t="str">
        <f>""</f>
        <v/>
      </c>
      <c r="AS1456" s="6">
        <v>0</v>
      </c>
      <c r="AT1456" s="6">
        <v>0</v>
      </c>
    </row>
    <row r="1457" spans="2:46">
      <c r="B1457" s="6" t="s">
        <v>106</v>
      </c>
      <c r="D1457" s="6" t="s">
        <v>3316</v>
      </c>
      <c r="F1457" s="6" t="s">
        <v>6109</v>
      </c>
      <c r="G1457" s="6" t="str">
        <f>"mnmm17fwc01_66s"</f>
        <v>mnmm17fwc01_66s</v>
      </c>
      <c r="H1457" s="6" t="s">
        <v>6110</v>
      </c>
      <c r="I1457" s="6" t="s">
        <v>6086</v>
      </c>
      <c r="J1457" s="6" t="str">
        <f t="shared" si="5"/>
        <v>lather grip case tree</v>
      </c>
      <c r="K1457" s="6">
        <v>0</v>
      </c>
      <c r="L1457" s="6">
        <v>0</v>
      </c>
      <c r="M1457" s="6">
        <v>0</v>
      </c>
      <c r="N1457" s="6" t="str">
        <f>""</f>
        <v/>
      </c>
      <c r="O1457" s="6">
        <v>31433</v>
      </c>
      <c r="P1457" s="6" t="s">
        <v>6111</v>
      </c>
      <c r="R1457" s="6" t="s">
        <v>6046</v>
      </c>
      <c r="S1457" s="6" t="s">
        <v>6112</v>
      </c>
      <c r="T1457" s="6">
        <v>0</v>
      </c>
      <c r="U1457" s="6">
        <v>0</v>
      </c>
      <c r="V1457" s="6">
        <v>0</v>
      </c>
      <c r="W1457" s="6">
        <v>0</v>
      </c>
      <c r="X1457" s="6" t="s">
        <v>169</v>
      </c>
      <c r="Z1457" s="6" t="s">
        <v>170</v>
      </c>
      <c r="AA1457" s="6" t="s">
        <v>171</v>
      </c>
      <c r="AB1457" s="6">
        <v>0</v>
      </c>
      <c r="AC1457" s="6" t="str">
        <f>""</f>
        <v/>
      </c>
      <c r="AS1457" s="6">
        <v>0</v>
      </c>
      <c r="AT1457" s="6">
        <v>0</v>
      </c>
    </row>
    <row r="1458" spans="2:46">
      <c r="B1458" s="6" t="s">
        <v>106</v>
      </c>
      <c r="D1458" s="6" t="s">
        <v>3316</v>
      </c>
      <c r="F1458" s="6" t="s">
        <v>6113</v>
      </c>
      <c r="G1458" s="6" t="str">
        <f>"mnmm17fwb25"</f>
        <v>mnmm17fwb25</v>
      </c>
      <c r="I1458" s="6" t="s">
        <v>6114</v>
      </c>
      <c r="J1458" s="6" t="str">
        <f>"Saturday bracelet"</f>
        <v>Saturday bracelet</v>
      </c>
      <c r="K1458" s="6">
        <v>0</v>
      </c>
      <c r="L1458" s="6">
        <v>0</v>
      </c>
      <c r="M1458" s="6">
        <v>0</v>
      </c>
      <c r="N1458" s="6" t="str">
        <f>""</f>
        <v/>
      </c>
      <c r="O1458" s="6">
        <v>31407</v>
      </c>
      <c r="P1458" s="6" t="s">
        <v>6115</v>
      </c>
      <c r="R1458" s="6" t="s">
        <v>6116</v>
      </c>
      <c r="S1458" s="6" t="s">
        <v>6117</v>
      </c>
      <c r="T1458" s="6">
        <v>1</v>
      </c>
      <c r="U1458" s="6">
        <v>0</v>
      </c>
      <c r="V1458" s="6">
        <v>0</v>
      </c>
      <c r="W1458" s="6">
        <v>0</v>
      </c>
      <c r="X1458" s="6" t="s">
        <v>169</v>
      </c>
      <c r="Z1458" s="6" t="s">
        <v>170</v>
      </c>
      <c r="AA1458" s="6" t="s">
        <v>171</v>
      </c>
      <c r="AB1458" s="6">
        <v>0</v>
      </c>
      <c r="AC1458" s="6" t="str">
        <f>"KEY-003"</f>
        <v>KEY-003</v>
      </c>
      <c r="AQ1458" s="6" t="str">
        <f>""</f>
        <v/>
      </c>
      <c r="AR1458" s="6" t="s">
        <v>1584</v>
      </c>
      <c r="AS1458" s="6">
        <v>0</v>
      </c>
      <c r="AT1458" s="6">
        <v>1</v>
      </c>
    </row>
    <row r="1459" spans="2:46">
      <c r="B1459" s="6" t="s">
        <v>106</v>
      </c>
      <c r="D1459" s="6" t="s">
        <v>3316</v>
      </c>
      <c r="F1459" s="6" t="s">
        <v>6118</v>
      </c>
      <c r="G1459" s="6" t="str">
        <f>"mnmm17fwb24"</f>
        <v>mnmm17fwb24</v>
      </c>
      <c r="H1459" s="6" t="s">
        <v>6119</v>
      </c>
      <c r="I1459" s="6" t="s">
        <v>6120</v>
      </c>
      <c r="J1459" s="6" t="str">
        <f>"evening bangle"</f>
        <v>evening bangle</v>
      </c>
      <c r="K1459" s="6">
        <v>0</v>
      </c>
      <c r="L1459" s="6">
        <v>0</v>
      </c>
      <c r="M1459" s="6">
        <v>0</v>
      </c>
      <c r="N1459" s="6" t="str">
        <f>""</f>
        <v/>
      </c>
      <c r="O1459" s="6">
        <v>31405</v>
      </c>
      <c r="P1459" s="6" t="s">
        <v>6121</v>
      </c>
      <c r="R1459" s="6" t="s">
        <v>6116</v>
      </c>
      <c r="S1459" s="6" t="s">
        <v>6122</v>
      </c>
      <c r="T1459" s="6">
        <v>0</v>
      </c>
      <c r="U1459" s="6">
        <v>0</v>
      </c>
      <c r="V1459" s="6">
        <v>0</v>
      </c>
      <c r="W1459" s="6">
        <v>0</v>
      </c>
      <c r="X1459" s="6" t="s">
        <v>169</v>
      </c>
      <c r="Z1459" s="6" t="s">
        <v>170</v>
      </c>
      <c r="AA1459" s="6" t="s">
        <v>171</v>
      </c>
      <c r="AB1459" s="6">
        <v>0</v>
      </c>
      <c r="AC1459" s="6" t="str">
        <f>""</f>
        <v/>
      </c>
      <c r="AS1459" s="6">
        <v>0</v>
      </c>
      <c r="AT1459" s="6">
        <v>0</v>
      </c>
    </row>
    <row r="1460" spans="2:46">
      <c r="B1460" s="6" t="s">
        <v>106</v>
      </c>
      <c r="D1460" s="6" t="s">
        <v>3316</v>
      </c>
      <c r="F1460" s="6" t="s">
        <v>6123</v>
      </c>
      <c r="G1460" s="6" t="str">
        <f>"mnmm17fwr23"</f>
        <v>mnmm17fwr23</v>
      </c>
      <c r="I1460" s="6" t="s">
        <v>6124</v>
      </c>
      <c r="J1460" s="6" t="str">
        <f>"planet ring"</f>
        <v>planet ring</v>
      </c>
      <c r="K1460" s="6">
        <v>0</v>
      </c>
      <c r="L1460" s="6">
        <v>0</v>
      </c>
      <c r="M1460" s="6">
        <v>0</v>
      </c>
      <c r="N1460" s="6" t="str">
        <f>""</f>
        <v/>
      </c>
      <c r="O1460" s="6">
        <v>31403</v>
      </c>
      <c r="P1460" s="6" t="s">
        <v>6125</v>
      </c>
      <c r="R1460" s="6" t="s">
        <v>6126</v>
      </c>
      <c r="S1460" s="6" t="s">
        <v>6127</v>
      </c>
      <c r="T1460" s="6">
        <v>1</v>
      </c>
      <c r="U1460" s="6">
        <v>0</v>
      </c>
      <c r="V1460" s="6">
        <v>0</v>
      </c>
      <c r="W1460" s="6">
        <v>0</v>
      </c>
      <c r="X1460" s="6" t="s">
        <v>169</v>
      </c>
      <c r="Z1460" s="6" t="s">
        <v>170</v>
      </c>
      <c r="AA1460" s="6" t="s">
        <v>171</v>
      </c>
      <c r="AB1460" s="6">
        <v>0</v>
      </c>
      <c r="AC1460" s="6" t="str">
        <f t="shared" ref="AC1460:AC1467" si="6">"KEY-003"</f>
        <v>KEY-003</v>
      </c>
      <c r="AQ1460" s="6" t="str">
        <f>""</f>
        <v/>
      </c>
      <c r="AR1460" s="6" t="s">
        <v>1584</v>
      </c>
      <c r="AS1460" s="6">
        <v>0</v>
      </c>
      <c r="AT1460" s="6">
        <v>1</v>
      </c>
    </row>
    <row r="1461" spans="2:46">
      <c r="B1461" s="6" t="s">
        <v>106</v>
      </c>
      <c r="D1461" s="6" t="s">
        <v>3316</v>
      </c>
      <c r="F1461" s="6" t="s">
        <v>6128</v>
      </c>
      <c r="G1461" s="6" t="str">
        <f>"mnmm17fwr22"</f>
        <v>mnmm17fwr22</v>
      </c>
      <c r="I1461" s="6" t="s">
        <v>6129</v>
      </c>
      <c r="J1461" s="6" t="str">
        <f>"take ring"</f>
        <v>take ring</v>
      </c>
      <c r="K1461" s="6">
        <v>0</v>
      </c>
      <c r="L1461" s="6">
        <v>0</v>
      </c>
      <c r="M1461" s="6">
        <v>0</v>
      </c>
      <c r="N1461" s="6" t="str">
        <f>""</f>
        <v/>
      </c>
      <c r="O1461" s="6">
        <v>31401</v>
      </c>
      <c r="P1461" s="6" t="s">
        <v>6130</v>
      </c>
      <c r="R1461" s="6" t="s">
        <v>6131</v>
      </c>
      <c r="S1461" s="6" t="s">
        <v>6132</v>
      </c>
      <c r="T1461" s="6">
        <v>1</v>
      </c>
      <c r="U1461" s="6">
        <v>0</v>
      </c>
      <c r="V1461" s="6">
        <v>0</v>
      </c>
      <c r="W1461" s="6">
        <v>0</v>
      </c>
      <c r="X1461" s="6" t="s">
        <v>169</v>
      </c>
      <c r="Z1461" s="6" t="s">
        <v>170</v>
      </c>
      <c r="AA1461" s="6" t="s">
        <v>171</v>
      </c>
      <c r="AB1461" s="6">
        <v>0</v>
      </c>
      <c r="AC1461" s="6" t="str">
        <f t="shared" si="6"/>
        <v>KEY-003</v>
      </c>
      <c r="AQ1461" s="6" t="str">
        <f>""</f>
        <v/>
      </c>
      <c r="AR1461" s="6" t="s">
        <v>1584</v>
      </c>
      <c r="AS1461" s="6">
        <v>0</v>
      </c>
      <c r="AT1461" s="6">
        <v>1</v>
      </c>
    </row>
    <row r="1462" spans="2:46">
      <c r="B1462" s="6" t="s">
        <v>106</v>
      </c>
      <c r="D1462" s="6" t="s">
        <v>3316</v>
      </c>
      <c r="F1462" s="6" t="s">
        <v>6133</v>
      </c>
      <c r="G1462" s="6" t="str">
        <f>"mnmm17fwn21"</f>
        <v>mnmm17fwn21</v>
      </c>
      <c r="I1462" s="6" t="s">
        <v>6134</v>
      </c>
      <c r="J1462" s="6" t="str">
        <f>"gravity necklace"</f>
        <v>gravity necklace</v>
      </c>
      <c r="K1462" s="6">
        <v>0</v>
      </c>
      <c r="L1462" s="6">
        <v>0</v>
      </c>
      <c r="M1462" s="6">
        <v>0</v>
      </c>
      <c r="N1462" s="6" t="str">
        <f>""</f>
        <v/>
      </c>
      <c r="O1462" s="6">
        <v>31399</v>
      </c>
      <c r="P1462" s="6" t="s">
        <v>6135</v>
      </c>
      <c r="R1462" s="6" t="s">
        <v>6116</v>
      </c>
      <c r="S1462" s="6" t="s">
        <v>6136</v>
      </c>
      <c r="T1462" s="6">
        <v>1</v>
      </c>
      <c r="U1462" s="6">
        <v>0</v>
      </c>
      <c r="V1462" s="6">
        <v>0</v>
      </c>
      <c r="W1462" s="6">
        <v>0</v>
      </c>
      <c r="X1462" s="6" t="s">
        <v>169</v>
      </c>
      <c r="Z1462" s="6" t="s">
        <v>170</v>
      </c>
      <c r="AA1462" s="6" t="s">
        <v>171</v>
      </c>
      <c r="AB1462" s="6">
        <v>0</v>
      </c>
      <c r="AC1462" s="6" t="str">
        <f t="shared" si="6"/>
        <v>KEY-003</v>
      </c>
      <c r="AQ1462" s="6" t="str">
        <f>""</f>
        <v/>
      </c>
      <c r="AR1462" s="6" t="s">
        <v>1584</v>
      </c>
      <c r="AS1462" s="6">
        <v>0</v>
      </c>
      <c r="AT1462" s="6">
        <v>1</v>
      </c>
    </row>
    <row r="1463" spans="2:46">
      <c r="B1463" s="6" t="s">
        <v>106</v>
      </c>
      <c r="D1463" s="6" t="s">
        <v>3316</v>
      </c>
      <c r="F1463" s="6" t="s">
        <v>6137</v>
      </c>
      <c r="G1463" s="6" t="str">
        <f>"mnmm17fwn20"</f>
        <v>mnmm17fwn20</v>
      </c>
      <c r="I1463" s="6" t="s">
        <v>6138</v>
      </c>
      <c r="J1463" s="6" t="str">
        <f>"foamy necklace"</f>
        <v>foamy necklace</v>
      </c>
      <c r="K1463" s="6">
        <v>0</v>
      </c>
      <c r="L1463" s="6">
        <v>0</v>
      </c>
      <c r="M1463" s="6">
        <v>0</v>
      </c>
      <c r="N1463" s="6" t="str">
        <f>""</f>
        <v/>
      </c>
      <c r="O1463" s="6">
        <v>31397</v>
      </c>
      <c r="P1463" s="6" t="s">
        <v>6139</v>
      </c>
      <c r="R1463" s="6" t="s">
        <v>6116</v>
      </c>
      <c r="S1463" s="6" t="s">
        <v>6140</v>
      </c>
      <c r="T1463" s="6">
        <v>1</v>
      </c>
      <c r="U1463" s="6">
        <v>0</v>
      </c>
      <c r="V1463" s="6">
        <v>0</v>
      </c>
      <c r="W1463" s="6">
        <v>0</v>
      </c>
      <c r="X1463" s="6" t="s">
        <v>169</v>
      </c>
      <c r="Z1463" s="6" t="s">
        <v>170</v>
      </c>
      <c r="AA1463" s="6" t="s">
        <v>171</v>
      </c>
      <c r="AB1463" s="6">
        <v>0</v>
      </c>
      <c r="AC1463" s="6" t="str">
        <f t="shared" si="6"/>
        <v>KEY-003</v>
      </c>
      <c r="AQ1463" s="6" t="str">
        <f>""</f>
        <v/>
      </c>
      <c r="AR1463" s="6" t="s">
        <v>1584</v>
      </c>
      <c r="AS1463" s="6">
        <v>0</v>
      </c>
      <c r="AT1463" s="6">
        <v>1</v>
      </c>
    </row>
    <row r="1464" spans="2:46">
      <c r="B1464" s="6" t="s">
        <v>106</v>
      </c>
      <c r="D1464" s="6" t="s">
        <v>3316</v>
      </c>
      <c r="F1464" s="6" t="s">
        <v>6141</v>
      </c>
      <c r="G1464" s="6" t="str">
        <f>"mnmm17fwn19"</f>
        <v>mnmm17fwn19</v>
      </c>
      <c r="I1464" s="6" t="s">
        <v>6142</v>
      </c>
      <c r="J1464" s="6" t="str">
        <f>"kink necklace"</f>
        <v>kink necklace</v>
      </c>
      <c r="K1464" s="6">
        <v>0</v>
      </c>
      <c r="L1464" s="6">
        <v>0</v>
      </c>
      <c r="M1464" s="6">
        <v>0</v>
      </c>
      <c r="N1464" s="6" t="str">
        <f>""</f>
        <v/>
      </c>
      <c r="O1464" s="6">
        <v>31395</v>
      </c>
      <c r="P1464" s="6" t="s">
        <v>6143</v>
      </c>
      <c r="R1464" s="6" t="s">
        <v>6116</v>
      </c>
      <c r="S1464" s="6" t="s">
        <v>6144</v>
      </c>
      <c r="T1464" s="6">
        <v>1</v>
      </c>
      <c r="U1464" s="6">
        <v>0</v>
      </c>
      <c r="V1464" s="6">
        <v>0</v>
      </c>
      <c r="W1464" s="6">
        <v>0</v>
      </c>
      <c r="X1464" s="6" t="s">
        <v>169</v>
      </c>
      <c r="Z1464" s="6" t="s">
        <v>170</v>
      </c>
      <c r="AA1464" s="6" t="s">
        <v>171</v>
      </c>
      <c r="AB1464" s="6">
        <v>0</v>
      </c>
      <c r="AC1464" s="6" t="str">
        <f t="shared" si="6"/>
        <v>KEY-003</v>
      </c>
      <c r="AQ1464" s="6" t="str">
        <f>""</f>
        <v/>
      </c>
      <c r="AR1464" s="6" t="s">
        <v>1584</v>
      </c>
      <c r="AS1464" s="6">
        <v>0</v>
      </c>
      <c r="AT1464" s="6">
        <v>1</v>
      </c>
    </row>
    <row r="1465" spans="2:46">
      <c r="B1465" s="6" t="s">
        <v>106</v>
      </c>
      <c r="D1465" s="6" t="s">
        <v>3316</v>
      </c>
      <c r="F1465" s="6" t="s">
        <v>6145</v>
      </c>
      <c r="G1465" s="6" t="str">
        <f>"mnmm17fwe18"</f>
        <v>mnmm17fwe18</v>
      </c>
      <c r="I1465" s="6" t="s">
        <v>6146</v>
      </c>
      <c r="J1465" s="6" t="str">
        <f>"sand earring"</f>
        <v>sand earring</v>
      </c>
      <c r="K1465" s="6">
        <v>0</v>
      </c>
      <c r="L1465" s="6">
        <v>0</v>
      </c>
      <c r="M1465" s="6">
        <v>0</v>
      </c>
      <c r="N1465" s="6" t="str">
        <f>""</f>
        <v/>
      </c>
      <c r="O1465" s="6">
        <v>31393</v>
      </c>
      <c r="P1465" s="6" t="s">
        <v>6147</v>
      </c>
      <c r="R1465" s="6" t="s">
        <v>6126</v>
      </c>
      <c r="S1465" s="6" t="s">
        <v>6148</v>
      </c>
      <c r="T1465" s="6">
        <v>1</v>
      </c>
      <c r="U1465" s="6">
        <v>0</v>
      </c>
      <c r="V1465" s="6">
        <v>0</v>
      </c>
      <c r="W1465" s="6">
        <v>0</v>
      </c>
      <c r="X1465" s="6" t="s">
        <v>169</v>
      </c>
      <c r="Z1465" s="6" t="s">
        <v>170</v>
      </c>
      <c r="AA1465" s="6" t="s">
        <v>171</v>
      </c>
      <c r="AB1465" s="6">
        <v>0</v>
      </c>
      <c r="AC1465" s="6" t="str">
        <f t="shared" si="6"/>
        <v>KEY-003</v>
      </c>
      <c r="AQ1465" s="6" t="str">
        <f>""</f>
        <v/>
      </c>
      <c r="AR1465" s="6" t="s">
        <v>1584</v>
      </c>
      <c r="AS1465" s="6">
        <v>0</v>
      </c>
      <c r="AT1465" s="6">
        <v>1</v>
      </c>
    </row>
    <row r="1466" spans="2:46">
      <c r="B1466" s="6" t="s">
        <v>106</v>
      </c>
      <c r="D1466" s="6" t="s">
        <v>3316</v>
      </c>
      <c r="F1466" s="6" t="s">
        <v>6149</v>
      </c>
      <c r="G1466" s="6" t="str">
        <f>"mnmm17fwe17"</f>
        <v>mnmm17fwe17</v>
      </c>
      <c r="I1466" s="6" t="s">
        <v>6150</v>
      </c>
      <c r="J1466" s="6" t="str">
        <f>"blaze earring"</f>
        <v>blaze earring</v>
      </c>
      <c r="K1466" s="6">
        <v>0</v>
      </c>
      <c r="L1466" s="6">
        <v>0</v>
      </c>
      <c r="M1466" s="6">
        <v>0</v>
      </c>
      <c r="N1466" s="6" t="str">
        <f>""</f>
        <v/>
      </c>
      <c r="O1466" s="6">
        <v>31391</v>
      </c>
      <c r="P1466" s="6" t="s">
        <v>6151</v>
      </c>
      <c r="R1466" s="6" t="s">
        <v>6116</v>
      </c>
      <c r="S1466" s="6" t="s">
        <v>6152</v>
      </c>
      <c r="T1466" s="6">
        <v>1</v>
      </c>
      <c r="U1466" s="6">
        <v>0</v>
      </c>
      <c r="V1466" s="6">
        <v>0</v>
      </c>
      <c r="W1466" s="6">
        <v>0</v>
      </c>
      <c r="X1466" s="6" t="s">
        <v>169</v>
      </c>
      <c r="Z1466" s="6" t="s">
        <v>170</v>
      </c>
      <c r="AA1466" s="6" t="s">
        <v>171</v>
      </c>
      <c r="AB1466" s="6">
        <v>0</v>
      </c>
      <c r="AC1466" s="6" t="str">
        <f t="shared" si="6"/>
        <v>KEY-003</v>
      </c>
      <c r="AQ1466" s="6" t="str">
        <f>""</f>
        <v/>
      </c>
      <c r="AR1466" s="6" t="s">
        <v>1584</v>
      </c>
      <c r="AS1466" s="6">
        <v>0</v>
      </c>
      <c r="AT1466" s="6">
        <v>1</v>
      </c>
    </row>
    <row r="1467" spans="2:46">
      <c r="B1467" s="6" t="s">
        <v>106</v>
      </c>
      <c r="D1467" s="6" t="s">
        <v>3316</v>
      </c>
      <c r="F1467" s="6" t="s">
        <v>6153</v>
      </c>
      <c r="G1467" s="6" t="str">
        <f>"mnmm17fwe16"</f>
        <v>mnmm17fwe16</v>
      </c>
      <c r="I1467" s="6" t="s">
        <v>6154</v>
      </c>
      <c r="J1467" s="6" t="str">
        <f>"velvet ball circle earring"</f>
        <v>velvet ball circle earring</v>
      </c>
      <c r="K1467" s="6">
        <v>0</v>
      </c>
      <c r="L1467" s="6">
        <v>0</v>
      </c>
      <c r="M1467" s="6">
        <v>0</v>
      </c>
      <c r="N1467" s="6" t="str">
        <f>""</f>
        <v/>
      </c>
      <c r="O1467" s="6">
        <v>31389</v>
      </c>
      <c r="P1467" s="6" t="s">
        <v>6155</v>
      </c>
      <c r="R1467" s="6" t="s">
        <v>6156</v>
      </c>
      <c r="S1467" s="6" t="s">
        <v>6157</v>
      </c>
      <c r="T1467" s="6">
        <v>1</v>
      </c>
      <c r="U1467" s="6">
        <v>0</v>
      </c>
      <c r="V1467" s="6">
        <v>0</v>
      </c>
      <c r="W1467" s="6">
        <v>0</v>
      </c>
      <c r="X1467" s="6" t="s">
        <v>169</v>
      </c>
      <c r="Z1467" s="6" t="s">
        <v>170</v>
      </c>
      <c r="AA1467" s="6" t="s">
        <v>171</v>
      </c>
      <c r="AB1467" s="6">
        <v>0</v>
      </c>
      <c r="AC1467" s="6" t="str">
        <f t="shared" si="6"/>
        <v>KEY-003</v>
      </c>
      <c r="AQ1467" s="6" t="str">
        <f>""</f>
        <v/>
      </c>
      <c r="AR1467" s="6" t="s">
        <v>1584</v>
      </c>
      <c r="AS1467" s="6">
        <v>0</v>
      </c>
      <c r="AT1467" s="6">
        <v>1</v>
      </c>
    </row>
    <row r="1468" spans="2:46">
      <c r="B1468" s="6" t="s">
        <v>106</v>
      </c>
      <c r="D1468" s="6" t="s">
        <v>3316</v>
      </c>
      <c r="F1468" s="6" t="s">
        <v>6158</v>
      </c>
      <c r="G1468" s="6" t="str">
        <f>"mnmm17fwe15"</f>
        <v>mnmm17fwe15</v>
      </c>
      <c r="H1468" s="6" t="s">
        <v>6159</v>
      </c>
      <c r="I1468" s="6" t="s">
        <v>6160</v>
      </c>
      <c r="J1468" s="6" t="str">
        <f>"foamy earring"</f>
        <v>foamy earring</v>
      </c>
      <c r="K1468" s="6">
        <v>0</v>
      </c>
      <c r="L1468" s="6">
        <v>0</v>
      </c>
      <c r="M1468" s="6">
        <v>0</v>
      </c>
      <c r="N1468" s="6" t="str">
        <f>""</f>
        <v/>
      </c>
      <c r="O1468" s="6">
        <v>31387</v>
      </c>
      <c r="P1468" s="6" t="s">
        <v>6161</v>
      </c>
      <c r="R1468" s="6" t="s">
        <v>6116</v>
      </c>
      <c r="S1468" s="6" t="s">
        <v>6162</v>
      </c>
      <c r="T1468" s="6">
        <v>0</v>
      </c>
      <c r="U1468" s="6">
        <v>0</v>
      </c>
      <c r="V1468" s="6">
        <v>0</v>
      </c>
      <c r="W1468" s="6">
        <v>0</v>
      </c>
      <c r="X1468" s="6" t="s">
        <v>169</v>
      </c>
      <c r="Z1468" s="6" t="s">
        <v>170</v>
      </c>
      <c r="AA1468" s="6" t="s">
        <v>171</v>
      </c>
      <c r="AB1468" s="6">
        <v>0</v>
      </c>
      <c r="AC1468" s="6" t="str">
        <f>""</f>
        <v/>
      </c>
      <c r="AS1468" s="6">
        <v>0</v>
      </c>
      <c r="AT1468" s="6">
        <v>1</v>
      </c>
    </row>
    <row r="1469" spans="2:46">
      <c r="B1469" s="6" t="s">
        <v>106</v>
      </c>
      <c r="D1469" s="6" t="s">
        <v>3316</v>
      </c>
      <c r="F1469" s="6" t="s">
        <v>6163</v>
      </c>
      <c r="G1469" s="6" t="str">
        <f>"mnmm17fwe14"</f>
        <v>mnmm17fwe14</v>
      </c>
      <c r="I1469" s="6" t="s">
        <v>6164</v>
      </c>
      <c r="J1469" s="6" t="str">
        <f>"select earring"</f>
        <v>select earring</v>
      </c>
      <c r="K1469" s="6">
        <v>0</v>
      </c>
      <c r="L1469" s="6">
        <v>0</v>
      </c>
      <c r="M1469" s="6">
        <v>0</v>
      </c>
      <c r="N1469" s="6" t="str">
        <f>""</f>
        <v/>
      </c>
      <c r="O1469" s="6">
        <v>31385</v>
      </c>
      <c r="P1469" s="6" t="s">
        <v>6165</v>
      </c>
      <c r="R1469" s="6" t="s">
        <v>6116</v>
      </c>
      <c r="S1469" s="6" t="s">
        <v>6166</v>
      </c>
      <c r="T1469" s="6">
        <v>0</v>
      </c>
      <c r="U1469" s="6">
        <v>0</v>
      </c>
      <c r="V1469" s="6">
        <v>0</v>
      </c>
      <c r="W1469" s="6">
        <v>0</v>
      </c>
      <c r="X1469" s="6" t="s">
        <v>169</v>
      </c>
      <c r="Z1469" s="6" t="s">
        <v>170</v>
      </c>
      <c r="AA1469" s="6" t="s">
        <v>171</v>
      </c>
      <c r="AB1469" s="6">
        <v>0</v>
      </c>
      <c r="AC1469" s="6" t="str">
        <f t="shared" ref="AC1469:AC1474" si="7">"KEY-003"</f>
        <v>KEY-003</v>
      </c>
      <c r="AQ1469" s="6" t="str">
        <f>""</f>
        <v/>
      </c>
      <c r="AR1469" s="6" t="s">
        <v>1584</v>
      </c>
      <c r="AS1469" s="6">
        <v>0</v>
      </c>
      <c r="AT1469" s="6">
        <v>0</v>
      </c>
    </row>
    <row r="1470" spans="2:46">
      <c r="B1470" s="6" t="s">
        <v>106</v>
      </c>
      <c r="D1470" s="6" t="s">
        <v>3316</v>
      </c>
      <c r="F1470" s="6" t="s">
        <v>6167</v>
      </c>
      <c r="G1470" s="6" t="str">
        <f>"mnmm17fwe13"</f>
        <v>mnmm17fwe13</v>
      </c>
      <c r="I1470" s="6" t="s">
        <v>6168</v>
      </c>
      <c r="J1470" s="6" t="str">
        <f>"kink earring"</f>
        <v>kink earring</v>
      </c>
      <c r="K1470" s="6">
        <v>0</v>
      </c>
      <c r="L1470" s="6">
        <v>0</v>
      </c>
      <c r="M1470" s="6">
        <v>0</v>
      </c>
      <c r="N1470" s="6" t="str">
        <f>""</f>
        <v/>
      </c>
      <c r="O1470" s="6">
        <v>31383</v>
      </c>
      <c r="P1470" s="6" t="s">
        <v>6169</v>
      </c>
      <c r="R1470" s="6" t="s">
        <v>6116</v>
      </c>
      <c r="S1470" s="6" t="s">
        <v>6170</v>
      </c>
      <c r="T1470" s="6">
        <v>0</v>
      </c>
      <c r="U1470" s="6">
        <v>0</v>
      </c>
      <c r="V1470" s="6">
        <v>0</v>
      </c>
      <c r="W1470" s="6">
        <v>0</v>
      </c>
      <c r="X1470" s="6" t="s">
        <v>169</v>
      </c>
      <c r="Z1470" s="6" t="s">
        <v>170</v>
      </c>
      <c r="AA1470" s="6" t="s">
        <v>171</v>
      </c>
      <c r="AB1470" s="6">
        <v>0</v>
      </c>
      <c r="AC1470" s="6" t="str">
        <f t="shared" si="7"/>
        <v>KEY-003</v>
      </c>
      <c r="AQ1470" s="6" t="str">
        <f>""</f>
        <v/>
      </c>
      <c r="AR1470" s="6" t="s">
        <v>1584</v>
      </c>
      <c r="AS1470" s="6">
        <v>0</v>
      </c>
      <c r="AT1470" s="6">
        <v>0</v>
      </c>
    </row>
    <row r="1471" spans="2:46">
      <c r="B1471" s="6" t="s">
        <v>106</v>
      </c>
      <c r="D1471" s="6" t="s">
        <v>3316</v>
      </c>
      <c r="F1471" s="6" t="s">
        <v>6171</v>
      </c>
      <c r="G1471" s="6" t="str">
        <f>"mnmm17fwe12"</f>
        <v>mnmm17fwe12</v>
      </c>
      <c r="I1471" s="6" t="s">
        <v>6172</v>
      </c>
      <c r="J1471" s="6" t="str">
        <f>"evening single earring"</f>
        <v>evening single earring</v>
      </c>
      <c r="K1471" s="6">
        <v>0</v>
      </c>
      <c r="L1471" s="6">
        <v>0</v>
      </c>
      <c r="M1471" s="6">
        <v>0</v>
      </c>
      <c r="N1471" s="6" t="str">
        <f>""</f>
        <v/>
      </c>
      <c r="O1471" s="6">
        <v>31381</v>
      </c>
      <c r="P1471" s="6" t="s">
        <v>6173</v>
      </c>
      <c r="R1471" s="6" t="s">
        <v>6126</v>
      </c>
      <c r="S1471" s="6" t="s">
        <v>6174</v>
      </c>
      <c r="T1471" s="6">
        <v>1</v>
      </c>
      <c r="U1471" s="6">
        <v>0</v>
      </c>
      <c r="V1471" s="6">
        <v>0</v>
      </c>
      <c r="W1471" s="6">
        <v>0</v>
      </c>
      <c r="X1471" s="6" t="s">
        <v>169</v>
      </c>
      <c r="Z1471" s="6" t="s">
        <v>170</v>
      </c>
      <c r="AA1471" s="6" t="s">
        <v>171</v>
      </c>
      <c r="AB1471" s="6">
        <v>0</v>
      </c>
      <c r="AC1471" s="6" t="str">
        <f t="shared" si="7"/>
        <v>KEY-003</v>
      </c>
      <c r="AQ1471" s="6" t="str">
        <f>""</f>
        <v/>
      </c>
      <c r="AR1471" s="6" t="s">
        <v>1584</v>
      </c>
      <c r="AS1471" s="6">
        <v>0</v>
      </c>
      <c r="AT1471" s="6">
        <v>1</v>
      </c>
    </row>
    <row r="1472" spans="2:46">
      <c r="B1472" s="6" t="s">
        <v>106</v>
      </c>
      <c r="D1472" s="6" t="s">
        <v>3316</v>
      </c>
      <c r="F1472" s="6" t="s">
        <v>6175</v>
      </c>
      <c r="G1472" s="6" t="str">
        <f>"mnmm17fwe11"</f>
        <v>mnmm17fwe11</v>
      </c>
      <c r="I1472" s="6" t="s">
        <v>6176</v>
      </c>
      <c r="J1472" s="6" t="str">
        <f>"pure earring"</f>
        <v>pure earring</v>
      </c>
      <c r="K1472" s="6">
        <v>0</v>
      </c>
      <c r="L1472" s="6">
        <v>0</v>
      </c>
      <c r="M1472" s="6">
        <v>0</v>
      </c>
      <c r="N1472" s="6" t="str">
        <f>""</f>
        <v/>
      </c>
      <c r="O1472" s="6">
        <v>31379</v>
      </c>
      <c r="P1472" s="6" t="s">
        <v>6177</v>
      </c>
      <c r="R1472" s="6" t="s">
        <v>6131</v>
      </c>
      <c r="S1472" s="6" t="s">
        <v>6178</v>
      </c>
      <c r="T1472" s="6">
        <v>1</v>
      </c>
      <c r="U1472" s="6">
        <v>0</v>
      </c>
      <c r="V1472" s="6">
        <v>0</v>
      </c>
      <c r="W1472" s="6">
        <v>0</v>
      </c>
      <c r="X1472" s="6" t="s">
        <v>169</v>
      </c>
      <c r="Z1472" s="6" t="s">
        <v>170</v>
      </c>
      <c r="AA1472" s="6" t="s">
        <v>171</v>
      </c>
      <c r="AB1472" s="6">
        <v>0</v>
      </c>
      <c r="AC1472" s="6" t="str">
        <f t="shared" si="7"/>
        <v>KEY-003</v>
      </c>
      <c r="AQ1472" s="6" t="str">
        <f>""</f>
        <v/>
      </c>
      <c r="AR1472" s="6" t="s">
        <v>1584</v>
      </c>
      <c r="AS1472" s="6">
        <v>0</v>
      </c>
      <c r="AT1472" s="6">
        <v>1</v>
      </c>
    </row>
    <row r="1473" spans="2:46">
      <c r="B1473" s="6" t="s">
        <v>106</v>
      </c>
      <c r="D1473" s="6" t="s">
        <v>3316</v>
      </c>
      <c r="F1473" s="6" t="s">
        <v>6179</v>
      </c>
      <c r="G1473" s="6" t="str">
        <f>"mnmm17fwe10"</f>
        <v>mnmm17fwe10</v>
      </c>
      <c r="I1473" s="6" t="s">
        <v>6180</v>
      </c>
      <c r="J1473" s="6" t="str">
        <f>"two ways earring"</f>
        <v>two ways earring</v>
      </c>
      <c r="K1473" s="6">
        <v>0</v>
      </c>
      <c r="L1473" s="6">
        <v>0</v>
      </c>
      <c r="M1473" s="6">
        <v>0</v>
      </c>
      <c r="N1473" s="6" t="str">
        <f>""</f>
        <v/>
      </c>
      <c r="O1473" s="6">
        <v>31377</v>
      </c>
      <c r="P1473" s="6" t="s">
        <v>6181</v>
      </c>
      <c r="R1473" s="6" t="s">
        <v>6116</v>
      </c>
      <c r="S1473" s="6" t="s">
        <v>6182</v>
      </c>
      <c r="T1473" s="6">
        <v>1</v>
      </c>
      <c r="U1473" s="6">
        <v>0</v>
      </c>
      <c r="V1473" s="6">
        <v>0</v>
      </c>
      <c r="W1473" s="6">
        <v>0</v>
      </c>
      <c r="X1473" s="6" t="s">
        <v>169</v>
      </c>
      <c r="Z1473" s="6" t="s">
        <v>170</v>
      </c>
      <c r="AA1473" s="6" t="s">
        <v>171</v>
      </c>
      <c r="AB1473" s="6">
        <v>0</v>
      </c>
      <c r="AC1473" s="6" t="str">
        <f t="shared" si="7"/>
        <v>KEY-003</v>
      </c>
      <c r="AQ1473" s="6" t="str">
        <f>""</f>
        <v/>
      </c>
      <c r="AR1473" s="6" t="s">
        <v>1584</v>
      </c>
      <c r="AS1473" s="6">
        <v>0</v>
      </c>
      <c r="AT1473" s="6">
        <v>1</v>
      </c>
    </row>
    <row r="1474" spans="2:46">
      <c r="B1474" s="6" t="s">
        <v>106</v>
      </c>
      <c r="D1474" s="6" t="s">
        <v>3316</v>
      </c>
      <c r="F1474" s="6" t="s">
        <v>6183</v>
      </c>
      <c r="G1474" s="6" t="str">
        <f>"mnmm17fwe09"</f>
        <v>mnmm17fwe09</v>
      </c>
      <c r="I1474" s="6" t="s">
        <v>6184</v>
      </c>
      <c r="J1474" s="6" t="str">
        <f>"shell earring"</f>
        <v>shell earring</v>
      </c>
      <c r="K1474" s="6">
        <v>0</v>
      </c>
      <c r="L1474" s="6">
        <v>0</v>
      </c>
      <c r="M1474" s="6">
        <v>0</v>
      </c>
      <c r="N1474" s="6" t="str">
        <f>""</f>
        <v/>
      </c>
      <c r="O1474" s="6">
        <v>31375</v>
      </c>
      <c r="P1474" s="6" t="s">
        <v>6185</v>
      </c>
      <c r="R1474" s="6" t="s">
        <v>6131</v>
      </c>
      <c r="S1474" s="6" t="s">
        <v>6186</v>
      </c>
      <c r="T1474" s="6">
        <v>1</v>
      </c>
      <c r="U1474" s="6">
        <v>0</v>
      </c>
      <c r="V1474" s="6">
        <v>0</v>
      </c>
      <c r="W1474" s="6">
        <v>0</v>
      </c>
      <c r="X1474" s="6" t="s">
        <v>169</v>
      </c>
      <c r="Z1474" s="6" t="s">
        <v>170</v>
      </c>
      <c r="AA1474" s="6" t="s">
        <v>171</v>
      </c>
      <c r="AB1474" s="6">
        <v>0</v>
      </c>
      <c r="AC1474" s="6" t="str">
        <f t="shared" si="7"/>
        <v>KEY-003</v>
      </c>
      <c r="AQ1474" s="6" t="str">
        <f>""</f>
        <v/>
      </c>
      <c r="AR1474" s="6" t="s">
        <v>1584</v>
      </c>
      <c r="AS1474" s="6">
        <v>0</v>
      </c>
      <c r="AT1474" s="6">
        <v>1</v>
      </c>
    </row>
    <row r="1475" spans="2:46">
      <c r="B1475" s="6" t="s">
        <v>106</v>
      </c>
      <c r="D1475" s="6" t="s">
        <v>3316</v>
      </c>
      <c r="F1475" s="6" t="s">
        <v>6187</v>
      </c>
      <c r="G1475" s="6" t="str">
        <f>"mnmm17fwe08"</f>
        <v>mnmm17fwe08</v>
      </c>
      <c r="H1475" s="6" t="s">
        <v>6188</v>
      </c>
      <c r="I1475" s="6" t="s">
        <v>6189</v>
      </c>
      <c r="J1475" s="6" t="str">
        <f>"tears earring"</f>
        <v>tears earring</v>
      </c>
      <c r="K1475" s="6">
        <v>0</v>
      </c>
      <c r="L1475" s="6">
        <v>0</v>
      </c>
      <c r="M1475" s="6">
        <v>0</v>
      </c>
      <c r="N1475" s="6" t="str">
        <f>""</f>
        <v/>
      </c>
      <c r="O1475" s="6">
        <v>31373</v>
      </c>
      <c r="P1475" s="6" t="s">
        <v>6190</v>
      </c>
      <c r="R1475" s="6" t="s">
        <v>6131</v>
      </c>
      <c r="S1475" s="6" t="s">
        <v>6191</v>
      </c>
      <c r="T1475" s="6">
        <v>0</v>
      </c>
      <c r="U1475" s="6">
        <v>0</v>
      </c>
      <c r="V1475" s="6">
        <v>0</v>
      </c>
      <c r="W1475" s="6">
        <v>0</v>
      </c>
      <c r="X1475" s="6" t="s">
        <v>169</v>
      </c>
      <c r="Z1475" s="6" t="s">
        <v>170</v>
      </c>
      <c r="AA1475" s="6" t="s">
        <v>171</v>
      </c>
      <c r="AB1475" s="6">
        <v>0</v>
      </c>
      <c r="AC1475" s="6" t="str">
        <f>""</f>
        <v/>
      </c>
      <c r="AS1475" s="6">
        <v>0</v>
      </c>
      <c r="AT1475" s="6">
        <v>1</v>
      </c>
    </row>
    <row r="1476" spans="2:46">
      <c r="B1476" s="6" t="s">
        <v>106</v>
      </c>
      <c r="D1476" s="6" t="s">
        <v>3316</v>
      </c>
      <c r="F1476" s="6" t="s">
        <v>6192</v>
      </c>
      <c r="G1476" s="6" t="str">
        <f>"mnmm17fwe07"</f>
        <v>mnmm17fwe07</v>
      </c>
      <c r="I1476" s="6" t="s">
        <v>6193</v>
      </c>
      <c r="J1476" s="6" t="str">
        <f>"galaxy earring"</f>
        <v>galaxy earring</v>
      </c>
      <c r="K1476" s="6">
        <v>0</v>
      </c>
      <c r="L1476" s="6">
        <v>0</v>
      </c>
      <c r="M1476" s="6">
        <v>0</v>
      </c>
      <c r="N1476" s="6" t="str">
        <f>""</f>
        <v/>
      </c>
      <c r="O1476" s="6">
        <v>31371</v>
      </c>
      <c r="P1476" s="6" t="s">
        <v>6194</v>
      </c>
      <c r="R1476" s="6" t="s">
        <v>6116</v>
      </c>
      <c r="S1476" s="6" t="s">
        <v>6195</v>
      </c>
      <c r="T1476" s="6">
        <v>1</v>
      </c>
      <c r="U1476" s="6">
        <v>0</v>
      </c>
      <c r="V1476" s="6">
        <v>0</v>
      </c>
      <c r="W1476" s="6">
        <v>0</v>
      </c>
      <c r="X1476" s="6" t="s">
        <v>169</v>
      </c>
      <c r="Z1476" s="6" t="s">
        <v>170</v>
      </c>
      <c r="AA1476" s="6" t="s">
        <v>171</v>
      </c>
      <c r="AB1476" s="6">
        <v>0</v>
      </c>
      <c r="AC1476" s="6" t="str">
        <f>"KEY-003"</f>
        <v>KEY-003</v>
      </c>
      <c r="AQ1476" s="6" t="str">
        <f>""</f>
        <v/>
      </c>
      <c r="AR1476" s="6" t="s">
        <v>1584</v>
      </c>
      <c r="AS1476" s="6">
        <v>0</v>
      </c>
      <c r="AT1476" s="6">
        <v>1</v>
      </c>
    </row>
    <row r="1477" spans="2:46">
      <c r="B1477" s="6" t="s">
        <v>106</v>
      </c>
      <c r="D1477" s="6" t="s">
        <v>3316</v>
      </c>
      <c r="F1477" s="6" t="s">
        <v>6196</v>
      </c>
      <c r="G1477" s="6" t="str">
        <f>"mnmm17fwe06"</f>
        <v>mnmm17fwe06</v>
      </c>
      <c r="I1477" s="6" t="s">
        <v>6197</v>
      </c>
      <c r="J1477" s="6" t="str">
        <f>"mild earring"</f>
        <v>mild earring</v>
      </c>
      <c r="K1477" s="6">
        <v>0</v>
      </c>
      <c r="L1477" s="6">
        <v>0</v>
      </c>
      <c r="M1477" s="6">
        <v>0</v>
      </c>
      <c r="N1477" s="6" t="str">
        <f>""</f>
        <v/>
      </c>
      <c r="O1477" s="6">
        <v>31369</v>
      </c>
      <c r="P1477" s="6" t="s">
        <v>6198</v>
      </c>
      <c r="R1477" s="6" t="s">
        <v>6116</v>
      </c>
      <c r="S1477" s="6" t="s">
        <v>6199</v>
      </c>
      <c r="T1477" s="6">
        <v>1</v>
      </c>
      <c r="U1477" s="6">
        <v>0</v>
      </c>
      <c r="V1477" s="6">
        <v>0</v>
      </c>
      <c r="W1477" s="6">
        <v>0</v>
      </c>
      <c r="X1477" s="6" t="s">
        <v>169</v>
      </c>
      <c r="Z1477" s="6" t="s">
        <v>170</v>
      </c>
      <c r="AA1477" s="6" t="s">
        <v>171</v>
      </c>
      <c r="AB1477" s="6">
        <v>0</v>
      </c>
      <c r="AC1477" s="6" t="str">
        <f>"KEY-003"</f>
        <v>KEY-003</v>
      </c>
      <c r="AQ1477" s="6" t="str">
        <f>""</f>
        <v/>
      </c>
      <c r="AR1477" s="6" t="s">
        <v>1584</v>
      </c>
      <c r="AS1477" s="6">
        <v>0</v>
      </c>
      <c r="AT1477" s="6">
        <v>1</v>
      </c>
    </row>
    <row r="1478" spans="2:46">
      <c r="B1478" s="6" t="s">
        <v>106</v>
      </c>
      <c r="D1478" s="6" t="s">
        <v>3316</v>
      </c>
      <c r="F1478" s="6" t="s">
        <v>6200</v>
      </c>
      <c r="G1478" s="6" t="str">
        <f>"mnmm17fwe05"</f>
        <v>mnmm17fwe05</v>
      </c>
      <c r="H1478" s="6" t="s">
        <v>6201</v>
      </c>
      <c r="I1478" s="6" t="s">
        <v>6202</v>
      </c>
      <c r="J1478" s="6" t="str">
        <f>"bunch earring"</f>
        <v>bunch earring</v>
      </c>
      <c r="K1478" s="6">
        <v>0</v>
      </c>
      <c r="L1478" s="6">
        <v>0</v>
      </c>
      <c r="M1478" s="6">
        <v>0</v>
      </c>
      <c r="N1478" s="6" t="str">
        <f>""</f>
        <v/>
      </c>
      <c r="O1478" s="6">
        <v>31367</v>
      </c>
      <c r="P1478" s="6" t="s">
        <v>6203</v>
      </c>
      <c r="R1478" s="6" t="s">
        <v>6116</v>
      </c>
      <c r="S1478" s="6" t="s">
        <v>6204</v>
      </c>
      <c r="T1478" s="6">
        <v>0</v>
      </c>
      <c r="U1478" s="6">
        <v>0</v>
      </c>
      <c r="V1478" s="6">
        <v>0</v>
      </c>
      <c r="W1478" s="6">
        <v>0</v>
      </c>
      <c r="X1478" s="6" t="s">
        <v>169</v>
      </c>
      <c r="Z1478" s="6" t="s">
        <v>170</v>
      </c>
      <c r="AA1478" s="6" t="s">
        <v>171</v>
      </c>
      <c r="AB1478" s="6">
        <v>0</v>
      </c>
      <c r="AC1478" s="6" t="str">
        <f>""</f>
        <v/>
      </c>
      <c r="AS1478" s="6">
        <v>0</v>
      </c>
      <c r="AT1478" s="6">
        <v>0</v>
      </c>
    </row>
    <row r="1479" spans="2:46">
      <c r="B1479" s="6" t="s">
        <v>106</v>
      </c>
      <c r="D1479" s="6" t="s">
        <v>3316</v>
      </c>
      <c r="F1479" s="6" t="s">
        <v>6205</v>
      </c>
      <c r="G1479" s="6" t="str">
        <f>"mnmm17fwe04"</f>
        <v>mnmm17fwe04</v>
      </c>
      <c r="H1479" s="6" t="s">
        <v>6206</v>
      </c>
      <c r="I1479" s="6" t="s">
        <v>6207</v>
      </c>
      <c r="J1479" s="6" t="str">
        <f>"bouquet earring"</f>
        <v>bouquet earring</v>
      </c>
      <c r="K1479" s="6">
        <v>0</v>
      </c>
      <c r="L1479" s="6">
        <v>0</v>
      </c>
      <c r="M1479" s="6">
        <v>0</v>
      </c>
      <c r="N1479" s="6" t="str">
        <f>""</f>
        <v/>
      </c>
      <c r="O1479" s="6">
        <v>31365</v>
      </c>
      <c r="P1479" s="6" t="s">
        <v>6208</v>
      </c>
      <c r="R1479" s="6" t="s">
        <v>6116</v>
      </c>
      <c r="S1479" s="6" t="s">
        <v>6209</v>
      </c>
      <c r="T1479" s="6">
        <v>0</v>
      </c>
      <c r="U1479" s="6">
        <v>0</v>
      </c>
      <c r="V1479" s="6">
        <v>0</v>
      </c>
      <c r="W1479" s="6">
        <v>0</v>
      </c>
      <c r="X1479" s="6" t="s">
        <v>169</v>
      </c>
      <c r="Z1479" s="6" t="s">
        <v>170</v>
      </c>
      <c r="AA1479" s="6" t="s">
        <v>171</v>
      </c>
      <c r="AB1479" s="6">
        <v>0</v>
      </c>
      <c r="AC1479" s="6" t="str">
        <f>""</f>
        <v/>
      </c>
      <c r="AS1479" s="6">
        <v>0</v>
      </c>
      <c r="AT1479" s="6">
        <v>1</v>
      </c>
    </row>
    <row r="1480" spans="2:46">
      <c r="B1480" s="6" t="s">
        <v>106</v>
      </c>
      <c r="D1480" s="6" t="s">
        <v>3316</v>
      </c>
      <c r="F1480" s="6" t="s">
        <v>6210</v>
      </c>
      <c r="G1480" s="6" t="str">
        <f>"mnmm17fwe03"</f>
        <v>mnmm17fwe03</v>
      </c>
      <c r="I1480" s="6" t="s">
        <v>6211</v>
      </c>
      <c r="J1480" s="6" t="str">
        <f>"marble tassel earring"</f>
        <v>marble tassel earring</v>
      </c>
      <c r="K1480" s="6">
        <v>0</v>
      </c>
      <c r="L1480" s="6">
        <v>0</v>
      </c>
      <c r="M1480" s="6">
        <v>0</v>
      </c>
      <c r="N1480" s="6" t="str">
        <f>""</f>
        <v/>
      </c>
      <c r="O1480" s="6">
        <v>31363</v>
      </c>
      <c r="P1480" s="6" t="s">
        <v>6212</v>
      </c>
      <c r="R1480" s="6" t="s">
        <v>6213</v>
      </c>
      <c r="S1480" s="6" t="s">
        <v>6214</v>
      </c>
      <c r="T1480" s="6">
        <v>1</v>
      </c>
      <c r="U1480" s="6">
        <v>0</v>
      </c>
      <c r="V1480" s="6">
        <v>0</v>
      </c>
      <c r="W1480" s="6">
        <v>0</v>
      </c>
      <c r="X1480" s="6" t="s">
        <v>169</v>
      </c>
      <c r="Z1480" s="6" t="s">
        <v>170</v>
      </c>
      <c r="AA1480" s="6" t="s">
        <v>171</v>
      </c>
      <c r="AB1480" s="6">
        <v>0</v>
      </c>
      <c r="AC1480" s="6" t="str">
        <f>"KEY-003"</f>
        <v>KEY-003</v>
      </c>
      <c r="AQ1480" s="6" t="str">
        <f>""</f>
        <v/>
      </c>
      <c r="AR1480" s="6" t="s">
        <v>1584</v>
      </c>
      <c r="AS1480" s="6">
        <v>0</v>
      </c>
      <c r="AT1480" s="6">
        <v>1</v>
      </c>
    </row>
    <row r="1481" spans="2:46">
      <c r="B1481" s="6" t="s">
        <v>106</v>
      </c>
      <c r="D1481" s="6" t="s">
        <v>3316</v>
      </c>
      <c r="F1481" s="6" t="s">
        <v>6215</v>
      </c>
      <c r="G1481" s="6" t="str">
        <f>"mnmm17fwe02"</f>
        <v>mnmm17fwe02</v>
      </c>
      <c r="I1481" s="6" t="s">
        <v>6216</v>
      </c>
      <c r="J1481" s="6" t="str">
        <f>"dewdrop tassel earring"</f>
        <v>dewdrop tassel earring</v>
      </c>
      <c r="K1481" s="6">
        <v>0</v>
      </c>
      <c r="L1481" s="6">
        <v>0</v>
      </c>
      <c r="M1481" s="6">
        <v>0</v>
      </c>
      <c r="N1481" s="6" t="str">
        <f>""</f>
        <v/>
      </c>
      <c r="O1481" s="6">
        <v>31361</v>
      </c>
      <c r="P1481" s="6" t="s">
        <v>6217</v>
      </c>
      <c r="R1481" s="6" t="s">
        <v>6116</v>
      </c>
      <c r="S1481" s="6" t="s">
        <v>6218</v>
      </c>
      <c r="T1481" s="6">
        <v>1</v>
      </c>
      <c r="U1481" s="6">
        <v>0</v>
      </c>
      <c r="V1481" s="6">
        <v>0</v>
      </c>
      <c r="W1481" s="6">
        <v>0</v>
      </c>
      <c r="X1481" s="6" t="s">
        <v>169</v>
      </c>
      <c r="Z1481" s="6" t="s">
        <v>170</v>
      </c>
      <c r="AA1481" s="6" t="s">
        <v>171</v>
      </c>
      <c r="AB1481" s="6">
        <v>0</v>
      </c>
      <c r="AC1481" s="6" t="str">
        <f>"KEY-003"</f>
        <v>KEY-003</v>
      </c>
      <c r="AQ1481" s="6" t="str">
        <f>""</f>
        <v/>
      </c>
      <c r="AR1481" s="6" t="s">
        <v>1584</v>
      </c>
      <c r="AS1481" s="6">
        <v>0</v>
      </c>
      <c r="AT1481" s="6">
        <v>1</v>
      </c>
    </row>
    <row r="1482" spans="2:46">
      <c r="B1482" s="6" t="s">
        <v>106</v>
      </c>
      <c r="D1482" s="6" t="s">
        <v>3316</v>
      </c>
      <c r="F1482" s="6" t="s">
        <v>6219</v>
      </c>
      <c r="G1482" s="6" t="str">
        <f>"mnmm17fwe01"</f>
        <v>mnmm17fwe01</v>
      </c>
      <c r="I1482" s="6" t="s">
        <v>6220</v>
      </c>
      <c r="J1482" s="6" t="str">
        <f>"dewdrop earring"</f>
        <v>dewdrop earring</v>
      </c>
      <c r="K1482" s="6">
        <v>0</v>
      </c>
      <c r="L1482" s="6">
        <v>0</v>
      </c>
      <c r="M1482" s="6">
        <v>0</v>
      </c>
      <c r="N1482" s="6" t="str">
        <f>""</f>
        <v/>
      </c>
      <c r="O1482" s="6">
        <v>31359</v>
      </c>
      <c r="P1482" s="6" t="s">
        <v>6221</v>
      </c>
      <c r="R1482" s="6" t="s">
        <v>6116</v>
      </c>
      <c r="S1482" s="6" t="s">
        <v>6222</v>
      </c>
      <c r="T1482" s="6">
        <v>1</v>
      </c>
      <c r="U1482" s="6">
        <v>0</v>
      </c>
      <c r="V1482" s="6">
        <v>0</v>
      </c>
      <c r="W1482" s="6">
        <v>0</v>
      </c>
      <c r="X1482" s="6" t="s">
        <v>169</v>
      </c>
      <c r="Z1482" s="6" t="s">
        <v>170</v>
      </c>
      <c r="AA1482" s="6" t="s">
        <v>171</v>
      </c>
      <c r="AB1482" s="6">
        <v>0</v>
      </c>
      <c r="AC1482" s="6" t="str">
        <f>"KEY-003"</f>
        <v>KEY-003</v>
      </c>
      <c r="AQ1482" s="6" t="str">
        <f>""</f>
        <v/>
      </c>
      <c r="AR1482" s="6" t="s">
        <v>1584</v>
      </c>
      <c r="AS1482" s="6">
        <v>0</v>
      </c>
      <c r="AT1482" s="6">
        <v>1</v>
      </c>
    </row>
    <row r="1483" spans="2:46">
      <c r="B1483" s="6" t="s">
        <v>106</v>
      </c>
      <c r="D1483" s="6" t="s">
        <v>3316</v>
      </c>
      <c r="F1483" s="6" t="s">
        <v>6223</v>
      </c>
      <c r="G1483" s="6" t="str">
        <f>"mnmm17ss2e19"</f>
        <v>mnmm17ss2e19</v>
      </c>
      <c r="I1483" s="6" t="s">
        <v>6224</v>
      </c>
      <c r="J1483" s="6" t="str">
        <f>"flower choker"</f>
        <v>flower choker</v>
      </c>
      <c r="K1483" s="6">
        <v>0</v>
      </c>
      <c r="L1483" s="6">
        <v>0</v>
      </c>
      <c r="M1483" s="6">
        <v>0</v>
      </c>
      <c r="N1483" s="6" t="str">
        <f>""</f>
        <v/>
      </c>
      <c r="O1483" s="6">
        <v>31357</v>
      </c>
      <c r="P1483" s="6" t="s">
        <v>6225</v>
      </c>
      <c r="R1483" s="6" t="s">
        <v>6226</v>
      </c>
      <c r="S1483" s="6" t="s">
        <v>6227</v>
      </c>
      <c r="T1483" s="6">
        <v>1</v>
      </c>
      <c r="U1483" s="6">
        <v>0</v>
      </c>
      <c r="V1483" s="6">
        <v>0</v>
      </c>
      <c r="W1483" s="6">
        <v>0</v>
      </c>
      <c r="X1483" s="6" t="s">
        <v>169</v>
      </c>
      <c r="Z1483" s="6" t="s">
        <v>170</v>
      </c>
      <c r="AA1483" s="6" t="s">
        <v>171</v>
      </c>
      <c r="AB1483" s="6">
        <v>0</v>
      </c>
      <c r="AC1483" s="6" t="str">
        <f>"KEY-003"</f>
        <v>KEY-003</v>
      </c>
      <c r="AQ1483" s="6" t="str">
        <f>""</f>
        <v/>
      </c>
      <c r="AR1483" s="6" t="s">
        <v>1584</v>
      </c>
      <c r="AS1483" s="6">
        <v>0</v>
      </c>
      <c r="AT1483" s="6">
        <v>1</v>
      </c>
    </row>
    <row r="1484" spans="2:46">
      <c r="B1484" s="6" t="s">
        <v>106</v>
      </c>
      <c r="D1484" s="6" t="s">
        <v>3316</v>
      </c>
      <c r="F1484" s="6" t="s">
        <v>6228</v>
      </c>
      <c r="G1484" s="6" t="str">
        <f>"mnmm17ss2e18"</f>
        <v>mnmm17ss2e18</v>
      </c>
      <c r="I1484" s="6" t="s">
        <v>6229</v>
      </c>
      <c r="J1484" s="6" t="str">
        <f>"three bar gold choker"</f>
        <v>three bar gold choker</v>
      </c>
      <c r="K1484" s="6">
        <v>0</v>
      </c>
      <c r="L1484" s="6">
        <v>0</v>
      </c>
      <c r="M1484" s="6">
        <v>0</v>
      </c>
      <c r="N1484" s="6" t="str">
        <f>""</f>
        <v/>
      </c>
      <c r="O1484" s="6">
        <v>31355</v>
      </c>
      <c r="P1484" s="6" t="s">
        <v>6230</v>
      </c>
      <c r="R1484" s="6" t="s">
        <v>6116</v>
      </c>
      <c r="S1484" s="6" t="s">
        <v>6231</v>
      </c>
      <c r="T1484" s="6">
        <v>1</v>
      </c>
      <c r="U1484" s="6">
        <v>0</v>
      </c>
      <c r="V1484" s="6">
        <v>0</v>
      </c>
      <c r="W1484" s="6">
        <v>0</v>
      </c>
      <c r="X1484" s="6" t="s">
        <v>169</v>
      </c>
      <c r="Z1484" s="6" t="s">
        <v>170</v>
      </c>
      <c r="AA1484" s="6" t="s">
        <v>171</v>
      </c>
      <c r="AB1484" s="6">
        <v>0</v>
      </c>
      <c r="AC1484" s="6" t="str">
        <f>"KEY-003"</f>
        <v>KEY-003</v>
      </c>
      <c r="AQ1484" s="6" t="str">
        <f>""</f>
        <v/>
      </c>
      <c r="AR1484" s="6" t="s">
        <v>1584</v>
      </c>
      <c r="AS1484" s="6">
        <v>0</v>
      </c>
      <c r="AT1484" s="6">
        <v>1</v>
      </c>
    </row>
    <row r="1485" spans="2:46">
      <c r="B1485" s="6" t="s">
        <v>106</v>
      </c>
      <c r="D1485" s="6" t="s">
        <v>3316</v>
      </c>
      <c r="F1485" s="6" t="s">
        <v>6232</v>
      </c>
      <c r="G1485" s="6" t="str">
        <f>"mnmm17ss2e17"</f>
        <v>mnmm17ss2e17</v>
      </c>
      <c r="H1485" s="6" t="s">
        <v>6233</v>
      </c>
      <c r="I1485" s="6" t="s">
        <v>6234</v>
      </c>
      <c r="J1485" s="6" t="str">
        <f>"three bar silver choker"</f>
        <v>three bar silver choker</v>
      </c>
      <c r="K1485" s="6">
        <v>0</v>
      </c>
      <c r="L1485" s="6">
        <v>0</v>
      </c>
      <c r="M1485" s="6">
        <v>0</v>
      </c>
      <c r="N1485" s="6" t="str">
        <f>""</f>
        <v/>
      </c>
      <c r="O1485" s="6">
        <v>31353</v>
      </c>
      <c r="P1485" s="6" t="s">
        <v>6235</v>
      </c>
      <c r="R1485" s="6" t="s">
        <v>6131</v>
      </c>
      <c r="S1485" s="6" t="s">
        <v>6236</v>
      </c>
      <c r="T1485" s="6">
        <v>0</v>
      </c>
      <c r="U1485" s="6">
        <v>0</v>
      </c>
      <c r="V1485" s="6">
        <v>0</v>
      </c>
      <c r="W1485" s="6">
        <v>0</v>
      </c>
      <c r="X1485" s="6" t="s">
        <v>169</v>
      </c>
      <c r="Z1485" s="6" t="s">
        <v>170</v>
      </c>
      <c r="AA1485" s="6" t="s">
        <v>171</v>
      </c>
      <c r="AB1485" s="6">
        <v>0</v>
      </c>
      <c r="AC1485" s="6" t="str">
        <f>""</f>
        <v/>
      </c>
      <c r="AS1485" s="6">
        <v>0</v>
      </c>
      <c r="AT1485" s="6">
        <v>1</v>
      </c>
    </row>
    <row r="1486" spans="2:46">
      <c r="B1486" s="6" t="s">
        <v>106</v>
      </c>
      <c r="D1486" s="6" t="s">
        <v>3316</v>
      </c>
      <c r="F1486" s="6" t="s">
        <v>6237</v>
      </c>
      <c r="G1486" s="6" t="str">
        <f>"mnmm17ss2e16"</f>
        <v>mnmm17ss2e16</v>
      </c>
      <c r="H1486" s="6" t="s">
        <v>6238</v>
      </c>
      <c r="I1486" s="6" t="s">
        <v>6239</v>
      </c>
      <c r="J1486" s="6" t="str">
        <f>"cross circle choker"</f>
        <v>cross circle choker</v>
      </c>
      <c r="K1486" s="6">
        <v>0</v>
      </c>
      <c r="L1486" s="6">
        <v>0</v>
      </c>
      <c r="M1486" s="6">
        <v>0</v>
      </c>
      <c r="N1486" s="6" t="str">
        <f>""</f>
        <v/>
      </c>
      <c r="O1486" s="6">
        <v>31351</v>
      </c>
      <c r="P1486" s="6" t="s">
        <v>6240</v>
      </c>
      <c r="R1486" s="6" t="s">
        <v>6131</v>
      </c>
      <c r="S1486" s="6" t="s">
        <v>6241</v>
      </c>
      <c r="T1486" s="6">
        <v>0</v>
      </c>
      <c r="U1486" s="6">
        <v>0</v>
      </c>
      <c r="V1486" s="6">
        <v>0</v>
      </c>
      <c r="W1486" s="6">
        <v>0</v>
      </c>
      <c r="X1486" s="6" t="s">
        <v>169</v>
      </c>
      <c r="Z1486" s="6" t="s">
        <v>170</v>
      </c>
      <c r="AA1486" s="6" t="s">
        <v>171</v>
      </c>
      <c r="AB1486" s="6">
        <v>0</v>
      </c>
      <c r="AC1486" s="6" t="str">
        <f>""</f>
        <v/>
      </c>
      <c r="AS1486" s="6">
        <v>0</v>
      </c>
      <c r="AT1486" s="6">
        <v>0</v>
      </c>
    </row>
    <row r="1487" spans="2:46">
      <c r="B1487" s="6" t="s">
        <v>106</v>
      </c>
      <c r="D1487" s="6" t="s">
        <v>3316</v>
      </c>
      <c r="F1487" s="6" t="s">
        <v>6242</v>
      </c>
      <c r="G1487" s="6" t="str">
        <f>"mnmm17ss2e15"</f>
        <v>mnmm17ss2e15</v>
      </c>
      <c r="H1487" s="6" t="s">
        <v>6243</v>
      </c>
      <c r="I1487" s="6" t="s">
        <v>6244</v>
      </c>
      <c r="J1487" s="6" t="str">
        <f>"flower earring"</f>
        <v>flower earring</v>
      </c>
      <c r="K1487" s="6">
        <v>0</v>
      </c>
      <c r="L1487" s="6">
        <v>0</v>
      </c>
      <c r="M1487" s="6">
        <v>0</v>
      </c>
      <c r="N1487" s="6" t="str">
        <f>""</f>
        <v/>
      </c>
      <c r="O1487" s="6">
        <v>31349</v>
      </c>
      <c r="P1487" s="6" t="s">
        <v>6245</v>
      </c>
      <c r="R1487" s="6" t="s">
        <v>6226</v>
      </c>
      <c r="S1487" s="6" t="s">
        <v>6246</v>
      </c>
      <c r="T1487" s="6">
        <v>0</v>
      </c>
      <c r="U1487" s="6">
        <v>0</v>
      </c>
      <c r="V1487" s="6">
        <v>0</v>
      </c>
      <c r="W1487" s="6">
        <v>0</v>
      </c>
      <c r="X1487" s="6" t="s">
        <v>169</v>
      </c>
      <c r="Z1487" s="6" t="s">
        <v>170</v>
      </c>
      <c r="AA1487" s="6" t="s">
        <v>171</v>
      </c>
      <c r="AB1487" s="6">
        <v>0</v>
      </c>
      <c r="AC1487" s="6" t="str">
        <f>""</f>
        <v/>
      </c>
      <c r="AS1487" s="6">
        <v>0</v>
      </c>
      <c r="AT1487" s="6">
        <v>0</v>
      </c>
    </row>
    <row r="1488" spans="2:46">
      <c r="B1488" s="6" t="s">
        <v>106</v>
      </c>
      <c r="D1488" s="6" t="s">
        <v>3316</v>
      </c>
      <c r="F1488" s="6" t="s">
        <v>6247</v>
      </c>
      <c r="G1488" s="6" t="str">
        <f>"mnmm17ss2e14"</f>
        <v>mnmm17ss2e14</v>
      </c>
      <c r="H1488" s="6" t="s">
        <v>6248</v>
      </c>
      <c r="I1488" s="6" t="s">
        <v>6249</v>
      </c>
      <c r="J1488" s="6" t="str">
        <f>"wood ring earring"</f>
        <v>wood ring earring</v>
      </c>
      <c r="K1488" s="6">
        <v>0</v>
      </c>
      <c r="L1488" s="6">
        <v>0</v>
      </c>
      <c r="M1488" s="6">
        <v>0</v>
      </c>
      <c r="N1488" s="6" t="str">
        <f>""</f>
        <v/>
      </c>
      <c r="O1488" s="6">
        <v>31347</v>
      </c>
      <c r="P1488" s="6" t="s">
        <v>6250</v>
      </c>
      <c r="R1488" s="6" t="s">
        <v>6251</v>
      </c>
      <c r="S1488" s="6" t="s">
        <v>6252</v>
      </c>
      <c r="T1488" s="6">
        <v>0</v>
      </c>
      <c r="U1488" s="6">
        <v>0</v>
      </c>
      <c r="V1488" s="6">
        <v>0</v>
      </c>
      <c r="W1488" s="6">
        <v>0</v>
      </c>
      <c r="X1488" s="6" t="s">
        <v>169</v>
      </c>
      <c r="Z1488" s="6" t="s">
        <v>170</v>
      </c>
      <c r="AA1488" s="6" t="s">
        <v>171</v>
      </c>
      <c r="AB1488" s="6">
        <v>0</v>
      </c>
      <c r="AC1488" s="6" t="str">
        <f>""</f>
        <v/>
      </c>
      <c r="AS1488" s="6">
        <v>0</v>
      </c>
      <c r="AT1488" s="6">
        <v>0</v>
      </c>
    </row>
    <row r="1489" spans="2:46">
      <c r="B1489" s="6" t="s">
        <v>106</v>
      </c>
      <c r="D1489" s="6" t="s">
        <v>3316</v>
      </c>
      <c r="F1489" s="6" t="s">
        <v>6253</v>
      </c>
      <c r="G1489" s="6" t="str">
        <f>"mnmm17ss2e13"</f>
        <v>mnmm17ss2e13</v>
      </c>
      <c r="I1489" s="6" t="s">
        <v>6254</v>
      </c>
      <c r="J1489" s="6" t="str">
        <f>"circle pearl earring"</f>
        <v>circle pearl earring</v>
      </c>
      <c r="K1489" s="6">
        <v>0</v>
      </c>
      <c r="L1489" s="6">
        <v>0</v>
      </c>
      <c r="M1489" s="6">
        <v>0</v>
      </c>
      <c r="N1489" s="6" t="str">
        <f>""</f>
        <v/>
      </c>
      <c r="O1489" s="6">
        <v>31345</v>
      </c>
      <c r="P1489" s="6" t="s">
        <v>6255</v>
      </c>
      <c r="R1489" s="6" t="s">
        <v>6131</v>
      </c>
      <c r="S1489" s="6" t="s">
        <v>6256</v>
      </c>
      <c r="T1489" s="6">
        <v>1</v>
      </c>
      <c r="U1489" s="6">
        <v>0</v>
      </c>
      <c r="V1489" s="6">
        <v>0</v>
      </c>
      <c r="W1489" s="6">
        <v>0</v>
      </c>
      <c r="X1489" s="6" t="s">
        <v>169</v>
      </c>
      <c r="Z1489" s="6" t="s">
        <v>170</v>
      </c>
      <c r="AA1489" s="6" t="s">
        <v>171</v>
      </c>
      <c r="AB1489" s="6">
        <v>0</v>
      </c>
      <c r="AC1489" s="6" t="str">
        <f>"KEY-003"</f>
        <v>KEY-003</v>
      </c>
      <c r="AQ1489" s="6" t="str">
        <f>""</f>
        <v/>
      </c>
      <c r="AR1489" s="6" t="s">
        <v>1584</v>
      </c>
      <c r="AS1489" s="6">
        <v>0</v>
      </c>
      <c r="AT1489" s="6">
        <v>1</v>
      </c>
    </row>
    <row r="1490" spans="2:46">
      <c r="B1490" s="6" t="s">
        <v>106</v>
      </c>
      <c r="D1490" s="6" t="s">
        <v>3316</v>
      </c>
      <c r="F1490" s="6" t="s">
        <v>6257</v>
      </c>
      <c r="G1490" s="6" t="str">
        <f>"mnmm17ss2e12"</f>
        <v>mnmm17ss2e12</v>
      </c>
      <c r="I1490" s="6" t="s">
        <v>6258</v>
      </c>
      <c r="J1490" s="6" t="str">
        <f>"three gray ball earring"</f>
        <v>three gray ball earring</v>
      </c>
      <c r="K1490" s="6">
        <v>0</v>
      </c>
      <c r="L1490" s="6">
        <v>0</v>
      </c>
      <c r="M1490" s="6">
        <v>0</v>
      </c>
      <c r="N1490" s="6" t="str">
        <f>""</f>
        <v/>
      </c>
      <c r="O1490" s="6">
        <v>31343</v>
      </c>
      <c r="P1490" s="6" t="s">
        <v>6259</v>
      </c>
      <c r="R1490" s="6" t="s">
        <v>6131</v>
      </c>
      <c r="S1490" s="6" t="s">
        <v>6260</v>
      </c>
      <c r="T1490" s="6">
        <v>1</v>
      </c>
      <c r="U1490" s="6">
        <v>0</v>
      </c>
      <c r="V1490" s="6">
        <v>0</v>
      </c>
      <c r="W1490" s="6">
        <v>0</v>
      </c>
      <c r="X1490" s="6" t="s">
        <v>169</v>
      </c>
      <c r="Z1490" s="6" t="s">
        <v>170</v>
      </c>
      <c r="AA1490" s="6" t="s">
        <v>171</v>
      </c>
      <c r="AB1490" s="6">
        <v>0</v>
      </c>
      <c r="AC1490" s="6" t="str">
        <f>"KEY-003"</f>
        <v>KEY-003</v>
      </c>
      <c r="AQ1490" s="6" t="str">
        <f>""</f>
        <v/>
      </c>
      <c r="AR1490" s="6" t="s">
        <v>1584</v>
      </c>
      <c r="AS1490" s="6">
        <v>0</v>
      </c>
      <c r="AT1490" s="6">
        <v>1</v>
      </c>
    </row>
    <row r="1491" spans="2:46">
      <c r="B1491" s="6" t="s">
        <v>106</v>
      </c>
      <c r="D1491" s="6" t="s">
        <v>3316</v>
      </c>
      <c r="F1491" s="6" t="s">
        <v>6261</v>
      </c>
      <c r="G1491" s="6" t="str">
        <f>"mnmm17ss2e11"</f>
        <v>mnmm17ss2e11</v>
      </c>
      <c r="H1491" s="6" t="s">
        <v>6262</v>
      </c>
      <c r="I1491" s="6" t="s">
        <v>6263</v>
      </c>
      <c r="J1491" s="6" t="str">
        <f>"informal gold earring"</f>
        <v>informal gold earring</v>
      </c>
      <c r="K1491" s="6">
        <v>0</v>
      </c>
      <c r="L1491" s="6">
        <v>0</v>
      </c>
      <c r="M1491" s="6">
        <v>0</v>
      </c>
      <c r="N1491" s="6" t="str">
        <f>""</f>
        <v/>
      </c>
      <c r="O1491" s="6">
        <v>31341</v>
      </c>
      <c r="P1491" s="6" t="s">
        <v>6264</v>
      </c>
      <c r="R1491" s="6" t="s">
        <v>6116</v>
      </c>
      <c r="S1491" s="6" t="s">
        <v>6265</v>
      </c>
      <c r="T1491" s="6">
        <v>0</v>
      </c>
      <c r="U1491" s="6">
        <v>0</v>
      </c>
      <c r="V1491" s="6">
        <v>0</v>
      </c>
      <c r="W1491" s="6">
        <v>0</v>
      </c>
      <c r="X1491" s="6" t="s">
        <v>169</v>
      </c>
      <c r="Z1491" s="6" t="s">
        <v>170</v>
      </c>
      <c r="AA1491" s="6" t="s">
        <v>171</v>
      </c>
      <c r="AB1491" s="6">
        <v>0</v>
      </c>
      <c r="AC1491" s="6" t="str">
        <f>""</f>
        <v/>
      </c>
      <c r="AS1491" s="6">
        <v>0</v>
      </c>
      <c r="AT1491" s="6">
        <v>0</v>
      </c>
    </row>
    <row r="1492" spans="2:46">
      <c r="B1492" s="6" t="s">
        <v>106</v>
      </c>
      <c r="D1492" s="6" t="s">
        <v>3316</v>
      </c>
      <c r="F1492" s="6" t="s">
        <v>6266</v>
      </c>
      <c r="G1492" s="6" t="str">
        <f>"mnmm17ss2e10"</f>
        <v>mnmm17ss2e10</v>
      </c>
      <c r="I1492" s="6" t="s">
        <v>6267</v>
      </c>
      <c r="J1492" s="6" t="str">
        <f>"water pearl drop earring"</f>
        <v>water pearl drop earring</v>
      </c>
      <c r="K1492" s="6">
        <v>0</v>
      </c>
      <c r="L1492" s="6">
        <v>0</v>
      </c>
      <c r="M1492" s="6">
        <v>0</v>
      </c>
      <c r="N1492" s="6" t="str">
        <f>""</f>
        <v/>
      </c>
      <c r="O1492" s="6">
        <v>31339</v>
      </c>
      <c r="P1492" s="6" t="s">
        <v>6268</v>
      </c>
      <c r="R1492" s="6" t="s">
        <v>6131</v>
      </c>
      <c r="S1492" s="6" t="s">
        <v>6269</v>
      </c>
      <c r="T1492" s="6">
        <v>1</v>
      </c>
      <c r="U1492" s="6">
        <v>0</v>
      </c>
      <c r="V1492" s="6">
        <v>0</v>
      </c>
      <c r="W1492" s="6">
        <v>0</v>
      </c>
      <c r="X1492" s="6" t="s">
        <v>169</v>
      </c>
      <c r="Z1492" s="6" t="s">
        <v>170</v>
      </c>
      <c r="AA1492" s="6" t="s">
        <v>171</v>
      </c>
      <c r="AB1492" s="6">
        <v>0</v>
      </c>
      <c r="AC1492" s="6" t="str">
        <f>"KEY-003"</f>
        <v>KEY-003</v>
      </c>
      <c r="AQ1492" s="6" t="str">
        <f>""</f>
        <v/>
      </c>
      <c r="AR1492" s="6" t="s">
        <v>1584</v>
      </c>
      <c r="AS1492" s="6">
        <v>0</v>
      </c>
      <c r="AT1492" s="6">
        <v>1</v>
      </c>
    </row>
    <row r="1493" spans="2:46">
      <c r="B1493" s="6" t="s">
        <v>106</v>
      </c>
      <c r="D1493" s="6" t="s">
        <v>3316</v>
      </c>
      <c r="F1493" s="6" t="s">
        <v>6270</v>
      </c>
      <c r="G1493" s="6" t="str">
        <f>"mnmm17ss2e09"</f>
        <v>mnmm17ss2e09</v>
      </c>
      <c r="H1493" s="6" t="s">
        <v>6271</v>
      </c>
      <c r="I1493" s="6" t="s">
        <v>6272</v>
      </c>
      <c r="J1493" s="6" t="str">
        <f>"leaf drop gold earring"</f>
        <v>leaf drop gold earring</v>
      </c>
      <c r="K1493" s="6">
        <v>0</v>
      </c>
      <c r="L1493" s="6">
        <v>0</v>
      </c>
      <c r="M1493" s="6">
        <v>0</v>
      </c>
      <c r="N1493" s="6" t="str">
        <f>""</f>
        <v/>
      </c>
      <c r="O1493" s="6">
        <v>31337</v>
      </c>
      <c r="P1493" s="6" t="s">
        <v>6273</v>
      </c>
      <c r="R1493" s="6" t="s">
        <v>6116</v>
      </c>
      <c r="S1493" s="6" t="s">
        <v>6274</v>
      </c>
      <c r="T1493" s="6">
        <v>0</v>
      </c>
      <c r="U1493" s="6">
        <v>0</v>
      </c>
      <c r="V1493" s="6">
        <v>0</v>
      </c>
      <c r="W1493" s="6">
        <v>0</v>
      </c>
      <c r="X1493" s="6" t="s">
        <v>169</v>
      </c>
      <c r="Z1493" s="6" t="s">
        <v>170</v>
      </c>
      <c r="AA1493" s="6" t="s">
        <v>171</v>
      </c>
      <c r="AB1493" s="6">
        <v>0</v>
      </c>
      <c r="AC1493" s="6" t="str">
        <f>""</f>
        <v/>
      </c>
      <c r="AS1493" s="6">
        <v>0</v>
      </c>
      <c r="AT1493" s="6">
        <v>0</v>
      </c>
    </row>
    <row r="1494" spans="2:46">
      <c r="B1494" s="6" t="s">
        <v>106</v>
      </c>
      <c r="D1494" s="6" t="s">
        <v>3316</v>
      </c>
      <c r="F1494" s="6" t="s">
        <v>6275</v>
      </c>
      <c r="G1494" s="6" t="str">
        <f>"mnmm17ss2e08"</f>
        <v>mnmm17ss2e08</v>
      </c>
      <c r="H1494" s="6" t="s">
        <v>6276</v>
      </c>
      <c r="I1494" s="6" t="s">
        <v>6277</v>
      </c>
      <c r="J1494" s="6" t="str">
        <f>"water pearl earring"</f>
        <v>water pearl earring</v>
      </c>
      <c r="K1494" s="6">
        <v>0</v>
      </c>
      <c r="L1494" s="6">
        <v>0</v>
      </c>
      <c r="M1494" s="6">
        <v>0</v>
      </c>
      <c r="N1494" s="6" t="str">
        <f>""</f>
        <v/>
      </c>
      <c r="O1494" s="6">
        <v>31335</v>
      </c>
      <c r="P1494" s="6" t="s">
        <v>6278</v>
      </c>
      <c r="R1494" s="6" t="s">
        <v>6131</v>
      </c>
      <c r="S1494" s="6" t="s">
        <v>6279</v>
      </c>
      <c r="T1494" s="6">
        <v>0</v>
      </c>
      <c r="U1494" s="6">
        <v>0</v>
      </c>
      <c r="V1494" s="6">
        <v>0</v>
      </c>
      <c r="W1494" s="6">
        <v>0</v>
      </c>
      <c r="X1494" s="6" t="s">
        <v>169</v>
      </c>
      <c r="Z1494" s="6" t="s">
        <v>170</v>
      </c>
      <c r="AA1494" s="6" t="s">
        <v>171</v>
      </c>
      <c r="AB1494" s="6">
        <v>0</v>
      </c>
      <c r="AC1494" s="6" t="str">
        <f>""</f>
        <v/>
      </c>
      <c r="AS1494" s="6">
        <v>0</v>
      </c>
      <c r="AT1494" s="6">
        <v>0</v>
      </c>
    </row>
    <row r="1495" spans="2:46">
      <c r="B1495" s="6" t="s">
        <v>106</v>
      </c>
      <c r="D1495" s="6" t="s">
        <v>3316</v>
      </c>
      <c r="F1495" s="6" t="s">
        <v>6280</v>
      </c>
      <c r="G1495" s="6" t="str">
        <f>"mnmm17ss2e07"</f>
        <v>mnmm17ss2e07</v>
      </c>
      <c r="I1495" s="6" t="s">
        <v>6281</v>
      </c>
      <c r="J1495" s="6" t="str">
        <f>"water drop marble earring"</f>
        <v>water drop marble earring</v>
      </c>
      <c r="K1495" s="6">
        <v>0</v>
      </c>
      <c r="L1495" s="6">
        <v>0</v>
      </c>
      <c r="M1495" s="6">
        <v>0</v>
      </c>
      <c r="N1495" s="6" t="str">
        <f>""</f>
        <v/>
      </c>
      <c r="O1495" s="6">
        <v>31333</v>
      </c>
      <c r="P1495" s="6" t="s">
        <v>6282</v>
      </c>
      <c r="R1495" s="6" t="s">
        <v>6156</v>
      </c>
      <c r="S1495" s="6" t="s">
        <v>6283</v>
      </c>
      <c r="T1495" s="6">
        <v>1</v>
      </c>
      <c r="U1495" s="6">
        <v>0</v>
      </c>
      <c r="V1495" s="6">
        <v>0</v>
      </c>
      <c r="W1495" s="6">
        <v>0</v>
      </c>
      <c r="X1495" s="6" t="s">
        <v>169</v>
      </c>
      <c r="Z1495" s="6" t="s">
        <v>170</v>
      </c>
      <c r="AA1495" s="6" t="s">
        <v>171</v>
      </c>
      <c r="AB1495" s="6">
        <v>0</v>
      </c>
      <c r="AC1495" s="6" t="str">
        <f>"KEY-003"</f>
        <v>KEY-003</v>
      </c>
      <c r="AQ1495" s="6" t="str">
        <f>""</f>
        <v/>
      </c>
      <c r="AR1495" s="6" t="s">
        <v>1584</v>
      </c>
      <c r="AS1495" s="6">
        <v>0</v>
      </c>
      <c r="AT1495" s="6">
        <v>1</v>
      </c>
    </row>
    <row r="1496" spans="2:46">
      <c r="B1496" s="6" t="s">
        <v>106</v>
      </c>
      <c r="D1496" s="6" t="s">
        <v>3316</v>
      </c>
      <c r="F1496" s="6" t="s">
        <v>6284</v>
      </c>
      <c r="G1496" s="6" t="str">
        <f>"mnmm17ss2e06"</f>
        <v>mnmm17ss2e06</v>
      </c>
      <c r="I1496" s="6" t="s">
        <v>6285</v>
      </c>
      <c r="J1496" s="6" t="str">
        <f>"window marble ball earring"</f>
        <v>window marble ball earring</v>
      </c>
      <c r="K1496" s="6">
        <v>0</v>
      </c>
      <c r="L1496" s="6">
        <v>0</v>
      </c>
      <c r="M1496" s="6">
        <v>0</v>
      </c>
      <c r="N1496" s="6" t="str">
        <f>""</f>
        <v/>
      </c>
      <c r="O1496" s="6">
        <v>31331</v>
      </c>
      <c r="P1496" s="6" t="s">
        <v>6286</v>
      </c>
      <c r="R1496" s="6" t="s">
        <v>6116</v>
      </c>
      <c r="S1496" s="6" t="s">
        <v>6287</v>
      </c>
      <c r="T1496" s="6">
        <v>1</v>
      </c>
      <c r="U1496" s="6">
        <v>0</v>
      </c>
      <c r="V1496" s="6">
        <v>0</v>
      </c>
      <c r="W1496" s="6">
        <v>0</v>
      </c>
      <c r="X1496" s="6" t="s">
        <v>169</v>
      </c>
      <c r="Z1496" s="6" t="s">
        <v>170</v>
      </c>
      <c r="AA1496" s="6" t="s">
        <v>171</v>
      </c>
      <c r="AB1496" s="6">
        <v>0</v>
      </c>
      <c r="AC1496" s="6" t="str">
        <f>"KEY-003"</f>
        <v>KEY-003</v>
      </c>
      <c r="AQ1496" s="6" t="str">
        <f>""</f>
        <v/>
      </c>
      <c r="AR1496" s="6" t="s">
        <v>1584</v>
      </c>
      <c r="AS1496" s="6">
        <v>0</v>
      </c>
      <c r="AT1496" s="6">
        <v>1</v>
      </c>
    </row>
    <row r="1497" spans="2:46">
      <c r="B1497" s="6" t="s">
        <v>106</v>
      </c>
      <c r="D1497" s="6" t="s">
        <v>3316</v>
      </c>
      <c r="F1497" s="6" t="s">
        <v>6288</v>
      </c>
      <c r="G1497" s="6" t="str">
        <f>"mnmm17ss2e05"</f>
        <v>mnmm17ss2e05</v>
      </c>
      <c r="I1497" s="6" t="s">
        <v>46</v>
      </c>
      <c r="J1497" s="6" t="str">
        <f>"window marble stand earring"</f>
        <v>window marble stand earring</v>
      </c>
      <c r="K1497" s="6">
        <v>0</v>
      </c>
      <c r="L1497" s="6">
        <v>0</v>
      </c>
      <c r="M1497" s="6">
        <v>0</v>
      </c>
      <c r="N1497" s="6" t="str">
        <f>""</f>
        <v/>
      </c>
      <c r="O1497" s="6">
        <v>31329</v>
      </c>
      <c r="P1497" s="6" t="s">
        <v>45</v>
      </c>
      <c r="R1497" s="6" t="s">
        <v>6131</v>
      </c>
      <c r="S1497" s="6" t="s">
        <v>6289</v>
      </c>
      <c r="T1497" s="6">
        <v>0</v>
      </c>
      <c r="U1497" s="6">
        <v>0</v>
      </c>
      <c r="V1497" s="6">
        <v>0</v>
      </c>
      <c r="W1497" s="6">
        <v>0</v>
      </c>
      <c r="X1497" s="6" t="s">
        <v>169</v>
      </c>
      <c r="Z1497" s="6" t="s">
        <v>170</v>
      </c>
      <c r="AA1497" s="6" t="s">
        <v>171</v>
      </c>
      <c r="AB1497" s="6">
        <v>0</v>
      </c>
      <c r="AC1497" s="6" t="str">
        <f>"KEY-021"</f>
        <v>KEY-021</v>
      </c>
      <c r="AQ1497" s="6" t="str">
        <f>""</f>
        <v/>
      </c>
      <c r="AR1497" s="6" t="s">
        <v>1472</v>
      </c>
      <c r="AS1497" s="6">
        <v>0</v>
      </c>
      <c r="AT1497" s="6">
        <v>0</v>
      </c>
    </row>
    <row r="1498" spans="2:46">
      <c r="B1498" s="6" t="s">
        <v>106</v>
      </c>
      <c r="D1498" s="6" t="s">
        <v>3316</v>
      </c>
      <c r="F1498" s="6" t="s">
        <v>6290</v>
      </c>
      <c r="G1498" s="6" t="str">
        <f>"mnmm17ss2e04"</f>
        <v>mnmm17ss2e04</v>
      </c>
      <c r="H1498" s="6" t="s">
        <v>6291</v>
      </c>
      <c r="I1498" s="6" t="s">
        <v>6292</v>
      </c>
      <c r="J1498" s="6" t="str">
        <f>"half moon wood cream earring"</f>
        <v>half moon wood cream earring</v>
      </c>
      <c r="K1498" s="6">
        <v>0</v>
      </c>
      <c r="L1498" s="6">
        <v>0</v>
      </c>
      <c r="M1498" s="6">
        <v>0</v>
      </c>
      <c r="N1498" s="6" t="str">
        <f>""</f>
        <v/>
      </c>
      <c r="O1498" s="6">
        <v>31327</v>
      </c>
      <c r="P1498" s="6" t="s">
        <v>6293</v>
      </c>
      <c r="R1498" s="6" t="s">
        <v>6294</v>
      </c>
      <c r="S1498" s="6" t="s">
        <v>6295</v>
      </c>
      <c r="T1498" s="6">
        <v>0</v>
      </c>
      <c r="U1498" s="6">
        <v>0</v>
      </c>
      <c r="V1498" s="6">
        <v>0</v>
      </c>
      <c r="W1498" s="6">
        <v>0</v>
      </c>
      <c r="X1498" s="6" t="s">
        <v>169</v>
      </c>
      <c r="Z1498" s="6" t="s">
        <v>170</v>
      </c>
      <c r="AA1498" s="6" t="s">
        <v>171</v>
      </c>
      <c r="AB1498" s="6">
        <v>0</v>
      </c>
      <c r="AC1498" s="6" t="str">
        <f>""</f>
        <v/>
      </c>
      <c r="AS1498" s="6">
        <v>0</v>
      </c>
      <c r="AT1498" s="6">
        <v>0</v>
      </c>
    </row>
    <row r="1499" spans="2:46">
      <c r="B1499" s="6" t="s">
        <v>106</v>
      </c>
      <c r="D1499" s="6" t="s">
        <v>3316</v>
      </c>
      <c r="F1499" s="6" t="s">
        <v>6296</v>
      </c>
      <c r="G1499" s="6" t="str">
        <f>"mnmm17ss2e03"</f>
        <v>mnmm17ss2e03</v>
      </c>
      <c r="H1499" s="6" t="s">
        <v>6297</v>
      </c>
      <c r="I1499" s="6" t="s">
        <v>6298</v>
      </c>
      <c r="J1499" s="6" t="str">
        <f>"half moon wood green earring"</f>
        <v>half moon wood green earring</v>
      </c>
      <c r="K1499" s="6">
        <v>0</v>
      </c>
      <c r="L1499" s="6">
        <v>0</v>
      </c>
      <c r="M1499" s="6">
        <v>0</v>
      </c>
      <c r="N1499" s="6" t="str">
        <f>""</f>
        <v/>
      </c>
      <c r="O1499" s="6">
        <v>31325</v>
      </c>
      <c r="P1499" s="6" t="s">
        <v>6299</v>
      </c>
      <c r="R1499" s="6" t="s">
        <v>6156</v>
      </c>
      <c r="S1499" s="6" t="s">
        <v>6300</v>
      </c>
      <c r="T1499" s="6">
        <v>0</v>
      </c>
      <c r="U1499" s="6">
        <v>0</v>
      </c>
      <c r="V1499" s="6">
        <v>0</v>
      </c>
      <c r="W1499" s="6">
        <v>0</v>
      </c>
      <c r="X1499" s="6" t="s">
        <v>169</v>
      </c>
      <c r="Z1499" s="6" t="s">
        <v>170</v>
      </c>
      <c r="AA1499" s="6" t="s">
        <v>171</v>
      </c>
      <c r="AB1499" s="6">
        <v>0</v>
      </c>
      <c r="AC1499" s="6" t="str">
        <f>""</f>
        <v/>
      </c>
      <c r="AS1499" s="6">
        <v>0</v>
      </c>
      <c r="AT1499" s="6">
        <v>0</v>
      </c>
    </row>
    <row r="1500" spans="2:46">
      <c r="B1500" s="6" t="s">
        <v>106</v>
      </c>
      <c r="D1500" s="6" t="s">
        <v>3316</v>
      </c>
      <c r="F1500" s="6" t="s">
        <v>6301</v>
      </c>
      <c r="G1500" s="6" t="str">
        <f>"mnmm17ss2e02"</f>
        <v>mnmm17ss2e02</v>
      </c>
      <c r="I1500" s="6" t="s">
        <v>6302</v>
      </c>
      <c r="J1500" s="6" t="str">
        <f>"blod ring gold earring"</f>
        <v>blod ring gold earring</v>
      </c>
      <c r="K1500" s="6">
        <v>0</v>
      </c>
      <c r="L1500" s="6">
        <v>0</v>
      </c>
      <c r="M1500" s="6">
        <v>0</v>
      </c>
      <c r="N1500" s="6" t="str">
        <f>""</f>
        <v/>
      </c>
      <c r="O1500" s="6">
        <v>31323</v>
      </c>
      <c r="P1500" s="6" t="s">
        <v>6303</v>
      </c>
      <c r="R1500" s="6" t="s">
        <v>6116</v>
      </c>
      <c r="S1500" s="6" t="s">
        <v>6304</v>
      </c>
      <c r="T1500" s="6">
        <v>1</v>
      </c>
      <c r="U1500" s="6">
        <v>0</v>
      </c>
      <c r="V1500" s="6">
        <v>0</v>
      </c>
      <c r="W1500" s="6">
        <v>0</v>
      </c>
      <c r="X1500" s="6" t="s">
        <v>169</v>
      </c>
      <c r="Z1500" s="6" t="s">
        <v>170</v>
      </c>
      <c r="AA1500" s="6" t="s">
        <v>171</v>
      </c>
      <c r="AB1500" s="6">
        <v>0</v>
      </c>
      <c r="AC1500" s="6" t="str">
        <f>"KEY-003"</f>
        <v>KEY-003</v>
      </c>
      <c r="AQ1500" s="6" t="str">
        <f>""</f>
        <v/>
      </c>
      <c r="AR1500" s="6" t="s">
        <v>1584</v>
      </c>
      <c r="AS1500" s="6">
        <v>0</v>
      </c>
      <c r="AT1500" s="6">
        <v>1</v>
      </c>
    </row>
    <row r="1501" spans="2:46">
      <c r="B1501" s="6" t="s">
        <v>106</v>
      </c>
      <c r="D1501" s="6" t="s">
        <v>3316</v>
      </c>
      <c r="F1501" s="6" t="s">
        <v>6305</v>
      </c>
      <c r="G1501" s="6" t="str">
        <f>"mnmm17ss2e01"</f>
        <v>mnmm17ss2e01</v>
      </c>
      <c r="I1501" s="6" t="s">
        <v>6306</v>
      </c>
      <c r="J1501" s="6" t="str">
        <f>"bold ring silver earring"</f>
        <v>bold ring silver earring</v>
      </c>
      <c r="K1501" s="6">
        <v>0</v>
      </c>
      <c r="L1501" s="6">
        <v>0</v>
      </c>
      <c r="M1501" s="6">
        <v>0</v>
      </c>
      <c r="N1501" s="6" t="str">
        <f>""</f>
        <v/>
      </c>
      <c r="O1501" s="6">
        <v>31321</v>
      </c>
      <c r="P1501" s="6" t="s">
        <v>6307</v>
      </c>
      <c r="R1501" s="6" t="s">
        <v>6131</v>
      </c>
      <c r="S1501" s="6" t="s">
        <v>6308</v>
      </c>
      <c r="T1501" s="6">
        <v>1</v>
      </c>
      <c r="U1501" s="6">
        <v>0</v>
      </c>
      <c r="V1501" s="6">
        <v>0</v>
      </c>
      <c r="W1501" s="6">
        <v>0</v>
      </c>
      <c r="X1501" s="6" t="s">
        <v>169</v>
      </c>
      <c r="Z1501" s="6" t="s">
        <v>170</v>
      </c>
      <c r="AA1501" s="6" t="s">
        <v>171</v>
      </c>
      <c r="AB1501" s="6">
        <v>0</v>
      </c>
      <c r="AC1501" s="6" t="str">
        <f>"KEY-003"</f>
        <v>KEY-003</v>
      </c>
      <c r="AQ1501" s="6" t="str">
        <f>""</f>
        <v/>
      </c>
      <c r="AR1501" s="6" t="s">
        <v>1584</v>
      </c>
      <c r="AS1501" s="6">
        <v>0</v>
      </c>
      <c r="AT1501" s="6">
        <v>1</v>
      </c>
    </row>
    <row r="1502" spans="2:46">
      <c r="B1502" s="6" t="s">
        <v>106</v>
      </c>
      <c r="D1502" s="6" t="s">
        <v>3316</v>
      </c>
      <c r="F1502" s="6" t="s">
        <v>6309</v>
      </c>
      <c r="G1502" s="6" t="str">
        <f>"mnmm16fwc09N_x"</f>
        <v>mnmm16fwc09N_x</v>
      </c>
      <c r="H1502" s="6" t="s">
        <v>6310</v>
      </c>
      <c r="I1502" s="6" t="s">
        <v>6311</v>
      </c>
      <c r="J1502" s="6" t="str">
        <f>"pearl chain white case"</f>
        <v>pearl chain white case</v>
      </c>
      <c r="K1502" s="6">
        <v>0</v>
      </c>
      <c r="L1502" s="6">
        <v>0</v>
      </c>
      <c r="M1502" s="6">
        <v>0</v>
      </c>
      <c r="N1502" s="6" t="str">
        <f>""</f>
        <v/>
      </c>
      <c r="O1502" s="6">
        <v>31425</v>
      </c>
      <c r="P1502" s="6" t="s">
        <v>6312</v>
      </c>
      <c r="R1502" s="6" t="s">
        <v>6313</v>
      </c>
      <c r="S1502" s="6" t="s">
        <v>6314</v>
      </c>
      <c r="T1502" s="6">
        <v>0</v>
      </c>
      <c r="U1502" s="6">
        <v>0</v>
      </c>
      <c r="V1502" s="6">
        <v>0</v>
      </c>
      <c r="W1502" s="6">
        <v>0</v>
      </c>
      <c r="X1502" s="6" t="s">
        <v>169</v>
      </c>
      <c r="Z1502" s="6" t="s">
        <v>170</v>
      </c>
      <c r="AA1502" s="6" t="s">
        <v>171</v>
      </c>
      <c r="AB1502" s="6">
        <v>0</v>
      </c>
      <c r="AC1502" s="6" t="str">
        <f>""</f>
        <v/>
      </c>
      <c r="AS1502" s="6">
        <v>0</v>
      </c>
      <c r="AT1502" s="6">
        <v>0</v>
      </c>
    </row>
    <row r="1503" spans="2:46">
      <c r="B1503" s="6" t="s">
        <v>106</v>
      </c>
      <c r="D1503" s="6" t="s">
        <v>3316</v>
      </c>
      <c r="F1503" s="6" t="s">
        <v>6315</v>
      </c>
      <c r="G1503" s="6" t="str">
        <f>"mnmm16fwc09N_8p"</f>
        <v>mnmm16fwc09N_8p</v>
      </c>
      <c r="H1503" s="6" t="s">
        <v>6316</v>
      </c>
      <c r="I1503" s="6" t="s">
        <v>6311</v>
      </c>
      <c r="J1503" s="6" t="str">
        <f>"pearl chain white case"</f>
        <v>pearl chain white case</v>
      </c>
      <c r="K1503" s="6">
        <v>0</v>
      </c>
      <c r="L1503" s="6">
        <v>0</v>
      </c>
      <c r="M1503" s="6">
        <v>0</v>
      </c>
      <c r="N1503" s="6" t="str">
        <f>""</f>
        <v/>
      </c>
      <c r="O1503" s="6">
        <v>31424</v>
      </c>
      <c r="P1503" s="6" t="s">
        <v>6317</v>
      </c>
      <c r="R1503" s="6" t="s">
        <v>6318</v>
      </c>
      <c r="S1503" s="6" t="s">
        <v>6319</v>
      </c>
      <c r="T1503" s="6">
        <v>0</v>
      </c>
      <c r="U1503" s="6">
        <v>0</v>
      </c>
      <c r="V1503" s="6">
        <v>0</v>
      </c>
      <c r="W1503" s="6">
        <v>0</v>
      </c>
      <c r="X1503" s="6" t="s">
        <v>169</v>
      </c>
      <c r="Z1503" s="6" t="s">
        <v>170</v>
      </c>
      <c r="AA1503" s="6" t="s">
        <v>171</v>
      </c>
      <c r="AB1503" s="6">
        <v>0</v>
      </c>
      <c r="AC1503" s="6" t="str">
        <f>""</f>
        <v/>
      </c>
      <c r="AS1503" s="6">
        <v>0</v>
      </c>
      <c r="AT1503" s="6">
        <v>0</v>
      </c>
    </row>
    <row r="1504" spans="2:46">
      <c r="B1504" s="6" t="s">
        <v>106</v>
      </c>
      <c r="D1504" s="6" t="s">
        <v>3316</v>
      </c>
      <c r="F1504" s="6" t="s">
        <v>6320</v>
      </c>
      <c r="G1504" s="6" t="str">
        <f>"mnmm16fwc09N_8"</f>
        <v>mnmm16fwc09N_8</v>
      </c>
      <c r="H1504" s="6" t="s">
        <v>6321</v>
      </c>
      <c r="I1504" s="6" t="s">
        <v>6311</v>
      </c>
      <c r="J1504" s="6" t="str">
        <f>"pearl chain white case"</f>
        <v>pearl chain white case</v>
      </c>
      <c r="K1504" s="6">
        <v>0</v>
      </c>
      <c r="L1504" s="6">
        <v>0</v>
      </c>
      <c r="M1504" s="6">
        <v>0</v>
      </c>
      <c r="N1504" s="6" t="str">
        <f>""</f>
        <v/>
      </c>
      <c r="O1504" s="6">
        <v>31423</v>
      </c>
      <c r="P1504" s="6" t="s">
        <v>6322</v>
      </c>
      <c r="R1504" s="6" t="s">
        <v>6323</v>
      </c>
      <c r="S1504" s="6" t="s">
        <v>6324</v>
      </c>
      <c r="T1504" s="6">
        <v>0</v>
      </c>
      <c r="U1504" s="6">
        <v>0</v>
      </c>
      <c r="V1504" s="6">
        <v>0</v>
      </c>
      <c r="W1504" s="6">
        <v>0</v>
      </c>
      <c r="X1504" s="6" t="s">
        <v>169</v>
      </c>
      <c r="Z1504" s="6" t="s">
        <v>170</v>
      </c>
      <c r="AA1504" s="6" t="s">
        <v>171</v>
      </c>
      <c r="AB1504" s="6">
        <v>0</v>
      </c>
      <c r="AC1504" s="6" t="str">
        <f>""</f>
        <v/>
      </c>
      <c r="AS1504" s="6">
        <v>0</v>
      </c>
      <c r="AT1504" s="6">
        <v>0</v>
      </c>
    </row>
    <row r="1505" spans="2:46">
      <c r="B1505" s="6" t="s">
        <v>106</v>
      </c>
      <c r="D1505" s="6" t="s">
        <v>3316</v>
      </c>
      <c r="F1505" s="6" t="s">
        <v>6325</v>
      </c>
      <c r="G1505" s="6" t="str">
        <f>"MNMM16FWC09_66S"</f>
        <v>MNMM16FWC09_66S</v>
      </c>
      <c r="H1505" s="6" t="s">
        <v>6326</v>
      </c>
      <c r="I1505" s="6" t="s">
        <v>6311</v>
      </c>
      <c r="J1505" s="6" t="str">
        <f>"pearl chain white case"</f>
        <v>pearl chain white case</v>
      </c>
      <c r="K1505" s="6">
        <v>0</v>
      </c>
      <c r="L1505" s="6">
        <v>0</v>
      </c>
      <c r="M1505" s="6">
        <v>0</v>
      </c>
      <c r="N1505" s="6" t="str">
        <f>""</f>
        <v/>
      </c>
      <c r="O1505" s="6">
        <v>31319</v>
      </c>
      <c r="P1505" s="6" t="s">
        <v>6326</v>
      </c>
      <c r="R1505" s="6" t="s">
        <v>6327</v>
      </c>
      <c r="S1505" s="6" t="s">
        <v>6328</v>
      </c>
      <c r="T1505" s="6">
        <v>0</v>
      </c>
      <c r="U1505" s="6">
        <v>0</v>
      </c>
      <c r="V1505" s="6">
        <v>0</v>
      </c>
      <c r="W1505" s="6">
        <v>0</v>
      </c>
      <c r="X1505" s="6" t="s">
        <v>169</v>
      </c>
      <c r="Z1505" s="6" t="s">
        <v>170</v>
      </c>
      <c r="AA1505" s="6" t="s">
        <v>171</v>
      </c>
      <c r="AB1505" s="6">
        <v>0</v>
      </c>
      <c r="AC1505" s="6" t="str">
        <f>""</f>
        <v/>
      </c>
      <c r="AS1505" s="6">
        <v>0</v>
      </c>
      <c r="AT1505" s="6">
        <v>0</v>
      </c>
    </row>
    <row r="1506" spans="2:46">
      <c r="B1506" s="6" t="s">
        <v>106</v>
      </c>
      <c r="D1506" s="6" t="s">
        <v>3316</v>
      </c>
      <c r="F1506" s="6" t="s">
        <v>6329</v>
      </c>
      <c r="G1506" s="6" t="str">
        <f>"mnmm17ssc22N_x"</f>
        <v>mnmm17ssc22N_x</v>
      </c>
      <c r="H1506" s="6" t="s">
        <v>6330</v>
      </c>
      <c r="I1506" s="6" t="s">
        <v>6331</v>
      </c>
      <c r="J1506" s="6" t="str">
        <f>"pearl gold chain white case"</f>
        <v>pearl gold chain white case</v>
      </c>
      <c r="K1506" s="6">
        <v>0</v>
      </c>
      <c r="L1506" s="6">
        <v>0</v>
      </c>
      <c r="M1506" s="6">
        <v>0</v>
      </c>
      <c r="N1506" s="6" t="str">
        <f>""</f>
        <v/>
      </c>
      <c r="O1506" s="6">
        <v>31431</v>
      </c>
      <c r="P1506" s="6" t="s">
        <v>6332</v>
      </c>
      <c r="R1506" s="6" t="s">
        <v>6313</v>
      </c>
      <c r="S1506" s="6" t="s">
        <v>6333</v>
      </c>
      <c r="T1506" s="6">
        <v>0</v>
      </c>
      <c r="U1506" s="6">
        <v>0</v>
      </c>
      <c r="V1506" s="6">
        <v>0</v>
      </c>
      <c r="W1506" s="6">
        <v>0</v>
      </c>
      <c r="X1506" s="6" t="s">
        <v>169</v>
      </c>
      <c r="Z1506" s="6" t="s">
        <v>170</v>
      </c>
      <c r="AA1506" s="6" t="s">
        <v>171</v>
      </c>
      <c r="AB1506" s="6">
        <v>0</v>
      </c>
      <c r="AC1506" s="6" t="str">
        <f>""</f>
        <v/>
      </c>
      <c r="AS1506" s="6">
        <v>0</v>
      </c>
      <c r="AT1506" s="6">
        <v>0</v>
      </c>
    </row>
    <row r="1507" spans="2:46">
      <c r="B1507" s="6" t="s">
        <v>106</v>
      </c>
      <c r="D1507" s="6" t="s">
        <v>3316</v>
      </c>
      <c r="F1507" s="6" t="s">
        <v>6334</v>
      </c>
      <c r="G1507" s="6" t="str">
        <f>"mnmm17ssc22N_8p"</f>
        <v>mnmm17ssc22N_8p</v>
      </c>
      <c r="H1507" s="6" t="s">
        <v>6335</v>
      </c>
      <c r="I1507" s="6" t="s">
        <v>6331</v>
      </c>
      <c r="J1507" s="6" t="str">
        <f>"pearl gold chain white case"</f>
        <v>pearl gold chain white case</v>
      </c>
      <c r="K1507" s="6">
        <v>0</v>
      </c>
      <c r="L1507" s="6">
        <v>0</v>
      </c>
      <c r="M1507" s="6">
        <v>0</v>
      </c>
      <c r="N1507" s="6" t="str">
        <f>""</f>
        <v/>
      </c>
      <c r="O1507" s="6">
        <v>31430</v>
      </c>
      <c r="P1507" s="6" t="s">
        <v>6336</v>
      </c>
      <c r="R1507" s="6" t="s">
        <v>6318</v>
      </c>
      <c r="S1507" s="6" t="s">
        <v>6337</v>
      </c>
      <c r="T1507" s="6">
        <v>0</v>
      </c>
      <c r="U1507" s="6">
        <v>0</v>
      </c>
      <c r="V1507" s="6">
        <v>0</v>
      </c>
      <c r="W1507" s="6">
        <v>0</v>
      </c>
      <c r="X1507" s="6" t="s">
        <v>169</v>
      </c>
      <c r="Z1507" s="6" t="s">
        <v>170</v>
      </c>
      <c r="AA1507" s="6" t="s">
        <v>171</v>
      </c>
      <c r="AB1507" s="6">
        <v>0</v>
      </c>
      <c r="AC1507" s="6" t="str">
        <f>""</f>
        <v/>
      </c>
      <c r="AS1507" s="6">
        <v>0</v>
      </c>
      <c r="AT1507" s="6">
        <v>0</v>
      </c>
    </row>
    <row r="1508" spans="2:46">
      <c r="B1508" s="6" t="s">
        <v>106</v>
      </c>
      <c r="D1508" s="6" t="s">
        <v>3316</v>
      </c>
      <c r="F1508" s="6" t="s">
        <v>6338</v>
      </c>
      <c r="G1508" s="6" t="str">
        <f>"mnmm17ssc22N_8"</f>
        <v>mnmm17ssc22N_8</v>
      </c>
      <c r="H1508" s="6" t="s">
        <v>6339</v>
      </c>
      <c r="I1508" s="6" t="s">
        <v>6331</v>
      </c>
      <c r="J1508" s="6" t="str">
        <f>"pearl gold chain white case"</f>
        <v>pearl gold chain white case</v>
      </c>
      <c r="K1508" s="6">
        <v>0</v>
      </c>
      <c r="L1508" s="6">
        <v>0</v>
      </c>
      <c r="M1508" s="6">
        <v>0</v>
      </c>
      <c r="N1508" s="6" t="str">
        <f>""</f>
        <v/>
      </c>
      <c r="O1508" s="6">
        <v>31429</v>
      </c>
      <c r="P1508" s="6" t="s">
        <v>6340</v>
      </c>
      <c r="R1508" s="6" t="s">
        <v>6323</v>
      </c>
      <c r="S1508" s="6" t="s">
        <v>6341</v>
      </c>
      <c r="T1508" s="6">
        <v>0</v>
      </c>
      <c r="U1508" s="6">
        <v>0</v>
      </c>
      <c r="V1508" s="6">
        <v>0</v>
      </c>
      <c r="W1508" s="6">
        <v>0</v>
      </c>
      <c r="X1508" s="6" t="s">
        <v>169</v>
      </c>
      <c r="Z1508" s="6" t="s">
        <v>170</v>
      </c>
      <c r="AA1508" s="6" t="s">
        <v>171</v>
      </c>
      <c r="AB1508" s="6">
        <v>0</v>
      </c>
      <c r="AC1508" s="6" t="str">
        <f>""</f>
        <v/>
      </c>
      <c r="AS1508" s="6">
        <v>0</v>
      </c>
      <c r="AT1508" s="6">
        <v>0</v>
      </c>
    </row>
    <row r="1509" spans="2:46">
      <c r="B1509" s="6" t="s">
        <v>106</v>
      </c>
      <c r="D1509" s="6" t="s">
        <v>3316</v>
      </c>
      <c r="F1509" s="6" t="s">
        <v>6342</v>
      </c>
      <c r="G1509" s="6" t="str">
        <f>"MNMM17SSC22_6P6SP"</f>
        <v>MNMM17SSC22_6P6SP</v>
      </c>
      <c r="I1509" s="6" t="s">
        <v>6331</v>
      </c>
      <c r="J1509" s="6" t="str">
        <f>"pearl gold chain white case"</f>
        <v>pearl gold chain white case</v>
      </c>
      <c r="K1509" s="6">
        <v>0</v>
      </c>
      <c r="L1509" s="6">
        <v>0</v>
      </c>
      <c r="M1509" s="6">
        <v>0</v>
      </c>
      <c r="N1509" s="6" t="str">
        <f>""</f>
        <v/>
      </c>
      <c r="O1509" s="6">
        <v>31317</v>
      </c>
      <c r="P1509" s="6" t="s">
        <v>6343</v>
      </c>
      <c r="R1509" s="6" t="s">
        <v>6327</v>
      </c>
      <c r="S1509" s="6" t="s">
        <v>6344</v>
      </c>
      <c r="T1509" s="6">
        <v>1</v>
      </c>
      <c r="U1509" s="6">
        <v>0</v>
      </c>
      <c r="V1509" s="6">
        <v>0</v>
      </c>
      <c r="W1509" s="6">
        <v>0</v>
      </c>
      <c r="X1509" s="6" t="s">
        <v>169</v>
      </c>
      <c r="Z1509" s="6" t="s">
        <v>170</v>
      </c>
      <c r="AA1509" s="6" t="s">
        <v>171</v>
      </c>
      <c r="AB1509" s="6">
        <v>0</v>
      </c>
      <c r="AC1509" s="6" t="str">
        <f>"KEY-004"</f>
        <v>KEY-004</v>
      </c>
      <c r="AQ1509" s="6" t="str">
        <f>""</f>
        <v/>
      </c>
      <c r="AR1509" s="6" t="s">
        <v>1584</v>
      </c>
      <c r="AS1509" s="6">
        <v>0</v>
      </c>
      <c r="AT1509" s="6">
        <v>1</v>
      </c>
    </row>
    <row r="1510" spans="2:46">
      <c r="B1510" s="6" t="s">
        <v>106</v>
      </c>
      <c r="D1510" s="6" t="s">
        <v>3316</v>
      </c>
      <c r="F1510" s="6" t="s">
        <v>6345</v>
      </c>
      <c r="G1510" s="6" t="str">
        <f>"mnmm17ssc21_7"</f>
        <v>mnmm17ssc21_7</v>
      </c>
      <c r="I1510" s="6" t="s">
        <v>37</v>
      </c>
      <c r="J1510" s="6" t="str">
        <f>"pearl gold chain black case"</f>
        <v>pearl gold chain black case</v>
      </c>
      <c r="K1510" s="6">
        <v>0</v>
      </c>
      <c r="L1510" s="6">
        <v>0</v>
      </c>
      <c r="M1510" s="6">
        <v>0</v>
      </c>
      <c r="N1510" s="6" t="str">
        <f>""</f>
        <v/>
      </c>
      <c r="O1510" s="6">
        <v>33357</v>
      </c>
      <c r="P1510" s="6" t="s">
        <v>36</v>
      </c>
      <c r="R1510" s="6" t="s">
        <v>6346</v>
      </c>
      <c r="S1510" s="6" t="s">
        <v>6347</v>
      </c>
      <c r="T1510" s="6">
        <v>0</v>
      </c>
      <c r="U1510" s="6">
        <v>0</v>
      </c>
      <c r="V1510" s="6">
        <v>0</v>
      </c>
      <c r="W1510" s="6">
        <v>0</v>
      </c>
      <c r="X1510" s="6" t="s">
        <v>169</v>
      </c>
      <c r="Z1510" s="6" t="s">
        <v>170</v>
      </c>
      <c r="AA1510" s="6" t="s">
        <v>171</v>
      </c>
      <c r="AB1510" s="6">
        <v>0</v>
      </c>
      <c r="AC1510" s="6" t="str">
        <f>"KEY-031"</f>
        <v>KEY-031</v>
      </c>
      <c r="AQ1510" s="6" t="str">
        <f>""</f>
        <v/>
      </c>
      <c r="AR1510" s="6" t="s">
        <v>1472</v>
      </c>
      <c r="AS1510" s="6">
        <v>0</v>
      </c>
      <c r="AT1510" s="6">
        <v>0</v>
      </c>
    </row>
    <row r="1511" spans="2:46">
      <c r="B1511" s="6" t="s">
        <v>106</v>
      </c>
      <c r="D1511" s="6" t="s">
        <v>3316</v>
      </c>
      <c r="F1511" s="6" t="s">
        <v>6348</v>
      </c>
      <c r="G1511" s="6" t="str">
        <f>"mnmm17ssc21N_x"</f>
        <v>mnmm17ssc21N_x</v>
      </c>
      <c r="H1511" s="6" t="s">
        <v>6349</v>
      </c>
      <c r="I1511" s="6" t="s">
        <v>37</v>
      </c>
      <c r="J1511" s="6" t="str">
        <f>"pearl gold chain black case"</f>
        <v>pearl gold chain black case</v>
      </c>
      <c r="K1511" s="6">
        <v>0</v>
      </c>
      <c r="L1511" s="6">
        <v>0</v>
      </c>
      <c r="M1511" s="6">
        <v>0</v>
      </c>
      <c r="N1511" s="6" t="str">
        <f>""</f>
        <v/>
      </c>
      <c r="O1511" s="6">
        <v>31428</v>
      </c>
      <c r="P1511" s="6" t="s">
        <v>6350</v>
      </c>
      <c r="R1511" s="6" t="s">
        <v>6351</v>
      </c>
      <c r="S1511" s="6" t="s">
        <v>6352</v>
      </c>
      <c r="T1511" s="6">
        <v>0</v>
      </c>
      <c r="U1511" s="6">
        <v>0</v>
      </c>
      <c r="V1511" s="6">
        <v>0</v>
      </c>
      <c r="W1511" s="6">
        <v>0</v>
      </c>
      <c r="X1511" s="6" t="s">
        <v>169</v>
      </c>
      <c r="Z1511" s="6" t="s">
        <v>170</v>
      </c>
      <c r="AA1511" s="6" t="s">
        <v>171</v>
      </c>
      <c r="AB1511" s="6">
        <v>0</v>
      </c>
      <c r="AC1511" s="6" t="str">
        <f>""</f>
        <v/>
      </c>
      <c r="AS1511" s="6">
        <v>0</v>
      </c>
      <c r="AT1511" s="6">
        <v>0</v>
      </c>
    </row>
    <row r="1512" spans="2:46">
      <c r="B1512" s="6" t="s">
        <v>106</v>
      </c>
      <c r="D1512" s="6" t="s">
        <v>3316</v>
      </c>
      <c r="F1512" s="6" t="s">
        <v>6353</v>
      </c>
      <c r="G1512" s="6" t="str">
        <f>"mnmm17ssc21N_8p"</f>
        <v>mnmm17ssc21N_8p</v>
      </c>
      <c r="H1512" s="6" t="s">
        <v>6354</v>
      </c>
      <c r="I1512" s="6" t="s">
        <v>37</v>
      </c>
      <c r="J1512" s="6" t="str">
        <f>"pearl gold chain black case"</f>
        <v>pearl gold chain black case</v>
      </c>
      <c r="K1512" s="6">
        <v>0</v>
      </c>
      <c r="L1512" s="6">
        <v>0</v>
      </c>
      <c r="M1512" s="6">
        <v>0</v>
      </c>
      <c r="N1512" s="6" t="str">
        <f>""</f>
        <v/>
      </c>
      <c r="O1512" s="6">
        <v>31427</v>
      </c>
      <c r="P1512" s="6" t="s">
        <v>6355</v>
      </c>
      <c r="R1512" s="6" t="s">
        <v>6356</v>
      </c>
      <c r="S1512" s="6" t="s">
        <v>6357</v>
      </c>
      <c r="T1512" s="6">
        <v>0</v>
      </c>
      <c r="U1512" s="6">
        <v>0</v>
      </c>
      <c r="V1512" s="6">
        <v>0</v>
      </c>
      <c r="W1512" s="6">
        <v>0</v>
      </c>
      <c r="X1512" s="6" t="s">
        <v>169</v>
      </c>
      <c r="Z1512" s="6" t="s">
        <v>170</v>
      </c>
      <c r="AA1512" s="6" t="s">
        <v>171</v>
      </c>
      <c r="AB1512" s="6">
        <v>0</v>
      </c>
      <c r="AC1512" s="6" t="str">
        <f>""</f>
        <v/>
      </c>
      <c r="AS1512" s="6">
        <v>0</v>
      </c>
      <c r="AT1512" s="6">
        <v>0</v>
      </c>
    </row>
    <row r="1513" spans="2:46">
      <c r="B1513" s="6" t="s">
        <v>106</v>
      </c>
      <c r="D1513" s="6" t="s">
        <v>3316</v>
      </c>
      <c r="F1513" s="6" t="s">
        <v>6358</v>
      </c>
      <c r="G1513" s="6" t="str">
        <f>"mnmm17ssc21N_8"</f>
        <v>mnmm17ssc21N_8</v>
      </c>
      <c r="H1513" s="6" t="s">
        <v>6359</v>
      </c>
      <c r="I1513" s="6" t="s">
        <v>37</v>
      </c>
      <c r="J1513" s="6" t="str">
        <f>"pearl gold chain black case"</f>
        <v>pearl gold chain black case</v>
      </c>
      <c r="K1513" s="6">
        <v>0</v>
      </c>
      <c r="L1513" s="6">
        <v>0</v>
      </c>
      <c r="M1513" s="6">
        <v>0</v>
      </c>
      <c r="N1513" s="6" t="str">
        <f>""</f>
        <v/>
      </c>
      <c r="O1513" s="6">
        <v>31426</v>
      </c>
      <c r="P1513" s="6" t="s">
        <v>6360</v>
      </c>
      <c r="R1513" s="6" t="s">
        <v>6361</v>
      </c>
      <c r="S1513" s="6" t="s">
        <v>6362</v>
      </c>
      <c r="T1513" s="6">
        <v>0</v>
      </c>
      <c r="U1513" s="6">
        <v>0</v>
      </c>
      <c r="V1513" s="6">
        <v>0</v>
      </c>
      <c r="W1513" s="6">
        <v>0</v>
      </c>
      <c r="X1513" s="6" t="s">
        <v>169</v>
      </c>
      <c r="Z1513" s="6" t="s">
        <v>170</v>
      </c>
      <c r="AA1513" s="6" t="s">
        <v>171</v>
      </c>
      <c r="AB1513" s="6">
        <v>0</v>
      </c>
      <c r="AC1513" s="6" t="str">
        <f>""</f>
        <v/>
      </c>
      <c r="AS1513" s="6">
        <v>0</v>
      </c>
      <c r="AT1513" s="6">
        <v>0</v>
      </c>
    </row>
    <row r="1514" spans="2:46">
      <c r="B1514" s="6" t="s">
        <v>106</v>
      </c>
      <c r="D1514" s="6" t="s">
        <v>3316</v>
      </c>
      <c r="F1514" s="6" t="s">
        <v>6363</v>
      </c>
      <c r="G1514" s="6" t="str">
        <f>"mnmm17ssc21_66s"</f>
        <v>mnmm17ssc21_66s</v>
      </c>
      <c r="I1514" s="6" t="s">
        <v>37</v>
      </c>
      <c r="J1514" s="6" t="str">
        <f>"pearl gold chain black case"</f>
        <v>pearl gold chain black case</v>
      </c>
      <c r="K1514" s="6">
        <v>0</v>
      </c>
      <c r="L1514" s="6">
        <v>0</v>
      </c>
      <c r="M1514" s="6">
        <v>0</v>
      </c>
      <c r="N1514" s="6" t="str">
        <f>""</f>
        <v/>
      </c>
      <c r="O1514" s="6">
        <v>31315</v>
      </c>
      <c r="P1514" s="6" t="s">
        <v>6364</v>
      </c>
      <c r="R1514" s="6" t="s">
        <v>6365</v>
      </c>
      <c r="S1514" s="6" t="s">
        <v>6366</v>
      </c>
      <c r="T1514" s="6">
        <v>1</v>
      </c>
      <c r="U1514" s="6">
        <v>0</v>
      </c>
      <c r="V1514" s="6">
        <v>0</v>
      </c>
      <c r="W1514" s="6">
        <v>0</v>
      </c>
      <c r="X1514" s="6" t="s">
        <v>169</v>
      </c>
      <c r="Z1514" s="6" t="s">
        <v>170</v>
      </c>
      <c r="AA1514" s="6" t="s">
        <v>171</v>
      </c>
      <c r="AB1514" s="6">
        <v>0</v>
      </c>
      <c r="AC1514" s="6" t="str">
        <f>"KEY-004"</f>
        <v>KEY-004</v>
      </c>
      <c r="AQ1514" s="6" t="str">
        <f>""</f>
        <v/>
      </c>
      <c r="AR1514" s="6" t="s">
        <v>1584</v>
      </c>
      <c r="AS1514" s="6">
        <v>0</v>
      </c>
      <c r="AT1514" s="6">
        <v>1</v>
      </c>
    </row>
    <row r="1515" spans="2:46">
      <c r="B1515" s="6" t="s">
        <v>106</v>
      </c>
      <c r="D1515" s="6" t="s">
        <v>3316</v>
      </c>
      <c r="F1515" s="6" t="s">
        <v>6367</v>
      </c>
      <c r="G1515" s="6" t="str">
        <f>"mnmm16fwc08N_x"</f>
        <v>mnmm16fwc08N_x</v>
      </c>
      <c r="H1515" s="6" t="s">
        <v>6368</v>
      </c>
      <c r="I1515" s="6" t="s">
        <v>6369</v>
      </c>
      <c r="J1515" s="6" t="str">
        <f>"pearl chain black case"</f>
        <v>pearl chain black case</v>
      </c>
      <c r="K1515" s="6">
        <v>0</v>
      </c>
      <c r="L1515" s="6">
        <v>0</v>
      </c>
      <c r="M1515" s="6">
        <v>0</v>
      </c>
      <c r="N1515" s="6" t="str">
        <f>""</f>
        <v/>
      </c>
      <c r="O1515" s="6">
        <v>31422</v>
      </c>
      <c r="P1515" s="6" t="s">
        <v>6370</v>
      </c>
      <c r="R1515" s="6" t="s">
        <v>6351</v>
      </c>
      <c r="S1515" s="6" t="s">
        <v>6371</v>
      </c>
      <c r="T1515" s="6">
        <v>0</v>
      </c>
      <c r="U1515" s="6">
        <v>0</v>
      </c>
      <c r="V1515" s="6">
        <v>0</v>
      </c>
      <c r="W1515" s="6">
        <v>0</v>
      </c>
      <c r="X1515" s="6" t="s">
        <v>169</v>
      </c>
      <c r="Z1515" s="6" t="s">
        <v>170</v>
      </c>
      <c r="AA1515" s="6" t="s">
        <v>171</v>
      </c>
      <c r="AB1515" s="6">
        <v>0</v>
      </c>
      <c r="AC1515" s="6" t="str">
        <f>""</f>
        <v/>
      </c>
      <c r="AS1515" s="6">
        <v>0</v>
      </c>
      <c r="AT1515" s="6">
        <v>0</v>
      </c>
    </row>
    <row r="1516" spans="2:46">
      <c r="B1516" s="6" t="s">
        <v>106</v>
      </c>
      <c r="D1516" s="6" t="s">
        <v>3316</v>
      </c>
      <c r="F1516" s="6" t="s">
        <v>6372</v>
      </c>
      <c r="G1516" s="6" t="str">
        <f>"mnmm16fwc08N_8p"</f>
        <v>mnmm16fwc08N_8p</v>
      </c>
      <c r="H1516" s="6" t="s">
        <v>6373</v>
      </c>
      <c r="I1516" s="6" t="s">
        <v>6369</v>
      </c>
      <c r="J1516" s="6" t="str">
        <f>"pearl chain black case"</f>
        <v>pearl chain black case</v>
      </c>
      <c r="K1516" s="6">
        <v>0</v>
      </c>
      <c r="L1516" s="6">
        <v>0</v>
      </c>
      <c r="M1516" s="6">
        <v>0</v>
      </c>
      <c r="N1516" s="6" t="str">
        <f>""</f>
        <v/>
      </c>
      <c r="O1516" s="6">
        <v>31421</v>
      </c>
      <c r="P1516" s="6" t="s">
        <v>6374</v>
      </c>
      <c r="R1516" s="6" t="s">
        <v>6356</v>
      </c>
      <c r="S1516" s="6" t="s">
        <v>6375</v>
      </c>
      <c r="T1516" s="6">
        <v>0</v>
      </c>
      <c r="U1516" s="6">
        <v>0</v>
      </c>
      <c r="V1516" s="6">
        <v>0</v>
      </c>
      <c r="W1516" s="6">
        <v>0</v>
      </c>
      <c r="X1516" s="6" t="s">
        <v>169</v>
      </c>
      <c r="Z1516" s="6" t="s">
        <v>170</v>
      </c>
      <c r="AA1516" s="6" t="s">
        <v>171</v>
      </c>
      <c r="AB1516" s="6">
        <v>0</v>
      </c>
      <c r="AC1516" s="6" t="str">
        <f>""</f>
        <v/>
      </c>
      <c r="AS1516" s="6">
        <v>0</v>
      </c>
      <c r="AT1516" s="6">
        <v>0</v>
      </c>
    </row>
    <row r="1517" spans="2:46">
      <c r="B1517" s="6" t="s">
        <v>106</v>
      </c>
      <c r="D1517" s="6" t="s">
        <v>3316</v>
      </c>
      <c r="F1517" s="6" t="s">
        <v>6376</v>
      </c>
      <c r="G1517" s="6" t="str">
        <f>"mnmm16fwc08N_8"</f>
        <v>mnmm16fwc08N_8</v>
      </c>
      <c r="I1517" s="6" t="s">
        <v>6369</v>
      </c>
      <c r="J1517" s="6" t="str">
        <f>"pearl chain black case"</f>
        <v>pearl chain black case</v>
      </c>
      <c r="K1517" s="6">
        <v>0</v>
      </c>
      <c r="L1517" s="6">
        <v>0</v>
      </c>
      <c r="M1517" s="6">
        <v>0</v>
      </c>
      <c r="N1517" s="6" t="str">
        <f>""</f>
        <v/>
      </c>
      <c r="O1517" s="6">
        <v>31420</v>
      </c>
      <c r="P1517" s="6" t="s">
        <v>6377</v>
      </c>
      <c r="R1517" s="6" t="s">
        <v>6361</v>
      </c>
      <c r="S1517" s="6" t="s">
        <v>6378</v>
      </c>
      <c r="T1517" s="6">
        <v>1</v>
      </c>
      <c r="U1517" s="6">
        <v>0</v>
      </c>
      <c r="V1517" s="6">
        <v>0</v>
      </c>
      <c r="W1517" s="6">
        <v>0</v>
      </c>
      <c r="X1517" s="6" t="s">
        <v>169</v>
      </c>
      <c r="Z1517" s="6" t="s">
        <v>170</v>
      </c>
      <c r="AA1517" s="6" t="s">
        <v>171</v>
      </c>
      <c r="AB1517" s="6">
        <v>0</v>
      </c>
      <c r="AC1517" s="6" t="str">
        <f>"KEY-004"</f>
        <v>KEY-004</v>
      </c>
      <c r="AQ1517" s="6" t="str">
        <f>""</f>
        <v/>
      </c>
      <c r="AR1517" s="6" t="s">
        <v>1584</v>
      </c>
      <c r="AS1517" s="6">
        <v>0</v>
      </c>
      <c r="AT1517" s="6">
        <v>2</v>
      </c>
    </row>
    <row r="1518" spans="2:46">
      <c r="B1518" s="6" t="s">
        <v>106</v>
      </c>
      <c r="D1518" s="6" t="s">
        <v>3316</v>
      </c>
      <c r="F1518" s="6" t="s">
        <v>6379</v>
      </c>
      <c r="G1518" s="6" t="str">
        <f>"mnmm16fwc08_66s"</f>
        <v>mnmm16fwc08_66s</v>
      </c>
      <c r="I1518" s="6" t="s">
        <v>6369</v>
      </c>
      <c r="J1518" s="6" t="str">
        <f>"pearl chain black case"</f>
        <v>pearl chain black case</v>
      </c>
      <c r="K1518" s="6">
        <v>0</v>
      </c>
      <c r="L1518" s="6">
        <v>0</v>
      </c>
      <c r="M1518" s="6">
        <v>0</v>
      </c>
      <c r="N1518" s="6" t="str">
        <f>""</f>
        <v/>
      </c>
      <c r="O1518" s="6">
        <v>31313</v>
      </c>
      <c r="P1518" s="6" t="s">
        <v>6380</v>
      </c>
      <c r="R1518" s="6" t="s">
        <v>6381</v>
      </c>
      <c r="S1518" s="6" t="s">
        <v>6382</v>
      </c>
      <c r="T1518" s="6">
        <v>1</v>
      </c>
      <c r="U1518" s="6">
        <v>0</v>
      </c>
      <c r="V1518" s="6">
        <v>0</v>
      </c>
      <c r="W1518" s="6">
        <v>0</v>
      </c>
      <c r="X1518" s="6" t="s">
        <v>169</v>
      </c>
      <c r="Z1518" s="6" t="s">
        <v>170</v>
      </c>
      <c r="AA1518" s="6" t="s">
        <v>171</v>
      </c>
      <c r="AB1518" s="6">
        <v>0</v>
      </c>
      <c r="AC1518" s="6" t="str">
        <f>"KEY-004"</f>
        <v>KEY-004</v>
      </c>
      <c r="AQ1518" s="6" t="str">
        <f>""</f>
        <v/>
      </c>
      <c r="AR1518" s="6" t="s">
        <v>1584</v>
      </c>
      <c r="AS1518" s="6">
        <v>0</v>
      </c>
      <c r="AT1518" s="6">
        <v>1</v>
      </c>
    </row>
    <row r="1519" spans="2:46">
      <c r="B1519" s="6" t="s">
        <v>106</v>
      </c>
      <c r="D1519" s="6" t="s">
        <v>3316</v>
      </c>
      <c r="F1519" s="6" t="s">
        <v>6383</v>
      </c>
      <c r="G1519" s="6" t="str">
        <f>"mnmm16ssc08N_x"</f>
        <v>mnmm16ssc08N_x</v>
      </c>
      <c r="H1519" s="6" t="s">
        <v>6384</v>
      </c>
      <c r="I1519" s="6" t="s">
        <v>6385</v>
      </c>
      <c r="J1519" s="6" t="str">
        <f>"marble tassel case"</f>
        <v>marble tassel case</v>
      </c>
      <c r="K1519" s="6">
        <v>0</v>
      </c>
      <c r="L1519" s="6">
        <v>0</v>
      </c>
      <c r="M1519" s="6">
        <v>0</v>
      </c>
      <c r="N1519" s="6" t="str">
        <f>""</f>
        <v/>
      </c>
      <c r="O1519" s="6">
        <v>31419</v>
      </c>
      <c r="P1519" s="6" t="s">
        <v>6386</v>
      </c>
      <c r="R1519" s="6" t="s">
        <v>6313</v>
      </c>
      <c r="S1519" s="6" t="s">
        <v>6387</v>
      </c>
      <c r="T1519" s="6">
        <v>0</v>
      </c>
      <c r="U1519" s="6">
        <v>0</v>
      </c>
      <c r="V1519" s="6">
        <v>0</v>
      </c>
      <c r="W1519" s="6">
        <v>0</v>
      </c>
      <c r="X1519" s="6" t="s">
        <v>169</v>
      </c>
      <c r="Z1519" s="6" t="s">
        <v>170</v>
      </c>
      <c r="AA1519" s="6" t="s">
        <v>171</v>
      </c>
      <c r="AB1519" s="6">
        <v>0</v>
      </c>
      <c r="AC1519" s="6" t="str">
        <f>""</f>
        <v/>
      </c>
      <c r="AS1519" s="6">
        <v>0</v>
      </c>
      <c r="AT1519" s="6">
        <v>0</v>
      </c>
    </row>
    <row r="1520" spans="2:46">
      <c r="B1520" s="6" t="s">
        <v>106</v>
      </c>
      <c r="D1520" s="6" t="s">
        <v>3316</v>
      </c>
      <c r="F1520" s="6" t="s">
        <v>6388</v>
      </c>
      <c r="G1520" s="6" t="str">
        <f>"mnmm16ssc08N_8p"</f>
        <v>mnmm16ssc08N_8p</v>
      </c>
      <c r="H1520" s="6" t="s">
        <v>6389</v>
      </c>
      <c r="I1520" s="6" t="s">
        <v>6385</v>
      </c>
      <c r="J1520" s="6" t="str">
        <f>"marble tassel case"</f>
        <v>marble tassel case</v>
      </c>
      <c r="K1520" s="6">
        <v>0</v>
      </c>
      <c r="L1520" s="6">
        <v>0</v>
      </c>
      <c r="M1520" s="6">
        <v>0</v>
      </c>
      <c r="N1520" s="6" t="str">
        <f>""</f>
        <v/>
      </c>
      <c r="O1520" s="6">
        <v>31418</v>
      </c>
      <c r="P1520" s="6" t="s">
        <v>6390</v>
      </c>
      <c r="R1520" s="6" t="s">
        <v>6318</v>
      </c>
      <c r="S1520" s="6" t="s">
        <v>6391</v>
      </c>
      <c r="T1520" s="6">
        <v>0</v>
      </c>
      <c r="U1520" s="6">
        <v>0</v>
      </c>
      <c r="V1520" s="6">
        <v>0</v>
      </c>
      <c r="W1520" s="6">
        <v>0</v>
      </c>
      <c r="X1520" s="6" t="s">
        <v>169</v>
      </c>
      <c r="Z1520" s="6" t="s">
        <v>170</v>
      </c>
      <c r="AA1520" s="6" t="s">
        <v>171</v>
      </c>
      <c r="AB1520" s="6">
        <v>0</v>
      </c>
      <c r="AC1520" s="6" t="str">
        <f>""</f>
        <v/>
      </c>
      <c r="AS1520" s="6">
        <v>0</v>
      </c>
      <c r="AT1520" s="6">
        <v>0</v>
      </c>
    </row>
    <row r="1521" spans="2:46">
      <c r="B1521" s="6" t="s">
        <v>106</v>
      </c>
      <c r="D1521" s="6" t="s">
        <v>3316</v>
      </c>
      <c r="F1521" s="6" t="s">
        <v>6392</v>
      </c>
      <c r="G1521" s="6" t="str">
        <f>"mnmm16ssc08N_8"</f>
        <v>mnmm16ssc08N_8</v>
      </c>
      <c r="H1521" s="6" t="s">
        <v>6393</v>
      </c>
      <c r="I1521" s="6" t="s">
        <v>6385</v>
      </c>
      <c r="J1521" s="6" t="str">
        <f>"marble tassel case"</f>
        <v>marble tassel case</v>
      </c>
      <c r="K1521" s="6">
        <v>0</v>
      </c>
      <c r="L1521" s="6">
        <v>0</v>
      </c>
      <c r="M1521" s="6">
        <v>0</v>
      </c>
      <c r="N1521" s="6" t="str">
        <f>""</f>
        <v/>
      </c>
      <c r="O1521" s="6">
        <v>31417</v>
      </c>
      <c r="P1521" s="6" t="s">
        <v>6394</v>
      </c>
      <c r="R1521" s="6" t="s">
        <v>6323</v>
      </c>
      <c r="S1521" s="6" t="s">
        <v>6395</v>
      </c>
      <c r="T1521" s="6">
        <v>0</v>
      </c>
      <c r="U1521" s="6">
        <v>0</v>
      </c>
      <c r="V1521" s="6">
        <v>0</v>
      </c>
      <c r="W1521" s="6">
        <v>0</v>
      </c>
      <c r="X1521" s="6" t="s">
        <v>169</v>
      </c>
      <c r="Z1521" s="6" t="s">
        <v>170</v>
      </c>
      <c r="AA1521" s="6" t="s">
        <v>171</v>
      </c>
      <c r="AB1521" s="6">
        <v>0</v>
      </c>
      <c r="AC1521" s="6" t="str">
        <f>""</f>
        <v/>
      </c>
      <c r="AS1521" s="6">
        <v>0</v>
      </c>
      <c r="AT1521" s="6">
        <v>0</v>
      </c>
    </row>
    <row r="1522" spans="2:46">
      <c r="B1522" s="6" t="s">
        <v>106</v>
      </c>
      <c r="D1522" s="6" t="s">
        <v>3316</v>
      </c>
      <c r="F1522" s="6" t="s">
        <v>6396</v>
      </c>
      <c r="G1522" s="6" t="str">
        <f>"MNMM16SSC08_6P6SP"</f>
        <v>MNMM16SSC08_6P6SP</v>
      </c>
      <c r="H1522" s="6" t="s">
        <v>6397</v>
      </c>
      <c r="I1522" s="6" t="s">
        <v>6385</v>
      </c>
      <c r="J1522" s="6" t="str">
        <f>"marble tassel case"</f>
        <v>marble tassel case</v>
      </c>
      <c r="K1522" s="6">
        <v>0</v>
      </c>
      <c r="L1522" s="6">
        <v>0</v>
      </c>
      <c r="M1522" s="6">
        <v>0</v>
      </c>
      <c r="N1522" s="6" t="str">
        <f>""</f>
        <v/>
      </c>
      <c r="O1522" s="6">
        <v>31311</v>
      </c>
      <c r="P1522" s="6" t="s">
        <v>6398</v>
      </c>
      <c r="R1522" s="6" t="s">
        <v>6327</v>
      </c>
      <c r="S1522" s="6" t="s">
        <v>6399</v>
      </c>
      <c r="T1522" s="6">
        <v>0</v>
      </c>
      <c r="U1522" s="6">
        <v>0</v>
      </c>
      <c r="V1522" s="6">
        <v>0</v>
      </c>
      <c r="W1522" s="6">
        <v>0</v>
      </c>
      <c r="X1522" s="6" t="s">
        <v>169</v>
      </c>
      <c r="Z1522" s="6" t="s">
        <v>170</v>
      </c>
      <c r="AA1522" s="6" t="s">
        <v>171</v>
      </c>
      <c r="AB1522" s="6">
        <v>0</v>
      </c>
      <c r="AC1522" s="6" t="str">
        <f>""</f>
        <v/>
      </c>
      <c r="AS1522" s="6">
        <v>0</v>
      </c>
      <c r="AT1522" s="6">
        <v>0</v>
      </c>
    </row>
    <row r="1523" spans="2:46">
      <c r="B1523" s="6" t="s">
        <v>106</v>
      </c>
      <c r="D1523" s="6" t="s">
        <v>3316</v>
      </c>
      <c r="F1523" s="6" t="s">
        <v>6400</v>
      </c>
      <c r="G1523" s="6" t="str">
        <f>"mnmm16ssc07_7p"</f>
        <v>mnmm16ssc07_7p</v>
      </c>
      <c r="I1523" s="6" t="s">
        <v>50</v>
      </c>
      <c r="J1523" s="6" t="str">
        <f>"marble case"</f>
        <v>marble case</v>
      </c>
      <c r="K1523" s="6">
        <v>0</v>
      </c>
      <c r="L1523" s="6">
        <v>0</v>
      </c>
      <c r="M1523" s="6">
        <v>0</v>
      </c>
      <c r="N1523" s="6" t="str">
        <f>""</f>
        <v/>
      </c>
      <c r="O1523" s="6">
        <v>33358</v>
      </c>
      <c r="P1523" s="6" t="s">
        <v>49</v>
      </c>
      <c r="R1523" s="6" t="s">
        <v>6401</v>
      </c>
      <c r="S1523" s="6" t="s">
        <v>6402</v>
      </c>
      <c r="T1523" s="6">
        <v>0</v>
      </c>
      <c r="U1523" s="6">
        <v>0</v>
      </c>
      <c r="V1523" s="6">
        <v>0</v>
      </c>
      <c r="W1523" s="6">
        <v>0</v>
      </c>
      <c r="X1523" s="6" t="s">
        <v>169</v>
      </c>
      <c r="Z1523" s="6" t="s">
        <v>170</v>
      </c>
      <c r="AA1523" s="6" t="s">
        <v>171</v>
      </c>
      <c r="AB1523" s="6">
        <v>0</v>
      </c>
      <c r="AC1523" s="6" t="str">
        <f>"KEY-022"</f>
        <v>KEY-022</v>
      </c>
      <c r="AQ1523" s="6" t="str">
        <f>""</f>
        <v/>
      </c>
      <c r="AR1523" s="6" t="s">
        <v>1472</v>
      </c>
      <c r="AS1523" s="6">
        <v>0</v>
      </c>
      <c r="AT1523" s="6">
        <v>0</v>
      </c>
    </row>
    <row r="1524" spans="2:46">
      <c r="B1524" s="6" t="s">
        <v>106</v>
      </c>
      <c r="D1524" s="6" t="s">
        <v>3316</v>
      </c>
      <c r="F1524" s="6" t="s">
        <v>6403</v>
      </c>
      <c r="G1524" s="6" t="str">
        <f>"mnmm16ssc07N_x"</f>
        <v>mnmm16ssc07N_x</v>
      </c>
      <c r="H1524" s="6" t="s">
        <v>6404</v>
      </c>
      <c r="I1524" s="6" t="s">
        <v>50</v>
      </c>
      <c r="J1524" s="6" t="str">
        <f>"marble case"</f>
        <v>marble case</v>
      </c>
      <c r="K1524" s="6">
        <v>0</v>
      </c>
      <c r="L1524" s="6">
        <v>0</v>
      </c>
      <c r="M1524" s="6">
        <v>0</v>
      </c>
      <c r="N1524" s="6" t="str">
        <f>""</f>
        <v/>
      </c>
      <c r="O1524" s="6">
        <v>31416</v>
      </c>
      <c r="P1524" s="6" t="s">
        <v>6405</v>
      </c>
      <c r="R1524" s="6" t="s">
        <v>6351</v>
      </c>
      <c r="S1524" s="6" t="s">
        <v>6406</v>
      </c>
      <c r="T1524" s="6">
        <v>0</v>
      </c>
      <c r="U1524" s="6">
        <v>0</v>
      </c>
      <c r="V1524" s="6">
        <v>0</v>
      </c>
      <c r="W1524" s="6">
        <v>0</v>
      </c>
      <c r="X1524" s="6" t="s">
        <v>169</v>
      </c>
      <c r="Z1524" s="6" t="s">
        <v>170</v>
      </c>
      <c r="AA1524" s="6" t="s">
        <v>171</v>
      </c>
      <c r="AB1524" s="6">
        <v>0</v>
      </c>
      <c r="AC1524" s="6" t="str">
        <f>""</f>
        <v/>
      </c>
      <c r="AS1524" s="6">
        <v>0</v>
      </c>
      <c r="AT1524" s="6">
        <v>0</v>
      </c>
    </row>
    <row r="1525" spans="2:46">
      <c r="B1525" s="6" t="s">
        <v>106</v>
      </c>
      <c r="D1525" s="6" t="s">
        <v>3316</v>
      </c>
      <c r="F1525" s="6" t="s">
        <v>6407</v>
      </c>
      <c r="G1525" s="6" t="str">
        <f>"mnmm16ssc07N_8p"</f>
        <v>mnmm16ssc07N_8p</v>
      </c>
      <c r="H1525" s="6" t="s">
        <v>6408</v>
      </c>
      <c r="I1525" s="6" t="s">
        <v>50</v>
      </c>
      <c r="J1525" s="6" t="str">
        <f>"marble case"</f>
        <v>marble case</v>
      </c>
      <c r="K1525" s="6">
        <v>0</v>
      </c>
      <c r="L1525" s="6">
        <v>0</v>
      </c>
      <c r="M1525" s="6">
        <v>0</v>
      </c>
      <c r="N1525" s="6" t="str">
        <f>""</f>
        <v/>
      </c>
      <c r="O1525" s="6">
        <v>31415</v>
      </c>
      <c r="P1525" s="6" t="s">
        <v>6409</v>
      </c>
      <c r="R1525" s="6" t="s">
        <v>6356</v>
      </c>
      <c r="S1525" s="6" t="s">
        <v>6410</v>
      </c>
      <c r="T1525" s="6">
        <v>0</v>
      </c>
      <c r="U1525" s="6">
        <v>0</v>
      </c>
      <c r="V1525" s="6">
        <v>0</v>
      </c>
      <c r="W1525" s="6">
        <v>0</v>
      </c>
      <c r="X1525" s="6" t="s">
        <v>169</v>
      </c>
      <c r="Z1525" s="6" t="s">
        <v>170</v>
      </c>
      <c r="AA1525" s="6" t="s">
        <v>171</v>
      </c>
      <c r="AB1525" s="6">
        <v>0</v>
      </c>
      <c r="AC1525" s="6" t="str">
        <f>""</f>
        <v/>
      </c>
      <c r="AS1525" s="6">
        <v>0</v>
      </c>
      <c r="AT1525" s="6">
        <v>0</v>
      </c>
    </row>
    <row r="1526" spans="2:46">
      <c r="B1526" s="6" t="s">
        <v>106</v>
      </c>
      <c r="D1526" s="6" t="s">
        <v>3316</v>
      </c>
      <c r="F1526" s="6" t="s">
        <v>6411</v>
      </c>
      <c r="G1526" s="6" t="str">
        <f>"mnmm16ssc07N_8"</f>
        <v>mnmm16ssc07N_8</v>
      </c>
      <c r="H1526" s="6" t="s">
        <v>6412</v>
      </c>
      <c r="I1526" s="6" t="s">
        <v>50</v>
      </c>
      <c r="J1526" s="6" t="str">
        <f>"marble case"</f>
        <v>marble case</v>
      </c>
      <c r="K1526" s="6">
        <v>0</v>
      </c>
      <c r="L1526" s="6">
        <v>0</v>
      </c>
      <c r="M1526" s="6">
        <v>0</v>
      </c>
      <c r="N1526" s="6" t="str">
        <f>""</f>
        <v/>
      </c>
      <c r="O1526" s="6">
        <v>31414</v>
      </c>
      <c r="P1526" s="6" t="s">
        <v>6413</v>
      </c>
      <c r="R1526" s="6" t="s">
        <v>6361</v>
      </c>
      <c r="S1526" s="6" t="s">
        <v>6414</v>
      </c>
      <c r="T1526" s="6">
        <v>0</v>
      </c>
      <c r="U1526" s="6">
        <v>0</v>
      </c>
      <c r="V1526" s="6">
        <v>0</v>
      </c>
      <c r="W1526" s="6">
        <v>0</v>
      </c>
      <c r="X1526" s="6" t="s">
        <v>169</v>
      </c>
      <c r="Z1526" s="6" t="s">
        <v>170</v>
      </c>
      <c r="AA1526" s="6" t="s">
        <v>171</v>
      </c>
      <c r="AB1526" s="6">
        <v>0</v>
      </c>
      <c r="AC1526" s="6" t="str">
        <f>""</f>
        <v/>
      </c>
      <c r="AS1526" s="6">
        <v>0</v>
      </c>
      <c r="AT1526" s="6">
        <v>0</v>
      </c>
    </row>
    <row r="1527" spans="2:46">
      <c r="B1527" s="6" t="s">
        <v>106</v>
      </c>
      <c r="D1527" s="6" t="s">
        <v>3316</v>
      </c>
      <c r="F1527" s="6" t="s">
        <v>6415</v>
      </c>
      <c r="G1527" s="6" t="str">
        <f>"mnmm16ssc07_66s"</f>
        <v>mnmm16ssc07_66s</v>
      </c>
      <c r="H1527" s="6" t="s">
        <v>6416</v>
      </c>
      <c r="I1527" s="6" t="s">
        <v>50</v>
      </c>
      <c r="J1527" s="6" t="str">
        <f>"marble case"</f>
        <v>marble case</v>
      </c>
      <c r="K1527" s="6">
        <v>0</v>
      </c>
      <c r="L1527" s="6">
        <v>0</v>
      </c>
      <c r="M1527" s="6">
        <v>0</v>
      </c>
      <c r="N1527" s="6" t="str">
        <f>""</f>
        <v/>
      </c>
      <c r="O1527" s="6">
        <v>31309</v>
      </c>
      <c r="P1527" s="6" t="s">
        <v>6417</v>
      </c>
      <c r="R1527" s="6" t="s">
        <v>6365</v>
      </c>
      <c r="S1527" s="6" t="s">
        <v>6418</v>
      </c>
      <c r="T1527" s="6">
        <v>0</v>
      </c>
      <c r="U1527" s="6">
        <v>0</v>
      </c>
      <c r="V1527" s="6">
        <v>0</v>
      </c>
      <c r="W1527" s="6">
        <v>0</v>
      </c>
      <c r="X1527" s="6" t="s">
        <v>169</v>
      </c>
      <c r="Z1527" s="6" t="s">
        <v>170</v>
      </c>
      <c r="AA1527" s="6" t="s">
        <v>171</v>
      </c>
      <c r="AB1527" s="6">
        <v>0</v>
      </c>
      <c r="AC1527" s="6" t="str">
        <f>""</f>
        <v/>
      </c>
      <c r="AS1527" s="6">
        <v>0</v>
      </c>
      <c r="AT1527" s="6">
        <v>0</v>
      </c>
    </row>
    <row r="1528" spans="2:46">
      <c r="B1528" s="6" t="s">
        <v>106</v>
      </c>
      <c r="D1528" s="6" t="s">
        <v>3316</v>
      </c>
      <c r="F1528" s="6" t="s">
        <v>6419</v>
      </c>
      <c r="G1528" s="6" t="str">
        <f>"mnmm16ssc06_7"</f>
        <v>mnmm16ssc06_7</v>
      </c>
      <c r="I1528" s="6" t="s">
        <v>6420</v>
      </c>
      <c r="J1528" s="6" t="str">
        <f>"blanc case"</f>
        <v>blanc case</v>
      </c>
      <c r="K1528" s="6">
        <v>0</v>
      </c>
      <c r="L1528" s="6">
        <v>0</v>
      </c>
      <c r="M1528" s="6">
        <v>0</v>
      </c>
      <c r="N1528" s="6" t="str">
        <f>""</f>
        <v/>
      </c>
      <c r="O1528" s="6">
        <v>33359</v>
      </c>
      <c r="P1528" s="6" t="s">
        <v>6421</v>
      </c>
      <c r="R1528" s="6" t="s">
        <v>6422</v>
      </c>
      <c r="S1528" s="6" t="s">
        <v>6423</v>
      </c>
      <c r="T1528" s="6">
        <v>0</v>
      </c>
      <c r="U1528" s="6">
        <v>0</v>
      </c>
      <c r="V1528" s="6">
        <v>0</v>
      </c>
      <c r="W1528" s="6">
        <v>0</v>
      </c>
      <c r="X1528" s="6" t="s">
        <v>169</v>
      </c>
      <c r="Z1528" s="6" t="s">
        <v>170</v>
      </c>
      <c r="AA1528" s="6" t="s">
        <v>171</v>
      </c>
      <c r="AB1528" s="6">
        <v>0</v>
      </c>
      <c r="AC1528" s="6" t="str">
        <f>""</f>
        <v/>
      </c>
      <c r="AS1528" s="6">
        <v>0</v>
      </c>
      <c r="AT1528" s="6">
        <v>0</v>
      </c>
    </row>
    <row r="1529" spans="2:46">
      <c r="B1529" s="6" t="s">
        <v>106</v>
      </c>
      <c r="D1529" s="6" t="s">
        <v>3316</v>
      </c>
      <c r="F1529" s="6" t="s">
        <v>6424</v>
      </c>
      <c r="G1529" s="6" t="str">
        <f>"mnmm16ssc06N_x"</f>
        <v>mnmm16ssc06N_x</v>
      </c>
      <c r="H1529" s="6" t="s">
        <v>6425</v>
      </c>
      <c r="I1529" s="6" t="s">
        <v>6420</v>
      </c>
      <c r="J1529" s="6" t="str">
        <f>"blanc case"</f>
        <v>blanc case</v>
      </c>
      <c r="K1529" s="6">
        <v>0</v>
      </c>
      <c r="L1529" s="6">
        <v>0</v>
      </c>
      <c r="M1529" s="6">
        <v>0</v>
      </c>
      <c r="N1529" s="6" t="str">
        <f>""</f>
        <v/>
      </c>
      <c r="O1529" s="6">
        <v>31413</v>
      </c>
      <c r="P1529" s="6" t="s">
        <v>6426</v>
      </c>
      <c r="R1529" s="6" t="s">
        <v>6313</v>
      </c>
      <c r="S1529" s="6" t="s">
        <v>6427</v>
      </c>
      <c r="T1529" s="6">
        <v>0</v>
      </c>
      <c r="U1529" s="6">
        <v>0</v>
      </c>
      <c r="V1529" s="6">
        <v>0</v>
      </c>
      <c r="W1529" s="6">
        <v>0</v>
      </c>
      <c r="X1529" s="6" t="s">
        <v>169</v>
      </c>
      <c r="Z1529" s="6" t="s">
        <v>170</v>
      </c>
      <c r="AA1529" s="6" t="s">
        <v>171</v>
      </c>
      <c r="AB1529" s="6">
        <v>0</v>
      </c>
      <c r="AC1529" s="6" t="str">
        <f>""</f>
        <v/>
      </c>
      <c r="AS1529" s="6">
        <v>0</v>
      </c>
      <c r="AT1529" s="6">
        <v>0</v>
      </c>
    </row>
    <row r="1530" spans="2:46">
      <c r="B1530" s="6" t="s">
        <v>106</v>
      </c>
      <c r="D1530" s="6" t="s">
        <v>3316</v>
      </c>
      <c r="F1530" s="6" t="s">
        <v>6428</v>
      </c>
      <c r="G1530" s="6" t="str">
        <f>"mnmm16ssc06N_8p"</f>
        <v>mnmm16ssc06N_8p</v>
      </c>
      <c r="H1530" s="6" t="s">
        <v>6429</v>
      </c>
      <c r="I1530" s="6" t="s">
        <v>6420</v>
      </c>
      <c r="J1530" s="6" t="str">
        <f>"blanc case"</f>
        <v>blanc case</v>
      </c>
      <c r="K1530" s="6">
        <v>0</v>
      </c>
      <c r="L1530" s="6">
        <v>0</v>
      </c>
      <c r="M1530" s="6">
        <v>0</v>
      </c>
      <c r="N1530" s="6" t="str">
        <f>""</f>
        <v/>
      </c>
      <c r="O1530" s="6">
        <v>31412</v>
      </c>
      <c r="P1530" s="6" t="s">
        <v>6430</v>
      </c>
      <c r="R1530" s="6" t="s">
        <v>6318</v>
      </c>
      <c r="S1530" s="6" t="s">
        <v>6431</v>
      </c>
      <c r="T1530" s="6">
        <v>0</v>
      </c>
      <c r="U1530" s="6">
        <v>0</v>
      </c>
      <c r="V1530" s="6">
        <v>0</v>
      </c>
      <c r="W1530" s="6">
        <v>0</v>
      </c>
      <c r="X1530" s="6" t="s">
        <v>169</v>
      </c>
      <c r="Z1530" s="6" t="s">
        <v>170</v>
      </c>
      <c r="AA1530" s="6" t="s">
        <v>171</v>
      </c>
      <c r="AB1530" s="6">
        <v>0</v>
      </c>
      <c r="AC1530" s="6" t="str">
        <f>""</f>
        <v/>
      </c>
      <c r="AS1530" s="6">
        <v>0</v>
      </c>
      <c r="AT1530" s="6">
        <v>0</v>
      </c>
    </row>
    <row r="1531" spans="2:46">
      <c r="B1531" s="6" t="s">
        <v>106</v>
      </c>
      <c r="D1531" s="6" t="s">
        <v>3316</v>
      </c>
      <c r="F1531" s="6" t="s">
        <v>6432</v>
      </c>
      <c r="G1531" s="6" t="str">
        <f>"mnmm16ssc06N_8"</f>
        <v>mnmm16ssc06N_8</v>
      </c>
      <c r="H1531" s="6" t="s">
        <v>6433</v>
      </c>
      <c r="I1531" s="6" t="s">
        <v>6420</v>
      </c>
      <c r="J1531" s="6" t="str">
        <f>"blanc case"</f>
        <v>blanc case</v>
      </c>
      <c r="K1531" s="6">
        <v>0</v>
      </c>
      <c r="L1531" s="6">
        <v>0</v>
      </c>
      <c r="M1531" s="6">
        <v>0</v>
      </c>
      <c r="N1531" s="6" t="str">
        <f>""</f>
        <v/>
      </c>
      <c r="O1531" s="6">
        <v>31411</v>
      </c>
      <c r="P1531" s="6" t="s">
        <v>6434</v>
      </c>
      <c r="R1531" s="6" t="s">
        <v>6323</v>
      </c>
      <c r="S1531" s="6" t="s">
        <v>6435</v>
      </c>
      <c r="T1531" s="6">
        <v>0</v>
      </c>
      <c r="U1531" s="6">
        <v>0</v>
      </c>
      <c r="V1531" s="6">
        <v>0</v>
      </c>
      <c r="W1531" s="6">
        <v>0</v>
      </c>
      <c r="X1531" s="6" t="s">
        <v>169</v>
      </c>
      <c r="Z1531" s="6" t="s">
        <v>170</v>
      </c>
      <c r="AA1531" s="6" t="s">
        <v>171</v>
      </c>
      <c r="AB1531" s="6">
        <v>0</v>
      </c>
      <c r="AC1531" s="6" t="str">
        <f>""</f>
        <v/>
      </c>
      <c r="AS1531" s="6">
        <v>0</v>
      </c>
      <c r="AT1531" s="6">
        <v>0</v>
      </c>
    </row>
    <row r="1532" spans="2:46">
      <c r="B1532" s="6" t="s">
        <v>106</v>
      </c>
      <c r="D1532" s="6" t="s">
        <v>3316</v>
      </c>
      <c r="F1532" s="6" t="s">
        <v>6436</v>
      </c>
      <c r="G1532" s="6" t="str">
        <f>"MNMM16SSC06_6P6SP"</f>
        <v>MNMM16SSC06_6P6SP</v>
      </c>
      <c r="I1532" s="6" t="s">
        <v>6420</v>
      </c>
      <c r="J1532" s="6" t="str">
        <f>"blanc case"</f>
        <v>blanc case</v>
      </c>
      <c r="K1532" s="6">
        <v>0</v>
      </c>
      <c r="L1532" s="6">
        <v>0</v>
      </c>
      <c r="M1532" s="6">
        <v>0</v>
      </c>
      <c r="N1532" s="6" t="str">
        <f>""</f>
        <v/>
      </c>
      <c r="O1532" s="6">
        <v>31307</v>
      </c>
      <c r="P1532" s="6" t="s">
        <v>6437</v>
      </c>
      <c r="R1532" s="6" t="s">
        <v>6438</v>
      </c>
      <c r="S1532" s="6" t="s">
        <v>6439</v>
      </c>
      <c r="T1532" s="6">
        <v>1</v>
      </c>
      <c r="U1532" s="6">
        <v>0</v>
      </c>
      <c r="V1532" s="6">
        <v>0</v>
      </c>
      <c r="W1532" s="6">
        <v>0</v>
      </c>
      <c r="X1532" s="6" t="s">
        <v>169</v>
      </c>
      <c r="Z1532" s="6" t="s">
        <v>170</v>
      </c>
      <c r="AA1532" s="6" t="s">
        <v>171</v>
      </c>
      <c r="AB1532" s="6">
        <v>0</v>
      </c>
      <c r="AC1532" s="6" t="str">
        <f>"KEY-004"</f>
        <v>KEY-004</v>
      </c>
      <c r="AQ1532" s="6" t="str">
        <f>""</f>
        <v/>
      </c>
      <c r="AR1532" s="6" t="s">
        <v>1584</v>
      </c>
      <c r="AS1532" s="6">
        <v>0</v>
      </c>
      <c r="AT1532" s="6">
        <v>1</v>
      </c>
    </row>
    <row r="1533" spans="2:46">
      <c r="B1533" s="6" t="s">
        <v>106</v>
      </c>
      <c r="D1533" s="6" t="s">
        <v>3316</v>
      </c>
      <c r="F1533" s="6" t="s">
        <v>6440</v>
      </c>
      <c r="G1533" s="6" t="str">
        <f>"mnmm16ssc05_7p"</f>
        <v>mnmm16ssc05_7p</v>
      </c>
      <c r="I1533" s="6" t="s">
        <v>43</v>
      </c>
      <c r="J1533" s="6" t="str">
        <f t="shared" ref="J1533:J1538" si="8">"control case"</f>
        <v>control case</v>
      </c>
      <c r="K1533" s="6">
        <v>0</v>
      </c>
      <c r="L1533" s="6">
        <v>0</v>
      </c>
      <c r="M1533" s="6">
        <v>0</v>
      </c>
      <c r="N1533" s="6" t="str">
        <f>""</f>
        <v/>
      </c>
      <c r="O1533" s="6">
        <v>33334</v>
      </c>
      <c r="P1533" s="6" t="s">
        <v>6441</v>
      </c>
      <c r="R1533" s="6" t="s">
        <v>6442</v>
      </c>
      <c r="S1533" s="6" t="s">
        <v>6443</v>
      </c>
      <c r="T1533" s="6">
        <v>0</v>
      </c>
      <c r="U1533" s="6">
        <v>0</v>
      </c>
      <c r="V1533" s="6">
        <v>0</v>
      </c>
      <c r="W1533" s="6">
        <v>0</v>
      </c>
      <c r="X1533" s="6" t="s">
        <v>169</v>
      </c>
      <c r="Z1533" s="6" t="s">
        <v>170</v>
      </c>
      <c r="AA1533" s="6" t="s">
        <v>171</v>
      </c>
      <c r="AB1533" s="6">
        <v>0</v>
      </c>
      <c r="AC1533" s="6" t="str">
        <f>""</f>
        <v/>
      </c>
      <c r="AS1533" s="6">
        <v>0</v>
      </c>
      <c r="AT1533" s="6">
        <v>0</v>
      </c>
    </row>
    <row r="1534" spans="2:46">
      <c r="B1534" s="6" t="s">
        <v>106</v>
      </c>
      <c r="D1534" s="6" t="s">
        <v>3316</v>
      </c>
      <c r="F1534" s="6" t="s">
        <v>6444</v>
      </c>
      <c r="G1534" s="6" t="str">
        <f>"mnmm16ssc05_7"</f>
        <v>mnmm16ssc05_7</v>
      </c>
      <c r="I1534" s="6" t="s">
        <v>43</v>
      </c>
      <c r="J1534" s="6" t="str">
        <f t="shared" si="8"/>
        <v>control case</v>
      </c>
      <c r="K1534" s="6">
        <v>0</v>
      </c>
      <c r="L1534" s="6">
        <v>0</v>
      </c>
      <c r="M1534" s="6">
        <v>0</v>
      </c>
      <c r="N1534" s="6" t="str">
        <f>""</f>
        <v/>
      </c>
      <c r="O1534" s="6">
        <v>33333</v>
      </c>
      <c r="P1534" s="6" t="s">
        <v>42</v>
      </c>
      <c r="R1534" s="6" t="s">
        <v>6445</v>
      </c>
      <c r="S1534" s="6" t="s">
        <v>6446</v>
      </c>
      <c r="T1534" s="6">
        <v>0</v>
      </c>
      <c r="U1534" s="6">
        <v>0</v>
      </c>
      <c r="V1534" s="6">
        <v>0</v>
      </c>
      <c r="W1534" s="6">
        <v>0</v>
      </c>
      <c r="X1534" s="6" t="s">
        <v>169</v>
      </c>
      <c r="Z1534" s="6" t="s">
        <v>170</v>
      </c>
      <c r="AA1534" s="6" t="s">
        <v>171</v>
      </c>
      <c r="AB1534" s="6">
        <v>0</v>
      </c>
      <c r="AC1534" s="6" t="str">
        <f>"KEY-023"</f>
        <v>KEY-023</v>
      </c>
      <c r="AQ1534" s="6" t="str">
        <f>""</f>
        <v/>
      </c>
      <c r="AR1534" s="6" t="s">
        <v>1472</v>
      </c>
      <c r="AS1534" s="6">
        <v>0</v>
      </c>
      <c r="AT1534" s="6">
        <v>0</v>
      </c>
    </row>
    <row r="1535" spans="2:46">
      <c r="B1535" s="6" t="s">
        <v>106</v>
      </c>
      <c r="D1535" s="6" t="s">
        <v>3316</v>
      </c>
      <c r="F1535" s="6" t="s">
        <v>6447</v>
      </c>
      <c r="G1535" s="6" t="str">
        <f>"mnmm16ssc05N_x"</f>
        <v>mnmm16ssc05N_x</v>
      </c>
      <c r="H1535" s="6" t="s">
        <v>6448</v>
      </c>
      <c r="I1535" s="6" t="s">
        <v>43</v>
      </c>
      <c r="J1535" s="6" t="str">
        <f t="shared" si="8"/>
        <v>control case</v>
      </c>
      <c r="K1535" s="6">
        <v>0</v>
      </c>
      <c r="L1535" s="6">
        <v>0</v>
      </c>
      <c r="M1535" s="6">
        <v>0</v>
      </c>
      <c r="N1535" s="6" t="str">
        <f>""</f>
        <v/>
      </c>
      <c r="O1535" s="6">
        <v>31410</v>
      </c>
      <c r="P1535" s="6" t="s">
        <v>6449</v>
      </c>
      <c r="R1535" s="6" t="s">
        <v>6351</v>
      </c>
      <c r="S1535" s="6" t="s">
        <v>6450</v>
      </c>
      <c r="T1535" s="6">
        <v>0</v>
      </c>
      <c r="U1535" s="6">
        <v>0</v>
      </c>
      <c r="V1535" s="6">
        <v>0</v>
      </c>
      <c r="W1535" s="6">
        <v>0</v>
      </c>
      <c r="X1535" s="6" t="s">
        <v>169</v>
      </c>
      <c r="Z1535" s="6" t="s">
        <v>170</v>
      </c>
      <c r="AA1535" s="6" t="s">
        <v>171</v>
      </c>
      <c r="AB1535" s="6">
        <v>0</v>
      </c>
      <c r="AC1535" s="6" t="str">
        <f>""</f>
        <v/>
      </c>
      <c r="AS1535" s="6">
        <v>0</v>
      </c>
      <c r="AT1535" s="6">
        <v>0</v>
      </c>
    </row>
    <row r="1536" spans="2:46">
      <c r="B1536" s="6" t="s">
        <v>106</v>
      </c>
      <c r="D1536" s="6" t="s">
        <v>3316</v>
      </c>
      <c r="F1536" s="6" t="s">
        <v>6451</v>
      </c>
      <c r="G1536" s="6" t="str">
        <f>"mnmm16ssc05N_8p"</f>
        <v>mnmm16ssc05N_8p</v>
      </c>
      <c r="H1536" s="6" t="s">
        <v>6452</v>
      </c>
      <c r="I1536" s="6" t="s">
        <v>43</v>
      </c>
      <c r="J1536" s="6" t="str">
        <f t="shared" si="8"/>
        <v>control case</v>
      </c>
      <c r="K1536" s="6">
        <v>0</v>
      </c>
      <c r="L1536" s="6">
        <v>0</v>
      </c>
      <c r="M1536" s="6">
        <v>0</v>
      </c>
      <c r="N1536" s="6" t="str">
        <f>""</f>
        <v/>
      </c>
      <c r="O1536" s="6">
        <v>31409</v>
      </c>
      <c r="P1536" s="6" t="s">
        <v>6453</v>
      </c>
      <c r="R1536" s="6" t="s">
        <v>6356</v>
      </c>
      <c r="S1536" s="6" t="s">
        <v>6454</v>
      </c>
      <c r="T1536" s="6">
        <v>0</v>
      </c>
      <c r="U1536" s="6">
        <v>0</v>
      </c>
      <c r="V1536" s="6">
        <v>0</v>
      </c>
      <c r="W1536" s="6">
        <v>0</v>
      </c>
      <c r="X1536" s="6" t="s">
        <v>169</v>
      </c>
      <c r="Z1536" s="6" t="s">
        <v>170</v>
      </c>
      <c r="AA1536" s="6" t="s">
        <v>171</v>
      </c>
      <c r="AB1536" s="6">
        <v>0</v>
      </c>
      <c r="AC1536" s="6" t="str">
        <f>""</f>
        <v/>
      </c>
      <c r="AS1536" s="6">
        <v>0</v>
      </c>
      <c r="AT1536" s="6">
        <v>0</v>
      </c>
    </row>
    <row r="1537" spans="2:46">
      <c r="B1537" s="6" t="s">
        <v>106</v>
      </c>
      <c r="D1537" s="6" t="s">
        <v>3316</v>
      </c>
      <c r="F1537" s="6" t="s">
        <v>6455</v>
      </c>
      <c r="G1537" s="6" t="str">
        <f>"mnmm16ssc05N_8"</f>
        <v>mnmm16ssc05N_8</v>
      </c>
      <c r="H1537" s="6" t="s">
        <v>6456</v>
      </c>
      <c r="I1537" s="6" t="s">
        <v>43</v>
      </c>
      <c r="J1537" s="6" t="str">
        <f t="shared" si="8"/>
        <v>control case</v>
      </c>
      <c r="K1537" s="6">
        <v>0</v>
      </c>
      <c r="L1537" s="6">
        <v>0</v>
      </c>
      <c r="M1537" s="6">
        <v>0</v>
      </c>
      <c r="N1537" s="6" t="str">
        <f>""</f>
        <v/>
      </c>
      <c r="O1537" s="6">
        <v>31408</v>
      </c>
      <c r="P1537" s="6" t="s">
        <v>6457</v>
      </c>
      <c r="R1537" s="6" t="s">
        <v>6361</v>
      </c>
      <c r="S1537" s="6" t="s">
        <v>6458</v>
      </c>
      <c r="T1537" s="6">
        <v>0</v>
      </c>
      <c r="U1537" s="6">
        <v>0</v>
      </c>
      <c r="V1537" s="6">
        <v>0</v>
      </c>
      <c r="W1537" s="6">
        <v>0</v>
      </c>
      <c r="X1537" s="6" t="s">
        <v>169</v>
      </c>
      <c r="Z1537" s="6" t="s">
        <v>170</v>
      </c>
      <c r="AA1537" s="6" t="s">
        <v>171</v>
      </c>
      <c r="AB1537" s="6">
        <v>0</v>
      </c>
      <c r="AC1537" s="6" t="str">
        <f>""</f>
        <v/>
      </c>
      <c r="AS1537" s="6">
        <v>0</v>
      </c>
      <c r="AT1537" s="6">
        <v>0</v>
      </c>
    </row>
    <row r="1538" spans="2:46">
      <c r="B1538" s="6" t="s">
        <v>106</v>
      </c>
      <c r="D1538" s="6" t="s">
        <v>3316</v>
      </c>
      <c r="F1538" s="6" t="s">
        <v>6459</v>
      </c>
      <c r="G1538" s="6" t="str">
        <f>"mnmm16ssc05_66s"</f>
        <v>mnmm16ssc05_66s</v>
      </c>
      <c r="H1538" s="6" t="s">
        <v>6460</v>
      </c>
      <c r="I1538" s="6" t="s">
        <v>43</v>
      </c>
      <c r="J1538" s="6" t="str">
        <f t="shared" si="8"/>
        <v>control case</v>
      </c>
      <c r="K1538" s="6">
        <v>0</v>
      </c>
      <c r="L1538" s="6">
        <v>0</v>
      </c>
      <c r="M1538" s="6">
        <v>0</v>
      </c>
      <c r="N1538" s="6" t="str">
        <f>""</f>
        <v/>
      </c>
      <c r="O1538" s="6">
        <v>31305</v>
      </c>
      <c r="P1538" s="6" t="s">
        <v>6461</v>
      </c>
      <c r="R1538" s="6" t="s">
        <v>6365</v>
      </c>
      <c r="S1538" s="6" t="s">
        <v>6462</v>
      </c>
      <c r="T1538" s="6">
        <v>0</v>
      </c>
      <c r="U1538" s="6">
        <v>0</v>
      </c>
      <c r="V1538" s="6">
        <v>0</v>
      </c>
      <c r="W1538" s="6">
        <v>0</v>
      </c>
      <c r="X1538" s="6" t="s">
        <v>169</v>
      </c>
      <c r="Z1538" s="6" t="s">
        <v>170</v>
      </c>
      <c r="AA1538" s="6" t="s">
        <v>171</v>
      </c>
      <c r="AB1538" s="6">
        <v>0</v>
      </c>
      <c r="AC1538" s="6" t="str">
        <f>""</f>
        <v/>
      </c>
      <c r="AS1538" s="6">
        <v>0</v>
      </c>
      <c r="AT1538" s="6">
        <v>0</v>
      </c>
    </row>
    <row r="1539" spans="2:46">
      <c r="B1539" s="6" t="s">
        <v>106</v>
      </c>
      <c r="D1539" s="6" t="s">
        <v>3316</v>
      </c>
      <c r="F1539" s="6" t="s">
        <v>6463</v>
      </c>
      <c r="G1539" s="6" t="str">
        <f>"mnmm17ssn20"</f>
        <v>mnmm17ssn20</v>
      </c>
      <c r="H1539" s="6" t="s">
        <v>6464</v>
      </c>
      <c r="I1539" s="6" t="s">
        <v>6465</v>
      </c>
      <c r="J1539" s="6" t="str">
        <f>"velvet long scarf"</f>
        <v>velvet long scarf</v>
      </c>
      <c r="K1539" s="6">
        <v>0</v>
      </c>
      <c r="L1539" s="6">
        <v>0</v>
      </c>
      <c r="M1539" s="6">
        <v>0</v>
      </c>
      <c r="N1539" s="6" t="str">
        <f>""</f>
        <v/>
      </c>
      <c r="O1539" s="6">
        <v>31303</v>
      </c>
      <c r="P1539" s="6" t="s">
        <v>6466</v>
      </c>
      <c r="R1539" s="6" t="s">
        <v>6365</v>
      </c>
      <c r="S1539" s="6" t="s">
        <v>6467</v>
      </c>
      <c r="T1539" s="6">
        <v>0</v>
      </c>
      <c r="U1539" s="6">
        <v>0</v>
      </c>
      <c r="V1539" s="6">
        <v>0</v>
      </c>
      <c r="W1539" s="6">
        <v>0</v>
      </c>
      <c r="X1539" s="6" t="s">
        <v>169</v>
      </c>
      <c r="Z1539" s="6" t="s">
        <v>170</v>
      </c>
      <c r="AA1539" s="6" t="s">
        <v>171</v>
      </c>
      <c r="AB1539" s="6">
        <v>0</v>
      </c>
      <c r="AC1539" s="6" t="str">
        <f>""</f>
        <v/>
      </c>
      <c r="AS1539" s="6">
        <v>0</v>
      </c>
      <c r="AT1539" s="6">
        <v>0</v>
      </c>
    </row>
    <row r="1540" spans="2:46">
      <c r="B1540" s="6" t="s">
        <v>106</v>
      </c>
      <c r="D1540" s="6" t="s">
        <v>3316</v>
      </c>
      <c r="F1540" s="6" t="s">
        <v>6468</v>
      </c>
      <c r="G1540" s="6" t="str">
        <f>"mnmm17ssb19"</f>
        <v>mnmm17ssb19</v>
      </c>
      <c r="I1540" s="6" t="s">
        <v>6469</v>
      </c>
      <c r="J1540" s="6" t="str">
        <f>"gold hexagon bracelet"</f>
        <v>gold hexagon bracelet</v>
      </c>
      <c r="K1540" s="6">
        <v>0</v>
      </c>
      <c r="L1540" s="6">
        <v>0</v>
      </c>
      <c r="M1540" s="6">
        <v>0</v>
      </c>
      <c r="N1540" s="6" t="str">
        <f>""</f>
        <v/>
      </c>
      <c r="O1540" s="6">
        <v>31301</v>
      </c>
      <c r="P1540" s="6" t="s">
        <v>6470</v>
      </c>
      <c r="R1540" s="6" t="s">
        <v>6116</v>
      </c>
      <c r="S1540" s="6" t="s">
        <v>6471</v>
      </c>
      <c r="T1540" s="6">
        <v>1</v>
      </c>
      <c r="U1540" s="6">
        <v>0</v>
      </c>
      <c r="V1540" s="6">
        <v>0</v>
      </c>
      <c r="W1540" s="6">
        <v>0</v>
      </c>
      <c r="X1540" s="6" t="s">
        <v>169</v>
      </c>
      <c r="Z1540" s="6" t="s">
        <v>170</v>
      </c>
      <c r="AA1540" s="6" t="s">
        <v>171</v>
      </c>
      <c r="AB1540" s="6">
        <v>0</v>
      </c>
      <c r="AC1540" s="6" t="str">
        <f>"KEY-003"</f>
        <v>KEY-003</v>
      </c>
      <c r="AQ1540" s="6" t="str">
        <f>""</f>
        <v/>
      </c>
      <c r="AR1540" s="6" t="s">
        <v>1584</v>
      </c>
      <c r="AS1540" s="6">
        <v>0</v>
      </c>
      <c r="AT1540" s="6">
        <v>1</v>
      </c>
    </row>
    <row r="1541" spans="2:46">
      <c r="B1541" s="6" t="s">
        <v>106</v>
      </c>
      <c r="D1541" s="6" t="s">
        <v>3316</v>
      </c>
      <c r="F1541" s="6" t="s">
        <v>6472</v>
      </c>
      <c r="G1541" s="6" t="str">
        <f>"mnmm17ssn18"</f>
        <v>mnmm17ssn18</v>
      </c>
      <c r="H1541" s="6" t="s">
        <v>6473</v>
      </c>
      <c r="I1541" s="6" t="s">
        <v>6474</v>
      </c>
      <c r="J1541" s="6" t="str">
        <f>"link chain hexagon necklace"</f>
        <v>link chain hexagon necklace</v>
      </c>
      <c r="K1541" s="6">
        <v>0</v>
      </c>
      <c r="L1541" s="6">
        <v>0</v>
      </c>
      <c r="M1541" s="6">
        <v>0</v>
      </c>
      <c r="N1541" s="6" t="str">
        <f>""</f>
        <v/>
      </c>
      <c r="O1541" s="6">
        <v>31299</v>
      </c>
      <c r="P1541" s="6" t="s">
        <v>6475</v>
      </c>
      <c r="R1541" s="6" t="s">
        <v>6476</v>
      </c>
      <c r="S1541" s="6" t="s">
        <v>6477</v>
      </c>
      <c r="T1541" s="6">
        <v>0</v>
      </c>
      <c r="U1541" s="6">
        <v>0</v>
      </c>
      <c r="V1541" s="6">
        <v>0</v>
      </c>
      <c r="W1541" s="6">
        <v>0</v>
      </c>
      <c r="X1541" s="6" t="s">
        <v>169</v>
      </c>
      <c r="Z1541" s="6" t="s">
        <v>170</v>
      </c>
      <c r="AA1541" s="6" t="s">
        <v>171</v>
      </c>
      <c r="AB1541" s="6">
        <v>0</v>
      </c>
      <c r="AC1541" s="6" t="str">
        <f>""</f>
        <v/>
      </c>
      <c r="AS1541" s="6">
        <v>0</v>
      </c>
      <c r="AT1541" s="6">
        <v>0</v>
      </c>
    </row>
    <row r="1542" spans="2:46">
      <c r="B1542" s="6" t="s">
        <v>106</v>
      </c>
      <c r="D1542" s="6" t="s">
        <v>3316</v>
      </c>
      <c r="F1542" s="6" t="s">
        <v>6478</v>
      </c>
      <c r="G1542" s="6" t="str">
        <f>"mnmm17ssn17"</f>
        <v>mnmm17ssn17</v>
      </c>
      <c r="I1542" s="6" t="s">
        <v>6479</v>
      </c>
      <c r="J1542" s="6" t="str">
        <f>"half moon in soul necklace"</f>
        <v>half moon in soul necklace</v>
      </c>
      <c r="K1542" s="6">
        <v>0</v>
      </c>
      <c r="L1542" s="6">
        <v>0</v>
      </c>
      <c r="M1542" s="6">
        <v>0</v>
      </c>
      <c r="N1542" s="6" t="str">
        <f>""</f>
        <v/>
      </c>
      <c r="O1542" s="6">
        <v>31297</v>
      </c>
      <c r="P1542" s="6" t="s">
        <v>6480</v>
      </c>
      <c r="R1542" s="6" t="s">
        <v>6476</v>
      </c>
      <c r="S1542" s="6" t="s">
        <v>6481</v>
      </c>
      <c r="T1542" s="6">
        <v>1</v>
      </c>
      <c r="U1542" s="6">
        <v>0</v>
      </c>
      <c r="V1542" s="6">
        <v>0</v>
      </c>
      <c r="W1542" s="6">
        <v>0</v>
      </c>
      <c r="X1542" s="6" t="s">
        <v>169</v>
      </c>
      <c r="Z1542" s="6" t="s">
        <v>170</v>
      </c>
      <c r="AA1542" s="6" t="s">
        <v>171</v>
      </c>
      <c r="AB1542" s="6">
        <v>0</v>
      </c>
      <c r="AC1542" s="6" t="str">
        <f>"KEY-003"</f>
        <v>KEY-003</v>
      </c>
      <c r="AQ1542" s="6" t="str">
        <f>""</f>
        <v/>
      </c>
      <c r="AR1542" s="6" t="s">
        <v>1584</v>
      </c>
      <c r="AS1542" s="6">
        <v>0</v>
      </c>
      <c r="AT1542" s="6">
        <v>1</v>
      </c>
    </row>
    <row r="1543" spans="2:46">
      <c r="B1543" s="6" t="s">
        <v>106</v>
      </c>
      <c r="D1543" s="6" t="s">
        <v>3316</v>
      </c>
      <c r="F1543" s="6" t="s">
        <v>6482</v>
      </c>
      <c r="G1543" s="6" t="str">
        <f>"MnMM17ssn16"</f>
        <v>MnMM17ssn16</v>
      </c>
      <c r="H1543" s="6" t="s">
        <v>6483</v>
      </c>
      <c r="I1543" s="6" t="s">
        <v>6484</v>
      </c>
      <c r="J1543" s="6" t="str">
        <f>"link chain drop pearl necklace"</f>
        <v>link chain drop pearl necklace</v>
      </c>
      <c r="K1543" s="6">
        <v>0</v>
      </c>
      <c r="L1543" s="6">
        <v>0</v>
      </c>
      <c r="M1543" s="6">
        <v>0</v>
      </c>
      <c r="N1543" s="6" t="str">
        <f>""</f>
        <v/>
      </c>
      <c r="O1543" s="6">
        <v>31295</v>
      </c>
      <c r="P1543" s="6" t="s">
        <v>6485</v>
      </c>
      <c r="R1543" s="6" t="s">
        <v>6476</v>
      </c>
      <c r="S1543" s="6" t="s">
        <v>6486</v>
      </c>
      <c r="T1543" s="6">
        <v>0</v>
      </c>
      <c r="U1543" s="6">
        <v>0</v>
      </c>
      <c r="V1543" s="6">
        <v>0</v>
      </c>
      <c r="W1543" s="6">
        <v>0</v>
      </c>
      <c r="X1543" s="6" t="s">
        <v>169</v>
      </c>
      <c r="Z1543" s="6" t="s">
        <v>170</v>
      </c>
      <c r="AA1543" s="6" t="s">
        <v>171</v>
      </c>
      <c r="AB1543" s="6">
        <v>0</v>
      </c>
      <c r="AC1543" s="6" t="str">
        <f>""</f>
        <v/>
      </c>
      <c r="AS1543" s="6">
        <v>0</v>
      </c>
      <c r="AT1543" s="6">
        <v>0</v>
      </c>
    </row>
    <row r="1544" spans="2:46">
      <c r="B1544" s="6" t="s">
        <v>106</v>
      </c>
      <c r="D1544" s="6" t="s">
        <v>3316</v>
      </c>
      <c r="F1544" s="6" t="s">
        <v>6487</v>
      </c>
      <c r="G1544" s="6" t="str">
        <f>"mnmm17ssn15"</f>
        <v>mnmm17ssn15</v>
      </c>
      <c r="I1544" s="6" t="s">
        <v>6488</v>
      </c>
      <c r="J1544" s="6" t="str">
        <f>"pray for the moon necklace"</f>
        <v>pray for the moon necklace</v>
      </c>
      <c r="K1544" s="6">
        <v>0</v>
      </c>
      <c r="L1544" s="6">
        <v>0</v>
      </c>
      <c r="M1544" s="6">
        <v>0</v>
      </c>
      <c r="N1544" s="6" t="str">
        <f>""</f>
        <v/>
      </c>
      <c r="O1544" s="6">
        <v>31293</v>
      </c>
      <c r="P1544" s="6" t="s">
        <v>6489</v>
      </c>
      <c r="R1544" s="6" t="s">
        <v>6476</v>
      </c>
      <c r="S1544" s="6" t="s">
        <v>6490</v>
      </c>
      <c r="T1544" s="6">
        <v>1</v>
      </c>
      <c r="U1544" s="6">
        <v>0</v>
      </c>
      <c r="V1544" s="6">
        <v>0</v>
      </c>
      <c r="W1544" s="6">
        <v>0</v>
      </c>
      <c r="X1544" s="6" t="s">
        <v>169</v>
      </c>
      <c r="Z1544" s="6" t="s">
        <v>170</v>
      </c>
      <c r="AA1544" s="6" t="s">
        <v>171</v>
      </c>
      <c r="AB1544" s="6">
        <v>0</v>
      </c>
      <c r="AC1544" s="6" t="str">
        <f t="shared" ref="AC1544:AC1550" si="9">"KEY-003"</f>
        <v>KEY-003</v>
      </c>
      <c r="AQ1544" s="6" t="str">
        <f>""</f>
        <v/>
      </c>
      <c r="AR1544" s="6" t="s">
        <v>1584</v>
      </c>
      <c r="AS1544" s="6">
        <v>0</v>
      </c>
      <c r="AT1544" s="6">
        <v>1</v>
      </c>
    </row>
    <row r="1545" spans="2:46">
      <c r="B1545" s="6" t="s">
        <v>106</v>
      </c>
      <c r="D1545" s="6" t="s">
        <v>3316</v>
      </c>
      <c r="F1545" s="6" t="s">
        <v>6491</v>
      </c>
      <c r="G1545" s="6" t="str">
        <f>"mnmm17sse14"</f>
        <v>mnmm17sse14</v>
      </c>
      <c r="I1545" s="6" t="s">
        <v>6492</v>
      </c>
      <c r="J1545" s="6" t="str">
        <f>"pray for the moon earring"</f>
        <v>pray for the moon earring</v>
      </c>
      <c r="K1545" s="6">
        <v>0</v>
      </c>
      <c r="L1545" s="6">
        <v>0</v>
      </c>
      <c r="M1545" s="6">
        <v>0</v>
      </c>
      <c r="N1545" s="6" t="str">
        <f>""</f>
        <v/>
      </c>
      <c r="O1545" s="6">
        <v>31291</v>
      </c>
      <c r="P1545" s="6" t="s">
        <v>6493</v>
      </c>
      <c r="R1545" s="6" t="s">
        <v>6476</v>
      </c>
      <c r="S1545" s="6" t="s">
        <v>6494</v>
      </c>
      <c r="T1545" s="6">
        <v>1</v>
      </c>
      <c r="U1545" s="6">
        <v>0</v>
      </c>
      <c r="V1545" s="6">
        <v>0</v>
      </c>
      <c r="W1545" s="6">
        <v>0</v>
      </c>
      <c r="X1545" s="6" t="s">
        <v>169</v>
      </c>
      <c r="Z1545" s="6" t="s">
        <v>170</v>
      </c>
      <c r="AA1545" s="6" t="s">
        <v>171</v>
      </c>
      <c r="AB1545" s="6">
        <v>0</v>
      </c>
      <c r="AC1545" s="6" t="str">
        <f t="shared" si="9"/>
        <v>KEY-003</v>
      </c>
      <c r="AQ1545" s="6" t="str">
        <f>""</f>
        <v/>
      </c>
      <c r="AR1545" s="6" t="s">
        <v>1584</v>
      </c>
      <c r="AS1545" s="6">
        <v>0</v>
      </c>
      <c r="AT1545" s="6">
        <v>1</v>
      </c>
    </row>
    <row r="1546" spans="2:46">
      <c r="B1546" s="6" t="s">
        <v>106</v>
      </c>
      <c r="D1546" s="6" t="s">
        <v>3316</v>
      </c>
      <c r="F1546" s="6" t="s">
        <v>6495</v>
      </c>
      <c r="G1546" s="6" t="str">
        <f>"mnmm17sse13"</f>
        <v>mnmm17sse13</v>
      </c>
      <c r="I1546" s="6" t="s">
        <v>6496</v>
      </c>
      <c r="J1546" s="6" t="str">
        <f>"link chain drop pearl earring"</f>
        <v>link chain drop pearl earring</v>
      </c>
      <c r="K1546" s="6">
        <v>0</v>
      </c>
      <c r="L1546" s="6">
        <v>0</v>
      </c>
      <c r="M1546" s="6">
        <v>0</v>
      </c>
      <c r="N1546" s="6" t="str">
        <f>""</f>
        <v/>
      </c>
      <c r="O1546" s="6">
        <v>31289</v>
      </c>
      <c r="P1546" s="6" t="s">
        <v>6497</v>
      </c>
      <c r="R1546" s="6" t="s">
        <v>6476</v>
      </c>
      <c r="S1546" s="6" t="s">
        <v>6498</v>
      </c>
      <c r="T1546" s="6">
        <v>0</v>
      </c>
      <c r="U1546" s="6">
        <v>0</v>
      </c>
      <c r="V1546" s="6">
        <v>0</v>
      </c>
      <c r="W1546" s="6">
        <v>0</v>
      </c>
      <c r="X1546" s="6" t="s">
        <v>169</v>
      </c>
      <c r="Z1546" s="6" t="s">
        <v>170</v>
      </c>
      <c r="AA1546" s="6" t="s">
        <v>171</v>
      </c>
      <c r="AB1546" s="6">
        <v>0</v>
      </c>
      <c r="AC1546" s="6" t="str">
        <f t="shared" si="9"/>
        <v>KEY-003</v>
      </c>
      <c r="AQ1546" s="6" t="str">
        <f>""</f>
        <v/>
      </c>
      <c r="AR1546" s="6" t="s">
        <v>1584</v>
      </c>
      <c r="AS1546" s="6">
        <v>0</v>
      </c>
      <c r="AT1546" s="6">
        <v>0</v>
      </c>
    </row>
    <row r="1547" spans="2:46">
      <c r="B1547" s="6" t="s">
        <v>106</v>
      </c>
      <c r="D1547" s="6" t="s">
        <v>3316</v>
      </c>
      <c r="F1547" s="6" t="s">
        <v>6499</v>
      </c>
      <c r="G1547" s="6" t="str">
        <f>"mnmm17sse12"</f>
        <v>mnmm17sse12</v>
      </c>
      <c r="I1547" s="6" t="s">
        <v>6500</v>
      </c>
      <c r="J1547" s="6" t="str">
        <f>"half moon in soul earring"</f>
        <v>half moon in soul earring</v>
      </c>
      <c r="K1547" s="6">
        <v>0</v>
      </c>
      <c r="L1547" s="6">
        <v>0</v>
      </c>
      <c r="M1547" s="6">
        <v>0</v>
      </c>
      <c r="N1547" s="6" t="str">
        <f>""</f>
        <v/>
      </c>
      <c r="O1547" s="6">
        <v>31287</v>
      </c>
      <c r="P1547" s="6" t="s">
        <v>6501</v>
      </c>
      <c r="R1547" s="6" t="s">
        <v>6476</v>
      </c>
      <c r="S1547" s="6" t="s">
        <v>6502</v>
      </c>
      <c r="T1547" s="6">
        <v>1</v>
      </c>
      <c r="U1547" s="6">
        <v>0</v>
      </c>
      <c r="V1547" s="6">
        <v>0</v>
      </c>
      <c r="W1547" s="6">
        <v>0</v>
      </c>
      <c r="X1547" s="6" t="s">
        <v>169</v>
      </c>
      <c r="Z1547" s="6" t="s">
        <v>170</v>
      </c>
      <c r="AA1547" s="6" t="s">
        <v>171</v>
      </c>
      <c r="AB1547" s="6">
        <v>0</v>
      </c>
      <c r="AC1547" s="6" t="str">
        <f t="shared" si="9"/>
        <v>KEY-003</v>
      </c>
      <c r="AQ1547" s="6" t="str">
        <f>""</f>
        <v/>
      </c>
      <c r="AR1547" s="6" t="s">
        <v>1584</v>
      </c>
      <c r="AS1547" s="6">
        <v>0</v>
      </c>
      <c r="AT1547" s="6">
        <v>1</v>
      </c>
    </row>
    <row r="1548" spans="2:46">
      <c r="B1548" s="6" t="s">
        <v>106</v>
      </c>
      <c r="D1548" s="6" t="s">
        <v>3316</v>
      </c>
      <c r="F1548" s="6" t="s">
        <v>6503</v>
      </c>
      <c r="G1548" s="6" t="str">
        <f>"mnmm17sse11"</f>
        <v>mnmm17sse11</v>
      </c>
      <c r="I1548" s="6" t="s">
        <v>6504</v>
      </c>
      <c r="J1548" s="6" t="str">
        <f>"unbalance under bar earring"</f>
        <v>unbalance under bar earring</v>
      </c>
      <c r="K1548" s="6">
        <v>0</v>
      </c>
      <c r="L1548" s="6">
        <v>0</v>
      </c>
      <c r="M1548" s="6">
        <v>0</v>
      </c>
      <c r="N1548" s="6" t="str">
        <f>""</f>
        <v/>
      </c>
      <c r="O1548" s="6">
        <v>31285</v>
      </c>
      <c r="P1548" s="6" t="s">
        <v>6505</v>
      </c>
      <c r="R1548" s="6" t="s">
        <v>6476</v>
      </c>
      <c r="S1548" s="6" t="s">
        <v>6506</v>
      </c>
      <c r="T1548" s="6">
        <v>1</v>
      </c>
      <c r="U1548" s="6">
        <v>0</v>
      </c>
      <c r="V1548" s="6">
        <v>0</v>
      </c>
      <c r="W1548" s="6">
        <v>0</v>
      </c>
      <c r="X1548" s="6" t="s">
        <v>169</v>
      </c>
      <c r="Z1548" s="6" t="s">
        <v>170</v>
      </c>
      <c r="AA1548" s="6" t="s">
        <v>171</v>
      </c>
      <c r="AB1548" s="6">
        <v>0</v>
      </c>
      <c r="AC1548" s="6" t="str">
        <f t="shared" si="9"/>
        <v>KEY-003</v>
      </c>
      <c r="AQ1548" s="6" t="str">
        <f>""</f>
        <v/>
      </c>
      <c r="AR1548" s="6" t="s">
        <v>1584</v>
      </c>
      <c r="AS1548" s="6">
        <v>0</v>
      </c>
      <c r="AT1548" s="6">
        <v>1</v>
      </c>
    </row>
    <row r="1549" spans="2:46">
      <c r="B1549" s="6" t="s">
        <v>106</v>
      </c>
      <c r="D1549" s="6" t="s">
        <v>3316</v>
      </c>
      <c r="F1549" s="6" t="s">
        <v>6507</v>
      </c>
      <c r="G1549" s="6" t="str">
        <f>"mnmm17sse10"</f>
        <v>mnmm17sse10</v>
      </c>
      <c r="I1549" s="6" t="s">
        <v>6508</v>
      </c>
      <c r="J1549" s="6" t="str">
        <f>"triangle long stick earring"</f>
        <v>triangle long stick earring</v>
      </c>
      <c r="K1549" s="6">
        <v>0</v>
      </c>
      <c r="L1549" s="6">
        <v>0</v>
      </c>
      <c r="M1549" s="6">
        <v>0</v>
      </c>
      <c r="N1549" s="6" t="str">
        <f>""</f>
        <v/>
      </c>
      <c r="O1549" s="6">
        <v>31283</v>
      </c>
      <c r="P1549" s="6" t="s">
        <v>6509</v>
      </c>
      <c r="R1549" s="6" t="s">
        <v>6476</v>
      </c>
      <c r="S1549" s="6" t="s">
        <v>6510</v>
      </c>
      <c r="T1549" s="6">
        <v>1</v>
      </c>
      <c r="U1549" s="6">
        <v>0</v>
      </c>
      <c r="V1549" s="6">
        <v>0</v>
      </c>
      <c r="W1549" s="6">
        <v>0</v>
      </c>
      <c r="X1549" s="6" t="s">
        <v>169</v>
      </c>
      <c r="Z1549" s="6" t="s">
        <v>170</v>
      </c>
      <c r="AA1549" s="6" t="s">
        <v>171</v>
      </c>
      <c r="AB1549" s="6">
        <v>0</v>
      </c>
      <c r="AC1549" s="6" t="str">
        <f t="shared" si="9"/>
        <v>KEY-003</v>
      </c>
      <c r="AQ1549" s="6" t="str">
        <f>""</f>
        <v/>
      </c>
      <c r="AR1549" s="6" t="s">
        <v>1584</v>
      </c>
      <c r="AS1549" s="6">
        <v>0</v>
      </c>
      <c r="AT1549" s="6">
        <v>1</v>
      </c>
    </row>
    <row r="1550" spans="2:46">
      <c r="B1550" s="6" t="s">
        <v>106</v>
      </c>
      <c r="D1550" s="6" t="s">
        <v>3316</v>
      </c>
      <c r="F1550" s="6" t="s">
        <v>6511</v>
      </c>
      <c r="G1550" s="6" t="str">
        <f>"mnmm17sse09"</f>
        <v>mnmm17sse09</v>
      </c>
      <c r="I1550" s="6" t="s">
        <v>6512</v>
      </c>
      <c r="J1550" s="6" t="str">
        <f>"full moon drop pearl earring"</f>
        <v>full moon drop pearl earring</v>
      </c>
      <c r="K1550" s="6">
        <v>0</v>
      </c>
      <c r="L1550" s="6">
        <v>0</v>
      </c>
      <c r="M1550" s="6">
        <v>0</v>
      </c>
      <c r="N1550" s="6" t="str">
        <f>""</f>
        <v/>
      </c>
      <c r="O1550" s="6">
        <v>31281</v>
      </c>
      <c r="P1550" s="6" t="s">
        <v>6513</v>
      </c>
      <c r="R1550" s="6" t="s">
        <v>6476</v>
      </c>
      <c r="S1550" s="6" t="s">
        <v>6514</v>
      </c>
      <c r="T1550" s="6">
        <v>1</v>
      </c>
      <c r="U1550" s="6">
        <v>0</v>
      </c>
      <c r="V1550" s="6">
        <v>0</v>
      </c>
      <c r="W1550" s="6">
        <v>0</v>
      </c>
      <c r="X1550" s="6" t="s">
        <v>169</v>
      </c>
      <c r="Z1550" s="6" t="s">
        <v>170</v>
      </c>
      <c r="AA1550" s="6" t="s">
        <v>171</v>
      </c>
      <c r="AB1550" s="6">
        <v>0</v>
      </c>
      <c r="AC1550" s="6" t="str">
        <f t="shared" si="9"/>
        <v>KEY-003</v>
      </c>
      <c r="AQ1550" s="6" t="str">
        <f>""</f>
        <v/>
      </c>
      <c r="AR1550" s="6" t="s">
        <v>1584</v>
      </c>
      <c r="AS1550" s="6">
        <v>0</v>
      </c>
      <c r="AT1550" s="6">
        <v>1</v>
      </c>
    </row>
    <row r="1551" spans="2:46">
      <c r="B1551" s="6" t="s">
        <v>106</v>
      </c>
      <c r="D1551" s="6" t="s">
        <v>3316</v>
      </c>
      <c r="F1551" s="6" t="s">
        <v>6515</v>
      </c>
      <c r="G1551" s="6" t="str">
        <f>"MnMM17sse08"</f>
        <v>MnMM17sse08</v>
      </c>
      <c r="H1551" s="6" t="s">
        <v>6516</v>
      </c>
      <c r="I1551" s="6" t="s">
        <v>6517</v>
      </c>
      <c r="J1551" s="6" t="str">
        <f>"unbalance drop circle earring"</f>
        <v>unbalance drop circle earring</v>
      </c>
      <c r="K1551" s="6">
        <v>0</v>
      </c>
      <c r="L1551" s="6">
        <v>0</v>
      </c>
      <c r="M1551" s="6">
        <v>0</v>
      </c>
      <c r="N1551" s="6" t="str">
        <f>""</f>
        <v/>
      </c>
      <c r="O1551" s="6">
        <v>31279</v>
      </c>
      <c r="P1551" s="6" t="s">
        <v>6518</v>
      </c>
      <c r="R1551" s="6" t="s">
        <v>6476</v>
      </c>
      <c r="S1551" s="6" t="s">
        <v>6519</v>
      </c>
      <c r="T1551" s="6">
        <v>0</v>
      </c>
      <c r="U1551" s="6">
        <v>0</v>
      </c>
      <c r="V1551" s="6">
        <v>0</v>
      </c>
      <c r="W1551" s="6">
        <v>0</v>
      </c>
      <c r="X1551" s="6" t="s">
        <v>169</v>
      </c>
      <c r="Z1551" s="6" t="s">
        <v>170</v>
      </c>
      <c r="AA1551" s="6" t="s">
        <v>171</v>
      </c>
      <c r="AB1551" s="6">
        <v>0</v>
      </c>
      <c r="AC1551" s="6" t="str">
        <f>""</f>
        <v/>
      </c>
      <c r="AS1551" s="6">
        <v>0</v>
      </c>
      <c r="AT1551" s="6">
        <v>0</v>
      </c>
    </row>
    <row r="1552" spans="2:46">
      <c r="B1552" s="6" t="s">
        <v>106</v>
      </c>
      <c r="D1552" s="6" t="s">
        <v>3316</v>
      </c>
      <c r="F1552" s="6" t="s">
        <v>6520</v>
      </c>
      <c r="G1552" s="6" t="str">
        <f>"mnmm17sse07"</f>
        <v>mnmm17sse07</v>
      </c>
      <c r="H1552" s="6" t="s">
        <v>6521</v>
      </c>
      <c r="I1552" s="6" t="s">
        <v>6522</v>
      </c>
      <c r="J1552" s="6" t="str">
        <f>"midnight love earring"</f>
        <v>midnight love earring</v>
      </c>
      <c r="K1552" s="6">
        <v>0</v>
      </c>
      <c r="L1552" s="6">
        <v>0</v>
      </c>
      <c r="M1552" s="6">
        <v>0</v>
      </c>
      <c r="N1552" s="6" t="str">
        <f>""</f>
        <v/>
      </c>
      <c r="O1552" s="6">
        <v>31277</v>
      </c>
      <c r="P1552" s="6" t="s">
        <v>6523</v>
      </c>
      <c r="R1552" s="6" t="s">
        <v>6476</v>
      </c>
      <c r="S1552" s="6" t="s">
        <v>6524</v>
      </c>
      <c r="T1552" s="6">
        <v>0</v>
      </c>
      <c r="U1552" s="6">
        <v>0</v>
      </c>
      <c r="V1552" s="6">
        <v>0</v>
      </c>
      <c r="W1552" s="6">
        <v>0</v>
      </c>
      <c r="X1552" s="6" t="s">
        <v>169</v>
      </c>
      <c r="Z1552" s="6" t="s">
        <v>170</v>
      </c>
      <c r="AA1552" s="6" t="s">
        <v>171</v>
      </c>
      <c r="AB1552" s="6">
        <v>0</v>
      </c>
      <c r="AC1552" s="6" t="str">
        <f>""</f>
        <v/>
      </c>
      <c r="AS1552" s="6">
        <v>0</v>
      </c>
      <c r="AT1552" s="6">
        <v>0</v>
      </c>
    </row>
    <row r="1553" spans="2:46">
      <c r="B1553" s="6" t="s">
        <v>106</v>
      </c>
      <c r="D1553" s="6" t="s">
        <v>3316</v>
      </c>
      <c r="F1553" s="6" t="s">
        <v>6525</v>
      </c>
      <c r="G1553" s="6" t="str">
        <f>"mnmm17sse06"</f>
        <v>mnmm17sse06</v>
      </c>
      <c r="I1553" s="6" t="s">
        <v>6526</v>
      </c>
      <c r="J1553" s="6" t="str">
        <f>"bubble earring"</f>
        <v>bubble earring</v>
      </c>
      <c r="K1553" s="6">
        <v>0</v>
      </c>
      <c r="L1553" s="6">
        <v>0</v>
      </c>
      <c r="M1553" s="6">
        <v>0</v>
      </c>
      <c r="N1553" s="6" t="str">
        <f>""</f>
        <v/>
      </c>
      <c r="O1553" s="6">
        <v>31275</v>
      </c>
      <c r="P1553" s="6" t="s">
        <v>6527</v>
      </c>
      <c r="R1553" s="6" t="s">
        <v>6476</v>
      </c>
      <c r="S1553" s="6" t="s">
        <v>6528</v>
      </c>
      <c r="T1553" s="6">
        <v>1</v>
      </c>
      <c r="U1553" s="6">
        <v>0</v>
      </c>
      <c r="V1553" s="6">
        <v>0</v>
      </c>
      <c r="W1553" s="6">
        <v>0</v>
      </c>
      <c r="X1553" s="6" t="s">
        <v>169</v>
      </c>
      <c r="Z1553" s="6" t="s">
        <v>170</v>
      </c>
      <c r="AA1553" s="6" t="s">
        <v>171</v>
      </c>
      <c r="AB1553" s="6">
        <v>0</v>
      </c>
      <c r="AC1553" s="6" t="str">
        <f t="shared" ref="AC1553:AC1558" si="10">"KEY-003"</f>
        <v>KEY-003</v>
      </c>
      <c r="AQ1553" s="6" t="str">
        <f>""</f>
        <v/>
      </c>
      <c r="AR1553" s="6" t="s">
        <v>1584</v>
      </c>
      <c r="AS1553" s="6">
        <v>0</v>
      </c>
      <c r="AT1553" s="6">
        <v>1</v>
      </c>
    </row>
    <row r="1554" spans="2:46">
      <c r="B1554" s="6" t="s">
        <v>106</v>
      </c>
      <c r="D1554" s="6" t="s">
        <v>3316</v>
      </c>
      <c r="F1554" s="6" t="s">
        <v>6529</v>
      </c>
      <c r="G1554" s="6" t="str">
        <f>"mnmm17sse05"</f>
        <v>mnmm17sse05</v>
      </c>
      <c r="I1554" s="6" t="s">
        <v>6530</v>
      </c>
      <c r="J1554" s="6" t="str">
        <f>"gold leaf earring"</f>
        <v>gold leaf earring</v>
      </c>
      <c r="K1554" s="6">
        <v>0</v>
      </c>
      <c r="L1554" s="6">
        <v>0</v>
      </c>
      <c r="M1554" s="6">
        <v>0</v>
      </c>
      <c r="N1554" s="6" t="str">
        <f>""</f>
        <v/>
      </c>
      <c r="O1554" s="6">
        <v>31273</v>
      </c>
      <c r="P1554" s="6" t="s">
        <v>6531</v>
      </c>
      <c r="R1554" s="6" t="s">
        <v>6116</v>
      </c>
      <c r="S1554" s="6" t="s">
        <v>6532</v>
      </c>
      <c r="T1554" s="6">
        <v>1</v>
      </c>
      <c r="U1554" s="6">
        <v>0</v>
      </c>
      <c r="V1554" s="6">
        <v>0</v>
      </c>
      <c r="W1554" s="6">
        <v>0</v>
      </c>
      <c r="X1554" s="6" t="s">
        <v>169</v>
      </c>
      <c r="Z1554" s="6" t="s">
        <v>170</v>
      </c>
      <c r="AA1554" s="6" t="s">
        <v>171</v>
      </c>
      <c r="AB1554" s="6">
        <v>0</v>
      </c>
      <c r="AC1554" s="6" t="str">
        <f t="shared" si="10"/>
        <v>KEY-003</v>
      </c>
      <c r="AQ1554" s="6" t="str">
        <f>""</f>
        <v/>
      </c>
      <c r="AR1554" s="6" t="s">
        <v>1584</v>
      </c>
      <c r="AS1554" s="6">
        <v>0</v>
      </c>
      <c r="AT1554" s="6">
        <v>1</v>
      </c>
    </row>
    <row r="1555" spans="2:46">
      <c r="B1555" s="6" t="s">
        <v>106</v>
      </c>
      <c r="D1555" s="6" t="s">
        <v>3316</v>
      </c>
      <c r="F1555" s="6" t="s">
        <v>6533</v>
      </c>
      <c r="G1555" s="6" t="str">
        <f>"mnmm17sse04"</f>
        <v>mnmm17sse04</v>
      </c>
      <c r="I1555" s="6" t="s">
        <v>6534</v>
      </c>
      <c r="J1555" s="6" t="str">
        <f>"gold blackball earring"</f>
        <v>gold blackball earring</v>
      </c>
      <c r="K1555" s="6">
        <v>0</v>
      </c>
      <c r="L1555" s="6">
        <v>0</v>
      </c>
      <c r="M1555" s="6">
        <v>0</v>
      </c>
      <c r="N1555" s="6" t="str">
        <f>""</f>
        <v/>
      </c>
      <c r="O1555" s="6">
        <v>31271</v>
      </c>
      <c r="P1555" s="6" t="s">
        <v>6535</v>
      </c>
      <c r="R1555" s="6" t="s">
        <v>6365</v>
      </c>
      <c r="S1555" s="6" t="s">
        <v>6536</v>
      </c>
      <c r="T1555" s="6">
        <v>1</v>
      </c>
      <c r="U1555" s="6">
        <v>0</v>
      </c>
      <c r="V1555" s="6">
        <v>0</v>
      </c>
      <c r="W1555" s="6">
        <v>0</v>
      </c>
      <c r="X1555" s="6" t="s">
        <v>169</v>
      </c>
      <c r="Z1555" s="6" t="s">
        <v>170</v>
      </c>
      <c r="AA1555" s="6" t="s">
        <v>171</v>
      </c>
      <c r="AB1555" s="6">
        <v>0</v>
      </c>
      <c r="AC1555" s="6" t="str">
        <f t="shared" si="10"/>
        <v>KEY-003</v>
      </c>
      <c r="AQ1555" s="6" t="str">
        <f>""</f>
        <v/>
      </c>
      <c r="AR1555" s="6" t="s">
        <v>1584</v>
      </c>
      <c r="AS1555" s="6">
        <v>0</v>
      </c>
      <c r="AT1555" s="6">
        <v>1</v>
      </c>
    </row>
    <row r="1556" spans="2:46">
      <c r="B1556" s="6" t="s">
        <v>106</v>
      </c>
      <c r="D1556" s="6" t="s">
        <v>3316</v>
      </c>
      <c r="F1556" s="6" t="s">
        <v>6537</v>
      </c>
      <c r="G1556" s="6" t="str">
        <f>"mnmm17sse03"</f>
        <v>mnmm17sse03</v>
      </c>
      <c r="I1556" s="6" t="s">
        <v>6538</v>
      </c>
      <c r="J1556" s="6" t="str">
        <f>"three circle lace earring white"</f>
        <v>three circle lace earring white</v>
      </c>
      <c r="K1556" s="6">
        <v>0</v>
      </c>
      <c r="L1556" s="6">
        <v>0</v>
      </c>
      <c r="M1556" s="6">
        <v>0</v>
      </c>
      <c r="N1556" s="6" t="str">
        <f>""</f>
        <v/>
      </c>
      <c r="O1556" s="6">
        <v>31269</v>
      </c>
      <c r="P1556" s="6" t="s">
        <v>6539</v>
      </c>
      <c r="R1556" s="6" t="s">
        <v>6327</v>
      </c>
      <c r="S1556" s="6" t="s">
        <v>6540</v>
      </c>
      <c r="T1556" s="6">
        <v>1</v>
      </c>
      <c r="U1556" s="6">
        <v>0</v>
      </c>
      <c r="V1556" s="6">
        <v>0</v>
      </c>
      <c r="W1556" s="6">
        <v>0</v>
      </c>
      <c r="X1556" s="6" t="s">
        <v>169</v>
      </c>
      <c r="Z1556" s="6" t="s">
        <v>170</v>
      </c>
      <c r="AA1556" s="6" t="s">
        <v>171</v>
      </c>
      <c r="AB1556" s="6">
        <v>0</v>
      </c>
      <c r="AC1556" s="6" t="str">
        <f t="shared" si="10"/>
        <v>KEY-003</v>
      </c>
      <c r="AQ1556" s="6" t="str">
        <f>""</f>
        <v/>
      </c>
      <c r="AR1556" s="6" t="s">
        <v>1584</v>
      </c>
      <c r="AS1556" s="6">
        <v>0</v>
      </c>
      <c r="AT1556" s="6">
        <v>1</v>
      </c>
    </row>
    <row r="1557" spans="2:46">
      <c r="B1557" s="6" t="s">
        <v>106</v>
      </c>
      <c r="D1557" s="6" t="s">
        <v>3316</v>
      </c>
      <c r="F1557" s="6" t="s">
        <v>6541</v>
      </c>
      <c r="G1557" s="6" t="str">
        <f>"mnmm17sse02"</f>
        <v>mnmm17sse02</v>
      </c>
      <c r="I1557" s="6" t="s">
        <v>6542</v>
      </c>
      <c r="J1557" s="6" t="str">
        <f>"three circle lace earring black"</f>
        <v>three circle lace earring black</v>
      </c>
      <c r="K1557" s="6">
        <v>0</v>
      </c>
      <c r="L1557" s="6">
        <v>0</v>
      </c>
      <c r="M1557" s="6">
        <v>0</v>
      </c>
      <c r="N1557" s="6" t="str">
        <f>""</f>
        <v/>
      </c>
      <c r="O1557" s="6">
        <v>31267</v>
      </c>
      <c r="P1557" s="6" t="s">
        <v>6543</v>
      </c>
      <c r="R1557" s="6" t="s">
        <v>6365</v>
      </c>
      <c r="S1557" s="6" t="s">
        <v>6544</v>
      </c>
      <c r="T1557" s="6">
        <v>1</v>
      </c>
      <c r="U1557" s="6">
        <v>0</v>
      </c>
      <c r="V1557" s="6">
        <v>0</v>
      </c>
      <c r="W1557" s="6">
        <v>0</v>
      </c>
      <c r="X1557" s="6" t="s">
        <v>169</v>
      </c>
      <c r="Z1557" s="6" t="s">
        <v>170</v>
      </c>
      <c r="AA1557" s="6" t="s">
        <v>171</v>
      </c>
      <c r="AB1557" s="6">
        <v>0</v>
      </c>
      <c r="AC1557" s="6" t="str">
        <f t="shared" si="10"/>
        <v>KEY-003</v>
      </c>
      <c r="AQ1557" s="6" t="str">
        <f>""</f>
        <v/>
      </c>
      <c r="AR1557" s="6" t="s">
        <v>1584</v>
      </c>
      <c r="AS1557" s="6">
        <v>0</v>
      </c>
      <c r="AT1557" s="6">
        <v>1</v>
      </c>
    </row>
    <row r="1558" spans="2:46">
      <c r="B1558" s="6" t="s">
        <v>106</v>
      </c>
      <c r="D1558" s="6" t="s">
        <v>3316</v>
      </c>
      <c r="F1558" s="6" t="s">
        <v>6545</v>
      </c>
      <c r="G1558" s="6" t="str">
        <f>"mnmm17sse01"</f>
        <v>mnmm17sse01</v>
      </c>
      <c r="I1558" s="6" t="s">
        <v>6546</v>
      </c>
      <c r="J1558" s="6" t="str">
        <f>"velvet earring"</f>
        <v>velvet earring</v>
      </c>
      <c r="K1558" s="6">
        <v>0</v>
      </c>
      <c r="L1558" s="6">
        <v>0</v>
      </c>
      <c r="M1558" s="6">
        <v>0</v>
      </c>
      <c r="N1558" s="6" t="str">
        <f>""</f>
        <v/>
      </c>
      <c r="O1558" s="6">
        <v>31265</v>
      </c>
      <c r="P1558" s="6" t="s">
        <v>6547</v>
      </c>
      <c r="R1558" s="6" t="s">
        <v>6213</v>
      </c>
      <c r="S1558" s="6" t="s">
        <v>6548</v>
      </c>
      <c r="T1558" s="6">
        <v>1</v>
      </c>
      <c r="U1558" s="6">
        <v>0</v>
      </c>
      <c r="V1558" s="6">
        <v>0</v>
      </c>
      <c r="W1558" s="6">
        <v>0</v>
      </c>
      <c r="X1558" s="6" t="s">
        <v>169</v>
      </c>
      <c r="Z1558" s="6" t="s">
        <v>170</v>
      </c>
      <c r="AA1558" s="6" t="s">
        <v>171</v>
      </c>
      <c r="AB1558" s="6">
        <v>0</v>
      </c>
      <c r="AC1558" s="6" t="str">
        <f t="shared" si="10"/>
        <v>KEY-003</v>
      </c>
      <c r="AQ1558" s="6" t="str">
        <f>""</f>
        <v/>
      </c>
      <c r="AR1558" s="6" t="s">
        <v>1584</v>
      </c>
      <c r="AS1558" s="6">
        <v>0</v>
      </c>
      <c r="AT1558" s="6">
        <v>1</v>
      </c>
    </row>
    <row r="1559" spans="2:46">
      <c r="B1559" s="6" t="s">
        <v>106</v>
      </c>
      <c r="D1559" s="6" t="s">
        <v>3316</v>
      </c>
      <c r="F1559" s="6" t="s">
        <v>6549</v>
      </c>
      <c r="G1559" s="6" t="str">
        <f>"mnmm16fwe07"</f>
        <v>mnmm16fwe07</v>
      </c>
      <c r="H1559" s="6" t="s">
        <v>6550</v>
      </c>
      <c r="I1559" s="6" t="s">
        <v>6551</v>
      </c>
      <c r="J1559" s="6" t="str">
        <f>"red ball earring"</f>
        <v>red ball earring</v>
      </c>
      <c r="K1559" s="6">
        <v>0</v>
      </c>
      <c r="L1559" s="6">
        <v>0</v>
      </c>
      <c r="M1559" s="6">
        <v>0</v>
      </c>
      <c r="N1559" s="6" t="str">
        <f>""</f>
        <v/>
      </c>
      <c r="O1559" s="6">
        <v>31263</v>
      </c>
      <c r="P1559" s="6" t="s">
        <v>6552</v>
      </c>
      <c r="R1559" s="6" t="s">
        <v>6553</v>
      </c>
      <c r="S1559" s="6" t="s">
        <v>6554</v>
      </c>
      <c r="T1559" s="6">
        <v>0</v>
      </c>
      <c r="U1559" s="6">
        <v>0</v>
      </c>
      <c r="V1559" s="6">
        <v>0</v>
      </c>
      <c r="W1559" s="6">
        <v>0</v>
      </c>
      <c r="X1559" s="6" t="s">
        <v>169</v>
      </c>
      <c r="Z1559" s="6" t="s">
        <v>170</v>
      </c>
      <c r="AA1559" s="6" t="s">
        <v>171</v>
      </c>
      <c r="AB1559" s="6">
        <v>0</v>
      </c>
      <c r="AC1559" s="6" t="str">
        <f>""</f>
        <v/>
      </c>
      <c r="AS1559" s="6">
        <v>0</v>
      </c>
      <c r="AT1559" s="6">
        <v>0</v>
      </c>
    </row>
    <row r="1560" spans="2:46">
      <c r="B1560" s="6" t="s">
        <v>106</v>
      </c>
      <c r="D1560" s="6" t="s">
        <v>3316</v>
      </c>
      <c r="F1560" s="6" t="s">
        <v>6555</v>
      </c>
      <c r="G1560" s="6" t="str">
        <f>"mnmm16fwe06"</f>
        <v>mnmm16fwe06</v>
      </c>
      <c r="I1560" s="6" t="s">
        <v>6556</v>
      </c>
      <c r="J1560" s="6" t="str">
        <f>"moody earring"</f>
        <v>moody earring</v>
      </c>
      <c r="K1560" s="6">
        <v>0</v>
      </c>
      <c r="L1560" s="6">
        <v>0</v>
      </c>
      <c r="M1560" s="6">
        <v>0</v>
      </c>
      <c r="N1560" s="6" t="str">
        <f>""</f>
        <v/>
      </c>
      <c r="O1560" s="6">
        <v>31261</v>
      </c>
      <c r="P1560" s="6" t="s">
        <v>6557</v>
      </c>
      <c r="R1560" s="6" t="s">
        <v>6476</v>
      </c>
      <c r="S1560" s="6" t="s">
        <v>6558</v>
      </c>
      <c r="T1560" s="6">
        <v>1</v>
      </c>
      <c r="U1560" s="6">
        <v>0</v>
      </c>
      <c r="V1560" s="6">
        <v>0</v>
      </c>
      <c r="W1560" s="6">
        <v>0</v>
      </c>
      <c r="X1560" s="6" t="s">
        <v>169</v>
      </c>
      <c r="Z1560" s="6" t="s">
        <v>170</v>
      </c>
      <c r="AA1560" s="6" t="s">
        <v>171</v>
      </c>
      <c r="AB1560" s="6">
        <v>0</v>
      </c>
      <c r="AC1560" s="6" t="str">
        <f>"KEY-003"</f>
        <v>KEY-003</v>
      </c>
      <c r="AQ1560" s="6" t="str">
        <f>""</f>
        <v/>
      </c>
      <c r="AR1560" s="6" t="s">
        <v>1584</v>
      </c>
      <c r="AS1560" s="6">
        <v>0</v>
      </c>
      <c r="AT1560" s="6">
        <v>1</v>
      </c>
    </row>
    <row r="1561" spans="2:46">
      <c r="B1561" s="6" t="s">
        <v>106</v>
      </c>
      <c r="D1561" s="6" t="s">
        <v>3316</v>
      </c>
      <c r="F1561" s="6" t="s">
        <v>6559</v>
      </c>
      <c r="G1561" s="6" t="str">
        <f>"mnmm16fwe05"</f>
        <v>mnmm16fwe05</v>
      </c>
      <c r="H1561" s="6" t="s">
        <v>6560</v>
      </c>
      <c r="I1561" s="6" t="s">
        <v>6561</v>
      </c>
      <c r="J1561" s="6" t="str">
        <f>"drop box unbalance earring"</f>
        <v>drop box unbalance earring</v>
      </c>
      <c r="K1561" s="6">
        <v>0</v>
      </c>
      <c r="L1561" s="6">
        <v>0</v>
      </c>
      <c r="M1561" s="6">
        <v>0</v>
      </c>
      <c r="N1561" s="6" t="str">
        <f>""</f>
        <v/>
      </c>
      <c r="O1561" s="6">
        <v>31259</v>
      </c>
      <c r="P1561" s="6" t="s">
        <v>6562</v>
      </c>
      <c r="R1561" s="6" t="s">
        <v>6476</v>
      </c>
      <c r="S1561" s="6" t="s">
        <v>6563</v>
      </c>
      <c r="T1561" s="6">
        <v>0</v>
      </c>
      <c r="U1561" s="6">
        <v>0</v>
      </c>
      <c r="V1561" s="6">
        <v>0</v>
      </c>
      <c r="W1561" s="6">
        <v>0</v>
      </c>
      <c r="X1561" s="6" t="s">
        <v>169</v>
      </c>
      <c r="Z1561" s="6" t="s">
        <v>170</v>
      </c>
      <c r="AA1561" s="6" t="s">
        <v>171</v>
      </c>
      <c r="AB1561" s="6">
        <v>0</v>
      </c>
      <c r="AC1561" s="6" t="str">
        <f>""</f>
        <v/>
      </c>
      <c r="AS1561" s="6">
        <v>0</v>
      </c>
      <c r="AT1561" s="6">
        <v>0</v>
      </c>
    </row>
    <row r="1562" spans="2:46">
      <c r="B1562" s="6" t="s">
        <v>106</v>
      </c>
      <c r="D1562" s="6" t="s">
        <v>3316</v>
      </c>
      <c r="F1562" s="6" t="s">
        <v>6564</v>
      </c>
      <c r="G1562" s="6" t="str">
        <f>"mnmm16fwe04"</f>
        <v>mnmm16fwe04</v>
      </c>
      <c r="H1562" s="6" t="s">
        <v>6565</v>
      </c>
      <c r="I1562" s="6" t="s">
        <v>6566</v>
      </c>
      <c r="J1562" s="6" t="str">
        <f>"button earring"</f>
        <v>button earring</v>
      </c>
      <c r="K1562" s="6">
        <v>0</v>
      </c>
      <c r="L1562" s="6">
        <v>0</v>
      </c>
      <c r="M1562" s="6">
        <v>0</v>
      </c>
      <c r="N1562" s="6" t="str">
        <f>""</f>
        <v/>
      </c>
      <c r="O1562" s="6">
        <v>31257</v>
      </c>
      <c r="P1562" s="6" t="s">
        <v>6567</v>
      </c>
      <c r="R1562" s="6" t="s">
        <v>6476</v>
      </c>
      <c r="S1562" s="6" t="s">
        <v>6568</v>
      </c>
      <c r="T1562" s="6">
        <v>0</v>
      </c>
      <c r="U1562" s="6">
        <v>0</v>
      </c>
      <c r="V1562" s="6">
        <v>0</v>
      </c>
      <c r="W1562" s="6">
        <v>0</v>
      </c>
      <c r="X1562" s="6" t="s">
        <v>169</v>
      </c>
      <c r="Z1562" s="6" t="s">
        <v>170</v>
      </c>
      <c r="AA1562" s="6" t="s">
        <v>171</v>
      </c>
      <c r="AB1562" s="6">
        <v>0</v>
      </c>
      <c r="AC1562" s="6" t="str">
        <f>""</f>
        <v/>
      </c>
      <c r="AS1562" s="6">
        <v>0</v>
      </c>
      <c r="AT1562" s="6">
        <v>0</v>
      </c>
    </row>
    <row r="1563" spans="2:46">
      <c r="B1563" s="6" t="s">
        <v>106</v>
      </c>
      <c r="D1563" s="6" t="s">
        <v>3316</v>
      </c>
      <c r="F1563" s="6" t="s">
        <v>6569</v>
      </c>
      <c r="G1563" s="6" t="str">
        <f>"mnmm16fwe03"</f>
        <v>mnmm16fwe03</v>
      </c>
      <c r="H1563" s="6" t="s">
        <v>6570</v>
      </c>
      <c r="I1563" s="6" t="s">
        <v>6571</v>
      </c>
      <c r="J1563" s="6" t="str">
        <f>"three button earring"</f>
        <v>three button earring</v>
      </c>
      <c r="K1563" s="6">
        <v>0</v>
      </c>
      <c r="L1563" s="6">
        <v>0</v>
      </c>
      <c r="M1563" s="6">
        <v>0</v>
      </c>
      <c r="N1563" s="6" t="str">
        <f>""</f>
        <v/>
      </c>
      <c r="O1563" s="6">
        <v>31255</v>
      </c>
      <c r="P1563" s="6" t="s">
        <v>6572</v>
      </c>
      <c r="R1563" s="6" t="s">
        <v>6476</v>
      </c>
      <c r="S1563" s="6" t="s">
        <v>6573</v>
      </c>
      <c r="T1563" s="6">
        <v>0</v>
      </c>
      <c r="U1563" s="6">
        <v>0</v>
      </c>
      <c r="V1563" s="6">
        <v>0</v>
      </c>
      <c r="W1563" s="6">
        <v>0</v>
      </c>
      <c r="X1563" s="6" t="s">
        <v>169</v>
      </c>
      <c r="Z1563" s="6" t="s">
        <v>170</v>
      </c>
      <c r="AA1563" s="6" t="s">
        <v>171</v>
      </c>
      <c r="AB1563" s="6">
        <v>0</v>
      </c>
      <c r="AC1563" s="6" t="str">
        <f>""</f>
        <v/>
      </c>
      <c r="AS1563" s="6">
        <v>0</v>
      </c>
      <c r="AT1563" s="6">
        <v>0</v>
      </c>
    </row>
    <row r="1564" spans="2:46">
      <c r="B1564" s="6" t="s">
        <v>106</v>
      </c>
      <c r="D1564" s="6" t="s">
        <v>3316</v>
      </c>
      <c r="F1564" s="6" t="s">
        <v>6574</v>
      </c>
      <c r="G1564" s="6" t="str">
        <f>"mnmm16fwe02"</f>
        <v>mnmm16fwe02</v>
      </c>
      <c r="H1564" s="6" t="s">
        <v>6575</v>
      </c>
      <c r="I1564" s="6" t="s">
        <v>6576</v>
      </c>
      <c r="J1564" s="6" t="str">
        <f>"three ball earring"</f>
        <v>three ball earring</v>
      </c>
      <c r="K1564" s="6">
        <v>0</v>
      </c>
      <c r="L1564" s="6">
        <v>0</v>
      </c>
      <c r="M1564" s="6">
        <v>0</v>
      </c>
      <c r="N1564" s="6" t="str">
        <f>""</f>
        <v/>
      </c>
      <c r="O1564" s="6">
        <v>31253</v>
      </c>
      <c r="P1564" s="6" t="s">
        <v>6577</v>
      </c>
      <c r="R1564" s="6" t="s">
        <v>6476</v>
      </c>
      <c r="S1564" s="6" t="s">
        <v>6578</v>
      </c>
      <c r="T1564" s="6">
        <v>0</v>
      </c>
      <c r="U1564" s="6">
        <v>0</v>
      </c>
      <c r="V1564" s="6">
        <v>0</v>
      </c>
      <c r="W1564" s="6">
        <v>0</v>
      </c>
      <c r="X1564" s="6" t="s">
        <v>169</v>
      </c>
      <c r="Z1564" s="6" t="s">
        <v>170</v>
      </c>
      <c r="AA1564" s="6" t="s">
        <v>171</v>
      </c>
      <c r="AB1564" s="6">
        <v>0</v>
      </c>
      <c r="AC1564" s="6" t="str">
        <f>""</f>
        <v/>
      </c>
      <c r="AS1564" s="6">
        <v>0</v>
      </c>
      <c r="AT1564" s="6">
        <v>0</v>
      </c>
    </row>
    <row r="1565" spans="2:46">
      <c r="B1565" s="6" t="s">
        <v>106</v>
      </c>
      <c r="D1565" s="6" t="s">
        <v>3316</v>
      </c>
      <c r="F1565" s="6" t="s">
        <v>6579</v>
      </c>
      <c r="G1565" s="6" t="str">
        <f>"mnmm16fwe01"</f>
        <v>mnmm16fwe01</v>
      </c>
      <c r="H1565" s="6" t="s">
        <v>6580</v>
      </c>
      <c r="I1565" s="6" t="s">
        <v>6581</v>
      </c>
      <c r="J1565" s="6" t="str">
        <f>"circle box earring"</f>
        <v>circle box earring</v>
      </c>
      <c r="K1565" s="6">
        <v>0</v>
      </c>
      <c r="L1565" s="6">
        <v>0</v>
      </c>
      <c r="M1565" s="6">
        <v>0</v>
      </c>
      <c r="N1565" s="6" t="str">
        <f>""</f>
        <v/>
      </c>
      <c r="O1565" s="6">
        <v>31251</v>
      </c>
      <c r="P1565" s="6" t="s">
        <v>6582</v>
      </c>
      <c r="R1565" s="6" t="s">
        <v>6476</v>
      </c>
      <c r="S1565" s="6" t="s">
        <v>6583</v>
      </c>
      <c r="T1565" s="6">
        <v>0</v>
      </c>
      <c r="U1565" s="6">
        <v>0</v>
      </c>
      <c r="V1565" s="6">
        <v>0</v>
      </c>
      <c r="W1565" s="6">
        <v>0</v>
      </c>
      <c r="X1565" s="6" t="s">
        <v>169</v>
      </c>
      <c r="Z1565" s="6" t="s">
        <v>170</v>
      </c>
      <c r="AA1565" s="6" t="s">
        <v>171</v>
      </c>
      <c r="AB1565" s="6">
        <v>0</v>
      </c>
      <c r="AC1565" s="6" t="str">
        <f>""</f>
        <v/>
      </c>
      <c r="AS1565" s="6">
        <v>0</v>
      </c>
      <c r="AT1565" s="6">
        <v>0</v>
      </c>
    </row>
    <row r="1566" spans="2:46">
      <c r="B1566" s="6" t="s">
        <v>106</v>
      </c>
      <c r="D1566" s="6" t="s">
        <v>3316</v>
      </c>
      <c r="F1566" s="6" t="s">
        <v>6584</v>
      </c>
      <c r="G1566" s="6" t="str">
        <f>"mnmm16sse04"</f>
        <v>mnmm16sse04</v>
      </c>
      <c r="H1566" s="6" t="s">
        <v>6585</v>
      </c>
      <c r="I1566" s="6" t="s">
        <v>6586</v>
      </c>
      <c r="J1566" s="6" t="str">
        <f>"true unbalance earring"</f>
        <v>true unbalance earring</v>
      </c>
      <c r="K1566" s="6">
        <v>0</v>
      </c>
      <c r="L1566" s="6">
        <v>0</v>
      </c>
      <c r="M1566" s="6">
        <v>0</v>
      </c>
      <c r="N1566" s="6" t="str">
        <f>""</f>
        <v/>
      </c>
      <c r="O1566" s="6">
        <v>31249</v>
      </c>
      <c r="P1566" s="6" t="s">
        <v>6587</v>
      </c>
      <c r="R1566" s="6" t="s">
        <v>6476</v>
      </c>
      <c r="S1566" s="6" t="s">
        <v>6588</v>
      </c>
      <c r="T1566" s="6">
        <v>0</v>
      </c>
      <c r="U1566" s="6">
        <v>0</v>
      </c>
      <c r="V1566" s="6">
        <v>0</v>
      </c>
      <c r="W1566" s="6">
        <v>0</v>
      </c>
      <c r="X1566" s="6" t="s">
        <v>169</v>
      </c>
      <c r="Z1566" s="6" t="s">
        <v>170</v>
      </c>
      <c r="AA1566" s="6" t="s">
        <v>171</v>
      </c>
      <c r="AB1566" s="6">
        <v>0</v>
      </c>
      <c r="AC1566" s="6" t="str">
        <f>""</f>
        <v/>
      </c>
      <c r="AS1566" s="6">
        <v>0</v>
      </c>
      <c r="AT1566" s="6">
        <v>0</v>
      </c>
    </row>
    <row r="1567" spans="2:46">
      <c r="B1567" s="6" t="s">
        <v>106</v>
      </c>
      <c r="D1567" s="6" t="s">
        <v>3316</v>
      </c>
      <c r="F1567" s="6" t="s">
        <v>6589</v>
      </c>
      <c r="G1567" s="6" t="str">
        <f>"mnmm16sse03"</f>
        <v>mnmm16sse03</v>
      </c>
      <c r="H1567" s="6" t="s">
        <v>6590</v>
      </c>
      <c r="I1567" s="6" t="s">
        <v>6591</v>
      </c>
      <c r="J1567" s="6" t="str">
        <f>"pearl circle drop earring"</f>
        <v>pearl circle drop earring</v>
      </c>
      <c r="K1567" s="6">
        <v>0</v>
      </c>
      <c r="L1567" s="6">
        <v>0</v>
      </c>
      <c r="M1567" s="6">
        <v>0</v>
      </c>
      <c r="N1567" s="6" t="str">
        <f>""</f>
        <v/>
      </c>
      <c r="O1567" s="6">
        <v>31247</v>
      </c>
      <c r="P1567" s="6" t="s">
        <v>6592</v>
      </c>
      <c r="R1567" s="6" t="s">
        <v>6476</v>
      </c>
      <c r="S1567" s="6" t="s">
        <v>6593</v>
      </c>
      <c r="T1567" s="6">
        <v>0</v>
      </c>
      <c r="U1567" s="6">
        <v>0</v>
      </c>
      <c r="V1567" s="6">
        <v>0</v>
      </c>
      <c r="W1567" s="6">
        <v>0</v>
      </c>
      <c r="X1567" s="6" t="s">
        <v>169</v>
      </c>
      <c r="Z1567" s="6" t="s">
        <v>170</v>
      </c>
      <c r="AA1567" s="6" t="s">
        <v>171</v>
      </c>
      <c r="AB1567" s="6">
        <v>0</v>
      </c>
      <c r="AC1567" s="6" t="str">
        <f>""</f>
        <v/>
      </c>
      <c r="AS1567" s="6">
        <v>0</v>
      </c>
      <c r="AT1567" s="6">
        <v>0</v>
      </c>
    </row>
    <row r="1568" spans="2:46">
      <c r="B1568" s="6" t="s">
        <v>106</v>
      </c>
      <c r="D1568" s="6" t="s">
        <v>3316</v>
      </c>
      <c r="F1568" s="6" t="s">
        <v>6594</v>
      </c>
      <c r="G1568" s="6" t="str">
        <f>"mnmm16sse02"</f>
        <v>mnmm16sse02</v>
      </c>
      <c r="H1568" s="6" t="s">
        <v>6595</v>
      </c>
      <c r="I1568" s="6" t="s">
        <v>6596</v>
      </c>
      <c r="J1568" s="6" t="str">
        <f>"link chain earring"</f>
        <v>link chain earring</v>
      </c>
      <c r="K1568" s="6">
        <v>0</v>
      </c>
      <c r="L1568" s="6">
        <v>0</v>
      </c>
      <c r="M1568" s="6">
        <v>0</v>
      </c>
      <c r="N1568" s="6" t="str">
        <f>""</f>
        <v/>
      </c>
      <c r="O1568" s="6">
        <v>31245</v>
      </c>
      <c r="P1568" s="6" t="s">
        <v>6597</v>
      </c>
      <c r="R1568" s="6" t="s">
        <v>6476</v>
      </c>
      <c r="S1568" s="6" t="s">
        <v>6598</v>
      </c>
      <c r="T1568" s="6">
        <v>0</v>
      </c>
      <c r="U1568" s="6">
        <v>0</v>
      </c>
      <c r="V1568" s="6">
        <v>0</v>
      </c>
      <c r="W1568" s="6">
        <v>0</v>
      </c>
      <c r="X1568" s="6" t="s">
        <v>169</v>
      </c>
      <c r="Z1568" s="6" t="s">
        <v>170</v>
      </c>
      <c r="AA1568" s="6" t="s">
        <v>171</v>
      </c>
      <c r="AB1568" s="6">
        <v>0</v>
      </c>
      <c r="AC1568" s="6" t="str">
        <f>""</f>
        <v/>
      </c>
      <c r="AS1568" s="6">
        <v>0</v>
      </c>
      <c r="AT1568" s="6">
        <v>0</v>
      </c>
    </row>
    <row r="1569" spans="2:46">
      <c r="B1569" s="6" t="s">
        <v>106</v>
      </c>
      <c r="D1569" s="6" t="s">
        <v>3316</v>
      </c>
      <c r="F1569" s="6" t="s">
        <v>6599</v>
      </c>
      <c r="G1569" s="6" t="str">
        <f>"mnmm16sse01"</f>
        <v>mnmm16sse01</v>
      </c>
      <c r="H1569" s="6" t="s">
        <v>6600</v>
      </c>
      <c r="I1569" s="6" t="s">
        <v>6601</v>
      </c>
      <c r="J1569" s="6" t="str">
        <f>"bubble stick earring"</f>
        <v>bubble stick earring</v>
      </c>
      <c r="K1569" s="6">
        <v>0</v>
      </c>
      <c r="L1569" s="6">
        <v>0</v>
      </c>
      <c r="M1569" s="6">
        <v>0</v>
      </c>
      <c r="N1569" s="6" t="str">
        <f>""</f>
        <v/>
      </c>
      <c r="O1569" s="6">
        <v>31243</v>
      </c>
      <c r="P1569" s="6" t="s">
        <v>6602</v>
      </c>
      <c r="R1569" s="6" t="s">
        <v>6476</v>
      </c>
      <c r="S1569" s="6" t="s">
        <v>6603</v>
      </c>
      <c r="T1569" s="6">
        <v>0</v>
      </c>
      <c r="U1569" s="6">
        <v>0</v>
      </c>
      <c r="V1569" s="6">
        <v>0</v>
      </c>
      <c r="W1569" s="6">
        <v>0</v>
      </c>
      <c r="X1569" s="6" t="s">
        <v>169</v>
      </c>
      <c r="Z1569" s="6" t="s">
        <v>170</v>
      </c>
      <c r="AA1569" s="6" t="s">
        <v>171</v>
      </c>
      <c r="AB1569" s="6">
        <v>0</v>
      </c>
      <c r="AC1569" s="6" t="str">
        <f>""</f>
        <v/>
      </c>
      <c r="AS1569" s="6">
        <v>0</v>
      </c>
      <c r="AT1569" s="6">
        <v>0</v>
      </c>
    </row>
    <row r="1570" spans="2:46">
      <c r="B1570" s="6" t="s">
        <v>115</v>
      </c>
      <c r="D1570" s="6" t="s">
        <v>3316</v>
      </c>
      <c r="F1570" s="6" t="s">
        <v>6604</v>
      </c>
      <c r="G1570" s="6" t="str">
        <f>"MB7SAC806WH"</f>
        <v>MB7SAC806WH</v>
      </c>
      <c r="H1570" s="6" t="s">
        <v>6605</v>
      </c>
      <c r="I1570" s="6" t="s">
        <v>6606</v>
      </c>
      <c r="J1570" s="6" t="str">
        <f>"Vacationer Bucket Hat(WHITE)"</f>
        <v>Vacationer Bucket Hat(WHITE)</v>
      </c>
      <c r="K1570" s="6">
        <v>0</v>
      </c>
      <c r="L1570" s="6">
        <v>0</v>
      </c>
      <c r="M1570" s="6">
        <v>0</v>
      </c>
      <c r="N1570" s="6" t="str">
        <f>""</f>
        <v/>
      </c>
      <c r="O1570" s="6">
        <v>31241</v>
      </c>
      <c r="P1570" s="6" t="s">
        <v>6605</v>
      </c>
      <c r="R1570" s="6" t="s">
        <v>3097</v>
      </c>
      <c r="S1570" s="6" t="s">
        <v>6607</v>
      </c>
      <c r="T1570" s="6">
        <v>0</v>
      </c>
      <c r="U1570" s="6">
        <v>0</v>
      </c>
      <c r="V1570" s="6">
        <v>0</v>
      </c>
      <c r="W1570" s="6">
        <v>0</v>
      </c>
      <c r="X1570" s="6" t="s">
        <v>169</v>
      </c>
      <c r="Z1570" s="6" t="s">
        <v>170</v>
      </c>
      <c r="AA1570" s="6" t="s">
        <v>171</v>
      </c>
      <c r="AB1570" s="6">
        <v>0</v>
      </c>
      <c r="AC1570" s="6" t="str">
        <f>""</f>
        <v/>
      </c>
      <c r="AS1570" s="6">
        <v>0</v>
      </c>
      <c r="AT1570" s="6">
        <v>0</v>
      </c>
    </row>
    <row r="1571" spans="2:46">
      <c r="B1571" s="6" t="s">
        <v>115</v>
      </c>
      <c r="D1571" s="6" t="s">
        <v>3316</v>
      </c>
      <c r="F1571" s="6" t="s">
        <v>6608</v>
      </c>
      <c r="G1571" s="6" t="str">
        <f>"3186311106096309"</f>
        <v>3186311106096309</v>
      </c>
      <c r="H1571" s="6">
        <v>3186311106096300</v>
      </c>
      <c r="I1571" s="6" t="s">
        <v>6609</v>
      </c>
      <c r="J1571" s="6" t="str">
        <f>"Two-tone Cotton Pants"</f>
        <v>Two-tone Cotton Pants</v>
      </c>
      <c r="K1571" s="6">
        <v>0</v>
      </c>
      <c r="L1571" s="6">
        <v>0</v>
      </c>
      <c r="M1571" s="6">
        <v>0</v>
      </c>
      <c r="N1571" s="6" t="str">
        <f>""</f>
        <v/>
      </c>
      <c r="O1571" s="6">
        <v>31239</v>
      </c>
      <c r="P1571" s="6" t="s">
        <v>6610</v>
      </c>
      <c r="R1571" s="6" t="s">
        <v>5212</v>
      </c>
      <c r="S1571" s="6" t="s">
        <v>6611</v>
      </c>
      <c r="T1571" s="6">
        <v>0</v>
      </c>
      <c r="U1571" s="6">
        <v>0</v>
      </c>
      <c r="V1571" s="6">
        <v>0</v>
      </c>
      <c r="W1571" s="6">
        <v>0</v>
      </c>
      <c r="X1571" s="6" t="s">
        <v>169</v>
      </c>
      <c r="Z1571" s="6" t="s">
        <v>170</v>
      </c>
      <c r="AA1571" s="6" t="s">
        <v>171</v>
      </c>
      <c r="AB1571" s="6">
        <v>0</v>
      </c>
      <c r="AC1571" s="6" t="str">
        <f>""</f>
        <v/>
      </c>
      <c r="AS1571" s="6">
        <v>0</v>
      </c>
      <c r="AT1571" s="6">
        <v>0</v>
      </c>
    </row>
    <row r="1572" spans="2:46">
      <c r="B1572" s="6" t="s">
        <v>115</v>
      </c>
      <c r="D1572" s="6" t="s">
        <v>3316</v>
      </c>
      <c r="F1572" s="6" t="s">
        <v>6612</v>
      </c>
      <c r="G1572" s="6" t="str">
        <f>"3186214117991208"</f>
        <v>3186214117991208</v>
      </c>
      <c r="H1572" s="6">
        <v>3186214117991200</v>
      </c>
      <c r="I1572" s="6" t="s">
        <v>6613</v>
      </c>
      <c r="J1572" s="6" t="str">
        <f>"Beograde Warm-up shirt"</f>
        <v>Beograde Warm-up shirt</v>
      </c>
      <c r="K1572" s="6">
        <v>0</v>
      </c>
      <c r="L1572" s="6">
        <v>0</v>
      </c>
      <c r="M1572" s="6">
        <v>0</v>
      </c>
      <c r="N1572" s="6" t="str">
        <f>""</f>
        <v/>
      </c>
      <c r="O1572" s="6">
        <v>31237</v>
      </c>
      <c r="P1572" s="6" t="s">
        <v>6614</v>
      </c>
      <c r="R1572" s="6" t="s">
        <v>5061</v>
      </c>
      <c r="S1572" s="6" t="s">
        <v>6615</v>
      </c>
      <c r="T1572" s="6">
        <v>0</v>
      </c>
      <c r="U1572" s="6">
        <v>0</v>
      </c>
      <c r="V1572" s="6">
        <v>0</v>
      </c>
      <c r="W1572" s="6">
        <v>0</v>
      </c>
      <c r="X1572" s="6" t="s">
        <v>169</v>
      </c>
      <c r="Z1572" s="6" t="s">
        <v>170</v>
      </c>
      <c r="AA1572" s="6" t="s">
        <v>171</v>
      </c>
      <c r="AB1572" s="6">
        <v>0</v>
      </c>
      <c r="AC1572" s="6" t="str">
        <f>""</f>
        <v/>
      </c>
      <c r="AS1572" s="6">
        <v>0</v>
      </c>
      <c r="AT1572" s="6">
        <v>0</v>
      </c>
    </row>
    <row r="1573" spans="2:46">
      <c r="B1573" s="6" t="s">
        <v>115</v>
      </c>
      <c r="D1573" s="6" t="s">
        <v>3316</v>
      </c>
      <c r="F1573" s="6" t="s">
        <v>6616</v>
      </c>
      <c r="G1573" s="6" t="str">
        <f>"3177224304885208"</f>
        <v>3177224304885208</v>
      </c>
      <c r="H1573" s="6">
        <v>3177224304885200</v>
      </c>
      <c r="I1573" s="6" t="s">
        <v>6617</v>
      </c>
      <c r="J1573" s="6" t="str">
        <f>"Checkpoint Sweatshirt"</f>
        <v>Checkpoint Sweatshirt</v>
      </c>
      <c r="K1573" s="6">
        <v>0</v>
      </c>
      <c r="L1573" s="6">
        <v>0</v>
      </c>
      <c r="M1573" s="6">
        <v>0</v>
      </c>
      <c r="N1573" s="6" t="str">
        <f>""</f>
        <v/>
      </c>
      <c r="O1573" s="6">
        <v>31235</v>
      </c>
      <c r="P1573" s="6" t="s">
        <v>6618</v>
      </c>
      <c r="R1573" s="6" t="s">
        <v>6619</v>
      </c>
      <c r="S1573" s="6" t="s">
        <v>6620</v>
      </c>
      <c r="T1573" s="6">
        <v>0</v>
      </c>
      <c r="U1573" s="6">
        <v>0</v>
      </c>
      <c r="V1573" s="6">
        <v>0</v>
      </c>
      <c r="W1573" s="6">
        <v>0</v>
      </c>
      <c r="X1573" s="6" t="s">
        <v>169</v>
      </c>
      <c r="Z1573" s="6" t="s">
        <v>170</v>
      </c>
      <c r="AA1573" s="6" t="s">
        <v>171</v>
      </c>
      <c r="AB1573" s="6">
        <v>0</v>
      </c>
      <c r="AC1573" s="6" t="str">
        <f>""</f>
        <v/>
      </c>
      <c r="AS1573" s="6">
        <v>0</v>
      </c>
      <c r="AT1573" s="6">
        <v>0</v>
      </c>
    </row>
    <row r="1574" spans="2:46">
      <c r="B1574" s="6" t="s">
        <v>115</v>
      </c>
      <c r="D1574" s="6" t="s">
        <v>3316</v>
      </c>
      <c r="F1574" s="6" t="s">
        <v>6621</v>
      </c>
      <c r="G1574" s="6" t="str">
        <f>"3177224304866208"</f>
        <v>3177224304866208</v>
      </c>
      <c r="H1574" s="6">
        <v>3177224304866200</v>
      </c>
      <c r="I1574" s="6" t="s">
        <v>6617</v>
      </c>
      <c r="J1574" s="6" t="str">
        <f>"Checkpoint Sweatshirt"</f>
        <v>Checkpoint Sweatshirt</v>
      </c>
      <c r="K1574" s="6">
        <v>0</v>
      </c>
      <c r="L1574" s="6">
        <v>0</v>
      </c>
      <c r="M1574" s="6">
        <v>0</v>
      </c>
      <c r="N1574" s="6" t="str">
        <f>""</f>
        <v/>
      </c>
      <c r="O1574" s="6">
        <v>31234</v>
      </c>
      <c r="P1574" s="6" t="s">
        <v>6622</v>
      </c>
      <c r="R1574" s="6" t="s">
        <v>6623</v>
      </c>
      <c r="S1574" s="6" t="s">
        <v>6624</v>
      </c>
      <c r="T1574" s="6">
        <v>0</v>
      </c>
      <c r="U1574" s="6">
        <v>0</v>
      </c>
      <c r="V1574" s="6">
        <v>0</v>
      </c>
      <c r="W1574" s="6">
        <v>0</v>
      </c>
      <c r="X1574" s="6" t="s">
        <v>169</v>
      </c>
      <c r="Z1574" s="6" t="s">
        <v>170</v>
      </c>
      <c r="AA1574" s="6" t="s">
        <v>171</v>
      </c>
      <c r="AB1574" s="6">
        <v>0</v>
      </c>
      <c r="AC1574" s="6" t="str">
        <f>""</f>
        <v/>
      </c>
      <c r="AS1574" s="6">
        <v>0</v>
      </c>
      <c r="AT1574" s="6">
        <v>0</v>
      </c>
    </row>
    <row r="1575" spans="2:46">
      <c r="B1575" s="6" t="s">
        <v>115</v>
      </c>
      <c r="D1575" s="6" t="s">
        <v>3316</v>
      </c>
      <c r="F1575" s="6" t="s">
        <v>6625</v>
      </c>
      <c r="G1575" s="6" t="str">
        <f>"3177232300185208"</f>
        <v>3177232300185208</v>
      </c>
      <c r="H1575" s="6">
        <v>3177232300185200</v>
      </c>
      <c r="I1575" s="6" t="s">
        <v>6626</v>
      </c>
      <c r="J1575" s="6" t="str">
        <f>"Crop Hood T-shirt"</f>
        <v>Crop Hood T-shirt</v>
      </c>
      <c r="K1575" s="6">
        <v>0</v>
      </c>
      <c r="L1575" s="6">
        <v>0</v>
      </c>
      <c r="M1575" s="6">
        <v>0</v>
      </c>
      <c r="N1575" s="6" t="str">
        <f>""</f>
        <v/>
      </c>
      <c r="O1575" s="6">
        <v>31232</v>
      </c>
      <c r="P1575" s="6" t="s">
        <v>6627</v>
      </c>
      <c r="R1575" s="6" t="s">
        <v>6619</v>
      </c>
      <c r="S1575" s="6" t="s">
        <v>6628</v>
      </c>
      <c r="T1575" s="6">
        <v>0</v>
      </c>
      <c r="U1575" s="6">
        <v>0</v>
      </c>
      <c r="V1575" s="6">
        <v>0</v>
      </c>
      <c r="W1575" s="6">
        <v>0</v>
      </c>
      <c r="X1575" s="6" t="s">
        <v>169</v>
      </c>
      <c r="Z1575" s="6" t="s">
        <v>170</v>
      </c>
      <c r="AA1575" s="6" t="s">
        <v>171</v>
      </c>
      <c r="AB1575" s="6">
        <v>0</v>
      </c>
      <c r="AC1575" s="6" t="str">
        <f>""</f>
        <v/>
      </c>
      <c r="AS1575" s="6">
        <v>0</v>
      </c>
      <c r="AT1575" s="6">
        <v>0</v>
      </c>
    </row>
    <row r="1576" spans="2:46">
      <c r="B1576" s="6" t="s">
        <v>115</v>
      </c>
      <c r="D1576" s="6" t="s">
        <v>3316</v>
      </c>
      <c r="F1576" s="6" t="s">
        <v>6629</v>
      </c>
      <c r="G1576" s="6" t="str">
        <f>"3177232300166208"</f>
        <v>3177232300166208</v>
      </c>
      <c r="H1576" s="6">
        <v>3177232300166200</v>
      </c>
      <c r="I1576" s="6" t="s">
        <v>6626</v>
      </c>
      <c r="J1576" s="6" t="str">
        <f>"Crop Hood T-shirt"</f>
        <v>Crop Hood T-shirt</v>
      </c>
      <c r="K1576" s="6">
        <v>0</v>
      </c>
      <c r="L1576" s="6">
        <v>0</v>
      </c>
      <c r="M1576" s="6">
        <v>0</v>
      </c>
      <c r="N1576" s="6" t="str">
        <f>""</f>
        <v/>
      </c>
      <c r="O1576" s="6">
        <v>31231</v>
      </c>
      <c r="P1576" s="6" t="s">
        <v>6630</v>
      </c>
      <c r="R1576" s="6" t="s">
        <v>6623</v>
      </c>
      <c r="S1576" s="6" t="s">
        <v>6631</v>
      </c>
      <c r="T1576" s="6">
        <v>0</v>
      </c>
      <c r="U1576" s="6">
        <v>0</v>
      </c>
      <c r="V1576" s="6">
        <v>0</v>
      </c>
      <c r="W1576" s="6">
        <v>0</v>
      </c>
      <c r="X1576" s="6" t="s">
        <v>169</v>
      </c>
      <c r="Z1576" s="6" t="s">
        <v>170</v>
      </c>
      <c r="AA1576" s="6" t="s">
        <v>171</v>
      </c>
      <c r="AB1576" s="6">
        <v>0</v>
      </c>
      <c r="AC1576" s="6" t="str">
        <f>""</f>
        <v/>
      </c>
      <c r="AS1576" s="6">
        <v>0</v>
      </c>
      <c r="AT1576" s="6">
        <v>0</v>
      </c>
    </row>
    <row r="1577" spans="2:46">
      <c r="B1577" s="6" t="s">
        <v>115</v>
      </c>
      <c r="D1577" s="6" t="s">
        <v>3316</v>
      </c>
      <c r="F1577" s="6" t="s">
        <v>6632</v>
      </c>
      <c r="G1577" s="6" t="str">
        <f>"3177224304791208"</f>
        <v>3177224304791208</v>
      </c>
      <c r="H1577" s="6">
        <v>3177224304791200</v>
      </c>
      <c r="I1577" s="6" t="s">
        <v>6633</v>
      </c>
      <c r="J1577" s="6" t="str">
        <f>"Nurse Officer Sweatshirt"</f>
        <v>Nurse Officer Sweatshirt</v>
      </c>
      <c r="K1577" s="6">
        <v>0</v>
      </c>
      <c r="L1577" s="6">
        <v>0</v>
      </c>
      <c r="M1577" s="6">
        <v>0</v>
      </c>
      <c r="N1577" s="6" t="str">
        <f>""</f>
        <v/>
      </c>
      <c r="O1577" s="6">
        <v>31229</v>
      </c>
      <c r="P1577" s="6" t="s">
        <v>6634</v>
      </c>
      <c r="R1577" s="6" t="s">
        <v>6635</v>
      </c>
      <c r="S1577" s="6" t="s">
        <v>6636</v>
      </c>
      <c r="T1577" s="6">
        <v>0</v>
      </c>
      <c r="U1577" s="6">
        <v>0</v>
      </c>
      <c r="V1577" s="6">
        <v>0</v>
      </c>
      <c r="W1577" s="6">
        <v>0</v>
      </c>
      <c r="X1577" s="6" t="s">
        <v>169</v>
      </c>
      <c r="Z1577" s="6" t="s">
        <v>170</v>
      </c>
      <c r="AA1577" s="6" t="s">
        <v>171</v>
      </c>
      <c r="AB1577" s="6">
        <v>0</v>
      </c>
      <c r="AC1577" s="6" t="str">
        <f>""</f>
        <v/>
      </c>
      <c r="AS1577" s="6">
        <v>0</v>
      </c>
      <c r="AT1577" s="6">
        <v>0</v>
      </c>
    </row>
    <row r="1578" spans="2:46">
      <c r="B1578" s="6" t="s">
        <v>115</v>
      </c>
      <c r="D1578" s="6" t="s">
        <v>3316</v>
      </c>
      <c r="F1578" s="6" t="s">
        <v>6637</v>
      </c>
      <c r="G1578" s="6" t="str">
        <f>"3177224304799208"</f>
        <v>3177224304799208</v>
      </c>
      <c r="H1578" s="6">
        <v>3177224304799200</v>
      </c>
      <c r="I1578" s="6" t="s">
        <v>6633</v>
      </c>
      <c r="J1578" s="6" t="str">
        <f>"Nurse Officer Sweatshirt"</f>
        <v>Nurse Officer Sweatshirt</v>
      </c>
      <c r="K1578" s="6">
        <v>0</v>
      </c>
      <c r="L1578" s="6">
        <v>0</v>
      </c>
      <c r="M1578" s="6">
        <v>0</v>
      </c>
      <c r="N1578" s="6" t="str">
        <f>""</f>
        <v/>
      </c>
      <c r="O1578" s="6">
        <v>31228</v>
      </c>
      <c r="P1578" s="6" t="s">
        <v>6638</v>
      </c>
      <c r="R1578" s="6" t="s">
        <v>6639</v>
      </c>
      <c r="S1578" s="6" t="s">
        <v>6640</v>
      </c>
      <c r="T1578" s="6">
        <v>0</v>
      </c>
      <c r="U1578" s="6">
        <v>0</v>
      </c>
      <c r="V1578" s="6">
        <v>0</v>
      </c>
      <c r="W1578" s="6">
        <v>0</v>
      </c>
      <c r="X1578" s="6" t="s">
        <v>169</v>
      </c>
      <c r="Z1578" s="6" t="s">
        <v>170</v>
      </c>
      <c r="AA1578" s="6" t="s">
        <v>171</v>
      </c>
      <c r="AB1578" s="6">
        <v>0</v>
      </c>
      <c r="AC1578" s="6" t="str">
        <f>""</f>
        <v/>
      </c>
      <c r="AS1578" s="6">
        <v>0</v>
      </c>
      <c r="AT1578" s="6">
        <v>0</v>
      </c>
    </row>
    <row r="1579" spans="2:46">
      <c r="B1579" s="6" t="s">
        <v>115</v>
      </c>
      <c r="D1579" s="6" t="s">
        <v>3316</v>
      </c>
      <c r="F1579" s="6" t="s">
        <v>6641</v>
      </c>
      <c r="G1579" s="6" t="str">
        <f>"3177234305891208"</f>
        <v>3177234305891208</v>
      </c>
      <c r="H1579" s="6">
        <v>3177234305891200</v>
      </c>
      <c r="I1579" s="6" t="s">
        <v>6642</v>
      </c>
      <c r="J1579" s="6" t="str">
        <f>"L. Oversized Sweater"</f>
        <v>L. Oversized Sweater</v>
      </c>
      <c r="K1579" s="6">
        <v>0</v>
      </c>
      <c r="L1579" s="6">
        <v>0</v>
      </c>
      <c r="M1579" s="6">
        <v>0</v>
      </c>
      <c r="N1579" s="6" t="str">
        <f>""</f>
        <v/>
      </c>
      <c r="O1579" s="6">
        <v>31226</v>
      </c>
      <c r="P1579" s="6" t="s">
        <v>6643</v>
      </c>
      <c r="R1579" s="6" t="s">
        <v>6644</v>
      </c>
      <c r="S1579" s="6" t="s">
        <v>6645</v>
      </c>
      <c r="T1579" s="6">
        <v>0</v>
      </c>
      <c r="U1579" s="6">
        <v>0</v>
      </c>
      <c r="V1579" s="6">
        <v>0</v>
      </c>
      <c r="W1579" s="6">
        <v>0</v>
      </c>
      <c r="X1579" s="6" t="s">
        <v>169</v>
      </c>
      <c r="Z1579" s="6" t="s">
        <v>170</v>
      </c>
      <c r="AA1579" s="6" t="s">
        <v>171</v>
      </c>
      <c r="AB1579" s="6">
        <v>0</v>
      </c>
      <c r="AC1579" s="6" t="str">
        <f>""</f>
        <v/>
      </c>
      <c r="AS1579" s="6">
        <v>0</v>
      </c>
      <c r="AT1579" s="6">
        <v>0</v>
      </c>
    </row>
    <row r="1580" spans="2:46">
      <c r="B1580" s="6" t="s">
        <v>115</v>
      </c>
      <c r="D1580" s="6" t="s">
        <v>3316</v>
      </c>
      <c r="F1580" s="6" t="s">
        <v>6646</v>
      </c>
      <c r="G1580" s="6" t="str">
        <f>"MB7FKN923NV"</f>
        <v>MB7FKN923NV</v>
      </c>
      <c r="H1580" s="6" t="s">
        <v>6647</v>
      </c>
      <c r="I1580" s="6" t="s">
        <v>6642</v>
      </c>
      <c r="J1580" s="6" t="str">
        <f>"L. Oversized Sweater"</f>
        <v>L. Oversized Sweater</v>
      </c>
      <c r="K1580" s="6">
        <v>0</v>
      </c>
      <c r="L1580" s="6">
        <v>0</v>
      </c>
      <c r="M1580" s="6">
        <v>0</v>
      </c>
      <c r="N1580" s="6" t="str">
        <f>""</f>
        <v/>
      </c>
      <c r="O1580" s="6">
        <v>31225</v>
      </c>
      <c r="P1580" s="6" t="s">
        <v>6647</v>
      </c>
      <c r="R1580" s="6" t="s">
        <v>6648</v>
      </c>
      <c r="S1580" s="6" t="s">
        <v>6649</v>
      </c>
      <c r="T1580" s="6">
        <v>0</v>
      </c>
      <c r="U1580" s="6">
        <v>0</v>
      </c>
      <c r="V1580" s="6">
        <v>0</v>
      </c>
      <c r="W1580" s="6">
        <v>0</v>
      </c>
      <c r="X1580" s="6" t="s">
        <v>169</v>
      </c>
      <c r="Z1580" s="6" t="s">
        <v>170</v>
      </c>
      <c r="AA1580" s="6" t="s">
        <v>171</v>
      </c>
      <c r="AB1580" s="6">
        <v>0</v>
      </c>
      <c r="AC1580" s="6" t="str">
        <f>""</f>
        <v/>
      </c>
      <c r="AS1580" s="6">
        <v>0</v>
      </c>
      <c r="AT1580" s="6">
        <v>0</v>
      </c>
    </row>
    <row r="1581" spans="2:46">
      <c r="B1581" s="6" t="s">
        <v>115</v>
      </c>
      <c r="D1581" s="6" t="s">
        <v>3316</v>
      </c>
      <c r="F1581" s="6" t="s">
        <v>6650</v>
      </c>
      <c r="G1581" s="6" t="str">
        <f>"3177234305685208"</f>
        <v>3177234305685208</v>
      </c>
      <c r="I1581" s="6" t="s">
        <v>6651</v>
      </c>
      <c r="J1581" s="6" t="str">
        <f>"Gotcha Sweater"</f>
        <v>Gotcha Sweater</v>
      </c>
      <c r="K1581" s="6">
        <v>0</v>
      </c>
      <c r="L1581" s="6">
        <v>0</v>
      </c>
      <c r="M1581" s="6">
        <v>0</v>
      </c>
      <c r="N1581" s="6" t="str">
        <f>""</f>
        <v/>
      </c>
      <c r="O1581" s="6">
        <v>31223</v>
      </c>
      <c r="P1581" s="6" t="s">
        <v>6652</v>
      </c>
      <c r="R1581" s="6" t="s">
        <v>6619</v>
      </c>
      <c r="S1581" s="6" t="s">
        <v>6653</v>
      </c>
      <c r="T1581" s="6">
        <v>2</v>
      </c>
      <c r="U1581" s="6">
        <v>0</v>
      </c>
      <c r="V1581" s="6">
        <v>0</v>
      </c>
      <c r="W1581" s="6">
        <v>0</v>
      </c>
      <c r="X1581" s="6" t="s">
        <v>169</v>
      </c>
      <c r="Z1581" s="6" t="s">
        <v>170</v>
      </c>
      <c r="AA1581" s="6" t="s">
        <v>171</v>
      </c>
      <c r="AB1581" s="6">
        <v>0</v>
      </c>
      <c r="AC1581" s="6" t="str">
        <f>"KEY-016"</f>
        <v>KEY-016</v>
      </c>
      <c r="AQ1581" s="6" t="str">
        <f>""</f>
        <v/>
      </c>
      <c r="AR1581" s="6" t="s">
        <v>1567</v>
      </c>
      <c r="AS1581" s="6">
        <v>0</v>
      </c>
      <c r="AT1581" s="6">
        <v>2</v>
      </c>
    </row>
    <row r="1582" spans="2:46">
      <c r="B1582" s="6" t="s">
        <v>115</v>
      </c>
      <c r="D1582" s="6" t="s">
        <v>3316</v>
      </c>
      <c r="F1582" s="6" t="s">
        <v>6654</v>
      </c>
      <c r="G1582" s="6" t="str">
        <f>"3177234305699208"</f>
        <v>3177234305699208</v>
      </c>
      <c r="H1582" s="6">
        <v>3177234305699200</v>
      </c>
      <c r="I1582" s="6" t="s">
        <v>6651</v>
      </c>
      <c r="J1582" s="6" t="str">
        <f>"Gotcha Sweater"</f>
        <v>Gotcha Sweater</v>
      </c>
      <c r="K1582" s="6">
        <v>0</v>
      </c>
      <c r="L1582" s="6">
        <v>0</v>
      </c>
      <c r="M1582" s="6">
        <v>0</v>
      </c>
      <c r="N1582" s="6" t="str">
        <f>""</f>
        <v/>
      </c>
      <c r="O1582" s="6">
        <v>31222</v>
      </c>
      <c r="P1582" s="6" t="s">
        <v>6655</v>
      </c>
      <c r="R1582" s="6" t="s">
        <v>6639</v>
      </c>
      <c r="S1582" s="6" t="s">
        <v>6656</v>
      </c>
      <c r="T1582" s="6">
        <v>0</v>
      </c>
      <c r="U1582" s="6">
        <v>0</v>
      </c>
      <c r="V1582" s="6">
        <v>0</v>
      </c>
      <c r="W1582" s="6">
        <v>0</v>
      </c>
      <c r="X1582" s="6" t="s">
        <v>169</v>
      </c>
      <c r="Z1582" s="6" t="s">
        <v>170</v>
      </c>
      <c r="AA1582" s="6" t="s">
        <v>171</v>
      </c>
      <c r="AB1582" s="6">
        <v>0</v>
      </c>
      <c r="AC1582" s="6" t="str">
        <f>""</f>
        <v/>
      </c>
      <c r="AS1582" s="6">
        <v>0</v>
      </c>
      <c r="AT1582" s="6">
        <v>0</v>
      </c>
    </row>
    <row r="1583" spans="2:46">
      <c r="B1583" s="6" t="s">
        <v>115</v>
      </c>
      <c r="D1583" s="6" t="s">
        <v>3316</v>
      </c>
      <c r="F1583" s="6" t="s">
        <v>6657</v>
      </c>
      <c r="G1583" s="6" t="str">
        <f>"3177234305591208"</f>
        <v>3177234305591208</v>
      </c>
      <c r="H1583" s="6">
        <v>3177234305591200</v>
      </c>
      <c r="I1583" s="6" t="s">
        <v>6658</v>
      </c>
      <c r="J1583" s="6" t="str">
        <f>" Warehouse Sweater"</f>
        <v xml:space="preserve"> Warehouse Sweater</v>
      </c>
      <c r="K1583" s="6">
        <v>0</v>
      </c>
      <c r="L1583" s="6">
        <v>0</v>
      </c>
      <c r="M1583" s="6">
        <v>0</v>
      </c>
      <c r="N1583" s="6" t="str">
        <f>""</f>
        <v/>
      </c>
      <c r="O1583" s="6">
        <v>31220</v>
      </c>
      <c r="P1583" s="6" t="s">
        <v>6659</v>
      </c>
      <c r="R1583" s="6" t="s">
        <v>6635</v>
      </c>
      <c r="S1583" s="6" t="s">
        <v>6660</v>
      </c>
      <c r="T1583" s="6">
        <v>0</v>
      </c>
      <c r="U1583" s="6">
        <v>0</v>
      </c>
      <c r="V1583" s="6">
        <v>0</v>
      </c>
      <c r="W1583" s="6">
        <v>0</v>
      </c>
      <c r="X1583" s="6" t="s">
        <v>169</v>
      </c>
      <c r="Z1583" s="6" t="s">
        <v>170</v>
      </c>
      <c r="AA1583" s="6" t="s">
        <v>171</v>
      </c>
      <c r="AB1583" s="6">
        <v>0</v>
      </c>
      <c r="AC1583" s="6" t="str">
        <f>""</f>
        <v/>
      </c>
      <c r="AS1583" s="6">
        <v>0</v>
      </c>
      <c r="AT1583" s="6">
        <v>0</v>
      </c>
    </row>
    <row r="1584" spans="2:46">
      <c r="B1584" s="6" t="s">
        <v>115</v>
      </c>
      <c r="D1584" s="6" t="s">
        <v>3316</v>
      </c>
      <c r="F1584" s="6" t="s">
        <v>6661</v>
      </c>
      <c r="G1584" s="6" t="str">
        <f>"MB7FKN921BK"</f>
        <v>MB7FKN921BK</v>
      </c>
      <c r="H1584" s="6" t="s">
        <v>6662</v>
      </c>
      <c r="I1584" s="6" t="s">
        <v>6658</v>
      </c>
      <c r="J1584" s="6" t="str">
        <f>" Warehouse Sweater"</f>
        <v xml:space="preserve"> Warehouse Sweater</v>
      </c>
      <c r="K1584" s="6">
        <v>0</v>
      </c>
      <c r="L1584" s="6">
        <v>0</v>
      </c>
      <c r="M1584" s="6">
        <v>0</v>
      </c>
      <c r="N1584" s="6" t="str">
        <f>""</f>
        <v/>
      </c>
      <c r="O1584" s="6">
        <v>31219</v>
      </c>
      <c r="P1584" s="6" t="s">
        <v>6662</v>
      </c>
      <c r="R1584" s="6" t="s">
        <v>6639</v>
      </c>
      <c r="S1584" s="6" t="s">
        <v>6663</v>
      </c>
      <c r="T1584" s="6">
        <v>0</v>
      </c>
      <c r="U1584" s="6">
        <v>0</v>
      </c>
      <c r="V1584" s="6">
        <v>0</v>
      </c>
      <c r="W1584" s="6">
        <v>0</v>
      </c>
      <c r="X1584" s="6" t="s">
        <v>169</v>
      </c>
      <c r="Z1584" s="6" t="s">
        <v>170</v>
      </c>
      <c r="AA1584" s="6" t="s">
        <v>171</v>
      </c>
      <c r="AB1584" s="6">
        <v>0</v>
      </c>
      <c r="AC1584" s="6" t="str">
        <f>""</f>
        <v/>
      </c>
      <c r="AS1584" s="6">
        <v>0</v>
      </c>
      <c r="AT1584" s="6">
        <v>0</v>
      </c>
    </row>
    <row r="1585" spans="2:46">
      <c r="B1585" s="6" t="s">
        <v>115</v>
      </c>
      <c r="D1585" s="6" t="s">
        <v>3316</v>
      </c>
      <c r="F1585" s="6" t="s">
        <v>6664</v>
      </c>
      <c r="G1585" s="6" t="str">
        <f>"3177234305465208"</f>
        <v>3177234305465208</v>
      </c>
      <c r="H1585" s="6">
        <v>3177234305465200</v>
      </c>
      <c r="I1585" s="6" t="s">
        <v>6665</v>
      </c>
      <c r="J1585" s="6" t="str">
        <f>"Nurse Officer Sweater"</f>
        <v>Nurse Officer Sweater</v>
      </c>
      <c r="K1585" s="6">
        <v>0</v>
      </c>
      <c r="L1585" s="6">
        <v>0</v>
      </c>
      <c r="M1585" s="6">
        <v>0</v>
      </c>
      <c r="N1585" s="6" t="str">
        <f>""</f>
        <v/>
      </c>
      <c r="O1585" s="6">
        <v>31217</v>
      </c>
      <c r="P1585" s="6" t="s">
        <v>6666</v>
      </c>
      <c r="R1585" s="6" t="s">
        <v>6667</v>
      </c>
      <c r="S1585" s="6" t="s">
        <v>6668</v>
      </c>
      <c r="T1585" s="6">
        <v>0</v>
      </c>
      <c r="U1585" s="6">
        <v>0</v>
      </c>
      <c r="V1585" s="6">
        <v>0</v>
      </c>
      <c r="W1585" s="6">
        <v>0</v>
      </c>
      <c r="X1585" s="6" t="s">
        <v>169</v>
      </c>
      <c r="Z1585" s="6" t="s">
        <v>170</v>
      </c>
      <c r="AA1585" s="6" t="s">
        <v>171</v>
      </c>
      <c r="AB1585" s="6">
        <v>0</v>
      </c>
      <c r="AC1585" s="6" t="str">
        <f>""</f>
        <v/>
      </c>
      <c r="AS1585" s="6">
        <v>0</v>
      </c>
      <c r="AT1585" s="6">
        <v>0</v>
      </c>
    </row>
    <row r="1586" spans="2:46">
      <c r="B1586" s="6" t="s">
        <v>115</v>
      </c>
      <c r="D1586" s="6" t="s">
        <v>3316</v>
      </c>
      <c r="F1586" s="6" t="s">
        <v>6669</v>
      </c>
      <c r="G1586" s="6" t="str">
        <f>"MB7FKN919BL"</f>
        <v>MB7FKN919BL</v>
      </c>
      <c r="H1586" s="6" t="s">
        <v>6670</v>
      </c>
      <c r="I1586" s="6" t="s">
        <v>6665</v>
      </c>
      <c r="J1586" s="6" t="str">
        <f>"Nurse Officer Sweater"</f>
        <v>Nurse Officer Sweater</v>
      </c>
      <c r="K1586" s="6">
        <v>0</v>
      </c>
      <c r="L1586" s="6">
        <v>0</v>
      </c>
      <c r="M1586" s="6">
        <v>0</v>
      </c>
      <c r="N1586" s="6" t="str">
        <f>""</f>
        <v/>
      </c>
      <c r="O1586" s="6">
        <v>31216</v>
      </c>
      <c r="P1586" s="6" t="s">
        <v>6670</v>
      </c>
      <c r="R1586" s="6" t="s">
        <v>6671</v>
      </c>
      <c r="S1586" s="6" t="s">
        <v>6672</v>
      </c>
      <c r="T1586" s="6">
        <v>0</v>
      </c>
      <c r="U1586" s="6">
        <v>0</v>
      </c>
      <c r="V1586" s="6">
        <v>0</v>
      </c>
      <c r="W1586" s="6">
        <v>0</v>
      </c>
      <c r="X1586" s="6" t="s">
        <v>169</v>
      </c>
      <c r="Z1586" s="6" t="s">
        <v>170</v>
      </c>
      <c r="AA1586" s="6" t="s">
        <v>171</v>
      </c>
      <c r="AB1586" s="6">
        <v>0</v>
      </c>
      <c r="AC1586" s="6" t="str">
        <f>""</f>
        <v/>
      </c>
      <c r="AS1586" s="6">
        <v>0</v>
      </c>
      <c r="AT1586" s="6">
        <v>0</v>
      </c>
    </row>
    <row r="1587" spans="2:46">
      <c r="B1587" s="6" t="s">
        <v>115</v>
      </c>
      <c r="D1587" s="6" t="s">
        <v>3316</v>
      </c>
      <c r="F1587" s="6" t="s">
        <v>6673</v>
      </c>
      <c r="G1587" s="6" t="str">
        <f>"3177234305291208"</f>
        <v>3177234305291208</v>
      </c>
      <c r="H1587" s="6">
        <v>3177234305291200</v>
      </c>
      <c r="I1587" s="6" t="s">
        <v>6674</v>
      </c>
      <c r="J1587" s="6" t="str">
        <f>"Gotcha Hood T-shirt"</f>
        <v>Gotcha Hood T-shirt</v>
      </c>
      <c r="K1587" s="6">
        <v>0</v>
      </c>
      <c r="L1587" s="6">
        <v>0</v>
      </c>
      <c r="M1587" s="6">
        <v>0</v>
      </c>
      <c r="N1587" s="6" t="str">
        <f>""</f>
        <v/>
      </c>
      <c r="O1587" s="6">
        <v>31214</v>
      </c>
      <c r="P1587" s="6" t="s">
        <v>6675</v>
      </c>
      <c r="R1587" s="6" t="s">
        <v>6635</v>
      </c>
      <c r="S1587" s="6" t="s">
        <v>6676</v>
      </c>
      <c r="T1587" s="6">
        <v>0</v>
      </c>
      <c r="U1587" s="6">
        <v>0</v>
      </c>
      <c r="V1587" s="6">
        <v>0</v>
      </c>
      <c r="W1587" s="6">
        <v>0</v>
      </c>
      <c r="X1587" s="6" t="s">
        <v>169</v>
      </c>
      <c r="Z1587" s="6" t="s">
        <v>170</v>
      </c>
      <c r="AA1587" s="6" t="s">
        <v>171</v>
      </c>
      <c r="AB1587" s="6">
        <v>0</v>
      </c>
      <c r="AC1587" s="6" t="str">
        <f>""</f>
        <v/>
      </c>
      <c r="AS1587" s="6">
        <v>0</v>
      </c>
      <c r="AT1587" s="6">
        <v>0</v>
      </c>
    </row>
    <row r="1588" spans="2:46">
      <c r="B1588" s="6" t="s">
        <v>115</v>
      </c>
      <c r="D1588" s="6" t="s">
        <v>3316</v>
      </c>
      <c r="F1588" s="6" t="s">
        <v>6677</v>
      </c>
      <c r="G1588" s="6" t="str">
        <f>"3177234305299208"</f>
        <v>3177234305299208</v>
      </c>
      <c r="H1588" s="6">
        <v>3177234305299200</v>
      </c>
      <c r="I1588" s="6" t="s">
        <v>6674</v>
      </c>
      <c r="J1588" s="6" t="str">
        <f>"Gotcha Hood T-shirt"</f>
        <v>Gotcha Hood T-shirt</v>
      </c>
      <c r="K1588" s="6">
        <v>0</v>
      </c>
      <c r="L1588" s="6">
        <v>0</v>
      </c>
      <c r="M1588" s="6">
        <v>0</v>
      </c>
      <c r="N1588" s="6" t="str">
        <f>""</f>
        <v/>
      </c>
      <c r="O1588" s="6">
        <v>31213</v>
      </c>
      <c r="P1588" s="6" t="s">
        <v>6678</v>
      </c>
      <c r="R1588" s="6" t="s">
        <v>6639</v>
      </c>
      <c r="S1588" s="6" t="s">
        <v>6679</v>
      </c>
      <c r="T1588" s="6">
        <v>0</v>
      </c>
      <c r="U1588" s="6">
        <v>0</v>
      </c>
      <c r="V1588" s="6">
        <v>0</v>
      </c>
      <c r="W1588" s="6">
        <v>0</v>
      </c>
      <c r="X1588" s="6" t="s">
        <v>169</v>
      </c>
      <c r="Z1588" s="6" t="s">
        <v>170</v>
      </c>
      <c r="AA1588" s="6" t="s">
        <v>171</v>
      </c>
      <c r="AB1588" s="6">
        <v>0</v>
      </c>
      <c r="AC1588" s="6" t="str">
        <f>""</f>
        <v/>
      </c>
      <c r="AS1588" s="6">
        <v>0</v>
      </c>
      <c r="AT1588" s="6">
        <v>0</v>
      </c>
    </row>
    <row r="1589" spans="2:46">
      <c r="B1589" s="6" t="s">
        <v>115</v>
      </c>
      <c r="D1589" s="6" t="s">
        <v>3316</v>
      </c>
      <c r="F1589" s="6" t="s">
        <v>6680</v>
      </c>
      <c r="G1589" s="6" t="str">
        <f>"3177234305961208"</f>
        <v>3177234305961208</v>
      </c>
      <c r="H1589" s="6">
        <v>3177234305961200</v>
      </c>
      <c r="I1589" s="6" t="s">
        <v>6681</v>
      </c>
      <c r="J1589" s="6" t="str">
        <f>"Slit Turtleneck Sweater"</f>
        <v>Slit Turtleneck Sweater</v>
      </c>
      <c r="K1589" s="6">
        <v>0</v>
      </c>
      <c r="L1589" s="6">
        <v>0</v>
      </c>
      <c r="M1589" s="6">
        <v>0</v>
      </c>
      <c r="N1589" s="6" t="str">
        <f>""</f>
        <v/>
      </c>
      <c r="O1589" s="6">
        <v>31211</v>
      </c>
      <c r="P1589" s="6" t="s">
        <v>6682</v>
      </c>
      <c r="R1589" s="6" t="s">
        <v>6683</v>
      </c>
      <c r="S1589" s="6" t="s">
        <v>6684</v>
      </c>
      <c r="T1589" s="6">
        <v>0</v>
      </c>
      <c r="U1589" s="6">
        <v>0</v>
      </c>
      <c r="V1589" s="6">
        <v>0</v>
      </c>
      <c r="W1589" s="6">
        <v>0</v>
      </c>
      <c r="X1589" s="6" t="s">
        <v>169</v>
      </c>
      <c r="Z1589" s="6" t="s">
        <v>170</v>
      </c>
      <c r="AA1589" s="6" t="s">
        <v>171</v>
      </c>
      <c r="AB1589" s="6">
        <v>0</v>
      </c>
      <c r="AC1589" s="6" t="str">
        <f>""</f>
        <v/>
      </c>
      <c r="AS1589" s="6">
        <v>0</v>
      </c>
      <c r="AT1589" s="6">
        <v>0</v>
      </c>
    </row>
    <row r="1590" spans="2:46">
      <c r="B1590" s="6" t="s">
        <v>115</v>
      </c>
      <c r="D1590" s="6" t="s">
        <v>3316</v>
      </c>
      <c r="F1590" s="6" t="s">
        <v>6685</v>
      </c>
      <c r="G1590" s="6" t="str">
        <f>"3177234305985208"</f>
        <v>3177234305985208</v>
      </c>
      <c r="I1590" s="6" t="s">
        <v>6681</v>
      </c>
      <c r="J1590" s="6" t="str">
        <f>"Slit Turtleneck Sweater"</f>
        <v>Slit Turtleneck Sweater</v>
      </c>
      <c r="K1590" s="6">
        <v>0</v>
      </c>
      <c r="L1590" s="6">
        <v>0</v>
      </c>
      <c r="M1590" s="6">
        <v>0</v>
      </c>
      <c r="N1590" s="6" t="str">
        <f>""</f>
        <v/>
      </c>
      <c r="O1590" s="6">
        <v>31210</v>
      </c>
      <c r="P1590" s="6" t="s">
        <v>6686</v>
      </c>
      <c r="R1590" s="6" t="s">
        <v>6687</v>
      </c>
      <c r="S1590" s="6" t="s">
        <v>6688</v>
      </c>
      <c r="T1590" s="6">
        <v>1</v>
      </c>
      <c r="U1590" s="6">
        <v>0</v>
      </c>
      <c r="V1590" s="6">
        <v>0</v>
      </c>
      <c r="W1590" s="6">
        <v>0</v>
      </c>
      <c r="X1590" s="6" t="s">
        <v>169</v>
      </c>
      <c r="Z1590" s="6" t="s">
        <v>170</v>
      </c>
      <c r="AA1590" s="6" t="s">
        <v>171</v>
      </c>
      <c r="AB1590" s="6">
        <v>0</v>
      </c>
      <c r="AC1590" s="6" t="str">
        <f>"KEY-024"</f>
        <v>KEY-024</v>
      </c>
      <c r="AQ1590" s="6" t="str">
        <f>""</f>
        <v/>
      </c>
      <c r="AR1590" s="6" t="s">
        <v>1567</v>
      </c>
      <c r="AS1590" s="6">
        <v>0</v>
      </c>
      <c r="AT1590" s="6">
        <v>1</v>
      </c>
    </row>
    <row r="1591" spans="2:46">
      <c r="B1591" s="6" t="s">
        <v>115</v>
      </c>
      <c r="D1591" s="6" t="s">
        <v>3316</v>
      </c>
      <c r="F1591" s="6" t="s">
        <v>6689</v>
      </c>
      <c r="G1591" s="6" t="str">
        <f>"3177224304699208"</f>
        <v>3177224304699208</v>
      </c>
      <c r="I1591" s="6" t="s">
        <v>6690</v>
      </c>
      <c r="J1591" s="6" t="str">
        <f>" Gotcha Sweatshirt"</f>
        <v xml:space="preserve"> Gotcha Sweatshirt</v>
      </c>
      <c r="K1591" s="6">
        <v>0</v>
      </c>
      <c r="L1591" s="6">
        <v>0</v>
      </c>
      <c r="M1591" s="6">
        <v>0</v>
      </c>
      <c r="N1591" s="6" t="str">
        <f>""</f>
        <v/>
      </c>
      <c r="O1591" s="6">
        <v>31208</v>
      </c>
      <c r="P1591" s="6" t="s">
        <v>6691</v>
      </c>
      <c r="R1591" s="6" t="s">
        <v>6639</v>
      </c>
      <c r="S1591" s="6" t="s">
        <v>6692</v>
      </c>
      <c r="T1591" s="6">
        <v>1</v>
      </c>
      <c r="U1591" s="6">
        <v>0</v>
      </c>
      <c r="V1591" s="6">
        <v>0</v>
      </c>
      <c r="W1591" s="6">
        <v>0</v>
      </c>
      <c r="X1591" s="6" t="s">
        <v>169</v>
      </c>
      <c r="Z1591" s="6" t="s">
        <v>170</v>
      </c>
      <c r="AA1591" s="6" t="s">
        <v>171</v>
      </c>
      <c r="AB1591" s="6">
        <v>0</v>
      </c>
      <c r="AC1591" s="6" t="str">
        <f>"KEY-027"</f>
        <v>KEY-027</v>
      </c>
      <c r="AQ1591" s="6" t="str">
        <f>""</f>
        <v/>
      </c>
      <c r="AR1591" s="6" t="s">
        <v>1567</v>
      </c>
      <c r="AS1591" s="6">
        <v>0</v>
      </c>
      <c r="AT1591" s="6">
        <v>1</v>
      </c>
    </row>
    <row r="1592" spans="2:46">
      <c r="B1592" s="6" t="s">
        <v>115</v>
      </c>
      <c r="D1592" s="6" t="s">
        <v>3316</v>
      </c>
      <c r="F1592" s="6" t="s">
        <v>6693</v>
      </c>
      <c r="G1592" s="6" t="str">
        <f>"3177224304691208"</f>
        <v>3177224304691208</v>
      </c>
      <c r="H1592" s="6">
        <v>3177224304691200</v>
      </c>
      <c r="I1592" s="6" t="s">
        <v>6690</v>
      </c>
      <c r="J1592" s="6" t="str">
        <f>" Gotcha Sweatshirt"</f>
        <v xml:space="preserve"> Gotcha Sweatshirt</v>
      </c>
      <c r="K1592" s="6">
        <v>0</v>
      </c>
      <c r="L1592" s="6">
        <v>0</v>
      </c>
      <c r="M1592" s="6">
        <v>0</v>
      </c>
      <c r="N1592" s="6" t="str">
        <f>""</f>
        <v/>
      </c>
      <c r="O1592" s="6">
        <v>31207</v>
      </c>
      <c r="P1592" s="6" t="s">
        <v>6694</v>
      </c>
      <c r="R1592" s="6" t="s">
        <v>6635</v>
      </c>
      <c r="S1592" s="6" t="s">
        <v>6695</v>
      </c>
      <c r="T1592" s="6">
        <v>0</v>
      </c>
      <c r="U1592" s="6">
        <v>0</v>
      </c>
      <c r="V1592" s="6">
        <v>0</v>
      </c>
      <c r="W1592" s="6">
        <v>0</v>
      </c>
      <c r="X1592" s="6" t="s">
        <v>169</v>
      </c>
      <c r="Z1592" s="6" t="s">
        <v>170</v>
      </c>
      <c r="AA1592" s="6" t="s">
        <v>171</v>
      </c>
      <c r="AB1592" s="6">
        <v>0</v>
      </c>
      <c r="AC1592" s="6" t="str">
        <f>""</f>
        <v/>
      </c>
      <c r="AS1592" s="6">
        <v>0</v>
      </c>
      <c r="AT1592" s="6">
        <v>0</v>
      </c>
    </row>
    <row r="1593" spans="2:46">
      <c r="B1593" s="6" t="s">
        <v>115</v>
      </c>
      <c r="D1593" s="6" t="s">
        <v>3316</v>
      </c>
      <c r="F1593" s="6" t="s">
        <v>6696</v>
      </c>
      <c r="G1593" s="6" t="str">
        <f>"3177224304599208"</f>
        <v>3177224304599208</v>
      </c>
      <c r="H1593" s="6">
        <v>3177224304599200</v>
      </c>
      <c r="I1593" s="6" t="s">
        <v>6697</v>
      </c>
      <c r="J1593" s="6" t="str">
        <f>"Warehouse Sweatshirt"</f>
        <v>Warehouse Sweatshirt</v>
      </c>
      <c r="K1593" s="6">
        <v>0</v>
      </c>
      <c r="L1593" s="6">
        <v>0</v>
      </c>
      <c r="M1593" s="6">
        <v>0</v>
      </c>
      <c r="N1593" s="6" t="str">
        <f>""</f>
        <v/>
      </c>
      <c r="O1593" s="6">
        <v>31205</v>
      </c>
      <c r="P1593" s="6" t="s">
        <v>6698</v>
      </c>
      <c r="R1593" s="6" t="s">
        <v>6639</v>
      </c>
      <c r="S1593" s="6" t="s">
        <v>6699</v>
      </c>
      <c r="T1593" s="6">
        <v>0</v>
      </c>
      <c r="U1593" s="6">
        <v>0</v>
      </c>
      <c r="V1593" s="6">
        <v>0</v>
      </c>
      <c r="W1593" s="6">
        <v>0</v>
      </c>
      <c r="X1593" s="6" t="s">
        <v>169</v>
      </c>
      <c r="Z1593" s="6" t="s">
        <v>170</v>
      </c>
      <c r="AA1593" s="6" t="s">
        <v>171</v>
      </c>
      <c r="AB1593" s="6">
        <v>0</v>
      </c>
      <c r="AC1593" s="6" t="str">
        <f>""</f>
        <v/>
      </c>
      <c r="AS1593" s="6">
        <v>0</v>
      </c>
      <c r="AT1593" s="6">
        <v>0</v>
      </c>
    </row>
    <row r="1594" spans="2:46">
      <c r="B1594" s="6" t="s">
        <v>115</v>
      </c>
      <c r="D1594" s="6" t="s">
        <v>3316</v>
      </c>
      <c r="F1594" s="6" t="s">
        <v>6700</v>
      </c>
      <c r="G1594" s="6" t="str">
        <f>"3177224304591208"</f>
        <v>3177224304591208</v>
      </c>
      <c r="H1594" s="6">
        <v>3177224304591200</v>
      </c>
      <c r="I1594" s="6" t="s">
        <v>6697</v>
      </c>
      <c r="J1594" s="6" t="str">
        <f>"Warehouse Sweatshirt"</f>
        <v>Warehouse Sweatshirt</v>
      </c>
      <c r="K1594" s="6">
        <v>0</v>
      </c>
      <c r="L1594" s="6">
        <v>0</v>
      </c>
      <c r="M1594" s="6">
        <v>0</v>
      </c>
      <c r="N1594" s="6" t="str">
        <f>""</f>
        <v/>
      </c>
      <c r="O1594" s="6">
        <v>31204</v>
      </c>
      <c r="P1594" s="6" t="s">
        <v>6701</v>
      </c>
      <c r="R1594" s="6" t="s">
        <v>6635</v>
      </c>
      <c r="S1594" s="6" t="s">
        <v>6702</v>
      </c>
      <c r="T1594" s="6">
        <v>0</v>
      </c>
      <c r="U1594" s="6">
        <v>0</v>
      </c>
      <c r="V1594" s="6">
        <v>0</v>
      </c>
      <c r="W1594" s="6">
        <v>0</v>
      </c>
      <c r="X1594" s="6" t="s">
        <v>169</v>
      </c>
      <c r="Z1594" s="6" t="s">
        <v>170</v>
      </c>
      <c r="AA1594" s="6" t="s">
        <v>171</v>
      </c>
      <c r="AB1594" s="6">
        <v>0</v>
      </c>
      <c r="AC1594" s="6" t="str">
        <f>""</f>
        <v/>
      </c>
      <c r="AS1594" s="6">
        <v>0</v>
      </c>
      <c r="AT1594" s="6">
        <v>0</v>
      </c>
    </row>
    <row r="1595" spans="2:46">
      <c r="B1595" s="6" t="s">
        <v>115</v>
      </c>
      <c r="D1595" s="6" t="s">
        <v>3316</v>
      </c>
      <c r="F1595" s="6" t="s">
        <v>6703</v>
      </c>
      <c r="G1595" s="6" t="str">
        <f>"MB7FTS914YL"</f>
        <v>MB7FTS914YL</v>
      </c>
      <c r="H1595" s="6" t="s">
        <v>6704</v>
      </c>
      <c r="I1595" s="6" t="s">
        <v>6705</v>
      </c>
      <c r="J1595" s="6" t="str">
        <f>"Gotcha Stripe Sweatshirt"</f>
        <v>Gotcha Stripe Sweatshirt</v>
      </c>
      <c r="K1595" s="6">
        <v>0</v>
      </c>
      <c r="L1595" s="6">
        <v>0</v>
      </c>
      <c r="M1595" s="6">
        <v>0</v>
      </c>
      <c r="N1595" s="6" t="str">
        <f>""</f>
        <v/>
      </c>
      <c r="O1595" s="6">
        <v>31202</v>
      </c>
      <c r="P1595" s="6" t="s">
        <v>6704</v>
      </c>
      <c r="R1595" s="6" t="s">
        <v>6706</v>
      </c>
      <c r="S1595" s="6" t="s">
        <v>6707</v>
      </c>
      <c r="T1595" s="6">
        <v>0</v>
      </c>
      <c r="U1595" s="6">
        <v>0</v>
      </c>
      <c r="V1595" s="6">
        <v>0</v>
      </c>
      <c r="W1595" s="6">
        <v>0</v>
      </c>
      <c r="X1595" s="6" t="s">
        <v>169</v>
      </c>
      <c r="Z1595" s="6" t="s">
        <v>170</v>
      </c>
      <c r="AA1595" s="6" t="s">
        <v>171</v>
      </c>
      <c r="AB1595" s="6">
        <v>0</v>
      </c>
      <c r="AC1595" s="6" t="str">
        <f>""</f>
        <v/>
      </c>
      <c r="AS1595" s="6">
        <v>0</v>
      </c>
      <c r="AT1595" s="6">
        <v>0</v>
      </c>
    </row>
    <row r="1596" spans="2:46">
      <c r="B1596" s="6" t="s">
        <v>115</v>
      </c>
      <c r="D1596" s="6" t="s">
        <v>3316</v>
      </c>
      <c r="F1596" s="6" t="s">
        <v>6708</v>
      </c>
      <c r="G1596" s="6" t="str">
        <f>"MB7FTS914BL"</f>
        <v>MB7FTS914BL</v>
      </c>
      <c r="H1596" s="6" t="s">
        <v>6709</v>
      </c>
      <c r="I1596" s="6" t="s">
        <v>6705</v>
      </c>
      <c r="J1596" s="6" t="str">
        <f>"Gotcha Stripe Sweatshirt"</f>
        <v>Gotcha Stripe Sweatshirt</v>
      </c>
      <c r="K1596" s="6">
        <v>0</v>
      </c>
      <c r="L1596" s="6">
        <v>0</v>
      </c>
      <c r="M1596" s="6">
        <v>0</v>
      </c>
      <c r="N1596" s="6" t="str">
        <f>""</f>
        <v/>
      </c>
      <c r="O1596" s="6">
        <v>31201</v>
      </c>
      <c r="P1596" s="6" t="s">
        <v>6709</v>
      </c>
      <c r="R1596" s="6" t="s">
        <v>6710</v>
      </c>
      <c r="S1596" s="6" t="s">
        <v>6711</v>
      </c>
      <c r="T1596" s="6">
        <v>0</v>
      </c>
      <c r="U1596" s="6">
        <v>0</v>
      </c>
      <c r="V1596" s="6">
        <v>0</v>
      </c>
      <c r="W1596" s="6">
        <v>0</v>
      </c>
      <c r="X1596" s="6" t="s">
        <v>169</v>
      </c>
      <c r="Z1596" s="6" t="s">
        <v>170</v>
      </c>
      <c r="AA1596" s="6" t="s">
        <v>171</v>
      </c>
      <c r="AB1596" s="6">
        <v>0</v>
      </c>
      <c r="AC1596" s="6" t="str">
        <f>""</f>
        <v/>
      </c>
      <c r="AS1596" s="6">
        <v>0</v>
      </c>
      <c r="AT1596" s="6">
        <v>0</v>
      </c>
    </row>
    <row r="1597" spans="2:46">
      <c r="B1597" s="6" t="s">
        <v>115</v>
      </c>
      <c r="D1597" s="6" t="s">
        <v>3316</v>
      </c>
      <c r="F1597" s="6" t="s">
        <v>6712</v>
      </c>
      <c r="G1597" s="6" t="str">
        <f>"3177314300174320"</f>
        <v>3177314300174320</v>
      </c>
      <c r="H1597" s="6">
        <v>3177314300174320</v>
      </c>
      <c r="I1597" s="6" t="s">
        <v>6713</v>
      </c>
      <c r="J1597" s="6" t="str">
        <f>"Suspender Buckle Pants"</f>
        <v>Suspender Buckle Pants</v>
      </c>
      <c r="K1597" s="6">
        <v>0</v>
      </c>
      <c r="L1597" s="6">
        <v>0</v>
      </c>
      <c r="M1597" s="6">
        <v>0</v>
      </c>
      <c r="N1597" s="6" t="str">
        <f>""</f>
        <v/>
      </c>
      <c r="O1597" s="6">
        <v>31199</v>
      </c>
      <c r="P1597" s="6" t="s">
        <v>6714</v>
      </c>
      <c r="R1597" s="6" t="s">
        <v>6715</v>
      </c>
      <c r="S1597" s="6" t="s">
        <v>6716</v>
      </c>
      <c r="T1597" s="6">
        <v>0</v>
      </c>
      <c r="U1597" s="6">
        <v>0</v>
      </c>
      <c r="V1597" s="6">
        <v>0</v>
      </c>
      <c r="W1597" s="6">
        <v>0</v>
      </c>
      <c r="X1597" s="6" t="s">
        <v>169</v>
      </c>
      <c r="Z1597" s="6" t="s">
        <v>170</v>
      </c>
      <c r="AA1597" s="6" t="s">
        <v>171</v>
      </c>
      <c r="AB1597" s="6">
        <v>0</v>
      </c>
      <c r="AC1597" s="6" t="str">
        <f>""</f>
        <v/>
      </c>
      <c r="AS1597" s="6">
        <v>0</v>
      </c>
      <c r="AT1597" s="6">
        <v>0</v>
      </c>
    </row>
    <row r="1598" spans="2:46">
      <c r="B1598" s="6" t="s">
        <v>115</v>
      </c>
      <c r="D1598" s="6" t="s">
        <v>3316</v>
      </c>
      <c r="F1598" s="6" t="s">
        <v>6717</v>
      </c>
      <c r="G1598" s="6" t="str">
        <f>"3177314300101320"</f>
        <v>3177314300101320</v>
      </c>
      <c r="H1598" s="6">
        <v>3177314300101320</v>
      </c>
      <c r="I1598" s="6" t="s">
        <v>6713</v>
      </c>
      <c r="J1598" s="6" t="str">
        <f>"Suspender Buckle Pants"</f>
        <v>Suspender Buckle Pants</v>
      </c>
      <c r="K1598" s="6">
        <v>0</v>
      </c>
      <c r="L1598" s="6">
        <v>0</v>
      </c>
      <c r="M1598" s="6">
        <v>0</v>
      </c>
      <c r="N1598" s="6" t="str">
        <f>""</f>
        <v/>
      </c>
      <c r="O1598" s="6">
        <v>31198</v>
      </c>
      <c r="P1598" s="6" t="s">
        <v>6718</v>
      </c>
      <c r="R1598" s="6" t="s">
        <v>6719</v>
      </c>
      <c r="S1598" s="6" t="s">
        <v>6720</v>
      </c>
      <c r="T1598" s="6">
        <v>0</v>
      </c>
      <c r="U1598" s="6">
        <v>0</v>
      </c>
      <c r="V1598" s="6">
        <v>0</v>
      </c>
      <c r="W1598" s="6">
        <v>0</v>
      </c>
      <c r="X1598" s="6" t="s">
        <v>169</v>
      </c>
      <c r="Z1598" s="6" t="s">
        <v>170</v>
      </c>
      <c r="AA1598" s="6" t="s">
        <v>171</v>
      </c>
      <c r="AB1598" s="6">
        <v>0</v>
      </c>
      <c r="AC1598" s="6" t="str">
        <f>""</f>
        <v/>
      </c>
      <c r="AS1598" s="6">
        <v>0</v>
      </c>
      <c r="AT1598" s="6">
        <v>0</v>
      </c>
    </row>
    <row r="1599" spans="2:46">
      <c r="B1599" s="6" t="s">
        <v>115</v>
      </c>
      <c r="D1599" s="6" t="s">
        <v>3316</v>
      </c>
      <c r="F1599" s="6" t="s">
        <v>6721</v>
      </c>
      <c r="G1599" s="6" t="str">
        <f>"3177314300185320"</f>
        <v>3177314300185320</v>
      </c>
      <c r="H1599" s="6">
        <v>3177314300185320</v>
      </c>
      <c r="I1599" s="6" t="s">
        <v>6713</v>
      </c>
      <c r="J1599" s="6" t="str">
        <f>"Suspender Buckle Pants"</f>
        <v>Suspender Buckle Pants</v>
      </c>
      <c r="K1599" s="6">
        <v>0</v>
      </c>
      <c r="L1599" s="6">
        <v>0</v>
      </c>
      <c r="M1599" s="6">
        <v>0</v>
      </c>
      <c r="N1599" s="6" t="str">
        <f>""</f>
        <v/>
      </c>
      <c r="O1599" s="6">
        <v>31197</v>
      </c>
      <c r="P1599" s="6" t="s">
        <v>6722</v>
      </c>
      <c r="R1599" s="6" t="s">
        <v>6619</v>
      </c>
      <c r="S1599" s="6" t="s">
        <v>6723</v>
      </c>
      <c r="T1599" s="6">
        <v>0</v>
      </c>
      <c r="U1599" s="6">
        <v>0</v>
      </c>
      <c r="V1599" s="6">
        <v>0</v>
      </c>
      <c r="W1599" s="6">
        <v>0</v>
      </c>
      <c r="X1599" s="6" t="s">
        <v>169</v>
      </c>
      <c r="Z1599" s="6" t="s">
        <v>170</v>
      </c>
      <c r="AA1599" s="6" t="s">
        <v>171</v>
      </c>
      <c r="AB1599" s="6">
        <v>0</v>
      </c>
      <c r="AC1599" s="6" t="str">
        <f>""</f>
        <v/>
      </c>
      <c r="AS1599" s="6">
        <v>0</v>
      </c>
      <c r="AT1599" s="6">
        <v>0</v>
      </c>
    </row>
    <row r="1600" spans="2:46">
      <c r="B1600" s="6" t="s">
        <v>115</v>
      </c>
      <c r="D1600" s="6" t="s">
        <v>3316</v>
      </c>
      <c r="F1600" s="6" t="s">
        <v>6724</v>
      </c>
      <c r="G1600" s="6" t="str">
        <f>"3177311300285303"</f>
        <v>3177311300285303</v>
      </c>
      <c r="H1600" s="6">
        <v>3177311300285300</v>
      </c>
      <c r="I1600" s="6" t="s">
        <v>6725</v>
      </c>
      <c r="J1600" s="6" t="str">
        <f>"Camo Buckle Pants"</f>
        <v>Camo Buckle Pants</v>
      </c>
      <c r="K1600" s="6">
        <v>0</v>
      </c>
      <c r="L1600" s="6">
        <v>0</v>
      </c>
      <c r="M1600" s="6">
        <v>0</v>
      </c>
      <c r="N1600" s="6" t="str">
        <f>""</f>
        <v/>
      </c>
      <c r="O1600" s="6">
        <v>31195</v>
      </c>
      <c r="P1600" s="6" t="s">
        <v>6726</v>
      </c>
      <c r="R1600" s="6" t="s">
        <v>6727</v>
      </c>
      <c r="S1600" s="6" t="s">
        <v>6728</v>
      </c>
      <c r="T1600" s="6">
        <v>0</v>
      </c>
      <c r="U1600" s="6">
        <v>0</v>
      </c>
      <c r="V1600" s="6">
        <v>0</v>
      </c>
      <c r="W1600" s="6">
        <v>0</v>
      </c>
      <c r="X1600" s="6" t="s">
        <v>169</v>
      </c>
      <c r="Z1600" s="6" t="s">
        <v>170</v>
      </c>
      <c r="AA1600" s="6" t="s">
        <v>171</v>
      </c>
      <c r="AB1600" s="6">
        <v>0</v>
      </c>
      <c r="AC1600" s="6" t="str">
        <f>""</f>
        <v/>
      </c>
      <c r="AS1600" s="6">
        <v>0</v>
      </c>
      <c r="AT1600" s="6">
        <v>0</v>
      </c>
    </row>
    <row r="1601" spans="2:46">
      <c r="B1601" s="6" t="s">
        <v>115</v>
      </c>
      <c r="D1601" s="6" t="s">
        <v>3316</v>
      </c>
      <c r="F1601" s="6" t="s">
        <v>6729</v>
      </c>
      <c r="G1601" s="6" t="str">
        <f>"3177311300285302"</f>
        <v>3177311300285302</v>
      </c>
      <c r="H1601" s="6">
        <v>3177311300285300</v>
      </c>
      <c r="I1601" s="6" t="s">
        <v>6725</v>
      </c>
      <c r="J1601" s="6" t="str">
        <f>"Camo Buckle Pants"</f>
        <v>Camo Buckle Pants</v>
      </c>
      <c r="K1601" s="6">
        <v>0</v>
      </c>
      <c r="L1601" s="6">
        <v>0</v>
      </c>
      <c r="M1601" s="6">
        <v>0</v>
      </c>
      <c r="N1601" s="6" t="str">
        <f>""</f>
        <v/>
      </c>
      <c r="O1601" s="6">
        <v>31194</v>
      </c>
      <c r="P1601" s="6" t="s">
        <v>6730</v>
      </c>
      <c r="R1601" s="6" t="s">
        <v>6731</v>
      </c>
      <c r="S1601" s="6" t="s">
        <v>6732</v>
      </c>
      <c r="T1601" s="6">
        <v>0</v>
      </c>
      <c r="U1601" s="6">
        <v>0</v>
      </c>
      <c r="V1601" s="6">
        <v>0</v>
      </c>
      <c r="W1601" s="6">
        <v>0</v>
      </c>
      <c r="X1601" s="6" t="s">
        <v>169</v>
      </c>
      <c r="Z1601" s="6" t="s">
        <v>170</v>
      </c>
      <c r="AA1601" s="6" t="s">
        <v>171</v>
      </c>
      <c r="AB1601" s="6">
        <v>0</v>
      </c>
      <c r="AC1601" s="6" t="str">
        <f>""</f>
        <v/>
      </c>
      <c r="AS1601" s="6">
        <v>0</v>
      </c>
      <c r="AT1601" s="6">
        <v>0</v>
      </c>
    </row>
    <row r="1602" spans="2:46">
      <c r="B1602" s="6" t="s">
        <v>115</v>
      </c>
      <c r="D1602" s="6" t="s">
        <v>3316</v>
      </c>
      <c r="F1602" s="6" t="s">
        <v>6733</v>
      </c>
      <c r="G1602" s="6" t="str">
        <f>"3177311300175303"</f>
        <v>3177311300175303</v>
      </c>
      <c r="H1602" s="6">
        <v>3177311300175300</v>
      </c>
      <c r="I1602" s="6" t="s">
        <v>6734</v>
      </c>
      <c r="J1602" s="6" t="str">
        <f>" Belt Cargo Pants"</f>
        <v xml:space="preserve"> Belt Cargo Pants</v>
      </c>
      <c r="K1602" s="6">
        <v>0</v>
      </c>
      <c r="L1602" s="6">
        <v>0</v>
      </c>
      <c r="M1602" s="6">
        <v>0</v>
      </c>
      <c r="N1602" s="6" t="str">
        <f>""</f>
        <v/>
      </c>
      <c r="O1602" s="6">
        <v>31192</v>
      </c>
      <c r="P1602" s="6" t="s">
        <v>6735</v>
      </c>
      <c r="R1602" s="6" t="s">
        <v>6736</v>
      </c>
      <c r="S1602" s="6" t="s">
        <v>6737</v>
      </c>
      <c r="T1602" s="6">
        <v>0</v>
      </c>
      <c r="U1602" s="6">
        <v>0</v>
      </c>
      <c r="V1602" s="6">
        <v>0</v>
      </c>
      <c r="W1602" s="6">
        <v>0</v>
      </c>
      <c r="X1602" s="6" t="s">
        <v>169</v>
      </c>
      <c r="Z1602" s="6" t="s">
        <v>170</v>
      </c>
      <c r="AA1602" s="6" t="s">
        <v>171</v>
      </c>
      <c r="AB1602" s="6">
        <v>0</v>
      </c>
      <c r="AC1602" s="6" t="str">
        <f>""</f>
        <v/>
      </c>
      <c r="AS1602" s="6">
        <v>0</v>
      </c>
      <c r="AT1602" s="6">
        <v>0</v>
      </c>
    </row>
    <row r="1603" spans="2:46">
      <c r="B1603" s="6" t="s">
        <v>115</v>
      </c>
      <c r="D1603" s="6" t="s">
        <v>3316</v>
      </c>
      <c r="F1603" s="6" t="s">
        <v>6738</v>
      </c>
      <c r="G1603" s="6" t="str">
        <f>"3177311300175302"</f>
        <v>3177311300175302</v>
      </c>
      <c r="H1603" s="6">
        <v>3177311300175300</v>
      </c>
      <c r="I1603" s="6" t="s">
        <v>6734</v>
      </c>
      <c r="J1603" s="6" t="str">
        <f>" Belt Cargo Pants"</f>
        <v xml:space="preserve"> Belt Cargo Pants</v>
      </c>
      <c r="K1603" s="6">
        <v>0</v>
      </c>
      <c r="L1603" s="6">
        <v>0</v>
      </c>
      <c r="M1603" s="6">
        <v>0</v>
      </c>
      <c r="N1603" s="6" t="str">
        <f>""</f>
        <v/>
      </c>
      <c r="O1603" s="6">
        <v>31191</v>
      </c>
      <c r="P1603" s="6" t="s">
        <v>6739</v>
      </c>
      <c r="R1603" s="6" t="s">
        <v>6740</v>
      </c>
      <c r="S1603" s="6" t="s">
        <v>6741</v>
      </c>
      <c r="T1603" s="6">
        <v>0</v>
      </c>
      <c r="U1603" s="6">
        <v>0</v>
      </c>
      <c r="V1603" s="6">
        <v>0</v>
      </c>
      <c r="W1603" s="6">
        <v>0</v>
      </c>
      <c r="X1603" s="6" t="s">
        <v>169</v>
      </c>
      <c r="Z1603" s="6" t="s">
        <v>170</v>
      </c>
      <c r="AA1603" s="6" t="s">
        <v>171</v>
      </c>
      <c r="AB1603" s="6">
        <v>0</v>
      </c>
      <c r="AC1603" s="6" t="str">
        <f>""</f>
        <v/>
      </c>
      <c r="AS1603" s="6">
        <v>0</v>
      </c>
      <c r="AT1603" s="6">
        <v>0</v>
      </c>
    </row>
    <row r="1604" spans="2:46">
      <c r="B1604" s="6" t="s">
        <v>115</v>
      </c>
      <c r="D1604" s="6" t="s">
        <v>3316</v>
      </c>
      <c r="F1604" s="6" t="s">
        <v>6742</v>
      </c>
      <c r="G1604" s="6" t="str">
        <f>"3177311300185303"</f>
        <v>3177311300185303</v>
      </c>
      <c r="H1604" s="6">
        <v>3177311300185300</v>
      </c>
      <c r="I1604" s="6" t="s">
        <v>6734</v>
      </c>
      <c r="J1604" s="6" t="str">
        <f>" Belt Cargo Pants"</f>
        <v xml:space="preserve"> Belt Cargo Pants</v>
      </c>
      <c r="K1604" s="6">
        <v>0</v>
      </c>
      <c r="L1604" s="6">
        <v>0</v>
      </c>
      <c r="M1604" s="6">
        <v>0</v>
      </c>
      <c r="N1604" s="6" t="str">
        <f>""</f>
        <v/>
      </c>
      <c r="O1604" s="6">
        <v>31190</v>
      </c>
      <c r="P1604" s="6" t="s">
        <v>6743</v>
      </c>
      <c r="R1604" s="6" t="s">
        <v>6727</v>
      </c>
      <c r="S1604" s="6" t="s">
        <v>6744</v>
      </c>
      <c r="T1604" s="6">
        <v>0</v>
      </c>
      <c r="U1604" s="6">
        <v>0</v>
      </c>
      <c r="V1604" s="6">
        <v>0</v>
      </c>
      <c r="W1604" s="6">
        <v>0</v>
      </c>
      <c r="X1604" s="6" t="s">
        <v>169</v>
      </c>
      <c r="Z1604" s="6" t="s">
        <v>170</v>
      </c>
      <c r="AA1604" s="6" t="s">
        <v>171</v>
      </c>
      <c r="AB1604" s="6">
        <v>0</v>
      </c>
      <c r="AC1604" s="6" t="str">
        <f>""</f>
        <v/>
      </c>
      <c r="AS1604" s="6">
        <v>0</v>
      </c>
      <c r="AT1604" s="6">
        <v>0</v>
      </c>
    </row>
    <row r="1605" spans="2:46">
      <c r="B1605" s="6" t="s">
        <v>115</v>
      </c>
      <c r="D1605" s="6" t="s">
        <v>3316</v>
      </c>
      <c r="F1605" s="6" t="s">
        <v>6745</v>
      </c>
      <c r="G1605" s="6" t="str">
        <f>"3177311300185302"</f>
        <v>3177311300185302</v>
      </c>
      <c r="H1605" s="6">
        <v>3177311300185300</v>
      </c>
      <c r="I1605" s="6" t="s">
        <v>6734</v>
      </c>
      <c r="J1605" s="6" t="str">
        <f>" Belt Cargo Pants"</f>
        <v xml:space="preserve"> Belt Cargo Pants</v>
      </c>
      <c r="K1605" s="6">
        <v>0</v>
      </c>
      <c r="L1605" s="6">
        <v>0</v>
      </c>
      <c r="M1605" s="6">
        <v>0</v>
      </c>
      <c r="N1605" s="6" t="str">
        <f>""</f>
        <v/>
      </c>
      <c r="O1605" s="6">
        <v>31189</v>
      </c>
      <c r="P1605" s="6" t="s">
        <v>6746</v>
      </c>
      <c r="R1605" s="6" t="s">
        <v>6731</v>
      </c>
      <c r="S1605" s="6" t="s">
        <v>6747</v>
      </c>
      <c r="T1605" s="6">
        <v>0</v>
      </c>
      <c r="U1605" s="6">
        <v>0</v>
      </c>
      <c r="V1605" s="6">
        <v>0</v>
      </c>
      <c r="W1605" s="6">
        <v>0</v>
      </c>
      <c r="X1605" s="6" t="s">
        <v>169</v>
      </c>
      <c r="Z1605" s="6" t="s">
        <v>170</v>
      </c>
      <c r="AA1605" s="6" t="s">
        <v>171</v>
      </c>
      <c r="AB1605" s="6">
        <v>0</v>
      </c>
      <c r="AC1605" s="6" t="str">
        <f>""</f>
        <v/>
      </c>
      <c r="AS1605" s="6">
        <v>0</v>
      </c>
      <c r="AT1605" s="6">
        <v>0</v>
      </c>
    </row>
    <row r="1606" spans="2:46">
      <c r="B1606" s="6" t="s">
        <v>115</v>
      </c>
      <c r="D1606" s="6" t="s">
        <v>3316</v>
      </c>
      <c r="F1606" s="6" t="s">
        <v>6748</v>
      </c>
      <c r="G1606" s="6" t="str">
        <f>"3177312300229302"</f>
        <v>3177312300229302</v>
      </c>
      <c r="H1606" s="6">
        <v>3177312300229300</v>
      </c>
      <c r="I1606" s="6" t="s">
        <v>6749</v>
      </c>
      <c r="J1606" s="6" t="str">
        <f>" Belt Denim Pants"</f>
        <v xml:space="preserve"> Belt Denim Pants</v>
      </c>
      <c r="K1606" s="6">
        <v>0</v>
      </c>
      <c r="L1606" s="6">
        <v>0</v>
      </c>
      <c r="M1606" s="6">
        <v>0</v>
      </c>
      <c r="N1606" s="6" t="str">
        <f>""</f>
        <v/>
      </c>
      <c r="O1606" s="6">
        <v>31187</v>
      </c>
      <c r="P1606" s="6" t="s">
        <v>6750</v>
      </c>
      <c r="R1606" s="6" t="s">
        <v>6751</v>
      </c>
      <c r="S1606" s="6" t="s">
        <v>6752</v>
      </c>
      <c r="T1606" s="6">
        <v>0</v>
      </c>
      <c r="U1606" s="6">
        <v>0</v>
      </c>
      <c r="V1606" s="6">
        <v>0</v>
      </c>
      <c r="W1606" s="6">
        <v>0</v>
      </c>
      <c r="X1606" s="6" t="s">
        <v>169</v>
      </c>
      <c r="Z1606" s="6" t="s">
        <v>170</v>
      </c>
      <c r="AA1606" s="6" t="s">
        <v>171</v>
      </c>
      <c r="AB1606" s="6">
        <v>0</v>
      </c>
      <c r="AC1606" s="6" t="str">
        <f>""</f>
        <v/>
      </c>
      <c r="AS1606" s="6">
        <v>0</v>
      </c>
      <c r="AT1606" s="6">
        <v>0</v>
      </c>
    </row>
    <row r="1607" spans="2:46">
      <c r="B1607" s="6" t="s">
        <v>115</v>
      </c>
      <c r="D1607" s="6" t="s">
        <v>3316</v>
      </c>
      <c r="F1607" s="6" t="s">
        <v>6753</v>
      </c>
      <c r="G1607" s="6" t="str">
        <f>"3177312300229301"</f>
        <v>3177312300229301</v>
      </c>
      <c r="H1607" s="6">
        <v>3177312300229300</v>
      </c>
      <c r="I1607" s="6" t="s">
        <v>6749</v>
      </c>
      <c r="J1607" s="6" t="str">
        <f>" Belt Denim Pants"</f>
        <v xml:space="preserve"> Belt Denim Pants</v>
      </c>
      <c r="K1607" s="6">
        <v>0</v>
      </c>
      <c r="L1607" s="6">
        <v>0</v>
      </c>
      <c r="M1607" s="6">
        <v>0</v>
      </c>
      <c r="N1607" s="6" t="str">
        <f>""</f>
        <v/>
      </c>
      <c r="O1607" s="6">
        <v>31186</v>
      </c>
      <c r="P1607" s="6" t="s">
        <v>6754</v>
      </c>
      <c r="R1607" s="6" t="s">
        <v>6755</v>
      </c>
      <c r="S1607" s="6" t="s">
        <v>6756</v>
      </c>
      <c r="T1607" s="6">
        <v>0</v>
      </c>
      <c r="U1607" s="6">
        <v>0</v>
      </c>
      <c r="V1607" s="6">
        <v>0</v>
      </c>
      <c r="W1607" s="6">
        <v>0</v>
      </c>
      <c r="X1607" s="6" t="s">
        <v>169</v>
      </c>
      <c r="Z1607" s="6" t="s">
        <v>170</v>
      </c>
      <c r="AA1607" s="6" t="s">
        <v>171</v>
      </c>
      <c r="AB1607" s="6">
        <v>0</v>
      </c>
      <c r="AC1607" s="6" t="str">
        <f>""</f>
        <v/>
      </c>
      <c r="AS1607" s="6">
        <v>0</v>
      </c>
      <c r="AT1607" s="6">
        <v>0</v>
      </c>
    </row>
    <row r="1608" spans="2:46">
      <c r="B1608" s="6" t="s">
        <v>115</v>
      </c>
      <c r="D1608" s="6" t="s">
        <v>3316</v>
      </c>
      <c r="F1608" s="6" t="s">
        <v>6757</v>
      </c>
      <c r="G1608" s="6" t="str">
        <f>"3177332300230303"</f>
        <v>3177332300230303</v>
      </c>
      <c r="H1608" s="6">
        <v>3177332300230300</v>
      </c>
      <c r="I1608" s="6" t="s">
        <v>6758</v>
      </c>
      <c r="J1608" s="6" t="str">
        <f>"Belt Mini Skirt"</f>
        <v>Belt Mini Skirt</v>
      </c>
      <c r="K1608" s="6">
        <v>0</v>
      </c>
      <c r="L1608" s="6">
        <v>0</v>
      </c>
      <c r="M1608" s="6">
        <v>0</v>
      </c>
      <c r="N1608" s="6" t="str">
        <f>""</f>
        <v/>
      </c>
      <c r="O1608" s="6">
        <v>31184</v>
      </c>
      <c r="P1608" s="6" t="s">
        <v>6759</v>
      </c>
      <c r="R1608" s="6" t="s">
        <v>6760</v>
      </c>
      <c r="S1608" s="6" t="s">
        <v>6761</v>
      </c>
      <c r="T1608" s="6">
        <v>0</v>
      </c>
      <c r="U1608" s="6">
        <v>0</v>
      </c>
      <c r="V1608" s="6">
        <v>0</v>
      </c>
      <c r="W1608" s="6">
        <v>0</v>
      </c>
      <c r="X1608" s="6" t="s">
        <v>169</v>
      </c>
      <c r="Z1608" s="6" t="s">
        <v>170</v>
      </c>
      <c r="AA1608" s="6" t="s">
        <v>171</v>
      </c>
      <c r="AB1608" s="6">
        <v>0</v>
      </c>
      <c r="AC1608" s="6" t="str">
        <f>""</f>
        <v/>
      </c>
      <c r="AS1608" s="6">
        <v>0</v>
      </c>
      <c r="AT1608" s="6">
        <v>0</v>
      </c>
    </row>
    <row r="1609" spans="2:46">
      <c r="B1609" s="6" t="s">
        <v>115</v>
      </c>
      <c r="D1609" s="6" t="s">
        <v>3316</v>
      </c>
      <c r="F1609" s="6" t="s">
        <v>6762</v>
      </c>
      <c r="G1609" s="6" t="str">
        <f>"3177332300230302"</f>
        <v>3177332300230302</v>
      </c>
      <c r="H1609" s="6">
        <v>3177332300230300</v>
      </c>
      <c r="I1609" s="6" t="s">
        <v>6758</v>
      </c>
      <c r="J1609" s="6" t="str">
        <f>"Belt Mini Skirt"</f>
        <v>Belt Mini Skirt</v>
      </c>
      <c r="K1609" s="6">
        <v>0</v>
      </c>
      <c r="L1609" s="6">
        <v>0</v>
      </c>
      <c r="M1609" s="6">
        <v>0</v>
      </c>
      <c r="N1609" s="6" t="str">
        <f>""</f>
        <v/>
      </c>
      <c r="O1609" s="6">
        <v>31183</v>
      </c>
      <c r="P1609" s="6" t="s">
        <v>6763</v>
      </c>
      <c r="R1609" s="6" t="s">
        <v>6764</v>
      </c>
      <c r="S1609" s="6" t="s">
        <v>6765</v>
      </c>
      <c r="T1609" s="6">
        <v>0</v>
      </c>
      <c r="U1609" s="6">
        <v>0</v>
      </c>
      <c r="V1609" s="6">
        <v>0</v>
      </c>
      <c r="W1609" s="6">
        <v>0</v>
      </c>
      <c r="X1609" s="6" t="s">
        <v>169</v>
      </c>
      <c r="Z1609" s="6" t="s">
        <v>170</v>
      </c>
      <c r="AA1609" s="6" t="s">
        <v>171</v>
      </c>
      <c r="AB1609" s="6">
        <v>0</v>
      </c>
      <c r="AC1609" s="6" t="str">
        <f>""</f>
        <v/>
      </c>
      <c r="AS1609" s="6">
        <v>0</v>
      </c>
      <c r="AT1609" s="6">
        <v>0</v>
      </c>
    </row>
    <row r="1610" spans="2:46">
      <c r="B1610" s="6" t="s">
        <v>115</v>
      </c>
      <c r="D1610" s="6" t="s">
        <v>3316</v>
      </c>
      <c r="F1610" s="6" t="s">
        <v>6766</v>
      </c>
      <c r="G1610" s="6" t="str">
        <f>"3177332300285303"</f>
        <v>3177332300285303</v>
      </c>
      <c r="H1610" s="6">
        <v>3177332300285300</v>
      </c>
      <c r="I1610" s="6" t="s">
        <v>6758</v>
      </c>
      <c r="J1610" s="6" t="str">
        <f>"Belt Mini Skirt"</f>
        <v>Belt Mini Skirt</v>
      </c>
      <c r="K1610" s="6">
        <v>0</v>
      </c>
      <c r="L1610" s="6">
        <v>0</v>
      </c>
      <c r="M1610" s="6">
        <v>0</v>
      </c>
      <c r="N1610" s="6" t="str">
        <f>""</f>
        <v/>
      </c>
      <c r="O1610" s="6">
        <v>31182</v>
      </c>
      <c r="P1610" s="6" t="s">
        <v>6767</v>
      </c>
      <c r="R1610" s="6" t="s">
        <v>6731</v>
      </c>
      <c r="S1610" s="6" t="s">
        <v>6768</v>
      </c>
      <c r="T1610" s="6">
        <v>0</v>
      </c>
      <c r="U1610" s="6">
        <v>0</v>
      </c>
      <c r="V1610" s="6">
        <v>0</v>
      </c>
      <c r="W1610" s="6">
        <v>0</v>
      </c>
      <c r="X1610" s="6" t="s">
        <v>169</v>
      </c>
      <c r="Z1610" s="6" t="s">
        <v>170</v>
      </c>
      <c r="AA1610" s="6" t="s">
        <v>171</v>
      </c>
      <c r="AB1610" s="6">
        <v>0</v>
      </c>
      <c r="AC1610" s="6" t="str">
        <f>""</f>
        <v/>
      </c>
      <c r="AS1610" s="6">
        <v>0</v>
      </c>
      <c r="AT1610" s="6">
        <v>0</v>
      </c>
    </row>
    <row r="1611" spans="2:46">
      <c r="B1611" s="6" t="s">
        <v>115</v>
      </c>
      <c r="D1611" s="6" t="s">
        <v>3316</v>
      </c>
      <c r="F1611" s="6" t="s">
        <v>6769</v>
      </c>
      <c r="G1611" s="6" t="str">
        <f>"3177332300285302"</f>
        <v>3177332300285302</v>
      </c>
      <c r="H1611" s="6">
        <v>3177332300285300</v>
      </c>
      <c r="I1611" s="6" t="s">
        <v>6758</v>
      </c>
      <c r="J1611" s="6" t="str">
        <f>"Belt Mini Skirt"</f>
        <v>Belt Mini Skirt</v>
      </c>
      <c r="K1611" s="6">
        <v>0</v>
      </c>
      <c r="L1611" s="6">
        <v>0</v>
      </c>
      <c r="M1611" s="6">
        <v>0</v>
      </c>
      <c r="N1611" s="6" t="str">
        <f>""</f>
        <v/>
      </c>
      <c r="O1611" s="6">
        <v>31181</v>
      </c>
      <c r="P1611" s="6" t="s">
        <v>6770</v>
      </c>
      <c r="R1611" s="6" t="s">
        <v>6771</v>
      </c>
      <c r="S1611" s="6" t="s">
        <v>6772</v>
      </c>
      <c r="T1611" s="6">
        <v>0</v>
      </c>
      <c r="U1611" s="6">
        <v>0</v>
      </c>
      <c r="V1611" s="6">
        <v>0</v>
      </c>
      <c r="W1611" s="6">
        <v>0</v>
      </c>
      <c r="X1611" s="6" t="s">
        <v>169</v>
      </c>
      <c r="Z1611" s="6" t="s">
        <v>170</v>
      </c>
      <c r="AA1611" s="6" t="s">
        <v>171</v>
      </c>
      <c r="AB1611" s="6">
        <v>0</v>
      </c>
      <c r="AC1611" s="6" t="str">
        <f>""</f>
        <v/>
      </c>
      <c r="AS1611" s="6">
        <v>0</v>
      </c>
      <c r="AT1611" s="6">
        <v>0</v>
      </c>
    </row>
    <row r="1612" spans="2:46">
      <c r="B1612" s="6" t="s">
        <v>115</v>
      </c>
      <c r="D1612" s="6" t="s">
        <v>3316</v>
      </c>
      <c r="F1612" s="6" t="s">
        <v>6773</v>
      </c>
      <c r="G1612" s="6" t="str">
        <f>"3177134304401208"</f>
        <v>3177134304401208</v>
      </c>
      <c r="H1612" s="6">
        <v>3177134304401200</v>
      </c>
      <c r="I1612" s="6" t="s">
        <v>6774</v>
      </c>
      <c r="J1612" s="6" t="str">
        <f>" Side Slit Jacket"</f>
        <v xml:space="preserve"> Side Slit Jacket</v>
      </c>
      <c r="K1612" s="6">
        <v>0</v>
      </c>
      <c r="L1612" s="6">
        <v>0</v>
      </c>
      <c r="M1612" s="6">
        <v>0</v>
      </c>
      <c r="N1612" s="6" t="str">
        <f>""</f>
        <v/>
      </c>
      <c r="O1612" s="6">
        <v>31179</v>
      </c>
      <c r="P1612" s="6" t="s">
        <v>6775</v>
      </c>
      <c r="R1612" s="6" t="s">
        <v>6719</v>
      </c>
      <c r="S1612" s="6" t="s">
        <v>6776</v>
      </c>
      <c r="T1612" s="6">
        <v>0</v>
      </c>
      <c r="U1612" s="6">
        <v>0</v>
      </c>
      <c r="V1612" s="6">
        <v>0</v>
      </c>
      <c r="W1612" s="6">
        <v>0</v>
      </c>
      <c r="X1612" s="6" t="s">
        <v>169</v>
      </c>
      <c r="Z1612" s="6" t="s">
        <v>170</v>
      </c>
      <c r="AA1612" s="6" t="s">
        <v>171</v>
      </c>
      <c r="AB1612" s="6">
        <v>0</v>
      </c>
      <c r="AC1612" s="6" t="str">
        <f>""</f>
        <v/>
      </c>
      <c r="AS1612" s="6">
        <v>0</v>
      </c>
      <c r="AT1612" s="6">
        <v>0</v>
      </c>
    </row>
    <row r="1613" spans="2:46">
      <c r="B1613" s="6" t="s">
        <v>115</v>
      </c>
      <c r="D1613" s="6" t="s">
        <v>3316</v>
      </c>
      <c r="F1613" s="6" t="s">
        <v>6777</v>
      </c>
      <c r="G1613" s="6" t="str">
        <f>"3177134304485208"</f>
        <v>3177134304485208</v>
      </c>
      <c r="H1613" s="6">
        <v>3177134304485200</v>
      </c>
      <c r="I1613" s="6" t="s">
        <v>6774</v>
      </c>
      <c r="J1613" s="6" t="str">
        <f>" Side Slit Jacket"</f>
        <v xml:space="preserve"> Side Slit Jacket</v>
      </c>
      <c r="K1613" s="6">
        <v>0</v>
      </c>
      <c r="L1613" s="6">
        <v>0</v>
      </c>
      <c r="M1613" s="6">
        <v>0</v>
      </c>
      <c r="N1613" s="6" t="str">
        <f>""</f>
        <v/>
      </c>
      <c r="O1613" s="6">
        <v>31178</v>
      </c>
      <c r="P1613" s="6" t="s">
        <v>6778</v>
      </c>
      <c r="R1613" s="6" t="s">
        <v>6687</v>
      </c>
      <c r="S1613" s="6" t="s">
        <v>6779</v>
      </c>
      <c r="T1613" s="6">
        <v>0</v>
      </c>
      <c r="U1613" s="6">
        <v>0</v>
      </c>
      <c r="V1613" s="6">
        <v>0</v>
      </c>
      <c r="W1613" s="6">
        <v>0</v>
      </c>
      <c r="X1613" s="6" t="s">
        <v>169</v>
      </c>
      <c r="Z1613" s="6" t="s">
        <v>170</v>
      </c>
      <c r="AA1613" s="6" t="s">
        <v>171</v>
      </c>
      <c r="AB1613" s="6">
        <v>0</v>
      </c>
      <c r="AC1613" s="6" t="str">
        <f>""</f>
        <v/>
      </c>
      <c r="AS1613" s="6">
        <v>0</v>
      </c>
      <c r="AT1613" s="6">
        <v>0</v>
      </c>
    </row>
    <row r="1614" spans="2:46">
      <c r="B1614" s="6" t="s">
        <v>115</v>
      </c>
      <c r="D1614" s="6" t="s">
        <v>3316</v>
      </c>
      <c r="F1614" s="6" t="s">
        <v>6780</v>
      </c>
      <c r="G1614" s="6" t="str">
        <f>"3177241301030208"</f>
        <v>3177241301030208</v>
      </c>
      <c r="H1614" s="6">
        <v>3177241301030200</v>
      </c>
      <c r="I1614" s="6" t="s">
        <v>6781</v>
      </c>
      <c r="J1614" s="6" t="str">
        <f>"Vintage Buckle Shirt"</f>
        <v>Vintage Buckle Shirt</v>
      </c>
      <c r="K1614" s="6">
        <v>0</v>
      </c>
      <c r="L1614" s="6">
        <v>0</v>
      </c>
      <c r="M1614" s="6">
        <v>0</v>
      </c>
      <c r="N1614" s="6" t="str">
        <f>""</f>
        <v/>
      </c>
      <c r="O1614" s="6">
        <v>31176</v>
      </c>
      <c r="P1614" s="6" t="s">
        <v>6782</v>
      </c>
      <c r="R1614" s="6" t="s">
        <v>6648</v>
      </c>
      <c r="S1614" s="6" t="s">
        <v>6783</v>
      </c>
      <c r="T1614" s="6">
        <v>0</v>
      </c>
      <c r="U1614" s="6">
        <v>0</v>
      </c>
      <c r="V1614" s="6">
        <v>0</v>
      </c>
      <c r="W1614" s="6">
        <v>0</v>
      </c>
      <c r="X1614" s="6" t="s">
        <v>169</v>
      </c>
      <c r="Z1614" s="6" t="s">
        <v>170</v>
      </c>
      <c r="AA1614" s="6" t="s">
        <v>171</v>
      </c>
      <c r="AB1614" s="6">
        <v>0</v>
      </c>
      <c r="AC1614" s="6" t="str">
        <f>""</f>
        <v/>
      </c>
      <c r="AS1614" s="6">
        <v>0</v>
      </c>
      <c r="AT1614" s="6">
        <v>0</v>
      </c>
    </row>
    <row r="1615" spans="2:46">
      <c r="B1615" s="6" t="s">
        <v>115</v>
      </c>
      <c r="D1615" s="6" t="s">
        <v>3316</v>
      </c>
      <c r="F1615" s="6" t="s">
        <v>6784</v>
      </c>
      <c r="G1615" s="6" t="str">
        <f>"3177241301075208"</f>
        <v>3177241301075208</v>
      </c>
      <c r="H1615" s="6">
        <v>3177241301075200</v>
      </c>
      <c r="I1615" s="6" t="s">
        <v>6781</v>
      </c>
      <c r="J1615" s="6" t="str">
        <f>"Vintage Buckle Shirt"</f>
        <v>Vintage Buckle Shirt</v>
      </c>
      <c r="K1615" s="6">
        <v>0</v>
      </c>
      <c r="L1615" s="6">
        <v>0</v>
      </c>
      <c r="M1615" s="6">
        <v>0</v>
      </c>
      <c r="N1615" s="6" t="str">
        <f>""</f>
        <v/>
      </c>
      <c r="O1615" s="6">
        <v>31175</v>
      </c>
      <c r="P1615" s="6" t="s">
        <v>6785</v>
      </c>
      <c r="R1615" s="6" t="s">
        <v>6786</v>
      </c>
      <c r="S1615" s="6" t="s">
        <v>6787</v>
      </c>
      <c r="T1615" s="6">
        <v>0</v>
      </c>
      <c r="U1615" s="6">
        <v>0</v>
      </c>
      <c r="V1615" s="6">
        <v>0</v>
      </c>
      <c r="W1615" s="6">
        <v>0</v>
      </c>
      <c r="X1615" s="6" t="s">
        <v>169</v>
      </c>
      <c r="Z1615" s="6" t="s">
        <v>170</v>
      </c>
      <c r="AA1615" s="6" t="s">
        <v>171</v>
      </c>
      <c r="AB1615" s="6">
        <v>0</v>
      </c>
      <c r="AC1615" s="6" t="str">
        <f>""</f>
        <v/>
      </c>
      <c r="AS1615" s="6">
        <v>0</v>
      </c>
      <c r="AT1615" s="6">
        <v>0</v>
      </c>
    </row>
    <row r="1616" spans="2:46">
      <c r="B1616" s="6" t="s">
        <v>115</v>
      </c>
      <c r="D1616" s="6" t="s">
        <v>3316</v>
      </c>
      <c r="F1616" s="6" t="s">
        <v>6788</v>
      </c>
      <c r="G1616" s="6" t="str">
        <f>"3177124301574208"</f>
        <v>3177124301574208</v>
      </c>
      <c r="H1616" s="6">
        <v>3177124301574200</v>
      </c>
      <c r="I1616" s="6" t="s">
        <v>6789</v>
      </c>
      <c r="J1616" s="6" t="str">
        <f>"Twin Buckle Anorak"</f>
        <v>Twin Buckle Anorak</v>
      </c>
      <c r="K1616" s="6">
        <v>0</v>
      </c>
      <c r="L1616" s="6">
        <v>0</v>
      </c>
      <c r="M1616" s="6">
        <v>0</v>
      </c>
      <c r="N1616" s="6" t="str">
        <f>""</f>
        <v/>
      </c>
      <c r="O1616" s="6">
        <v>31173</v>
      </c>
      <c r="P1616" s="6" t="s">
        <v>6790</v>
      </c>
      <c r="R1616" s="6" t="s">
        <v>6715</v>
      </c>
      <c r="S1616" s="6" t="s">
        <v>6791</v>
      </c>
      <c r="T1616" s="6">
        <v>0</v>
      </c>
      <c r="U1616" s="6">
        <v>0</v>
      </c>
      <c r="V1616" s="6">
        <v>0</v>
      </c>
      <c r="W1616" s="6">
        <v>0</v>
      </c>
      <c r="X1616" s="6" t="s">
        <v>169</v>
      </c>
      <c r="Z1616" s="6" t="s">
        <v>170</v>
      </c>
      <c r="AA1616" s="6" t="s">
        <v>171</v>
      </c>
      <c r="AB1616" s="6">
        <v>0</v>
      </c>
      <c r="AC1616" s="6" t="str">
        <f>""</f>
        <v/>
      </c>
      <c r="AS1616" s="6">
        <v>0</v>
      </c>
      <c r="AT1616" s="6">
        <v>0</v>
      </c>
    </row>
    <row r="1617" spans="2:46">
      <c r="B1617" s="6" t="s">
        <v>115</v>
      </c>
      <c r="D1617" s="6" t="s">
        <v>3316</v>
      </c>
      <c r="F1617" s="6" t="s">
        <v>6792</v>
      </c>
      <c r="G1617" s="6" t="str">
        <f>"3177124301585208"</f>
        <v>3177124301585208</v>
      </c>
      <c r="H1617" s="6">
        <v>3177124301585200</v>
      </c>
      <c r="I1617" s="6" t="s">
        <v>6789</v>
      </c>
      <c r="J1617" s="6" t="str">
        <f>"Twin Buckle Anorak"</f>
        <v>Twin Buckle Anorak</v>
      </c>
      <c r="K1617" s="6">
        <v>0</v>
      </c>
      <c r="L1617" s="6">
        <v>0</v>
      </c>
      <c r="M1617" s="6">
        <v>0</v>
      </c>
      <c r="N1617" s="6" t="str">
        <f>""</f>
        <v/>
      </c>
      <c r="O1617" s="6">
        <v>31172</v>
      </c>
      <c r="P1617" s="6" t="s">
        <v>6793</v>
      </c>
      <c r="R1617" s="6" t="s">
        <v>6619</v>
      </c>
      <c r="S1617" s="6" t="s">
        <v>6794</v>
      </c>
      <c r="T1617" s="6">
        <v>0</v>
      </c>
      <c r="U1617" s="6">
        <v>0</v>
      </c>
      <c r="V1617" s="6">
        <v>0</v>
      </c>
      <c r="W1617" s="6">
        <v>0</v>
      </c>
      <c r="X1617" s="6" t="s">
        <v>169</v>
      </c>
      <c r="Z1617" s="6" t="s">
        <v>170</v>
      </c>
      <c r="AA1617" s="6" t="s">
        <v>171</v>
      </c>
      <c r="AB1617" s="6">
        <v>0</v>
      </c>
      <c r="AC1617" s="6" t="str">
        <f>""</f>
        <v/>
      </c>
      <c r="AS1617" s="6">
        <v>0</v>
      </c>
      <c r="AT1617" s="6">
        <v>0</v>
      </c>
    </row>
    <row r="1618" spans="2:46">
      <c r="B1618" s="6" t="s">
        <v>115</v>
      </c>
      <c r="D1618" s="6" t="s">
        <v>3316</v>
      </c>
      <c r="F1618" s="6" t="s">
        <v>6795</v>
      </c>
      <c r="G1618" s="6" t="str">
        <f>"3177124301565208"</f>
        <v>3177124301565208</v>
      </c>
      <c r="H1618" s="6">
        <v>3177124301565200</v>
      </c>
      <c r="I1618" s="6" t="s">
        <v>6789</v>
      </c>
      <c r="J1618" s="6" t="str">
        <f>"Twin Buckle Anorak"</f>
        <v>Twin Buckle Anorak</v>
      </c>
      <c r="K1618" s="6">
        <v>0</v>
      </c>
      <c r="L1618" s="6">
        <v>0</v>
      </c>
      <c r="M1618" s="6">
        <v>0</v>
      </c>
      <c r="N1618" s="6" t="str">
        <f>""</f>
        <v/>
      </c>
      <c r="O1618" s="6">
        <v>31171</v>
      </c>
      <c r="P1618" s="6" t="s">
        <v>6796</v>
      </c>
      <c r="R1618" s="6" t="s">
        <v>6667</v>
      </c>
      <c r="S1618" s="6" t="s">
        <v>6797</v>
      </c>
      <c r="T1618" s="6">
        <v>0</v>
      </c>
      <c r="U1618" s="6">
        <v>0</v>
      </c>
      <c r="V1618" s="6">
        <v>0</v>
      </c>
      <c r="W1618" s="6">
        <v>0</v>
      </c>
      <c r="X1618" s="6" t="s">
        <v>169</v>
      </c>
      <c r="Z1618" s="6" t="s">
        <v>170</v>
      </c>
      <c r="AA1618" s="6" t="s">
        <v>171</v>
      </c>
      <c r="AB1618" s="6">
        <v>0</v>
      </c>
      <c r="AC1618" s="6" t="str">
        <f>""</f>
        <v/>
      </c>
      <c r="AS1618" s="6">
        <v>0</v>
      </c>
      <c r="AT1618" s="6">
        <v>0</v>
      </c>
    </row>
    <row r="1619" spans="2:46">
      <c r="B1619" s="6" t="s">
        <v>115</v>
      </c>
      <c r="D1619" s="6" t="s">
        <v>3316</v>
      </c>
      <c r="F1619" s="6" t="s">
        <v>6798</v>
      </c>
      <c r="G1619" s="6" t="str">
        <f>"3177234305195208"</f>
        <v>3177234305195208</v>
      </c>
      <c r="H1619" s="6">
        <v>3177234305195200</v>
      </c>
      <c r="I1619" s="6" t="s">
        <v>6799</v>
      </c>
      <c r="J1619" s="6" t="str">
        <f>" Side Buckle Hood T-shirt"</f>
        <v xml:space="preserve"> Side Buckle Hood T-shirt</v>
      </c>
      <c r="K1619" s="6">
        <v>0</v>
      </c>
      <c r="L1619" s="6">
        <v>0</v>
      </c>
      <c r="M1619" s="6">
        <v>0</v>
      </c>
      <c r="N1619" s="6" t="str">
        <f>""</f>
        <v/>
      </c>
      <c r="O1619" s="6">
        <v>31169</v>
      </c>
      <c r="P1619" s="6" t="s">
        <v>6800</v>
      </c>
      <c r="R1619" s="6" t="s">
        <v>6801</v>
      </c>
      <c r="S1619" s="6" t="s">
        <v>6802</v>
      </c>
      <c r="T1619" s="6">
        <v>0</v>
      </c>
      <c r="U1619" s="6">
        <v>0</v>
      </c>
      <c r="V1619" s="6">
        <v>0</v>
      </c>
      <c r="W1619" s="6">
        <v>0</v>
      </c>
      <c r="X1619" s="6" t="s">
        <v>169</v>
      </c>
      <c r="Z1619" s="6" t="s">
        <v>170</v>
      </c>
      <c r="AA1619" s="6" t="s">
        <v>171</v>
      </c>
      <c r="AB1619" s="6">
        <v>0</v>
      </c>
      <c r="AC1619" s="6" t="str">
        <f>""</f>
        <v/>
      </c>
      <c r="AS1619" s="6">
        <v>0</v>
      </c>
      <c r="AT1619" s="6">
        <v>0</v>
      </c>
    </row>
    <row r="1620" spans="2:46">
      <c r="B1620" s="6" t="s">
        <v>115</v>
      </c>
      <c r="D1620" s="6" t="s">
        <v>3316</v>
      </c>
      <c r="F1620" s="6" t="s">
        <v>6803</v>
      </c>
      <c r="G1620" s="6" t="str">
        <f>"3177234305199208"</f>
        <v>3177234305199208</v>
      </c>
      <c r="H1620" s="6">
        <v>3177234305199200</v>
      </c>
      <c r="I1620" s="6" t="s">
        <v>6799</v>
      </c>
      <c r="J1620" s="6" t="str">
        <f>" Side Buckle Hood T-shirt"</f>
        <v xml:space="preserve"> Side Buckle Hood T-shirt</v>
      </c>
      <c r="K1620" s="6">
        <v>0</v>
      </c>
      <c r="L1620" s="6">
        <v>0</v>
      </c>
      <c r="M1620" s="6">
        <v>0</v>
      </c>
      <c r="N1620" s="6" t="str">
        <f>""</f>
        <v/>
      </c>
      <c r="O1620" s="6">
        <v>31168</v>
      </c>
      <c r="P1620" s="6" t="s">
        <v>6804</v>
      </c>
      <c r="R1620" s="6" t="s">
        <v>6639</v>
      </c>
      <c r="S1620" s="6" t="s">
        <v>6805</v>
      </c>
      <c r="T1620" s="6">
        <v>0</v>
      </c>
      <c r="U1620" s="6">
        <v>0</v>
      </c>
      <c r="V1620" s="6">
        <v>0</v>
      </c>
      <c r="W1620" s="6">
        <v>0</v>
      </c>
      <c r="X1620" s="6" t="s">
        <v>169</v>
      </c>
      <c r="Z1620" s="6" t="s">
        <v>170</v>
      </c>
      <c r="AA1620" s="6" t="s">
        <v>171</v>
      </c>
      <c r="AB1620" s="6">
        <v>0</v>
      </c>
      <c r="AC1620" s="6" t="str">
        <f>""</f>
        <v/>
      </c>
      <c r="AS1620" s="6">
        <v>0</v>
      </c>
      <c r="AT1620" s="6">
        <v>0</v>
      </c>
    </row>
    <row r="1621" spans="2:46">
      <c r="B1621" s="6" t="s">
        <v>115</v>
      </c>
      <c r="D1621" s="6" t="s">
        <v>3316</v>
      </c>
      <c r="F1621" s="6" t="s">
        <v>6806</v>
      </c>
      <c r="G1621" s="6" t="str">
        <f>"3175524601401120"</f>
        <v>3175524601401120</v>
      </c>
      <c r="I1621" s="6" t="s">
        <v>6807</v>
      </c>
      <c r="J1621" s="6" t="str">
        <f>" Satellite Ball Cap(PINK)"</f>
        <v xml:space="preserve"> Satellite Ball Cap(PINK)</v>
      </c>
      <c r="K1621" s="6">
        <v>0</v>
      </c>
      <c r="L1621" s="6">
        <v>0</v>
      </c>
      <c r="M1621" s="6">
        <v>0</v>
      </c>
      <c r="N1621" s="6" t="str">
        <f>""</f>
        <v/>
      </c>
      <c r="O1621" s="6">
        <v>31166</v>
      </c>
      <c r="P1621" s="6" t="s">
        <v>6808</v>
      </c>
      <c r="R1621" s="6" t="s">
        <v>1469</v>
      </c>
      <c r="S1621" s="6" t="s">
        <v>6809</v>
      </c>
      <c r="T1621" s="6">
        <v>1</v>
      </c>
      <c r="U1621" s="6">
        <v>0</v>
      </c>
      <c r="V1621" s="6">
        <v>0</v>
      </c>
      <c r="W1621" s="6">
        <v>0</v>
      </c>
      <c r="X1621" s="6" t="s">
        <v>169</v>
      </c>
      <c r="Z1621" s="6" t="s">
        <v>170</v>
      </c>
      <c r="AA1621" s="6" t="s">
        <v>171</v>
      </c>
      <c r="AB1621" s="6">
        <v>0</v>
      </c>
      <c r="AC1621" s="6" t="str">
        <f>"KEY-052"</f>
        <v>KEY-052</v>
      </c>
      <c r="AQ1621" s="6" t="str">
        <f>""</f>
        <v/>
      </c>
      <c r="AR1621" s="6" t="s">
        <v>1567</v>
      </c>
      <c r="AS1621" s="6">
        <v>0</v>
      </c>
      <c r="AT1621" s="6">
        <v>1</v>
      </c>
    </row>
    <row r="1622" spans="2:46">
      <c r="B1622" s="6" t="s">
        <v>115</v>
      </c>
      <c r="D1622" s="6" t="s">
        <v>3316</v>
      </c>
      <c r="F1622" s="6" t="s">
        <v>6810</v>
      </c>
      <c r="G1622" s="6" t="str">
        <f>"3176524600599120"</f>
        <v>3176524600599120</v>
      </c>
      <c r="H1622" s="6">
        <v>3176524600599120</v>
      </c>
      <c r="I1622" s="6" t="s">
        <v>6811</v>
      </c>
      <c r="J1622" s="6" t="str">
        <f>"Vacationer Bucket Hat(NAVY)"</f>
        <v>Vacationer Bucket Hat(NAVY)</v>
      </c>
      <c r="K1622" s="6">
        <v>0</v>
      </c>
      <c r="L1622" s="6">
        <v>0</v>
      </c>
      <c r="M1622" s="6">
        <v>0</v>
      </c>
      <c r="N1622" s="6" t="str">
        <f>""</f>
        <v/>
      </c>
      <c r="O1622" s="6">
        <v>31164</v>
      </c>
      <c r="P1622" s="6" t="s">
        <v>6812</v>
      </c>
      <c r="R1622" s="6" t="s">
        <v>6813</v>
      </c>
      <c r="S1622" s="6" t="s">
        <v>6814</v>
      </c>
      <c r="T1622" s="6">
        <v>0</v>
      </c>
      <c r="U1622" s="6">
        <v>0</v>
      </c>
      <c r="V1622" s="6">
        <v>0</v>
      </c>
      <c r="W1622" s="6">
        <v>0</v>
      </c>
      <c r="X1622" s="6" t="s">
        <v>169</v>
      </c>
      <c r="Z1622" s="6" t="s">
        <v>170</v>
      </c>
      <c r="AA1622" s="6" t="s">
        <v>171</v>
      </c>
      <c r="AB1622" s="6">
        <v>0</v>
      </c>
      <c r="AC1622" s="6" t="str">
        <f>""</f>
        <v/>
      </c>
      <c r="AS1622" s="6">
        <v>0</v>
      </c>
      <c r="AT1622" s="6">
        <v>0</v>
      </c>
    </row>
    <row r="1623" spans="2:46">
      <c r="B1623" s="6" t="s">
        <v>115</v>
      </c>
      <c r="D1623" s="6" t="s">
        <v>3316</v>
      </c>
      <c r="F1623" s="6" t="s">
        <v>6815</v>
      </c>
      <c r="G1623" s="6" t="str">
        <f>"3175524601291120"</f>
        <v>3175524601291120</v>
      </c>
      <c r="I1623" s="6" t="s">
        <v>6816</v>
      </c>
      <c r="J1623" s="6" t="str">
        <f>"Carib Ball Cap(WHITE)"</f>
        <v>Carib Ball Cap(WHITE)</v>
      </c>
      <c r="K1623" s="6">
        <v>0</v>
      </c>
      <c r="L1623" s="6">
        <v>0</v>
      </c>
      <c r="M1623" s="6">
        <v>0</v>
      </c>
      <c r="N1623" s="6" t="str">
        <f>""</f>
        <v/>
      </c>
      <c r="O1623" s="6">
        <v>31162</v>
      </c>
      <c r="P1623" s="6" t="s">
        <v>6817</v>
      </c>
      <c r="R1623" s="6" t="s">
        <v>3097</v>
      </c>
      <c r="S1623" s="6" t="s">
        <v>6818</v>
      </c>
      <c r="T1623" s="6">
        <v>1</v>
      </c>
      <c r="U1623" s="6">
        <v>0</v>
      </c>
      <c r="V1623" s="6">
        <v>0</v>
      </c>
      <c r="W1623" s="6">
        <v>0</v>
      </c>
      <c r="X1623" s="6" t="s">
        <v>169</v>
      </c>
      <c r="Z1623" s="6" t="s">
        <v>170</v>
      </c>
      <c r="AA1623" s="6" t="s">
        <v>171</v>
      </c>
      <c r="AB1623" s="6">
        <v>0</v>
      </c>
      <c r="AC1623" s="6" t="str">
        <f>"KEY-012"</f>
        <v>KEY-012</v>
      </c>
      <c r="AQ1623" s="6" t="str">
        <f>""</f>
        <v/>
      </c>
      <c r="AR1623" s="6" t="s">
        <v>1584</v>
      </c>
      <c r="AS1623" s="6">
        <v>0</v>
      </c>
      <c r="AT1623" s="6">
        <v>1</v>
      </c>
    </row>
    <row r="1624" spans="2:46">
      <c r="B1624" s="6" t="s">
        <v>115</v>
      </c>
      <c r="D1624" s="6" t="s">
        <v>3316</v>
      </c>
      <c r="F1624" s="6" t="s">
        <v>6819</v>
      </c>
      <c r="G1624" s="6" t="str">
        <f>"3175524601299120"</f>
        <v>3175524601299120</v>
      </c>
      <c r="H1624" s="6">
        <v>3175524601299120</v>
      </c>
      <c r="I1624" s="6" t="s">
        <v>6820</v>
      </c>
      <c r="J1624" s="6" t="str">
        <f>"Carib Ball Cap(BLACK)"</f>
        <v>Carib Ball Cap(BLACK)</v>
      </c>
      <c r="K1624" s="6">
        <v>0</v>
      </c>
      <c r="L1624" s="6">
        <v>0</v>
      </c>
      <c r="M1624" s="6">
        <v>0</v>
      </c>
      <c r="N1624" s="6" t="str">
        <f>""</f>
        <v/>
      </c>
      <c r="O1624" s="6">
        <v>31160</v>
      </c>
      <c r="P1624" s="6" t="s">
        <v>6821</v>
      </c>
      <c r="R1624" s="6" t="s">
        <v>1511</v>
      </c>
      <c r="S1624" s="6" t="s">
        <v>6822</v>
      </c>
      <c r="T1624" s="6">
        <v>0</v>
      </c>
      <c r="U1624" s="6">
        <v>0</v>
      </c>
      <c r="V1624" s="6">
        <v>0</v>
      </c>
      <c r="W1624" s="6">
        <v>0</v>
      </c>
      <c r="X1624" s="6" t="s">
        <v>169</v>
      </c>
      <c r="Z1624" s="6" t="s">
        <v>170</v>
      </c>
      <c r="AA1624" s="6" t="s">
        <v>171</v>
      </c>
      <c r="AB1624" s="6">
        <v>0</v>
      </c>
      <c r="AC1624" s="6" t="str">
        <f>""</f>
        <v/>
      </c>
      <c r="AS1624" s="6">
        <v>0</v>
      </c>
      <c r="AT1624" s="6">
        <v>0</v>
      </c>
    </row>
    <row r="1625" spans="2:46">
      <c r="B1625" s="6" t="s">
        <v>115</v>
      </c>
      <c r="D1625" s="6" t="s">
        <v>3316</v>
      </c>
      <c r="F1625" s="6" t="s">
        <v>6823</v>
      </c>
      <c r="G1625" s="6" t="str">
        <f>"3175524601399120"</f>
        <v>3175524601399120</v>
      </c>
      <c r="I1625" s="6" t="s">
        <v>6824</v>
      </c>
      <c r="J1625" s="6" t="str">
        <f>"Bird Moon Ball Cap(BLACK)"</f>
        <v>Bird Moon Ball Cap(BLACK)</v>
      </c>
      <c r="K1625" s="6">
        <v>0</v>
      </c>
      <c r="L1625" s="6">
        <v>0</v>
      </c>
      <c r="M1625" s="6">
        <v>0</v>
      </c>
      <c r="N1625" s="6" t="str">
        <f>""</f>
        <v/>
      </c>
      <c r="O1625" s="6">
        <v>31158</v>
      </c>
      <c r="P1625" s="6" t="s">
        <v>6825</v>
      </c>
      <c r="R1625" s="6" t="s">
        <v>581</v>
      </c>
      <c r="S1625" s="6" t="s">
        <v>6826</v>
      </c>
      <c r="T1625" s="6">
        <v>1</v>
      </c>
      <c r="U1625" s="6">
        <v>0</v>
      </c>
      <c r="V1625" s="6">
        <v>0</v>
      </c>
      <c r="W1625" s="6">
        <v>0</v>
      </c>
      <c r="X1625" s="6" t="s">
        <v>169</v>
      </c>
      <c r="Z1625" s="6" t="s">
        <v>170</v>
      </c>
      <c r="AA1625" s="6" t="s">
        <v>171</v>
      </c>
      <c r="AB1625" s="6">
        <v>0</v>
      </c>
      <c r="AC1625" s="6" t="str">
        <f>"KEY-052"</f>
        <v>KEY-052</v>
      </c>
      <c r="AQ1625" s="6" t="str">
        <f>""</f>
        <v/>
      </c>
      <c r="AR1625" s="6" t="s">
        <v>1567</v>
      </c>
      <c r="AS1625" s="6">
        <v>0</v>
      </c>
      <c r="AT1625" s="6">
        <v>1</v>
      </c>
    </row>
    <row r="1626" spans="2:46">
      <c r="B1626" s="6" t="s">
        <v>115</v>
      </c>
      <c r="D1626" s="6" t="s">
        <v>3316</v>
      </c>
      <c r="F1626" s="6" t="s">
        <v>6827</v>
      </c>
      <c r="G1626" s="6" t="str">
        <f>"3175524102045120"</f>
        <v>3175524102045120</v>
      </c>
      <c r="H1626" s="6">
        <v>3175524102045120</v>
      </c>
      <c r="I1626" s="6" t="s">
        <v>6828</v>
      </c>
      <c r="J1626" s="6" t="str">
        <f>"Palm Tree Ball Cap(GREEN)"</f>
        <v>Palm Tree Ball Cap(GREEN)</v>
      </c>
      <c r="K1626" s="6">
        <v>0</v>
      </c>
      <c r="L1626" s="6">
        <v>0</v>
      </c>
      <c r="M1626" s="6">
        <v>0</v>
      </c>
      <c r="N1626" s="6" t="str">
        <f>""</f>
        <v/>
      </c>
      <c r="O1626" s="6">
        <v>31156</v>
      </c>
      <c r="P1626" s="6" t="s">
        <v>6829</v>
      </c>
      <c r="R1626" s="6" t="s">
        <v>6830</v>
      </c>
      <c r="S1626" s="6" t="s">
        <v>6831</v>
      </c>
      <c r="T1626" s="6">
        <v>0</v>
      </c>
      <c r="U1626" s="6">
        <v>0</v>
      </c>
      <c r="V1626" s="6">
        <v>0</v>
      </c>
      <c r="W1626" s="6">
        <v>0</v>
      </c>
      <c r="X1626" s="6" t="s">
        <v>169</v>
      </c>
      <c r="Z1626" s="6" t="s">
        <v>170</v>
      </c>
      <c r="AA1626" s="6" t="s">
        <v>171</v>
      </c>
      <c r="AB1626" s="6">
        <v>0</v>
      </c>
      <c r="AC1626" s="6" t="str">
        <f>""</f>
        <v/>
      </c>
      <c r="AS1626" s="6">
        <v>0</v>
      </c>
      <c r="AT1626" s="6">
        <v>0</v>
      </c>
    </row>
    <row r="1627" spans="2:46">
      <c r="B1627" s="6" t="s">
        <v>115</v>
      </c>
      <c r="D1627" s="6" t="s">
        <v>3316</v>
      </c>
      <c r="F1627" s="6" t="s">
        <v>6832</v>
      </c>
      <c r="G1627" s="6" t="str">
        <f>"3175524102065120"</f>
        <v>3175524102065120</v>
      </c>
      <c r="H1627" s="6">
        <v>3175524102065120</v>
      </c>
      <c r="I1627" s="6" t="s">
        <v>6833</v>
      </c>
      <c r="J1627" s="6" t="str">
        <f>"Palm Tree Ball Cap(YELLOW)"</f>
        <v>Palm Tree Ball Cap(YELLOW)</v>
      </c>
      <c r="K1627" s="6">
        <v>0</v>
      </c>
      <c r="L1627" s="6">
        <v>0</v>
      </c>
      <c r="M1627" s="6">
        <v>0</v>
      </c>
      <c r="N1627" s="6" t="str">
        <f>""</f>
        <v/>
      </c>
      <c r="O1627" s="6">
        <v>31154</v>
      </c>
      <c r="P1627" s="6" t="s">
        <v>6834</v>
      </c>
      <c r="R1627" s="6" t="s">
        <v>6835</v>
      </c>
      <c r="S1627" s="6" t="s">
        <v>6836</v>
      </c>
      <c r="T1627" s="6">
        <v>0</v>
      </c>
      <c r="U1627" s="6">
        <v>0</v>
      </c>
      <c r="V1627" s="6">
        <v>0</v>
      </c>
      <c r="W1627" s="6">
        <v>0</v>
      </c>
      <c r="X1627" s="6" t="s">
        <v>169</v>
      </c>
      <c r="Z1627" s="6" t="s">
        <v>170</v>
      </c>
      <c r="AA1627" s="6" t="s">
        <v>171</v>
      </c>
      <c r="AB1627" s="6">
        <v>0</v>
      </c>
      <c r="AC1627" s="6" t="str">
        <f>""</f>
        <v/>
      </c>
      <c r="AS1627" s="6">
        <v>0</v>
      </c>
      <c r="AT1627" s="6">
        <v>0</v>
      </c>
    </row>
    <row r="1628" spans="2:46">
      <c r="B1628" s="6" t="s">
        <v>115</v>
      </c>
      <c r="D1628" s="6" t="s">
        <v>3316</v>
      </c>
      <c r="F1628" s="6" t="s">
        <v>6837</v>
      </c>
      <c r="G1628" s="6" t="str">
        <f>"3175524601599120"</f>
        <v>3175524601599120</v>
      </c>
      <c r="H1628" s="6">
        <v>3175524601599120</v>
      </c>
      <c r="I1628" s="6" t="s">
        <v>6838</v>
      </c>
      <c r="J1628" s="6" t="str">
        <f>" Saturn Ball Cap(BLACK)"</f>
        <v xml:space="preserve"> Saturn Ball Cap(BLACK)</v>
      </c>
      <c r="K1628" s="6">
        <v>0</v>
      </c>
      <c r="L1628" s="6">
        <v>0</v>
      </c>
      <c r="M1628" s="6">
        <v>0</v>
      </c>
      <c r="N1628" s="6" t="str">
        <f>""</f>
        <v/>
      </c>
      <c r="O1628" s="6">
        <v>31152</v>
      </c>
      <c r="P1628" s="6" t="s">
        <v>6839</v>
      </c>
      <c r="R1628" s="6" t="s">
        <v>5066</v>
      </c>
      <c r="S1628" s="6" t="s">
        <v>6840</v>
      </c>
      <c r="T1628" s="6">
        <v>0</v>
      </c>
      <c r="U1628" s="6">
        <v>0</v>
      </c>
      <c r="V1628" s="6">
        <v>0</v>
      </c>
      <c r="W1628" s="6">
        <v>0</v>
      </c>
      <c r="X1628" s="6" t="s">
        <v>169</v>
      </c>
      <c r="Z1628" s="6" t="s">
        <v>170</v>
      </c>
      <c r="AA1628" s="6" t="s">
        <v>171</v>
      </c>
      <c r="AB1628" s="6">
        <v>0</v>
      </c>
      <c r="AC1628" s="6" t="str">
        <f>""</f>
        <v/>
      </c>
      <c r="AS1628" s="6">
        <v>0</v>
      </c>
      <c r="AT1628" s="6">
        <v>0</v>
      </c>
    </row>
    <row r="1629" spans="2:46">
      <c r="B1629" s="6" t="s">
        <v>115</v>
      </c>
      <c r="D1629" s="6" t="s">
        <v>3316</v>
      </c>
      <c r="F1629" s="6" t="s">
        <v>6841</v>
      </c>
      <c r="G1629" s="6" t="str">
        <f>"3176344500299320"</f>
        <v>3176344500299320</v>
      </c>
      <c r="I1629" s="6" t="s">
        <v>6842</v>
      </c>
      <c r="J1629" s="6" t="str">
        <f>"Side Band Pants(BLACK)"</f>
        <v>Side Band Pants(BLACK)</v>
      </c>
      <c r="K1629" s="6">
        <v>0</v>
      </c>
      <c r="L1629" s="6">
        <v>0</v>
      </c>
      <c r="M1629" s="6">
        <v>0</v>
      </c>
      <c r="N1629" s="6" t="str">
        <f>""</f>
        <v/>
      </c>
      <c r="O1629" s="6">
        <v>31150</v>
      </c>
      <c r="P1629" s="6" t="s">
        <v>6843</v>
      </c>
      <c r="R1629" s="6" t="s">
        <v>5066</v>
      </c>
      <c r="S1629" s="6" t="s">
        <v>6844</v>
      </c>
      <c r="T1629" s="6">
        <v>1</v>
      </c>
      <c r="U1629" s="6">
        <v>0</v>
      </c>
      <c r="V1629" s="6">
        <v>0</v>
      </c>
      <c r="W1629" s="6">
        <v>0</v>
      </c>
      <c r="X1629" s="6" t="s">
        <v>169</v>
      </c>
      <c r="Z1629" s="6" t="s">
        <v>170</v>
      </c>
      <c r="AA1629" s="6" t="s">
        <v>171</v>
      </c>
      <c r="AB1629" s="6">
        <v>0</v>
      </c>
      <c r="AC1629" s="6" t="str">
        <f>"KEY-025"</f>
        <v>KEY-025</v>
      </c>
      <c r="AQ1629" s="6" t="str">
        <f>""</f>
        <v/>
      </c>
      <c r="AR1629" s="6" t="s">
        <v>1567</v>
      </c>
      <c r="AS1629" s="6">
        <v>0</v>
      </c>
      <c r="AT1629" s="6">
        <v>1</v>
      </c>
    </row>
    <row r="1630" spans="2:46">
      <c r="B1630" s="6" t="s">
        <v>115</v>
      </c>
      <c r="D1630" s="6" t="s">
        <v>3316</v>
      </c>
      <c r="F1630" s="6" t="s">
        <v>6845</v>
      </c>
      <c r="G1630" s="6" t="str">
        <f>"3176344500295320"</f>
        <v>3176344500295320</v>
      </c>
      <c r="I1630" s="6" t="s">
        <v>6846</v>
      </c>
      <c r="J1630" s="6" t="str">
        <f>"Side Band Pants(GREY)"</f>
        <v>Side Band Pants(GREY)</v>
      </c>
      <c r="K1630" s="6">
        <v>0</v>
      </c>
      <c r="L1630" s="6">
        <v>0</v>
      </c>
      <c r="M1630" s="6">
        <v>0</v>
      </c>
      <c r="N1630" s="6" t="str">
        <f>""</f>
        <v/>
      </c>
      <c r="O1630" s="6">
        <v>31148</v>
      </c>
      <c r="P1630" s="6" t="s">
        <v>6847</v>
      </c>
      <c r="R1630" s="6" t="s">
        <v>6848</v>
      </c>
      <c r="S1630" s="6" t="s">
        <v>6849</v>
      </c>
      <c r="T1630" s="6">
        <v>2</v>
      </c>
      <c r="U1630" s="6">
        <v>0</v>
      </c>
      <c r="V1630" s="6">
        <v>0</v>
      </c>
      <c r="W1630" s="6">
        <v>0</v>
      </c>
      <c r="X1630" s="6" t="s">
        <v>169</v>
      </c>
      <c r="Z1630" s="6" t="s">
        <v>170</v>
      </c>
      <c r="AA1630" s="6" t="s">
        <v>171</v>
      </c>
      <c r="AB1630" s="6">
        <v>0</v>
      </c>
      <c r="AC1630" s="6" t="str">
        <f>"KEY-023"</f>
        <v>KEY-023</v>
      </c>
      <c r="AQ1630" s="6" t="str">
        <f>""</f>
        <v/>
      </c>
      <c r="AR1630" s="6" t="s">
        <v>1567</v>
      </c>
      <c r="AS1630" s="6">
        <v>0</v>
      </c>
      <c r="AT1630" s="6">
        <v>2</v>
      </c>
    </row>
    <row r="1631" spans="2:46">
      <c r="B1631" s="6" t="s">
        <v>115</v>
      </c>
      <c r="D1631" s="6" t="s">
        <v>3316</v>
      </c>
      <c r="F1631" s="6" t="s">
        <v>6850</v>
      </c>
      <c r="G1631" s="6" t="str">
        <f>"3176224508999208"</f>
        <v>3176224508999208</v>
      </c>
      <c r="I1631" s="6" t="s">
        <v>69</v>
      </c>
      <c r="J1631" s="6" t="str">
        <f>"Side Band T-shirt(BLACK)"</f>
        <v>Side Band T-shirt(BLACK)</v>
      </c>
      <c r="K1631" s="6">
        <v>0</v>
      </c>
      <c r="L1631" s="6">
        <v>0</v>
      </c>
      <c r="M1631" s="6">
        <v>0</v>
      </c>
      <c r="N1631" s="6" t="str">
        <f>""</f>
        <v/>
      </c>
      <c r="O1631" s="6">
        <v>31146</v>
      </c>
      <c r="P1631" s="6" t="s">
        <v>68</v>
      </c>
      <c r="R1631" s="6" t="s">
        <v>5066</v>
      </c>
      <c r="S1631" s="6" t="s">
        <v>6851</v>
      </c>
      <c r="T1631" s="6">
        <v>1</v>
      </c>
      <c r="U1631" s="6">
        <v>0</v>
      </c>
      <c r="V1631" s="6">
        <v>0</v>
      </c>
      <c r="W1631" s="6">
        <v>0</v>
      </c>
      <c r="X1631" s="6" t="s">
        <v>169</v>
      </c>
      <c r="Z1631" s="6" t="s">
        <v>170</v>
      </c>
      <c r="AA1631" s="6" t="s">
        <v>171</v>
      </c>
      <c r="AB1631" s="6">
        <v>0</v>
      </c>
      <c r="AC1631" s="6" t="str">
        <f>"KEY-027"</f>
        <v>KEY-027</v>
      </c>
      <c r="AQ1631" s="6" t="str">
        <f>""</f>
        <v/>
      </c>
      <c r="AR1631" s="6" t="s">
        <v>1567</v>
      </c>
      <c r="AS1631" s="6">
        <v>0</v>
      </c>
      <c r="AT1631" s="6">
        <v>1</v>
      </c>
    </row>
    <row r="1632" spans="2:46">
      <c r="B1632" s="6" t="s">
        <v>115</v>
      </c>
      <c r="D1632" s="6" t="s">
        <v>3316</v>
      </c>
      <c r="F1632" s="6" t="s">
        <v>6852</v>
      </c>
      <c r="G1632" s="6" t="str">
        <f>"3176224508995208"</f>
        <v>3176224508995208</v>
      </c>
      <c r="I1632" s="6" t="s">
        <v>6853</v>
      </c>
      <c r="J1632" s="6" t="str">
        <f>"Side Band T-shirt(GREY)"</f>
        <v>Side Band T-shirt(GREY)</v>
      </c>
      <c r="K1632" s="6">
        <v>0</v>
      </c>
      <c r="L1632" s="6">
        <v>0</v>
      </c>
      <c r="M1632" s="6">
        <v>0</v>
      </c>
      <c r="N1632" s="6" t="str">
        <f>""</f>
        <v/>
      </c>
      <c r="O1632" s="6">
        <v>31144</v>
      </c>
      <c r="P1632" s="6" t="s">
        <v>6854</v>
      </c>
      <c r="R1632" s="6" t="s">
        <v>6848</v>
      </c>
      <c r="S1632" s="6" t="s">
        <v>6855</v>
      </c>
      <c r="T1632" s="6">
        <v>1</v>
      </c>
      <c r="U1632" s="6">
        <v>0</v>
      </c>
      <c r="V1632" s="6">
        <v>0</v>
      </c>
      <c r="W1632" s="6">
        <v>0</v>
      </c>
      <c r="X1632" s="6" t="s">
        <v>169</v>
      </c>
      <c r="Z1632" s="6" t="s">
        <v>170</v>
      </c>
      <c r="AA1632" s="6" t="s">
        <v>171</v>
      </c>
      <c r="AB1632" s="6">
        <v>0</v>
      </c>
      <c r="AC1632" s="6" t="str">
        <f>"KEY-027"</f>
        <v>KEY-027</v>
      </c>
      <c r="AQ1632" s="6" t="str">
        <f>""</f>
        <v/>
      </c>
      <c r="AR1632" s="6" t="s">
        <v>1567</v>
      </c>
      <c r="AS1632" s="6">
        <v>0</v>
      </c>
      <c r="AT1632" s="6">
        <v>1</v>
      </c>
    </row>
    <row r="1633" spans="2:46">
      <c r="B1633" s="6" t="s">
        <v>115</v>
      </c>
      <c r="D1633" s="6" t="s">
        <v>3316</v>
      </c>
      <c r="F1633" s="6" t="s">
        <v>6856</v>
      </c>
      <c r="G1633" s="6" t="str">
        <f>"3176344500130308"</f>
        <v>3176344500130308</v>
      </c>
      <c r="I1633" s="6" t="s">
        <v>6857</v>
      </c>
      <c r="J1633" s="6" t="str">
        <f>"Vacationer Half Pants(NAVY)"</f>
        <v>Vacationer Half Pants(NAVY)</v>
      </c>
      <c r="K1633" s="6">
        <v>0</v>
      </c>
      <c r="L1633" s="6">
        <v>0</v>
      </c>
      <c r="M1633" s="6">
        <v>0</v>
      </c>
      <c r="N1633" s="6" t="str">
        <f>""</f>
        <v/>
      </c>
      <c r="O1633" s="6">
        <v>31142</v>
      </c>
      <c r="P1633" s="6" t="s">
        <v>6858</v>
      </c>
      <c r="R1633" s="6" t="s">
        <v>1502</v>
      </c>
      <c r="S1633" s="6" t="s">
        <v>6859</v>
      </c>
      <c r="T1633" s="6">
        <v>2</v>
      </c>
      <c r="U1633" s="6">
        <v>0</v>
      </c>
      <c r="V1633" s="6">
        <v>0</v>
      </c>
      <c r="W1633" s="6">
        <v>0</v>
      </c>
      <c r="X1633" s="6" t="s">
        <v>169</v>
      </c>
      <c r="Z1633" s="6" t="s">
        <v>170</v>
      </c>
      <c r="AA1633" s="6" t="s">
        <v>171</v>
      </c>
      <c r="AB1633" s="6">
        <v>0</v>
      </c>
      <c r="AC1633" s="6" t="str">
        <f>"KEY-025"</f>
        <v>KEY-025</v>
      </c>
      <c r="AQ1633" s="6" t="str">
        <f>""</f>
        <v/>
      </c>
      <c r="AR1633" s="6" t="s">
        <v>1567</v>
      </c>
      <c r="AS1633" s="6">
        <v>0</v>
      </c>
      <c r="AT1633" s="6">
        <v>2</v>
      </c>
    </row>
    <row r="1634" spans="2:46">
      <c r="B1634" s="6" t="s">
        <v>115</v>
      </c>
      <c r="D1634" s="6" t="s">
        <v>3316</v>
      </c>
      <c r="F1634" s="6" t="s">
        <v>6860</v>
      </c>
      <c r="G1634" s="6" t="str">
        <f>"3176344500191308"</f>
        <v>3176344500191308</v>
      </c>
      <c r="H1634" s="6">
        <v>3176344500191300</v>
      </c>
      <c r="I1634" s="6" t="s">
        <v>6861</v>
      </c>
      <c r="J1634" s="6" t="str">
        <f>"Vacationer Half Pants(WHITE)"</f>
        <v>Vacationer Half Pants(WHITE)</v>
      </c>
      <c r="K1634" s="6">
        <v>0</v>
      </c>
      <c r="L1634" s="6">
        <v>0</v>
      </c>
      <c r="M1634" s="6">
        <v>0</v>
      </c>
      <c r="N1634" s="6" t="str">
        <f>""</f>
        <v/>
      </c>
      <c r="O1634" s="6">
        <v>31140</v>
      </c>
      <c r="P1634" s="6" t="s">
        <v>6862</v>
      </c>
      <c r="R1634" s="6" t="s">
        <v>5061</v>
      </c>
      <c r="S1634" s="6" t="s">
        <v>6863</v>
      </c>
      <c r="T1634" s="6">
        <v>0</v>
      </c>
      <c r="U1634" s="6">
        <v>0</v>
      </c>
      <c r="V1634" s="6">
        <v>0</v>
      </c>
      <c r="W1634" s="6">
        <v>0</v>
      </c>
      <c r="X1634" s="6" t="s">
        <v>169</v>
      </c>
      <c r="Z1634" s="6" t="s">
        <v>170</v>
      </c>
      <c r="AA1634" s="6" t="s">
        <v>171</v>
      </c>
      <c r="AB1634" s="6">
        <v>0</v>
      </c>
      <c r="AC1634" s="6" t="str">
        <f>""</f>
        <v/>
      </c>
      <c r="AS1634" s="6">
        <v>0</v>
      </c>
      <c r="AT1634" s="6">
        <v>0</v>
      </c>
    </row>
    <row r="1635" spans="2:46">
      <c r="B1635" s="6" t="s">
        <v>115</v>
      </c>
      <c r="D1635" s="6" t="s">
        <v>3316</v>
      </c>
      <c r="F1635" s="6" t="s">
        <v>6864</v>
      </c>
      <c r="G1635" s="6" t="str">
        <f>"3176214500930208"</f>
        <v>3176214500930208</v>
      </c>
      <c r="I1635" s="6" t="s">
        <v>6865</v>
      </c>
      <c r="J1635" s="6" t="str">
        <f>"Vacationer Shirt(NAVY)"</f>
        <v>Vacationer Shirt(NAVY)</v>
      </c>
      <c r="K1635" s="6">
        <v>0</v>
      </c>
      <c r="L1635" s="6">
        <v>0</v>
      </c>
      <c r="M1635" s="6">
        <v>0</v>
      </c>
      <c r="N1635" s="6" t="str">
        <f>""</f>
        <v/>
      </c>
      <c r="O1635" s="6">
        <v>31138</v>
      </c>
      <c r="P1635" s="6" t="s">
        <v>6866</v>
      </c>
      <c r="R1635" s="6" t="s">
        <v>1502</v>
      </c>
      <c r="S1635" s="6" t="s">
        <v>6867</v>
      </c>
      <c r="T1635" s="6">
        <v>1</v>
      </c>
      <c r="U1635" s="6">
        <v>0</v>
      </c>
      <c r="V1635" s="6">
        <v>0</v>
      </c>
      <c r="W1635" s="6">
        <v>0</v>
      </c>
      <c r="X1635" s="6" t="s">
        <v>169</v>
      </c>
      <c r="Z1635" s="6" t="s">
        <v>170</v>
      </c>
      <c r="AA1635" s="6" t="s">
        <v>171</v>
      </c>
      <c r="AB1635" s="6">
        <v>0</v>
      </c>
      <c r="AC1635" s="6" t="str">
        <f>"KEY-024"</f>
        <v>KEY-024</v>
      </c>
      <c r="AQ1635" s="6" t="str">
        <f>""</f>
        <v/>
      </c>
      <c r="AR1635" s="6" t="s">
        <v>1567</v>
      </c>
      <c r="AS1635" s="6">
        <v>0</v>
      </c>
      <c r="AT1635" s="6">
        <v>1</v>
      </c>
    </row>
    <row r="1636" spans="2:46">
      <c r="B1636" s="6" t="s">
        <v>115</v>
      </c>
      <c r="D1636" s="6" t="s">
        <v>3316</v>
      </c>
      <c r="F1636" s="6" t="s">
        <v>6868</v>
      </c>
      <c r="G1636" s="6" t="str">
        <f>"3176214500991208"</f>
        <v>3176214500991208</v>
      </c>
      <c r="H1636" s="6">
        <v>3176214500991200</v>
      </c>
      <c r="I1636" s="6" t="s">
        <v>6869</v>
      </c>
      <c r="J1636" s="6" t="str">
        <f>"Vacationer Shirt(WHITE)"</f>
        <v>Vacationer Shirt(WHITE)</v>
      </c>
      <c r="K1636" s="6">
        <v>0</v>
      </c>
      <c r="L1636" s="6">
        <v>0</v>
      </c>
      <c r="M1636" s="6">
        <v>0</v>
      </c>
      <c r="N1636" s="6" t="str">
        <f>""</f>
        <v/>
      </c>
      <c r="O1636" s="6">
        <v>31136</v>
      </c>
      <c r="P1636" s="6" t="s">
        <v>6870</v>
      </c>
      <c r="R1636" s="6" t="s">
        <v>5061</v>
      </c>
      <c r="S1636" s="6" t="s">
        <v>6871</v>
      </c>
      <c r="T1636" s="6">
        <v>0</v>
      </c>
      <c r="U1636" s="6">
        <v>0</v>
      </c>
      <c r="V1636" s="6">
        <v>0</v>
      </c>
      <c r="W1636" s="6">
        <v>0</v>
      </c>
      <c r="X1636" s="6" t="s">
        <v>169</v>
      </c>
      <c r="Z1636" s="6" t="s">
        <v>170</v>
      </c>
      <c r="AA1636" s="6" t="s">
        <v>171</v>
      </c>
      <c r="AB1636" s="6">
        <v>0</v>
      </c>
      <c r="AC1636" s="6" t="str">
        <f>""</f>
        <v/>
      </c>
      <c r="AS1636" s="6">
        <v>0</v>
      </c>
      <c r="AT1636" s="6">
        <v>0</v>
      </c>
    </row>
    <row r="1637" spans="2:46">
      <c r="B1637" s="6" t="s">
        <v>115</v>
      </c>
      <c r="D1637" s="6" t="s">
        <v>3316</v>
      </c>
      <c r="F1637" s="6" t="s">
        <v>6872</v>
      </c>
      <c r="G1637" s="6" t="str">
        <f>"3176332500974320"</f>
        <v>3176332500974320</v>
      </c>
      <c r="I1637" s="6" t="s">
        <v>6873</v>
      </c>
      <c r="J1637" s="6" t="str">
        <f>"Flower Button Skirt(BEIGE)"</f>
        <v>Flower Button Skirt(BEIGE)</v>
      </c>
      <c r="K1637" s="6">
        <v>0</v>
      </c>
      <c r="L1637" s="6">
        <v>0</v>
      </c>
      <c r="M1637" s="6">
        <v>0</v>
      </c>
      <c r="N1637" s="6" t="str">
        <f>""</f>
        <v/>
      </c>
      <c r="O1637" s="6">
        <v>31134</v>
      </c>
      <c r="P1637" s="6" t="s">
        <v>6874</v>
      </c>
      <c r="R1637" s="6" t="s">
        <v>6875</v>
      </c>
      <c r="S1637" s="6" t="s">
        <v>6876</v>
      </c>
      <c r="T1637" s="6">
        <v>1</v>
      </c>
      <c r="U1637" s="6">
        <v>0</v>
      </c>
      <c r="V1637" s="6">
        <v>0</v>
      </c>
      <c r="W1637" s="6">
        <v>0</v>
      </c>
      <c r="X1637" s="6" t="s">
        <v>169</v>
      </c>
      <c r="Z1637" s="6" t="s">
        <v>170</v>
      </c>
      <c r="AA1637" s="6" t="s">
        <v>171</v>
      </c>
      <c r="AB1637" s="6">
        <v>0</v>
      </c>
      <c r="AC1637" s="6" t="str">
        <f>"KEY-022"</f>
        <v>KEY-022</v>
      </c>
      <c r="AQ1637" s="6" t="str">
        <f>""</f>
        <v/>
      </c>
      <c r="AR1637" s="6" t="s">
        <v>1567</v>
      </c>
      <c r="AS1637" s="6">
        <v>0</v>
      </c>
      <c r="AT1637" s="6">
        <v>2</v>
      </c>
    </row>
    <row r="1638" spans="2:46">
      <c r="B1638" s="6" t="s">
        <v>115</v>
      </c>
      <c r="D1638" s="6" t="s">
        <v>3316</v>
      </c>
      <c r="F1638" s="6" t="s">
        <v>6877</v>
      </c>
      <c r="G1638" s="6" t="str">
        <f>"3176332500930320"</f>
        <v>3176332500930320</v>
      </c>
      <c r="I1638" s="6" t="s">
        <v>6878</v>
      </c>
      <c r="J1638" s="6" t="str">
        <f>"Flower Button Skirt(NAVY)"</f>
        <v>Flower Button Skirt(NAVY)</v>
      </c>
      <c r="K1638" s="6">
        <v>0</v>
      </c>
      <c r="L1638" s="6">
        <v>0</v>
      </c>
      <c r="M1638" s="6">
        <v>0</v>
      </c>
      <c r="N1638" s="6" t="str">
        <f>""</f>
        <v/>
      </c>
      <c r="O1638" s="6">
        <v>31132</v>
      </c>
      <c r="P1638" s="6" t="s">
        <v>6879</v>
      </c>
      <c r="R1638" s="6" t="s">
        <v>1502</v>
      </c>
      <c r="S1638" s="6" t="s">
        <v>6880</v>
      </c>
      <c r="T1638" s="6">
        <v>2</v>
      </c>
      <c r="U1638" s="6">
        <v>0</v>
      </c>
      <c r="V1638" s="6">
        <v>0</v>
      </c>
      <c r="W1638" s="6">
        <v>0</v>
      </c>
      <c r="X1638" s="6" t="s">
        <v>169</v>
      </c>
      <c r="Z1638" s="6" t="s">
        <v>170</v>
      </c>
      <c r="AA1638" s="6" t="s">
        <v>171</v>
      </c>
      <c r="AB1638" s="6">
        <v>0</v>
      </c>
      <c r="AC1638" s="6" t="str">
        <f>"KEY-016"</f>
        <v>KEY-016</v>
      </c>
      <c r="AQ1638" s="6" t="str">
        <f>""</f>
        <v/>
      </c>
      <c r="AR1638" s="6" t="s">
        <v>1567</v>
      </c>
      <c r="AS1638" s="6">
        <v>0</v>
      </c>
      <c r="AT1638" s="6">
        <v>2</v>
      </c>
    </row>
    <row r="1639" spans="2:46">
      <c r="B1639" s="6" t="s">
        <v>115</v>
      </c>
      <c r="D1639" s="6" t="s">
        <v>3316</v>
      </c>
      <c r="F1639" s="6" t="s">
        <v>6881</v>
      </c>
      <c r="G1639" s="6" t="str">
        <f>"3176224509099208"</f>
        <v>3176224509099208</v>
      </c>
      <c r="I1639" s="6" t="s">
        <v>6882</v>
      </c>
      <c r="J1639" s="6" t="str">
        <f>"Apollo 11 Mini T-shirt(BLACK)"</f>
        <v>Apollo 11 Mini T-shirt(BLACK)</v>
      </c>
      <c r="K1639" s="6">
        <v>0</v>
      </c>
      <c r="L1639" s="6">
        <v>0</v>
      </c>
      <c r="M1639" s="6">
        <v>0</v>
      </c>
      <c r="N1639" s="6" t="str">
        <f>""</f>
        <v/>
      </c>
      <c r="O1639" s="6">
        <v>31130</v>
      </c>
      <c r="P1639" s="6" t="s">
        <v>6883</v>
      </c>
      <c r="R1639" s="6" t="s">
        <v>5066</v>
      </c>
      <c r="S1639" s="6" t="s">
        <v>6884</v>
      </c>
      <c r="T1639" s="6">
        <v>1</v>
      </c>
      <c r="U1639" s="6">
        <v>0</v>
      </c>
      <c r="V1639" s="6">
        <v>0</v>
      </c>
      <c r="W1639" s="6">
        <v>0</v>
      </c>
      <c r="X1639" s="6" t="s">
        <v>169</v>
      </c>
      <c r="Z1639" s="6" t="s">
        <v>170</v>
      </c>
      <c r="AA1639" s="6" t="s">
        <v>171</v>
      </c>
      <c r="AB1639" s="6">
        <v>0</v>
      </c>
      <c r="AC1639" s="6" t="str">
        <f>"KEY-018"</f>
        <v>KEY-018</v>
      </c>
      <c r="AQ1639" s="6" t="str">
        <f>""</f>
        <v/>
      </c>
      <c r="AR1639" s="6" t="s">
        <v>1567</v>
      </c>
      <c r="AS1639" s="6">
        <v>0</v>
      </c>
      <c r="AT1639" s="6">
        <v>1</v>
      </c>
    </row>
    <row r="1640" spans="2:46">
      <c r="B1640" s="6" t="s">
        <v>115</v>
      </c>
      <c r="D1640" s="6" t="s">
        <v>3316</v>
      </c>
      <c r="F1640" s="6" t="s">
        <v>6885</v>
      </c>
      <c r="G1640" s="6" t="str">
        <f>"3176224509091208"</f>
        <v>3176224509091208</v>
      </c>
      <c r="H1640" s="6">
        <v>3176224509091200</v>
      </c>
      <c r="I1640" s="6" t="s">
        <v>6886</v>
      </c>
      <c r="J1640" s="6" t="str">
        <f>"Apollo 11 Mini T-shirt(WHITE)"</f>
        <v>Apollo 11 Mini T-shirt(WHITE)</v>
      </c>
      <c r="K1640" s="6">
        <v>0</v>
      </c>
      <c r="L1640" s="6">
        <v>0</v>
      </c>
      <c r="M1640" s="6">
        <v>0</v>
      </c>
      <c r="N1640" s="6" t="str">
        <f>""</f>
        <v/>
      </c>
      <c r="O1640" s="6">
        <v>31128</v>
      </c>
      <c r="P1640" s="6" t="s">
        <v>6887</v>
      </c>
      <c r="R1640" s="6" t="s">
        <v>5061</v>
      </c>
      <c r="S1640" s="6" t="s">
        <v>6888</v>
      </c>
      <c r="T1640" s="6">
        <v>0</v>
      </c>
      <c r="U1640" s="6">
        <v>0</v>
      </c>
      <c r="V1640" s="6">
        <v>0</v>
      </c>
      <c r="W1640" s="6">
        <v>0</v>
      </c>
      <c r="X1640" s="6" t="s">
        <v>169</v>
      </c>
      <c r="Z1640" s="6" t="s">
        <v>170</v>
      </c>
      <c r="AA1640" s="6" t="s">
        <v>171</v>
      </c>
      <c r="AB1640" s="6">
        <v>0</v>
      </c>
      <c r="AC1640" s="6" t="str">
        <f>""</f>
        <v/>
      </c>
      <c r="AS1640" s="6">
        <v>0</v>
      </c>
      <c r="AT1640" s="6">
        <v>0</v>
      </c>
    </row>
    <row r="1641" spans="2:46">
      <c r="B1641" s="6" t="s">
        <v>115</v>
      </c>
      <c r="D1641" s="6" t="s">
        <v>3316</v>
      </c>
      <c r="F1641" s="6" t="s">
        <v>6889</v>
      </c>
      <c r="G1641" s="6" t="str">
        <f>"3176224509065208"</f>
        <v>3176224509065208</v>
      </c>
      <c r="H1641" s="6">
        <v>3176224509065200</v>
      </c>
      <c r="I1641" s="6" t="s">
        <v>6890</v>
      </c>
      <c r="J1641" s="6" t="str">
        <f>"Apollo 11 Mini T-shirt(YELLOW)"</f>
        <v>Apollo 11 Mini T-shirt(YELLOW)</v>
      </c>
      <c r="K1641" s="6">
        <v>0</v>
      </c>
      <c r="L1641" s="6">
        <v>0</v>
      </c>
      <c r="M1641" s="6">
        <v>0</v>
      </c>
      <c r="N1641" s="6" t="str">
        <f>""</f>
        <v/>
      </c>
      <c r="O1641" s="6">
        <v>31126</v>
      </c>
      <c r="P1641" s="6" t="s">
        <v>6891</v>
      </c>
      <c r="R1641" s="6" t="s">
        <v>6835</v>
      </c>
      <c r="S1641" s="6" t="s">
        <v>6892</v>
      </c>
      <c r="T1641" s="6">
        <v>0</v>
      </c>
      <c r="U1641" s="6">
        <v>0</v>
      </c>
      <c r="V1641" s="6">
        <v>0</v>
      </c>
      <c r="W1641" s="6">
        <v>0</v>
      </c>
      <c r="X1641" s="6" t="s">
        <v>169</v>
      </c>
      <c r="Z1641" s="6" t="s">
        <v>170</v>
      </c>
      <c r="AA1641" s="6" t="s">
        <v>171</v>
      </c>
      <c r="AB1641" s="6">
        <v>0</v>
      </c>
      <c r="AC1641" s="6" t="str">
        <f>""</f>
        <v/>
      </c>
      <c r="AS1641" s="6">
        <v>0</v>
      </c>
      <c r="AT1641" s="6">
        <v>0</v>
      </c>
    </row>
    <row r="1642" spans="2:46">
      <c r="B1642" s="6" t="s">
        <v>115</v>
      </c>
      <c r="D1642" s="6" t="s">
        <v>3316</v>
      </c>
      <c r="F1642" s="6" t="s">
        <v>6893</v>
      </c>
      <c r="G1642" s="6" t="str">
        <f>"3176224509199208"</f>
        <v>3176224509199208</v>
      </c>
      <c r="H1642" s="6">
        <v>3176224509199200</v>
      </c>
      <c r="I1642" s="6" t="s">
        <v>6894</v>
      </c>
      <c r="J1642" s="6" t="str">
        <f>"Apollo 11 Max T-shirt(BLACK)"</f>
        <v>Apollo 11 Max T-shirt(BLACK)</v>
      </c>
      <c r="K1642" s="6">
        <v>0</v>
      </c>
      <c r="L1642" s="6">
        <v>0</v>
      </c>
      <c r="M1642" s="6">
        <v>0</v>
      </c>
      <c r="N1642" s="6" t="str">
        <f>""</f>
        <v/>
      </c>
      <c r="O1642" s="6">
        <v>31124</v>
      </c>
      <c r="P1642" s="6" t="s">
        <v>6895</v>
      </c>
      <c r="R1642" s="6" t="s">
        <v>5066</v>
      </c>
      <c r="S1642" s="6" t="s">
        <v>6896</v>
      </c>
      <c r="T1642" s="6">
        <v>0</v>
      </c>
      <c r="U1642" s="6">
        <v>0</v>
      </c>
      <c r="V1642" s="6">
        <v>0</v>
      </c>
      <c r="W1642" s="6">
        <v>0</v>
      </c>
      <c r="X1642" s="6" t="s">
        <v>169</v>
      </c>
      <c r="Z1642" s="6" t="s">
        <v>170</v>
      </c>
      <c r="AA1642" s="6" t="s">
        <v>171</v>
      </c>
      <c r="AB1642" s="6">
        <v>0</v>
      </c>
      <c r="AC1642" s="6" t="str">
        <f>""</f>
        <v/>
      </c>
      <c r="AS1642" s="6">
        <v>0</v>
      </c>
      <c r="AT1642" s="6">
        <v>0</v>
      </c>
    </row>
    <row r="1643" spans="2:46">
      <c r="B1643" s="6" t="s">
        <v>115</v>
      </c>
      <c r="D1643" s="6" t="s">
        <v>3316</v>
      </c>
      <c r="F1643" s="6" t="s">
        <v>6897</v>
      </c>
      <c r="G1643" s="6" t="str">
        <f>"3176224509191208"</f>
        <v>3176224509191208</v>
      </c>
      <c r="H1643" s="6">
        <v>3176224509191200</v>
      </c>
      <c r="I1643" s="6" t="s">
        <v>6898</v>
      </c>
      <c r="J1643" s="6" t="str">
        <f>"Apollo 11 Max T-shirt(WHITE)"</f>
        <v>Apollo 11 Max T-shirt(WHITE)</v>
      </c>
      <c r="K1643" s="6">
        <v>0</v>
      </c>
      <c r="L1643" s="6">
        <v>0</v>
      </c>
      <c r="M1643" s="6">
        <v>0</v>
      </c>
      <c r="N1643" s="6" t="str">
        <f>""</f>
        <v/>
      </c>
      <c r="O1643" s="6">
        <v>31122</v>
      </c>
      <c r="P1643" s="6" t="s">
        <v>6899</v>
      </c>
      <c r="R1643" s="6" t="s">
        <v>5061</v>
      </c>
      <c r="S1643" s="6" t="s">
        <v>6900</v>
      </c>
      <c r="T1643" s="6">
        <v>0</v>
      </c>
      <c r="U1643" s="6">
        <v>0</v>
      </c>
      <c r="V1643" s="6">
        <v>0</v>
      </c>
      <c r="W1643" s="6">
        <v>0</v>
      </c>
      <c r="X1643" s="6" t="s">
        <v>169</v>
      </c>
      <c r="Z1643" s="6" t="s">
        <v>170</v>
      </c>
      <c r="AA1643" s="6" t="s">
        <v>171</v>
      </c>
      <c r="AB1643" s="6">
        <v>0</v>
      </c>
      <c r="AC1643" s="6" t="str">
        <f>""</f>
        <v/>
      </c>
      <c r="AS1643" s="6">
        <v>0</v>
      </c>
      <c r="AT1643" s="6">
        <v>0</v>
      </c>
    </row>
    <row r="1644" spans="2:46">
      <c r="B1644" s="6" t="s">
        <v>115</v>
      </c>
      <c r="D1644" s="6" t="s">
        <v>3316</v>
      </c>
      <c r="F1644" s="6" t="s">
        <v>6901</v>
      </c>
      <c r="G1644" s="6" t="str">
        <f>"3176224508899208"</f>
        <v>3176224508899208</v>
      </c>
      <c r="H1644" s="6">
        <v>3176224508899200</v>
      </c>
      <c r="I1644" s="6" t="s">
        <v>6902</v>
      </c>
      <c r="J1644" s="6" t="str">
        <f>"DDB T-shirt(BLACK)"</f>
        <v>DDB T-shirt(BLACK)</v>
      </c>
      <c r="K1644" s="6">
        <v>0</v>
      </c>
      <c r="L1644" s="6">
        <v>0</v>
      </c>
      <c r="M1644" s="6">
        <v>0</v>
      </c>
      <c r="N1644" s="6" t="str">
        <f>""</f>
        <v/>
      </c>
      <c r="O1644" s="6">
        <v>31120</v>
      </c>
      <c r="P1644" s="6" t="s">
        <v>6903</v>
      </c>
      <c r="R1644" s="6" t="s">
        <v>5066</v>
      </c>
      <c r="S1644" s="6" t="s">
        <v>6904</v>
      </c>
      <c r="T1644" s="6">
        <v>0</v>
      </c>
      <c r="U1644" s="6">
        <v>0</v>
      </c>
      <c r="V1644" s="6">
        <v>0</v>
      </c>
      <c r="W1644" s="6">
        <v>0</v>
      </c>
      <c r="X1644" s="6" t="s">
        <v>169</v>
      </c>
      <c r="Z1644" s="6" t="s">
        <v>170</v>
      </c>
      <c r="AA1644" s="6" t="s">
        <v>171</v>
      </c>
      <c r="AB1644" s="6">
        <v>0</v>
      </c>
      <c r="AC1644" s="6" t="str">
        <f>""</f>
        <v/>
      </c>
      <c r="AS1644" s="6">
        <v>0</v>
      </c>
      <c r="AT1644" s="6">
        <v>0</v>
      </c>
    </row>
    <row r="1645" spans="2:46">
      <c r="B1645" s="6" t="s">
        <v>115</v>
      </c>
      <c r="D1645" s="6" t="s">
        <v>3316</v>
      </c>
      <c r="F1645" s="6" t="s">
        <v>6905</v>
      </c>
      <c r="G1645" s="6" t="str">
        <f>"3176224508891208"</f>
        <v>3176224508891208</v>
      </c>
      <c r="I1645" s="6" t="s">
        <v>6906</v>
      </c>
      <c r="J1645" s="6" t="str">
        <f>"DDB T-shirt(WHITE)"</f>
        <v>DDB T-shirt(WHITE)</v>
      </c>
      <c r="K1645" s="6">
        <v>0</v>
      </c>
      <c r="L1645" s="6">
        <v>0</v>
      </c>
      <c r="M1645" s="6">
        <v>0</v>
      </c>
      <c r="N1645" s="6" t="str">
        <f>""</f>
        <v/>
      </c>
      <c r="O1645" s="6">
        <v>31118</v>
      </c>
      <c r="P1645" s="6" t="s">
        <v>6907</v>
      </c>
      <c r="R1645" s="6" t="s">
        <v>5061</v>
      </c>
      <c r="S1645" s="6" t="s">
        <v>6908</v>
      </c>
      <c r="T1645" s="6">
        <v>2</v>
      </c>
      <c r="U1645" s="6">
        <v>0</v>
      </c>
      <c r="V1645" s="6">
        <v>0</v>
      </c>
      <c r="W1645" s="6">
        <v>0</v>
      </c>
      <c r="X1645" s="6" t="s">
        <v>169</v>
      </c>
      <c r="Z1645" s="6" t="s">
        <v>170</v>
      </c>
      <c r="AA1645" s="6" t="s">
        <v>171</v>
      </c>
      <c r="AB1645" s="6">
        <v>0</v>
      </c>
      <c r="AC1645" s="6" t="str">
        <f>"KEY-018"</f>
        <v>KEY-018</v>
      </c>
      <c r="AQ1645" s="6" t="str">
        <f>""</f>
        <v/>
      </c>
      <c r="AR1645" s="6" t="s">
        <v>1567</v>
      </c>
      <c r="AS1645" s="6">
        <v>0</v>
      </c>
      <c r="AT1645" s="6">
        <v>2</v>
      </c>
    </row>
    <row r="1646" spans="2:46">
      <c r="B1646" s="6" t="s">
        <v>115</v>
      </c>
      <c r="D1646" s="6" t="s">
        <v>3316</v>
      </c>
      <c r="F1646" s="6" t="s">
        <v>6909</v>
      </c>
      <c r="G1646" s="6" t="str">
        <f>"3176514500191120"</f>
        <v>3176514500191120</v>
      </c>
      <c r="H1646" s="6">
        <v>3176514500191120</v>
      </c>
      <c r="I1646" s="6" t="s">
        <v>6910</v>
      </c>
      <c r="J1646" s="6" t="str">
        <f>"Vacationer Pouch(WHITE)"</f>
        <v>Vacationer Pouch(WHITE)</v>
      </c>
      <c r="K1646" s="6">
        <v>0</v>
      </c>
      <c r="L1646" s="6">
        <v>0</v>
      </c>
      <c r="M1646" s="6">
        <v>0</v>
      </c>
      <c r="N1646" s="6" t="str">
        <f>""</f>
        <v/>
      </c>
      <c r="O1646" s="6">
        <v>31116</v>
      </c>
      <c r="P1646" s="6" t="s">
        <v>6911</v>
      </c>
      <c r="R1646" s="6" t="s">
        <v>5061</v>
      </c>
      <c r="S1646" s="6" t="s">
        <v>6912</v>
      </c>
      <c r="T1646" s="6">
        <v>0</v>
      </c>
      <c r="U1646" s="6">
        <v>0</v>
      </c>
      <c r="V1646" s="6">
        <v>0</v>
      </c>
      <c r="W1646" s="6">
        <v>0</v>
      </c>
      <c r="X1646" s="6" t="s">
        <v>169</v>
      </c>
      <c r="Z1646" s="6" t="s">
        <v>170</v>
      </c>
      <c r="AA1646" s="6" t="s">
        <v>171</v>
      </c>
      <c r="AB1646" s="6">
        <v>0</v>
      </c>
      <c r="AC1646" s="6" t="str">
        <f>""</f>
        <v/>
      </c>
      <c r="AS1646" s="6">
        <v>0</v>
      </c>
      <c r="AT1646" s="6">
        <v>0</v>
      </c>
    </row>
    <row r="1647" spans="2:46">
      <c r="B1647" s="6" t="s">
        <v>115</v>
      </c>
      <c r="D1647" s="6" t="s">
        <v>3316</v>
      </c>
      <c r="F1647" s="6" t="s">
        <v>6913</v>
      </c>
      <c r="G1647" s="6" t="str">
        <f>"3176514500130120"</f>
        <v>3176514500130120</v>
      </c>
      <c r="I1647" s="6" t="s">
        <v>6914</v>
      </c>
      <c r="J1647" s="6" t="str">
        <f>"Vacationer Pouch(NAVY)"</f>
        <v>Vacationer Pouch(NAVY)</v>
      </c>
      <c r="K1647" s="6">
        <v>0</v>
      </c>
      <c r="L1647" s="6">
        <v>0</v>
      </c>
      <c r="M1647" s="6">
        <v>0</v>
      </c>
      <c r="N1647" s="6" t="str">
        <f>""</f>
        <v/>
      </c>
      <c r="O1647" s="6">
        <v>31114</v>
      </c>
      <c r="P1647" s="6" t="s">
        <v>6915</v>
      </c>
      <c r="R1647" s="6" t="s">
        <v>1502</v>
      </c>
      <c r="S1647" s="6" t="s">
        <v>6916</v>
      </c>
      <c r="T1647" s="6">
        <v>2</v>
      </c>
      <c r="U1647" s="6">
        <v>0</v>
      </c>
      <c r="V1647" s="6">
        <v>0</v>
      </c>
      <c r="W1647" s="6">
        <v>0</v>
      </c>
      <c r="X1647" s="6" t="s">
        <v>169</v>
      </c>
      <c r="Z1647" s="6" t="s">
        <v>170</v>
      </c>
      <c r="AA1647" s="6" t="s">
        <v>171</v>
      </c>
      <c r="AB1647" s="6">
        <v>0</v>
      </c>
      <c r="AC1647" s="6" t="str">
        <f>"KEY-003"</f>
        <v>KEY-003</v>
      </c>
      <c r="AQ1647" s="6" t="str">
        <f>""</f>
        <v/>
      </c>
      <c r="AR1647" s="6" t="s">
        <v>1584</v>
      </c>
      <c r="AS1647" s="6">
        <v>0</v>
      </c>
      <c r="AT1647" s="6">
        <v>2</v>
      </c>
    </row>
    <row r="1648" spans="2:46">
      <c r="B1648" s="6" t="s">
        <v>115</v>
      </c>
      <c r="D1648" s="6" t="s">
        <v>3316</v>
      </c>
      <c r="F1648" s="6" t="s">
        <v>6917</v>
      </c>
      <c r="G1648" s="6" t="str">
        <f>"3176554600191120"</f>
        <v>3176554600191120</v>
      </c>
      <c r="H1648" s="6">
        <v>3176554600191120</v>
      </c>
      <c r="I1648" s="6" t="s">
        <v>6918</v>
      </c>
      <c r="J1648" s="6" t="str">
        <f>"Vacationer Scarf(WHITE)"</f>
        <v>Vacationer Scarf(WHITE)</v>
      </c>
      <c r="K1648" s="6">
        <v>0</v>
      </c>
      <c r="L1648" s="6">
        <v>0</v>
      </c>
      <c r="M1648" s="6">
        <v>0</v>
      </c>
      <c r="N1648" s="6" t="str">
        <f>""</f>
        <v/>
      </c>
      <c r="O1648" s="6">
        <v>31112</v>
      </c>
      <c r="P1648" s="6" t="s">
        <v>6919</v>
      </c>
      <c r="R1648" s="6" t="s">
        <v>5061</v>
      </c>
      <c r="S1648" s="6" t="s">
        <v>6920</v>
      </c>
      <c r="T1648" s="6">
        <v>0</v>
      </c>
      <c r="U1648" s="6">
        <v>0</v>
      </c>
      <c r="V1648" s="6">
        <v>0</v>
      </c>
      <c r="W1648" s="6">
        <v>0</v>
      </c>
      <c r="X1648" s="6" t="s">
        <v>169</v>
      </c>
      <c r="Z1648" s="6" t="s">
        <v>170</v>
      </c>
      <c r="AA1648" s="6" t="s">
        <v>171</v>
      </c>
      <c r="AB1648" s="6">
        <v>0</v>
      </c>
      <c r="AC1648" s="6" t="str">
        <f>""</f>
        <v/>
      </c>
      <c r="AS1648" s="6">
        <v>0</v>
      </c>
      <c r="AT1648" s="6">
        <v>0</v>
      </c>
    </row>
    <row r="1649" spans="2:46">
      <c r="B1649" s="6" t="s">
        <v>115</v>
      </c>
      <c r="D1649" s="6" t="s">
        <v>3316</v>
      </c>
      <c r="F1649" s="6" t="s">
        <v>6921</v>
      </c>
      <c r="G1649" s="6" t="str">
        <f>"3176554600130120"</f>
        <v>3176554600130120</v>
      </c>
      <c r="I1649" s="6" t="s">
        <v>6922</v>
      </c>
      <c r="J1649" s="6" t="str">
        <f>"Vacationer Scarf(NAVY)"</f>
        <v>Vacationer Scarf(NAVY)</v>
      </c>
      <c r="K1649" s="6">
        <v>0</v>
      </c>
      <c r="L1649" s="6">
        <v>0</v>
      </c>
      <c r="M1649" s="6">
        <v>0</v>
      </c>
      <c r="N1649" s="6" t="str">
        <f>""</f>
        <v/>
      </c>
      <c r="O1649" s="6">
        <v>31110</v>
      </c>
      <c r="P1649" s="6" t="s">
        <v>6923</v>
      </c>
      <c r="R1649" s="6" t="s">
        <v>1502</v>
      </c>
      <c r="S1649" s="6" t="s">
        <v>6924</v>
      </c>
      <c r="T1649" s="6">
        <v>3</v>
      </c>
      <c r="U1649" s="6">
        <v>0</v>
      </c>
      <c r="V1649" s="6">
        <v>0</v>
      </c>
      <c r="W1649" s="6">
        <v>0</v>
      </c>
      <c r="X1649" s="6" t="s">
        <v>169</v>
      </c>
      <c r="Z1649" s="6" t="s">
        <v>170</v>
      </c>
      <c r="AA1649" s="6" t="s">
        <v>171</v>
      </c>
      <c r="AB1649" s="6">
        <v>0</v>
      </c>
      <c r="AC1649" s="6" t="str">
        <f>"KEY-003"</f>
        <v>KEY-003</v>
      </c>
      <c r="AQ1649" s="6" t="str">
        <f>""</f>
        <v/>
      </c>
      <c r="AR1649" s="6" t="s">
        <v>1584</v>
      </c>
      <c r="AS1649" s="6">
        <v>0</v>
      </c>
      <c r="AT1649" s="6">
        <v>3</v>
      </c>
    </row>
    <row r="1650" spans="2:46">
      <c r="B1650" s="6" t="s">
        <v>115</v>
      </c>
      <c r="D1650" s="6" t="s">
        <v>3316</v>
      </c>
      <c r="F1650" s="6" t="s">
        <v>6925</v>
      </c>
      <c r="G1650" s="6" t="str">
        <f>"3172224500191208"</f>
        <v>3172224500191208</v>
      </c>
      <c r="H1650" s="6">
        <v>3172224500191200</v>
      </c>
      <c r="I1650" s="6" t="s">
        <v>6926</v>
      </c>
      <c r="J1650" s="6" t="str">
        <f>"Palm Tree T-shirt(WHITE)"</f>
        <v>Palm Tree T-shirt(WHITE)</v>
      </c>
      <c r="K1650" s="6">
        <v>0</v>
      </c>
      <c r="L1650" s="6">
        <v>0</v>
      </c>
      <c r="M1650" s="6">
        <v>0</v>
      </c>
      <c r="N1650" s="6" t="str">
        <f>""</f>
        <v/>
      </c>
      <c r="O1650" s="6">
        <v>31108</v>
      </c>
      <c r="P1650" s="6" t="s">
        <v>6927</v>
      </c>
      <c r="R1650" s="6" t="s">
        <v>5061</v>
      </c>
      <c r="S1650" s="6" t="s">
        <v>6928</v>
      </c>
      <c r="T1650" s="6">
        <v>0</v>
      </c>
      <c r="U1650" s="6">
        <v>0</v>
      </c>
      <c r="V1650" s="6">
        <v>0</v>
      </c>
      <c r="W1650" s="6">
        <v>0</v>
      </c>
      <c r="X1650" s="6" t="s">
        <v>169</v>
      </c>
      <c r="Z1650" s="6" t="s">
        <v>170</v>
      </c>
      <c r="AA1650" s="6" t="s">
        <v>171</v>
      </c>
      <c r="AB1650" s="6">
        <v>0</v>
      </c>
      <c r="AC1650" s="6" t="str">
        <f>""</f>
        <v/>
      </c>
      <c r="AS1650" s="6">
        <v>0</v>
      </c>
      <c r="AT1650" s="6">
        <v>0</v>
      </c>
    </row>
    <row r="1651" spans="2:46">
      <c r="B1651" s="6" t="s">
        <v>115</v>
      </c>
      <c r="D1651" s="6" t="s">
        <v>3316</v>
      </c>
      <c r="F1651" s="6" t="s">
        <v>6929</v>
      </c>
      <c r="G1651" s="6" t="str">
        <f>"3172224500199208"</f>
        <v>3172224500199208</v>
      </c>
      <c r="H1651" s="6">
        <v>3172224500199200</v>
      </c>
      <c r="I1651" s="6" t="s">
        <v>6930</v>
      </c>
      <c r="J1651" s="6" t="str">
        <f>"Palm Tree T-shirt(BLACK)"</f>
        <v>Palm Tree T-shirt(BLACK)</v>
      </c>
      <c r="K1651" s="6">
        <v>0</v>
      </c>
      <c r="L1651" s="6">
        <v>0</v>
      </c>
      <c r="M1651" s="6">
        <v>0</v>
      </c>
      <c r="N1651" s="6" t="str">
        <f>""</f>
        <v/>
      </c>
      <c r="O1651" s="6">
        <v>31106</v>
      </c>
      <c r="P1651" s="6" t="s">
        <v>6931</v>
      </c>
      <c r="R1651" s="6" t="s">
        <v>5066</v>
      </c>
      <c r="S1651" s="6" t="s">
        <v>6932</v>
      </c>
      <c r="T1651" s="6">
        <v>0</v>
      </c>
      <c r="U1651" s="6">
        <v>0</v>
      </c>
      <c r="V1651" s="6">
        <v>0</v>
      </c>
      <c r="W1651" s="6">
        <v>0</v>
      </c>
      <c r="X1651" s="6" t="s">
        <v>169</v>
      </c>
      <c r="Z1651" s="6" t="s">
        <v>170</v>
      </c>
      <c r="AA1651" s="6" t="s">
        <v>171</v>
      </c>
      <c r="AB1651" s="6">
        <v>0</v>
      </c>
      <c r="AC1651" s="6" t="str">
        <f>""</f>
        <v/>
      </c>
      <c r="AS1651" s="6">
        <v>0</v>
      </c>
      <c r="AT1651" s="6">
        <v>0</v>
      </c>
    </row>
    <row r="1652" spans="2:46">
      <c r="B1652" s="6" t="s">
        <v>115</v>
      </c>
      <c r="D1652" s="6" t="s">
        <v>3316</v>
      </c>
      <c r="F1652" s="6" t="s">
        <v>6933</v>
      </c>
      <c r="G1652" s="6" t="str">
        <f>"3176224504712208"</f>
        <v>3176224504712208</v>
      </c>
      <c r="H1652" s="6">
        <v>3176224504712200</v>
      </c>
      <c r="I1652" s="6" t="s">
        <v>6934</v>
      </c>
      <c r="J1652" s="6" t="str">
        <f>"Basic Logo T-shirt(PINK)"</f>
        <v>Basic Logo T-shirt(PINK)</v>
      </c>
      <c r="K1652" s="6">
        <v>0</v>
      </c>
      <c r="L1652" s="6">
        <v>0</v>
      </c>
      <c r="M1652" s="6">
        <v>0</v>
      </c>
      <c r="N1652" s="6" t="str">
        <f>""</f>
        <v/>
      </c>
      <c r="O1652" s="6">
        <v>31104</v>
      </c>
      <c r="P1652" s="6" t="s">
        <v>6935</v>
      </c>
      <c r="R1652" s="6" t="s">
        <v>1469</v>
      </c>
      <c r="S1652" s="6" t="s">
        <v>6936</v>
      </c>
      <c r="T1652" s="6">
        <v>0</v>
      </c>
      <c r="U1652" s="6">
        <v>0</v>
      </c>
      <c r="V1652" s="6">
        <v>0</v>
      </c>
      <c r="W1652" s="6">
        <v>0</v>
      </c>
      <c r="X1652" s="6" t="s">
        <v>169</v>
      </c>
      <c r="Z1652" s="6" t="s">
        <v>170</v>
      </c>
      <c r="AA1652" s="6" t="s">
        <v>171</v>
      </c>
      <c r="AB1652" s="6">
        <v>0</v>
      </c>
      <c r="AC1652" s="6" t="str">
        <f>""</f>
        <v/>
      </c>
      <c r="AS1652" s="6">
        <v>0</v>
      </c>
      <c r="AT1652" s="6">
        <v>0</v>
      </c>
    </row>
    <row r="1653" spans="2:46">
      <c r="B1653" s="6" t="s">
        <v>115</v>
      </c>
      <c r="D1653" s="6" t="s">
        <v>3316</v>
      </c>
      <c r="F1653" s="6" t="s">
        <v>6937</v>
      </c>
      <c r="G1653" s="6" t="str">
        <f>"3176224504725208"</f>
        <v>3176224504725208</v>
      </c>
      <c r="I1653" s="6" t="s">
        <v>6938</v>
      </c>
      <c r="J1653" s="6" t="str">
        <f>"Basic Logo T-shirt(BLUE)"</f>
        <v>Basic Logo T-shirt(BLUE)</v>
      </c>
      <c r="K1653" s="6">
        <v>0</v>
      </c>
      <c r="L1653" s="6">
        <v>0</v>
      </c>
      <c r="M1653" s="6">
        <v>0</v>
      </c>
      <c r="N1653" s="6" t="str">
        <f>""</f>
        <v/>
      </c>
      <c r="O1653" s="6">
        <v>31102</v>
      </c>
      <c r="P1653" s="6" t="s">
        <v>6939</v>
      </c>
      <c r="R1653" s="6" t="s">
        <v>5438</v>
      </c>
      <c r="S1653" s="6" t="s">
        <v>6940</v>
      </c>
      <c r="T1653" s="6">
        <v>1</v>
      </c>
      <c r="U1653" s="6">
        <v>0</v>
      </c>
      <c r="V1653" s="6">
        <v>0</v>
      </c>
      <c r="W1653" s="6">
        <v>0</v>
      </c>
      <c r="X1653" s="6" t="s">
        <v>169</v>
      </c>
      <c r="Z1653" s="6" t="s">
        <v>170</v>
      </c>
      <c r="AA1653" s="6" t="s">
        <v>171</v>
      </c>
      <c r="AB1653" s="6">
        <v>0</v>
      </c>
      <c r="AC1653" s="6" t="str">
        <f>"KEY-017"</f>
        <v>KEY-017</v>
      </c>
      <c r="AQ1653" s="6" t="str">
        <f>""</f>
        <v/>
      </c>
      <c r="AR1653" s="6" t="s">
        <v>1567</v>
      </c>
      <c r="AS1653" s="6">
        <v>0</v>
      </c>
      <c r="AT1653" s="6">
        <v>1</v>
      </c>
    </row>
    <row r="1654" spans="2:46">
      <c r="B1654" s="6" t="s">
        <v>115</v>
      </c>
      <c r="D1654" s="6" t="s">
        <v>3316</v>
      </c>
      <c r="F1654" s="6" t="s">
        <v>6941</v>
      </c>
      <c r="G1654" s="6" t="str">
        <f>"3176224504769208"</f>
        <v>3176224504769208</v>
      </c>
      <c r="I1654" s="6" t="s">
        <v>6942</v>
      </c>
      <c r="J1654" s="6" t="str">
        <f>"Basic Logo T-shirt(IVORY)"</f>
        <v>Basic Logo T-shirt(IVORY)</v>
      </c>
      <c r="K1654" s="6">
        <v>0</v>
      </c>
      <c r="L1654" s="6">
        <v>0</v>
      </c>
      <c r="M1654" s="6">
        <v>0</v>
      </c>
      <c r="N1654" s="6" t="str">
        <f>""</f>
        <v/>
      </c>
      <c r="O1654" s="6">
        <v>31100</v>
      </c>
      <c r="P1654" s="6" t="s">
        <v>6943</v>
      </c>
      <c r="R1654" s="6" t="s">
        <v>6944</v>
      </c>
      <c r="S1654" s="6" t="s">
        <v>6945</v>
      </c>
      <c r="T1654" s="6">
        <v>3</v>
      </c>
      <c r="U1654" s="6">
        <v>0</v>
      </c>
      <c r="V1654" s="6">
        <v>0</v>
      </c>
      <c r="W1654" s="6">
        <v>0</v>
      </c>
      <c r="X1654" s="6" t="s">
        <v>169</v>
      </c>
      <c r="Z1654" s="6" t="s">
        <v>170</v>
      </c>
      <c r="AA1654" s="6" t="s">
        <v>171</v>
      </c>
      <c r="AB1654" s="6">
        <v>0</v>
      </c>
      <c r="AC1654" s="6" t="str">
        <f>"KEY-022"</f>
        <v>KEY-022</v>
      </c>
      <c r="AQ1654" s="6" t="str">
        <f>""</f>
        <v/>
      </c>
      <c r="AR1654" s="6" t="s">
        <v>1567</v>
      </c>
      <c r="AS1654" s="6">
        <v>0</v>
      </c>
      <c r="AT1654" s="6">
        <v>3</v>
      </c>
    </row>
    <row r="1655" spans="2:46">
      <c r="B1655" s="6" t="s">
        <v>115</v>
      </c>
      <c r="D1655" s="6" t="s">
        <v>3316</v>
      </c>
      <c r="F1655" s="6" t="s">
        <v>6946</v>
      </c>
      <c r="G1655" s="6" t="str">
        <f>"3176224508291208"</f>
        <v>3176224508291208</v>
      </c>
      <c r="I1655" s="6" t="s">
        <v>6947</v>
      </c>
      <c r="J1655" s="6" t="str">
        <f>"17s Oversized 1/2 MTM(WHITE)"</f>
        <v>17s Oversized 1/2 MTM(WHITE)</v>
      </c>
      <c r="K1655" s="6">
        <v>0</v>
      </c>
      <c r="L1655" s="6">
        <v>0</v>
      </c>
      <c r="M1655" s="6">
        <v>0</v>
      </c>
      <c r="N1655" s="6" t="str">
        <f>""</f>
        <v/>
      </c>
      <c r="O1655" s="6">
        <v>31098</v>
      </c>
      <c r="P1655" s="6" t="s">
        <v>6948</v>
      </c>
      <c r="R1655" s="6" t="s">
        <v>5061</v>
      </c>
      <c r="S1655" s="6" t="s">
        <v>6949</v>
      </c>
      <c r="T1655" s="6">
        <v>2</v>
      </c>
      <c r="U1655" s="6">
        <v>0</v>
      </c>
      <c r="V1655" s="6">
        <v>0</v>
      </c>
      <c r="W1655" s="6">
        <v>0</v>
      </c>
      <c r="X1655" s="6" t="s">
        <v>169</v>
      </c>
      <c r="Z1655" s="6" t="s">
        <v>170</v>
      </c>
      <c r="AA1655" s="6" t="s">
        <v>171</v>
      </c>
      <c r="AB1655" s="6">
        <v>0</v>
      </c>
      <c r="AC1655" s="6" t="str">
        <f>"KEY-027"</f>
        <v>KEY-027</v>
      </c>
      <c r="AQ1655" s="6" t="str">
        <f>""</f>
        <v/>
      </c>
      <c r="AR1655" s="6" t="s">
        <v>1567</v>
      </c>
      <c r="AS1655" s="6">
        <v>0</v>
      </c>
      <c r="AT1655" s="6">
        <v>2</v>
      </c>
    </row>
    <row r="1656" spans="2:46">
      <c r="B1656" s="6" t="s">
        <v>115</v>
      </c>
      <c r="D1656" s="6" t="s">
        <v>3316</v>
      </c>
      <c r="F1656" s="6" t="s">
        <v>6950</v>
      </c>
      <c r="G1656" s="6" t="str">
        <f>"3176224508299208"</f>
        <v>3176224508299208</v>
      </c>
      <c r="I1656" s="6" t="s">
        <v>6951</v>
      </c>
      <c r="J1656" s="6" t="str">
        <f>"17s Oversized 1/2 MTM(BLACK)"</f>
        <v>17s Oversized 1/2 MTM(BLACK)</v>
      </c>
      <c r="K1656" s="6">
        <v>0</v>
      </c>
      <c r="L1656" s="6">
        <v>0</v>
      </c>
      <c r="M1656" s="6">
        <v>0</v>
      </c>
      <c r="N1656" s="6" t="str">
        <f>""</f>
        <v/>
      </c>
      <c r="O1656" s="6">
        <v>31096</v>
      </c>
      <c r="P1656" s="6" t="s">
        <v>6952</v>
      </c>
      <c r="R1656" s="6" t="s">
        <v>5066</v>
      </c>
      <c r="S1656" s="6" t="s">
        <v>6953</v>
      </c>
      <c r="T1656" s="6">
        <v>3</v>
      </c>
      <c r="U1656" s="6">
        <v>0</v>
      </c>
      <c r="V1656" s="6">
        <v>0</v>
      </c>
      <c r="W1656" s="6">
        <v>0</v>
      </c>
      <c r="X1656" s="6" t="s">
        <v>169</v>
      </c>
      <c r="Z1656" s="6" t="s">
        <v>170</v>
      </c>
      <c r="AA1656" s="6" t="s">
        <v>171</v>
      </c>
      <c r="AB1656" s="6">
        <v>0</v>
      </c>
      <c r="AC1656" s="6" t="str">
        <f>"KEY-025"</f>
        <v>KEY-025</v>
      </c>
      <c r="AQ1656" s="6" t="str">
        <f>""</f>
        <v/>
      </c>
      <c r="AR1656" s="6" t="s">
        <v>1567</v>
      </c>
      <c r="AS1656" s="6">
        <v>0</v>
      </c>
      <c r="AT1656" s="6">
        <v>3</v>
      </c>
    </row>
    <row r="1657" spans="2:46">
      <c r="B1657" s="6" t="s">
        <v>115</v>
      </c>
      <c r="D1657" s="6" t="s">
        <v>3316</v>
      </c>
      <c r="F1657" s="6" t="s">
        <v>6954</v>
      </c>
      <c r="G1657" s="6" t="str">
        <f>"3176224504391208"</f>
        <v>3176224504391208</v>
      </c>
      <c r="I1657" s="6" t="s">
        <v>6955</v>
      </c>
      <c r="J1657" s="6" t="str">
        <f>"17s Roll-Up T-shirt(WHITE)"</f>
        <v>17s Roll-Up T-shirt(WHITE)</v>
      </c>
      <c r="K1657" s="6">
        <v>0</v>
      </c>
      <c r="L1657" s="6">
        <v>0</v>
      </c>
      <c r="M1657" s="6">
        <v>0</v>
      </c>
      <c r="N1657" s="6" t="str">
        <f>""</f>
        <v/>
      </c>
      <c r="O1657" s="6">
        <v>31094</v>
      </c>
      <c r="P1657" s="6" t="s">
        <v>6956</v>
      </c>
      <c r="R1657" s="6" t="s">
        <v>5061</v>
      </c>
      <c r="S1657" s="6" t="s">
        <v>6957</v>
      </c>
      <c r="T1657" s="6">
        <v>3</v>
      </c>
      <c r="U1657" s="6">
        <v>0</v>
      </c>
      <c r="V1657" s="6">
        <v>0</v>
      </c>
      <c r="W1657" s="6">
        <v>0</v>
      </c>
      <c r="X1657" s="6" t="s">
        <v>169</v>
      </c>
      <c r="Z1657" s="6" t="s">
        <v>170</v>
      </c>
      <c r="AA1657" s="6" t="s">
        <v>171</v>
      </c>
      <c r="AB1657" s="6">
        <v>0</v>
      </c>
      <c r="AC1657" s="6" t="str">
        <f>"KEY-027"</f>
        <v>KEY-027</v>
      </c>
      <c r="AQ1657" s="6" t="str">
        <f>""</f>
        <v/>
      </c>
      <c r="AR1657" s="6" t="s">
        <v>1567</v>
      </c>
      <c r="AS1657" s="6">
        <v>0</v>
      </c>
      <c r="AT1657" s="6">
        <v>3</v>
      </c>
    </row>
    <row r="1658" spans="2:46">
      <c r="B1658" s="6" t="s">
        <v>115</v>
      </c>
      <c r="D1658" s="6" t="s">
        <v>3316</v>
      </c>
      <c r="F1658" s="6" t="s">
        <v>6958</v>
      </c>
      <c r="G1658" s="6" t="str">
        <f>"3176224504399208"</f>
        <v>3176224504399208</v>
      </c>
      <c r="I1658" s="6" t="s">
        <v>6959</v>
      </c>
      <c r="J1658" s="6" t="str">
        <f>"17s Roll-Up T-shirt(BLACK)"</f>
        <v>17s Roll-Up T-shirt(BLACK)</v>
      </c>
      <c r="K1658" s="6">
        <v>0</v>
      </c>
      <c r="L1658" s="6">
        <v>0</v>
      </c>
      <c r="M1658" s="6">
        <v>0</v>
      </c>
      <c r="N1658" s="6" t="str">
        <f>""</f>
        <v/>
      </c>
      <c r="O1658" s="6">
        <v>31092</v>
      </c>
      <c r="P1658" s="6" t="s">
        <v>6960</v>
      </c>
      <c r="R1658" s="6" t="s">
        <v>5066</v>
      </c>
      <c r="S1658" s="6" t="s">
        <v>6961</v>
      </c>
      <c r="T1658" s="6">
        <v>3</v>
      </c>
      <c r="U1658" s="6">
        <v>0</v>
      </c>
      <c r="V1658" s="6">
        <v>0</v>
      </c>
      <c r="W1658" s="6">
        <v>0</v>
      </c>
      <c r="X1658" s="6" t="s">
        <v>169</v>
      </c>
      <c r="Z1658" s="6" t="s">
        <v>170</v>
      </c>
      <c r="AA1658" s="6" t="s">
        <v>171</v>
      </c>
      <c r="AB1658" s="6">
        <v>0</v>
      </c>
      <c r="AC1658" s="6" t="str">
        <f>"KEY-017"</f>
        <v>KEY-017</v>
      </c>
      <c r="AQ1658" s="6" t="str">
        <f>""</f>
        <v/>
      </c>
      <c r="AR1658" s="6" t="s">
        <v>1567</v>
      </c>
      <c r="AS1658" s="6">
        <v>0</v>
      </c>
      <c r="AT1658" s="6">
        <v>3</v>
      </c>
    </row>
    <row r="1659" spans="2:46">
      <c r="B1659" s="6" t="s">
        <v>115</v>
      </c>
      <c r="D1659" s="6" t="s">
        <v>3316</v>
      </c>
      <c r="F1659" s="6" t="s">
        <v>6962</v>
      </c>
      <c r="G1659" s="6" t="str">
        <f>"3176314110495320"</f>
        <v>3176314110495320</v>
      </c>
      <c r="H1659" s="6">
        <v>3176314110495320</v>
      </c>
      <c r="I1659" s="6" t="s">
        <v>6963</v>
      </c>
      <c r="J1659" s="6" t="str">
        <f>"Button Jogger Pants(GREY)"</f>
        <v>Button Jogger Pants(GREY)</v>
      </c>
      <c r="K1659" s="6">
        <v>0</v>
      </c>
      <c r="L1659" s="6">
        <v>0</v>
      </c>
      <c r="M1659" s="6">
        <v>0</v>
      </c>
      <c r="N1659" s="6" t="str">
        <f>""</f>
        <v/>
      </c>
      <c r="O1659" s="6">
        <v>31090</v>
      </c>
      <c r="P1659" s="6" t="s">
        <v>6964</v>
      </c>
      <c r="R1659" s="6" t="s">
        <v>6965</v>
      </c>
      <c r="S1659" s="6" t="s">
        <v>6966</v>
      </c>
      <c r="T1659" s="6">
        <v>0</v>
      </c>
      <c r="U1659" s="6">
        <v>0</v>
      </c>
      <c r="V1659" s="6">
        <v>0</v>
      </c>
      <c r="W1659" s="6">
        <v>0</v>
      </c>
      <c r="X1659" s="6" t="s">
        <v>169</v>
      </c>
      <c r="Z1659" s="6" t="s">
        <v>170</v>
      </c>
      <c r="AA1659" s="6" t="s">
        <v>171</v>
      </c>
      <c r="AB1659" s="6">
        <v>0</v>
      </c>
      <c r="AC1659" s="6" t="str">
        <f>""</f>
        <v/>
      </c>
      <c r="AS1659" s="6">
        <v>0</v>
      </c>
      <c r="AT1659" s="6">
        <v>0</v>
      </c>
    </row>
    <row r="1660" spans="2:46">
      <c r="B1660" s="6" t="s">
        <v>115</v>
      </c>
      <c r="D1660" s="6" t="s">
        <v>3316</v>
      </c>
      <c r="F1660" s="6" t="s">
        <v>6967</v>
      </c>
      <c r="G1660" s="6" t="str">
        <f>"3176314110430320"</f>
        <v>3176314110430320</v>
      </c>
      <c r="H1660" s="6">
        <v>3176314110430320</v>
      </c>
      <c r="I1660" s="6" t="s">
        <v>6968</v>
      </c>
      <c r="J1660" s="6" t="str">
        <f>"Button Jogger Pants(NAVY)"</f>
        <v>Button Jogger Pants(NAVY)</v>
      </c>
      <c r="K1660" s="6">
        <v>0</v>
      </c>
      <c r="L1660" s="6">
        <v>0</v>
      </c>
      <c r="M1660" s="6">
        <v>0</v>
      </c>
      <c r="N1660" s="6" t="str">
        <f>""</f>
        <v/>
      </c>
      <c r="O1660" s="6">
        <v>31088</v>
      </c>
      <c r="P1660" s="6" t="s">
        <v>6969</v>
      </c>
      <c r="R1660" s="6" t="s">
        <v>6970</v>
      </c>
      <c r="S1660" s="6" t="s">
        <v>6971</v>
      </c>
      <c r="T1660" s="6">
        <v>0</v>
      </c>
      <c r="U1660" s="6">
        <v>0</v>
      </c>
      <c r="V1660" s="6">
        <v>0</v>
      </c>
      <c r="W1660" s="6">
        <v>0</v>
      </c>
      <c r="X1660" s="6" t="s">
        <v>169</v>
      </c>
      <c r="Z1660" s="6" t="s">
        <v>170</v>
      </c>
      <c r="AA1660" s="6" t="s">
        <v>171</v>
      </c>
      <c r="AB1660" s="6">
        <v>0</v>
      </c>
      <c r="AC1660" s="6" t="str">
        <f>""</f>
        <v/>
      </c>
      <c r="AS1660" s="6">
        <v>0</v>
      </c>
      <c r="AT1660" s="6">
        <v>0</v>
      </c>
    </row>
    <row r="1661" spans="2:46">
      <c r="B1661" s="6" t="s">
        <v>115</v>
      </c>
      <c r="D1661" s="6" t="s">
        <v>3316</v>
      </c>
      <c r="F1661" s="6" t="s">
        <v>6972</v>
      </c>
      <c r="G1661" s="6" t="str">
        <f>"3176314110595320"</f>
        <v>3176314110595320</v>
      </c>
      <c r="H1661" s="6">
        <v>3176314110595320</v>
      </c>
      <c r="I1661" s="6" t="s">
        <v>6973</v>
      </c>
      <c r="J1661" s="6" t="str">
        <f>"Button Hole Training Pants(GREY)"</f>
        <v>Button Hole Training Pants(GREY)</v>
      </c>
      <c r="K1661" s="6">
        <v>0</v>
      </c>
      <c r="L1661" s="6">
        <v>0</v>
      </c>
      <c r="M1661" s="6">
        <v>0</v>
      </c>
      <c r="N1661" s="6" t="str">
        <f>""</f>
        <v/>
      </c>
      <c r="O1661" s="6">
        <v>31086</v>
      </c>
      <c r="P1661" s="6" t="s">
        <v>6974</v>
      </c>
      <c r="R1661" s="6" t="s">
        <v>6965</v>
      </c>
      <c r="S1661" s="6" t="s">
        <v>6975</v>
      </c>
      <c r="T1661" s="6">
        <v>0</v>
      </c>
      <c r="U1661" s="6">
        <v>0</v>
      </c>
      <c r="V1661" s="6">
        <v>0</v>
      </c>
      <c r="W1661" s="6">
        <v>0</v>
      </c>
      <c r="X1661" s="6" t="s">
        <v>169</v>
      </c>
      <c r="Z1661" s="6" t="s">
        <v>170</v>
      </c>
      <c r="AA1661" s="6" t="s">
        <v>171</v>
      </c>
      <c r="AB1661" s="6">
        <v>0</v>
      </c>
      <c r="AC1661" s="6" t="str">
        <f>""</f>
        <v/>
      </c>
      <c r="AS1661" s="6">
        <v>0</v>
      </c>
      <c r="AT1661" s="6">
        <v>0</v>
      </c>
    </row>
    <row r="1662" spans="2:46">
      <c r="B1662" s="6" t="s">
        <v>115</v>
      </c>
      <c r="D1662" s="6" t="s">
        <v>3316</v>
      </c>
      <c r="F1662" s="6" t="s">
        <v>6976</v>
      </c>
      <c r="G1662" s="6" t="str">
        <f>"3176314110599320"</f>
        <v>3176314110599320</v>
      </c>
      <c r="I1662" s="6" t="s">
        <v>6977</v>
      </c>
      <c r="J1662" s="6" t="str">
        <f>"Button Hole Training Pants(BLACK)"</f>
        <v>Button Hole Training Pants(BLACK)</v>
      </c>
      <c r="K1662" s="6">
        <v>0</v>
      </c>
      <c r="L1662" s="6">
        <v>0</v>
      </c>
      <c r="M1662" s="6">
        <v>0</v>
      </c>
      <c r="N1662" s="6" t="str">
        <f>""</f>
        <v/>
      </c>
      <c r="O1662" s="6">
        <v>31084</v>
      </c>
      <c r="P1662" s="6" t="s">
        <v>6978</v>
      </c>
      <c r="R1662" s="6" t="s">
        <v>6979</v>
      </c>
      <c r="S1662" s="6" t="s">
        <v>6980</v>
      </c>
      <c r="T1662" s="6">
        <v>1</v>
      </c>
      <c r="U1662" s="6">
        <v>0</v>
      </c>
      <c r="V1662" s="6">
        <v>0</v>
      </c>
      <c r="W1662" s="6">
        <v>0</v>
      </c>
      <c r="X1662" s="6" t="s">
        <v>169</v>
      </c>
      <c r="Z1662" s="6" t="s">
        <v>170</v>
      </c>
      <c r="AA1662" s="6" t="s">
        <v>171</v>
      </c>
      <c r="AB1662" s="6">
        <v>0</v>
      </c>
      <c r="AC1662" s="6" t="str">
        <f>"KEY-018"</f>
        <v>KEY-018</v>
      </c>
      <c r="AQ1662" s="6" t="str">
        <f>""</f>
        <v/>
      </c>
      <c r="AR1662" s="6" t="s">
        <v>1567</v>
      </c>
      <c r="AS1662" s="6">
        <v>0</v>
      </c>
      <c r="AT1662" s="6">
        <v>1</v>
      </c>
    </row>
    <row r="1663" spans="2:46">
      <c r="B1663" s="6" t="s">
        <v>115</v>
      </c>
      <c r="D1663" s="6" t="s">
        <v>3316</v>
      </c>
      <c r="F1663" s="6" t="s">
        <v>6981</v>
      </c>
      <c r="G1663" s="6" t="str">
        <f>"3176224156399208"</f>
        <v>3176224156399208</v>
      </c>
      <c r="I1663" s="6" t="s">
        <v>6982</v>
      </c>
      <c r="J1663" s="6" t="str">
        <f>"Space Map T-Shirt(BLACK)"</f>
        <v>Space Map T-Shirt(BLACK)</v>
      </c>
      <c r="K1663" s="6">
        <v>0</v>
      </c>
      <c r="L1663" s="6">
        <v>0</v>
      </c>
      <c r="M1663" s="6">
        <v>0</v>
      </c>
      <c r="N1663" s="6" t="str">
        <f>""</f>
        <v/>
      </c>
      <c r="O1663" s="6">
        <v>31082</v>
      </c>
      <c r="P1663" s="6" t="s">
        <v>6983</v>
      </c>
      <c r="R1663" s="6" t="s">
        <v>6979</v>
      </c>
      <c r="S1663" s="6" t="s">
        <v>6984</v>
      </c>
      <c r="T1663" s="6">
        <v>1</v>
      </c>
      <c r="U1663" s="6">
        <v>0</v>
      </c>
      <c r="V1663" s="6">
        <v>0</v>
      </c>
      <c r="W1663" s="6">
        <v>0</v>
      </c>
      <c r="X1663" s="6" t="s">
        <v>169</v>
      </c>
      <c r="Z1663" s="6" t="s">
        <v>170</v>
      </c>
      <c r="AA1663" s="6" t="s">
        <v>171</v>
      </c>
      <c r="AB1663" s="6">
        <v>0</v>
      </c>
      <c r="AC1663" s="6" t="str">
        <f>"KEY-009"</f>
        <v>KEY-009</v>
      </c>
      <c r="AQ1663" s="6" t="str">
        <f>""</f>
        <v/>
      </c>
      <c r="AR1663" s="6" t="s">
        <v>1584</v>
      </c>
      <c r="AS1663" s="6">
        <v>0</v>
      </c>
      <c r="AT1663" s="6">
        <v>1</v>
      </c>
    </row>
    <row r="1664" spans="2:46">
      <c r="B1664" s="6" t="s">
        <v>115</v>
      </c>
      <c r="D1664" s="6" t="s">
        <v>3316</v>
      </c>
      <c r="F1664" s="6" t="s">
        <v>6985</v>
      </c>
      <c r="G1664" s="6" t="str">
        <f>"3176224156361208"</f>
        <v>3176224156361208</v>
      </c>
      <c r="I1664" s="6" t="s">
        <v>6986</v>
      </c>
      <c r="J1664" s="6" t="str">
        <f>"Space Map T-Shirt(RED)"</f>
        <v>Space Map T-Shirt(RED)</v>
      </c>
      <c r="K1664" s="6">
        <v>0</v>
      </c>
      <c r="L1664" s="6">
        <v>0</v>
      </c>
      <c r="M1664" s="6">
        <v>0</v>
      </c>
      <c r="N1664" s="6" t="str">
        <f>""</f>
        <v/>
      </c>
      <c r="O1664" s="6">
        <v>31080</v>
      </c>
      <c r="P1664" s="6" t="s">
        <v>6987</v>
      </c>
      <c r="R1664" s="6" t="s">
        <v>6988</v>
      </c>
      <c r="S1664" s="6" t="s">
        <v>6989</v>
      </c>
      <c r="T1664" s="6">
        <v>1</v>
      </c>
      <c r="U1664" s="6">
        <v>0</v>
      </c>
      <c r="V1664" s="6">
        <v>0</v>
      </c>
      <c r="W1664" s="6">
        <v>0</v>
      </c>
      <c r="X1664" s="6" t="s">
        <v>169</v>
      </c>
      <c r="Z1664" s="6" t="s">
        <v>170</v>
      </c>
      <c r="AA1664" s="6" t="s">
        <v>171</v>
      </c>
      <c r="AB1664" s="6">
        <v>0</v>
      </c>
      <c r="AC1664" s="6" t="str">
        <f>"KEY-018"</f>
        <v>KEY-018</v>
      </c>
      <c r="AQ1664" s="6" t="str">
        <f>""</f>
        <v/>
      </c>
      <c r="AR1664" s="6" t="s">
        <v>1567</v>
      </c>
      <c r="AS1664" s="6">
        <v>0</v>
      </c>
      <c r="AT1664" s="6">
        <v>1</v>
      </c>
    </row>
    <row r="1665" spans="2:46">
      <c r="B1665" s="6" t="s">
        <v>115</v>
      </c>
      <c r="D1665" s="6" t="s">
        <v>3316</v>
      </c>
      <c r="F1665" s="6" t="s">
        <v>6990</v>
      </c>
      <c r="G1665" s="6" t="str">
        <f>"3176224156545208"</f>
        <v>3176224156545208</v>
      </c>
      <c r="I1665" s="6" t="s">
        <v>6991</v>
      </c>
      <c r="J1665" s="6" t="str">
        <f>"Galaxy Rugby 1/2 T-Shirt(GREEN)"</f>
        <v>Galaxy Rugby 1/2 T-Shirt(GREEN)</v>
      </c>
      <c r="K1665" s="6">
        <v>0</v>
      </c>
      <c r="L1665" s="6">
        <v>0</v>
      </c>
      <c r="M1665" s="6">
        <v>0</v>
      </c>
      <c r="N1665" s="6" t="str">
        <f>""</f>
        <v/>
      </c>
      <c r="O1665" s="6">
        <v>31078</v>
      </c>
      <c r="P1665" s="6" t="s">
        <v>6992</v>
      </c>
      <c r="R1665" s="6" t="s">
        <v>6993</v>
      </c>
      <c r="S1665" s="6" t="s">
        <v>6994</v>
      </c>
      <c r="T1665" s="6">
        <v>2</v>
      </c>
      <c r="U1665" s="6">
        <v>0</v>
      </c>
      <c r="V1665" s="6">
        <v>0</v>
      </c>
      <c r="W1665" s="6">
        <v>0</v>
      </c>
      <c r="X1665" s="6" t="s">
        <v>169</v>
      </c>
      <c r="Z1665" s="6" t="s">
        <v>170</v>
      </c>
      <c r="AA1665" s="6" t="s">
        <v>171</v>
      </c>
      <c r="AB1665" s="6">
        <v>0</v>
      </c>
      <c r="AC1665" s="6" t="str">
        <f>"KEY-018"</f>
        <v>KEY-018</v>
      </c>
      <c r="AQ1665" s="6" t="str">
        <f>""</f>
        <v/>
      </c>
      <c r="AR1665" s="6" t="s">
        <v>1567</v>
      </c>
      <c r="AS1665" s="6">
        <v>0</v>
      </c>
      <c r="AT1665" s="6">
        <v>2</v>
      </c>
    </row>
    <row r="1666" spans="2:46">
      <c r="B1666" s="6" t="s">
        <v>115</v>
      </c>
      <c r="D1666" s="6" t="s">
        <v>3316</v>
      </c>
      <c r="F1666" s="6" t="s">
        <v>6995</v>
      </c>
      <c r="G1666" s="6" t="str">
        <f>"3176224156565208"</f>
        <v>3176224156565208</v>
      </c>
      <c r="H1666" s="6">
        <v>3176224156565200</v>
      </c>
      <c r="I1666" s="6" t="s">
        <v>6996</v>
      </c>
      <c r="J1666" s="6" t="str">
        <f>"Galaxy Rugby 1/2 T-Shirt(YELLOW)"</f>
        <v>Galaxy Rugby 1/2 T-Shirt(YELLOW)</v>
      </c>
      <c r="K1666" s="6">
        <v>0</v>
      </c>
      <c r="L1666" s="6">
        <v>0</v>
      </c>
      <c r="M1666" s="6">
        <v>0</v>
      </c>
      <c r="N1666" s="6" t="str">
        <f>""</f>
        <v/>
      </c>
      <c r="O1666" s="6">
        <v>31076</v>
      </c>
      <c r="P1666" s="6" t="s">
        <v>6997</v>
      </c>
      <c r="R1666" s="6" t="s">
        <v>6998</v>
      </c>
      <c r="S1666" s="6" t="s">
        <v>6999</v>
      </c>
      <c r="T1666" s="6">
        <v>0</v>
      </c>
      <c r="U1666" s="6">
        <v>0</v>
      </c>
      <c r="V1666" s="6">
        <v>0</v>
      </c>
      <c r="W1666" s="6">
        <v>0</v>
      </c>
      <c r="X1666" s="6" t="s">
        <v>169</v>
      </c>
      <c r="Z1666" s="6" t="s">
        <v>170</v>
      </c>
      <c r="AA1666" s="6" t="s">
        <v>171</v>
      </c>
      <c r="AB1666" s="6">
        <v>0</v>
      </c>
      <c r="AC1666" s="6" t="str">
        <f>""</f>
        <v/>
      </c>
      <c r="AS1666" s="6">
        <v>0</v>
      </c>
      <c r="AT1666" s="6">
        <v>0</v>
      </c>
    </row>
    <row r="1667" spans="2:46">
      <c r="B1667" s="6" t="s">
        <v>115</v>
      </c>
      <c r="D1667" s="6" t="s">
        <v>3316</v>
      </c>
      <c r="F1667" s="6" t="s">
        <v>7000</v>
      </c>
      <c r="G1667" s="6" t="str">
        <f>"3176224156465208"</f>
        <v>3176224156465208</v>
      </c>
      <c r="H1667" s="6">
        <v>3176224156465200</v>
      </c>
      <c r="I1667" s="6" t="s">
        <v>7001</v>
      </c>
      <c r="J1667" s="6" t="str">
        <f>"Galaxy Rugby T-Shirt(YELLOW)"</f>
        <v>Galaxy Rugby T-Shirt(YELLOW)</v>
      </c>
      <c r="K1667" s="6">
        <v>0</v>
      </c>
      <c r="L1667" s="6">
        <v>0</v>
      </c>
      <c r="M1667" s="6">
        <v>0</v>
      </c>
      <c r="N1667" s="6" t="str">
        <f>""</f>
        <v/>
      </c>
      <c r="O1667" s="6">
        <v>31074</v>
      </c>
      <c r="P1667" s="6" t="s">
        <v>7002</v>
      </c>
      <c r="R1667" s="6" t="s">
        <v>6998</v>
      </c>
      <c r="S1667" s="6" t="s">
        <v>7003</v>
      </c>
      <c r="T1667" s="6">
        <v>0</v>
      </c>
      <c r="U1667" s="6">
        <v>0</v>
      </c>
      <c r="V1667" s="6">
        <v>0</v>
      </c>
      <c r="W1667" s="6">
        <v>0</v>
      </c>
      <c r="X1667" s="6" t="s">
        <v>169</v>
      </c>
      <c r="Z1667" s="6" t="s">
        <v>170</v>
      </c>
      <c r="AA1667" s="6" t="s">
        <v>171</v>
      </c>
      <c r="AB1667" s="6">
        <v>0</v>
      </c>
      <c r="AC1667" s="6" t="str">
        <f>""</f>
        <v/>
      </c>
      <c r="AS1667" s="6">
        <v>0</v>
      </c>
      <c r="AT1667" s="6">
        <v>0</v>
      </c>
    </row>
    <row r="1668" spans="2:46">
      <c r="B1668" s="6" t="s">
        <v>115</v>
      </c>
      <c r="D1668" s="6" t="s">
        <v>3316</v>
      </c>
      <c r="F1668" s="6" t="s">
        <v>7004</v>
      </c>
      <c r="G1668" s="6" t="str">
        <f>"3176224156430208"</f>
        <v>3176224156430208</v>
      </c>
      <c r="H1668" s="6">
        <v>3176224156430200</v>
      </c>
      <c r="I1668" s="6" t="s">
        <v>7005</v>
      </c>
      <c r="J1668" s="6" t="str">
        <f>"Galaxy Rugby T-Shirt(NAVY-GREEN)"</f>
        <v>Galaxy Rugby T-Shirt(NAVY-GREEN)</v>
      </c>
      <c r="K1668" s="6">
        <v>0</v>
      </c>
      <c r="L1668" s="6">
        <v>0</v>
      </c>
      <c r="M1668" s="6">
        <v>0</v>
      </c>
      <c r="N1668" s="6" t="str">
        <f>""</f>
        <v/>
      </c>
      <c r="O1668" s="6">
        <v>31072</v>
      </c>
      <c r="P1668" s="6" t="s">
        <v>7006</v>
      </c>
      <c r="R1668" s="6" t="s">
        <v>7007</v>
      </c>
      <c r="S1668" s="6" t="s">
        <v>7008</v>
      </c>
      <c r="T1668" s="6">
        <v>0</v>
      </c>
      <c r="U1668" s="6">
        <v>0</v>
      </c>
      <c r="V1668" s="6">
        <v>0</v>
      </c>
      <c r="W1668" s="6">
        <v>0</v>
      </c>
      <c r="X1668" s="6" t="s">
        <v>169</v>
      </c>
      <c r="Z1668" s="6" t="s">
        <v>170</v>
      </c>
      <c r="AA1668" s="6" t="s">
        <v>171</v>
      </c>
      <c r="AB1668" s="6">
        <v>0</v>
      </c>
      <c r="AC1668" s="6" t="str">
        <f>""</f>
        <v/>
      </c>
      <c r="AS1668" s="6">
        <v>0</v>
      </c>
      <c r="AT1668" s="6">
        <v>0</v>
      </c>
    </row>
    <row r="1669" spans="2:46">
      <c r="B1669" s="6" t="s">
        <v>115</v>
      </c>
      <c r="D1669" s="6" t="s">
        <v>3316</v>
      </c>
      <c r="F1669" s="6" t="s">
        <v>7009</v>
      </c>
      <c r="G1669" s="6" t="str">
        <f>"3176224150595208"</f>
        <v>3176224150595208</v>
      </c>
      <c r="H1669" s="6">
        <v>3176224150595200</v>
      </c>
      <c r="I1669" s="6" t="s">
        <v>7010</v>
      </c>
      <c r="J1669" s="6" t="str">
        <f>"Stripe Alien T-Shirt(GREY)"</f>
        <v>Stripe Alien T-Shirt(GREY)</v>
      </c>
      <c r="K1669" s="6">
        <v>0</v>
      </c>
      <c r="L1669" s="6">
        <v>0</v>
      </c>
      <c r="M1669" s="6">
        <v>0</v>
      </c>
      <c r="N1669" s="6" t="str">
        <f>""</f>
        <v/>
      </c>
      <c r="O1669" s="6">
        <v>31070</v>
      </c>
      <c r="P1669" s="6" t="s">
        <v>7011</v>
      </c>
      <c r="R1669" s="6" t="s">
        <v>6965</v>
      </c>
      <c r="S1669" s="6" t="s">
        <v>7012</v>
      </c>
      <c r="T1669" s="6">
        <v>0</v>
      </c>
      <c r="U1669" s="6">
        <v>0</v>
      </c>
      <c r="V1669" s="6">
        <v>0</v>
      </c>
      <c r="W1669" s="6">
        <v>0</v>
      </c>
      <c r="X1669" s="6" t="s">
        <v>169</v>
      </c>
      <c r="Z1669" s="6" t="s">
        <v>170</v>
      </c>
      <c r="AA1669" s="6" t="s">
        <v>171</v>
      </c>
      <c r="AB1669" s="6">
        <v>0</v>
      </c>
      <c r="AC1669" s="6" t="str">
        <f>""</f>
        <v/>
      </c>
      <c r="AS1669" s="6">
        <v>0</v>
      </c>
      <c r="AT1669" s="6">
        <v>0</v>
      </c>
    </row>
    <row r="1670" spans="2:46">
      <c r="B1670" s="6" t="s">
        <v>115</v>
      </c>
      <c r="D1670" s="6" t="s">
        <v>3316</v>
      </c>
      <c r="F1670" s="6" t="s">
        <v>7013</v>
      </c>
      <c r="G1670" s="6" t="str">
        <f>"3176224150530208"</f>
        <v>3176224150530208</v>
      </c>
      <c r="H1670" s="6">
        <v>3176224150530200</v>
      </c>
      <c r="I1670" s="6" t="s">
        <v>7014</v>
      </c>
      <c r="J1670" s="6" t="str">
        <f>"Stripe Alien T-Shirt(NAVY)"</f>
        <v>Stripe Alien T-Shirt(NAVY)</v>
      </c>
      <c r="K1670" s="6">
        <v>0</v>
      </c>
      <c r="L1670" s="6">
        <v>0</v>
      </c>
      <c r="M1670" s="6">
        <v>0</v>
      </c>
      <c r="N1670" s="6" t="str">
        <f>""</f>
        <v/>
      </c>
      <c r="O1670" s="6">
        <v>31068</v>
      </c>
      <c r="P1670" s="6" t="s">
        <v>7015</v>
      </c>
      <c r="R1670" s="6" t="s">
        <v>6970</v>
      </c>
      <c r="S1670" s="6" t="s">
        <v>7016</v>
      </c>
      <c r="T1670" s="6">
        <v>0</v>
      </c>
      <c r="U1670" s="6">
        <v>0</v>
      </c>
      <c r="V1670" s="6">
        <v>0</v>
      </c>
      <c r="W1670" s="6">
        <v>0</v>
      </c>
      <c r="X1670" s="6" t="s">
        <v>169</v>
      </c>
      <c r="Z1670" s="6" t="s">
        <v>170</v>
      </c>
      <c r="AA1670" s="6" t="s">
        <v>171</v>
      </c>
      <c r="AB1670" s="6">
        <v>0</v>
      </c>
      <c r="AC1670" s="6" t="str">
        <f>""</f>
        <v/>
      </c>
      <c r="AS1670" s="6">
        <v>0</v>
      </c>
      <c r="AT1670" s="6">
        <v>0</v>
      </c>
    </row>
    <row r="1671" spans="2:46">
      <c r="B1671" s="6" t="s">
        <v>115</v>
      </c>
      <c r="D1671" s="6" t="s">
        <v>3316</v>
      </c>
      <c r="F1671" s="6" t="s">
        <v>7017</v>
      </c>
      <c r="G1671" s="6" t="str">
        <f>"3176224151499208"</f>
        <v>3176224151499208</v>
      </c>
      <c r="H1671" s="6">
        <v>3176224151499200</v>
      </c>
      <c r="I1671" s="6" t="s">
        <v>7018</v>
      </c>
      <c r="J1671" s="6" t="str">
        <f>"B-612 Planet T-Shirt(BLACK)"</f>
        <v>B-612 Planet T-Shirt(BLACK)</v>
      </c>
      <c r="K1671" s="6">
        <v>0</v>
      </c>
      <c r="L1671" s="6">
        <v>0</v>
      </c>
      <c r="M1671" s="6">
        <v>0</v>
      </c>
      <c r="N1671" s="6" t="str">
        <f>""</f>
        <v/>
      </c>
      <c r="O1671" s="6">
        <v>31066</v>
      </c>
      <c r="P1671" s="6" t="s">
        <v>7019</v>
      </c>
      <c r="R1671" s="6" t="s">
        <v>6979</v>
      </c>
      <c r="S1671" s="6" t="s">
        <v>7020</v>
      </c>
      <c r="T1671" s="6">
        <v>0</v>
      </c>
      <c r="U1671" s="6">
        <v>0</v>
      </c>
      <c r="V1671" s="6">
        <v>0</v>
      </c>
      <c r="W1671" s="6">
        <v>0</v>
      </c>
      <c r="X1671" s="6" t="s">
        <v>169</v>
      </c>
      <c r="Z1671" s="6" t="s">
        <v>170</v>
      </c>
      <c r="AA1671" s="6" t="s">
        <v>171</v>
      </c>
      <c r="AB1671" s="6">
        <v>0</v>
      </c>
      <c r="AC1671" s="6" t="str">
        <f>""</f>
        <v/>
      </c>
      <c r="AS1671" s="6">
        <v>0</v>
      </c>
      <c r="AT1671" s="6">
        <v>0</v>
      </c>
    </row>
    <row r="1672" spans="2:46">
      <c r="B1672" s="6" t="s">
        <v>115</v>
      </c>
      <c r="D1672" s="6" t="s">
        <v>3316</v>
      </c>
      <c r="F1672" s="6" t="s">
        <v>7021</v>
      </c>
      <c r="G1672" s="6" t="str">
        <f>"3176224151491208"</f>
        <v>3176224151491208</v>
      </c>
      <c r="H1672" s="6">
        <v>3176224151491200</v>
      </c>
      <c r="I1672" s="6" t="s">
        <v>7022</v>
      </c>
      <c r="J1672" s="6" t="str">
        <f>"B-612 Planet T-Shirt(WHITE)"</f>
        <v>B-612 Planet T-Shirt(WHITE)</v>
      </c>
      <c r="K1672" s="6">
        <v>0</v>
      </c>
      <c r="L1672" s="6">
        <v>0</v>
      </c>
      <c r="M1672" s="6">
        <v>0</v>
      </c>
      <c r="N1672" s="6" t="str">
        <f>""</f>
        <v/>
      </c>
      <c r="O1672" s="6">
        <v>31064</v>
      </c>
      <c r="P1672" s="6" t="s">
        <v>7023</v>
      </c>
      <c r="R1672" s="6" t="s">
        <v>7024</v>
      </c>
      <c r="S1672" s="6" t="s">
        <v>7025</v>
      </c>
      <c r="T1672" s="6">
        <v>0</v>
      </c>
      <c r="U1672" s="6">
        <v>0</v>
      </c>
      <c r="V1672" s="6">
        <v>0</v>
      </c>
      <c r="W1672" s="6">
        <v>0</v>
      </c>
      <c r="X1672" s="6" t="s">
        <v>169</v>
      </c>
      <c r="Z1672" s="6" t="s">
        <v>170</v>
      </c>
      <c r="AA1672" s="6" t="s">
        <v>171</v>
      </c>
      <c r="AB1672" s="6">
        <v>0</v>
      </c>
      <c r="AC1672" s="6" t="str">
        <f>""</f>
        <v/>
      </c>
      <c r="AS1672" s="6">
        <v>0</v>
      </c>
      <c r="AT1672" s="6">
        <v>0</v>
      </c>
    </row>
    <row r="1673" spans="2:46">
      <c r="B1673" s="6" t="s">
        <v>115</v>
      </c>
      <c r="D1673" s="6" t="s">
        <v>3316</v>
      </c>
      <c r="F1673" s="6" t="s">
        <v>7026</v>
      </c>
      <c r="G1673" s="6" t="str">
        <f>"3176224151374208"</f>
        <v>3176224151374208</v>
      </c>
      <c r="H1673" s="6">
        <v>3176224151374200</v>
      </c>
      <c r="I1673" s="6" t="s">
        <v>7027</v>
      </c>
      <c r="J1673" s="6" t="str">
        <f>"Satellite T-Shirt(BEIGE)"</f>
        <v>Satellite T-Shirt(BEIGE)</v>
      </c>
      <c r="K1673" s="6">
        <v>0</v>
      </c>
      <c r="L1673" s="6">
        <v>0</v>
      </c>
      <c r="M1673" s="6">
        <v>0</v>
      </c>
      <c r="N1673" s="6" t="str">
        <f>""</f>
        <v/>
      </c>
      <c r="O1673" s="6">
        <v>31062</v>
      </c>
      <c r="P1673" s="6" t="s">
        <v>7028</v>
      </c>
      <c r="R1673" s="6" t="s">
        <v>7029</v>
      </c>
      <c r="S1673" s="6" t="s">
        <v>7030</v>
      </c>
      <c r="T1673" s="6">
        <v>0</v>
      </c>
      <c r="U1673" s="6">
        <v>0</v>
      </c>
      <c r="V1673" s="6">
        <v>0</v>
      </c>
      <c r="W1673" s="6">
        <v>0</v>
      </c>
      <c r="X1673" s="6" t="s">
        <v>169</v>
      </c>
      <c r="Z1673" s="6" t="s">
        <v>170</v>
      </c>
      <c r="AA1673" s="6" t="s">
        <v>171</v>
      </c>
      <c r="AB1673" s="6">
        <v>0</v>
      </c>
      <c r="AC1673" s="6" t="str">
        <f>""</f>
        <v/>
      </c>
      <c r="AS1673" s="6">
        <v>0</v>
      </c>
      <c r="AT1673" s="6">
        <v>0</v>
      </c>
    </row>
    <row r="1674" spans="2:46">
      <c r="B1674" s="6" t="s">
        <v>115</v>
      </c>
      <c r="D1674" s="6" t="s">
        <v>3316</v>
      </c>
      <c r="F1674" s="6" t="s">
        <v>7031</v>
      </c>
      <c r="G1674" s="6" t="str">
        <f>"3176224151301208"</f>
        <v>3176224151301208</v>
      </c>
      <c r="H1674" s="6">
        <v>3176224151301200</v>
      </c>
      <c r="I1674" s="6" t="s">
        <v>7032</v>
      </c>
      <c r="J1674" s="6" t="str">
        <f>"Satellite T-Shirt(PINK)"</f>
        <v>Satellite T-Shirt(PINK)</v>
      </c>
      <c r="K1674" s="6">
        <v>0</v>
      </c>
      <c r="L1674" s="6">
        <v>0</v>
      </c>
      <c r="M1674" s="6">
        <v>0</v>
      </c>
      <c r="N1674" s="6" t="str">
        <f>""</f>
        <v/>
      </c>
      <c r="O1674" s="6">
        <v>31060</v>
      </c>
      <c r="P1674" s="6" t="s">
        <v>7033</v>
      </c>
      <c r="R1674" s="6" t="s">
        <v>7034</v>
      </c>
      <c r="S1674" s="6" t="s">
        <v>7035</v>
      </c>
      <c r="T1674" s="6">
        <v>0</v>
      </c>
      <c r="U1674" s="6">
        <v>0</v>
      </c>
      <c r="V1674" s="6">
        <v>0</v>
      </c>
      <c r="W1674" s="6">
        <v>0</v>
      </c>
      <c r="X1674" s="6" t="s">
        <v>169</v>
      </c>
      <c r="Z1674" s="6" t="s">
        <v>170</v>
      </c>
      <c r="AA1674" s="6" t="s">
        <v>171</v>
      </c>
      <c r="AB1674" s="6">
        <v>0</v>
      </c>
      <c r="AC1674" s="6" t="str">
        <f>""</f>
        <v/>
      </c>
      <c r="AS1674" s="6">
        <v>0</v>
      </c>
      <c r="AT1674" s="6">
        <v>0</v>
      </c>
    </row>
    <row r="1675" spans="2:46">
      <c r="B1675" s="6" t="s">
        <v>115</v>
      </c>
      <c r="D1675" s="6" t="s">
        <v>3316</v>
      </c>
      <c r="F1675" s="6" t="s">
        <v>7036</v>
      </c>
      <c r="G1675" s="6" t="str">
        <f>"3176224151230208"</f>
        <v>3176224151230208</v>
      </c>
      <c r="H1675" s="6">
        <v>3176224151230200</v>
      </c>
      <c r="I1675" s="6" t="s">
        <v>7037</v>
      </c>
      <c r="J1675" s="6" t="str">
        <f>"Rocket Patch T-Shirt(NAVY)"</f>
        <v>Rocket Patch T-Shirt(NAVY)</v>
      </c>
      <c r="K1675" s="6">
        <v>0</v>
      </c>
      <c r="L1675" s="6">
        <v>0</v>
      </c>
      <c r="M1675" s="6">
        <v>0</v>
      </c>
      <c r="N1675" s="6" t="str">
        <f>""</f>
        <v/>
      </c>
      <c r="O1675" s="6">
        <v>31058</v>
      </c>
      <c r="P1675" s="6" t="s">
        <v>7038</v>
      </c>
      <c r="R1675" s="6" t="s">
        <v>6970</v>
      </c>
      <c r="S1675" s="6" t="s">
        <v>7039</v>
      </c>
      <c r="T1675" s="6">
        <v>0</v>
      </c>
      <c r="U1675" s="6">
        <v>0</v>
      </c>
      <c r="V1675" s="6">
        <v>0</v>
      </c>
      <c r="W1675" s="6">
        <v>0</v>
      </c>
      <c r="X1675" s="6" t="s">
        <v>169</v>
      </c>
      <c r="Z1675" s="6" t="s">
        <v>170</v>
      </c>
      <c r="AA1675" s="6" t="s">
        <v>171</v>
      </c>
      <c r="AB1675" s="6">
        <v>0</v>
      </c>
      <c r="AC1675" s="6" t="str">
        <f>""</f>
        <v/>
      </c>
      <c r="AS1675" s="6">
        <v>0</v>
      </c>
      <c r="AT1675" s="6">
        <v>0</v>
      </c>
    </row>
    <row r="1676" spans="2:46">
      <c r="B1676" s="6" t="s">
        <v>115</v>
      </c>
      <c r="D1676" s="6" t="s">
        <v>3316</v>
      </c>
      <c r="F1676" s="6" t="s">
        <v>7040</v>
      </c>
      <c r="G1676" s="6" t="str">
        <f>"3176224151261208"</f>
        <v>3176224151261208</v>
      </c>
      <c r="H1676" s="6">
        <v>3176224151261200</v>
      </c>
      <c r="I1676" s="6" t="s">
        <v>7041</v>
      </c>
      <c r="J1676" s="6" t="str">
        <f>"Rocket Patch T-shirt(RED)"</f>
        <v>Rocket Patch T-shirt(RED)</v>
      </c>
      <c r="K1676" s="6">
        <v>0</v>
      </c>
      <c r="L1676" s="6">
        <v>0</v>
      </c>
      <c r="M1676" s="6">
        <v>0</v>
      </c>
      <c r="N1676" s="6" t="str">
        <f>""</f>
        <v/>
      </c>
      <c r="O1676" s="6">
        <v>31056</v>
      </c>
      <c r="P1676" s="6" t="s">
        <v>7042</v>
      </c>
      <c r="R1676" s="6" t="s">
        <v>6988</v>
      </c>
      <c r="S1676" s="6" t="s">
        <v>7043</v>
      </c>
      <c r="T1676" s="6">
        <v>0</v>
      </c>
      <c r="U1676" s="6">
        <v>0</v>
      </c>
      <c r="V1676" s="6">
        <v>0</v>
      </c>
      <c r="W1676" s="6">
        <v>0</v>
      </c>
      <c r="X1676" s="6" t="s">
        <v>169</v>
      </c>
      <c r="Z1676" s="6" t="s">
        <v>170</v>
      </c>
      <c r="AA1676" s="6" t="s">
        <v>171</v>
      </c>
      <c r="AB1676" s="6">
        <v>0</v>
      </c>
      <c r="AC1676" s="6" t="str">
        <f>""</f>
        <v/>
      </c>
      <c r="AS1676" s="6">
        <v>0</v>
      </c>
      <c r="AT1676" s="6">
        <v>0</v>
      </c>
    </row>
    <row r="1677" spans="2:46">
      <c r="B1677" s="6" t="s">
        <v>115</v>
      </c>
      <c r="D1677" s="6" t="s">
        <v>3316</v>
      </c>
      <c r="F1677" s="6" t="s">
        <v>7044</v>
      </c>
      <c r="G1677" s="6" t="str">
        <f>"3176344104591320"</f>
        <v>3176344104591320</v>
      </c>
      <c r="I1677" s="6" t="s">
        <v>7045</v>
      </c>
      <c r="J1677" s="6" t="str">
        <f>"Astronaut Half Pants(WHITE)"</f>
        <v>Astronaut Half Pants(WHITE)</v>
      </c>
      <c r="K1677" s="6">
        <v>0</v>
      </c>
      <c r="L1677" s="6">
        <v>0</v>
      </c>
      <c r="M1677" s="6">
        <v>0</v>
      </c>
      <c r="N1677" s="6" t="str">
        <f>""</f>
        <v/>
      </c>
      <c r="O1677" s="6">
        <v>31054</v>
      </c>
      <c r="P1677" s="6" t="s">
        <v>7046</v>
      </c>
      <c r="R1677" s="6" t="s">
        <v>7024</v>
      </c>
      <c r="S1677" s="6" t="s">
        <v>7047</v>
      </c>
      <c r="T1677" s="6">
        <v>1</v>
      </c>
      <c r="U1677" s="6">
        <v>0</v>
      </c>
      <c r="V1677" s="6">
        <v>0</v>
      </c>
      <c r="W1677" s="6">
        <v>0</v>
      </c>
      <c r="X1677" s="6" t="s">
        <v>169</v>
      </c>
      <c r="Z1677" s="6" t="s">
        <v>170</v>
      </c>
      <c r="AA1677" s="6" t="s">
        <v>171</v>
      </c>
      <c r="AB1677" s="6">
        <v>0</v>
      </c>
      <c r="AC1677" s="6" t="str">
        <f>"KEY-022"</f>
        <v>KEY-022</v>
      </c>
      <c r="AQ1677" s="6" t="str">
        <f>""</f>
        <v/>
      </c>
      <c r="AR1677" s="6" t="s">
        <v>1567</v>
      </c>
      <c r="AS1677" s="6">
        <v>0</v>
      </c>
      <c r="AT1677" s="6">
        <v>1</v>
      </c>
    </row>
    <row r="1678" spans="2:46">
      <c r="B1678" s="6" t="s">
        <v>115</v>
      </c>
      <c r="D1678" s="6" t="s">
        <v>3316</v>
      </c>
      <c r="F1678" s="6" t="s">
        <v>7048</v>
      </c>
      <c r="G1678" s="6" t="str">
        <f>"3176344104599320"</f>
        <v>3176344104599320</v>
      </c>
      <c r="H1678" s="6">
        <v>3176344104599320</v>
      </c>
      <c r="I1678" s="6" t="s">
        <v>7049</v>
      </c>
      <c r="J1678" s="6" t="str">
        <f>"Astronaut Half Pants(BLACK)"</f>
        <v>Astronaut Half Pants(BLACK)</v>
      </c>
      <c r="K1678" s="6">
        <v>0</v>
      </c>
      <c r="L1678" s="6">
        <v>0</v>
      </c>
      <c r="M1678" s="6">
        <v>0</v>
      </c>
      <c r="N1678" s="6" t="str">
        <f>""</f>
        <v/>
      </c>
      <c r="O1678" s="6">
        <v>31052</v>
      </c>
      <c r="P1678" s="6" t="s">
        <v>7050</v>
      </c>
      <c r="R1678" s="6" t="s">
        <v>6979</v>
      </c>
      <c r="S1678" s="6" t="s">
        <v>7051</v>
      </c>
      <c r="T1678" s="6">
        <v>0</v>
      </c>
      <c r="U1678" s="6">
        <v>0</v>
      </c>
      <c r="V1678" s="6">
        <v>0</v>
      </c>
      <c r="W1678" s="6">
        <v>0</v>
      </c>
      <c r="X1678" s="6" t="s">
        <v>169</v>
      </c>
      <c r="Z1678" s="6" t="s">
        <v>170</v>
      </c>
      <c r="AA1678" s="6" t="s">
        <v>171</v>
      </c>
      <c r="AB1678" s="6">
        <v>0</v>
      </c>
      <c r="AC1678" s="6" t="str">
        <f>""</f>
        <v/>
      </c>
      <c r="AS1678" s="6">
        <v>0</v>
      </c>
      <c r="AT1678" s="6">
        <v>0</v>
      </c>
    </row>
    <row r="1679" spans="2:46">
      <c r="B1679" s="6" t="s">
        <v>115</v>
      </c>
      <c r="D1679" s="6" t="s">
        <v>3316</v>
      </c>
      <c r="F1679" s="6" t="s">
        <v>7052</v>
      </c>
      <c r="G1679" s="6" t="str">
        <f>"3176214106799208"</f>
        <v>3176214106799208</v>
      </c>
      <c r="H1679" s="6">
        <v>3176214106799200</v>
      </c>
      <c r="I1679" s="6" t="s">
        <v>7053</v>
      </c>
      <c r="J1679" s="6" t="str">
        <f>"Astronaut Shirt(BLACK)"</f>
        <v>Astronaut Shirt(BLACK)</v>
      </c>
      <c r="K1679" s="6">
        <v>0</v>
      </c>
      <c r="L1679" s="6">
        <v>0</v>
      </c>
      <c r="M1679" s="6">
        <v>0</v>
      </c>
      <c r="N1679" s="6" t="str">
        <f>""</f>
        <v/>
      </c>
      <c r="O1679" s="6">
        <v>31050</v>
      </c>
      <c r="P1679" s="6" t="s">
        <v>7054</v>
      </c>
      <c r="R1679" s="6" t="s">
        <v>6979</v>
      </c>
      <c r="S1679" s="6" t="s">
        <v>7055</v>
      </c>
      <c r="T1679" s="6">
        <v>0</v>
      </c>
      <c r="U1679" s="6">
        <v>0</v>
      </c>
      <c r="V1679" s="6">
        <v>0</v>
      </c>
      <c r="W1679" s="6">
        <v>0</v>
      </c>
      <c r="X1679" s="6" t="s">
        <v>169</v>
      </c>
      <c r="Z1679" s="6" t="s">
        <v>170</v>
      </c>
      <c r="AA1679" s="6" t="s">
        <v>171</v>
      </c>
      <c r="AB1679" s="6">
        <v>0</v>
      </c>
      <c r="AC1679" s="6" t="str">
        <f>""</f>
        <v/>
      </c>
      <c r="AS1679" s="6">
        <v>0</v>
      </c>
      <c r="AT1679" s="6">
        <v>0</v>
      </c>
    </row>
    <row r="1680" spans="2:46">
      <c r="B1680" s="6" t="s">
        <v>115</v>
      </c>
      <c r="D1680" s="6" t="s">
        <v>3316</v>
      </c>
      <c r="F1680" s="6" t="s">
        <v>7056</v>
      </c>
      <c r="G1680" s="6" t="str">
        <f>"3176214106791208"</f>
        <v>3176214106791208</v>
      </c>
      <c r="I1680" s="6" t="s">
        <v>7057</v>
      </c>
      <c r="J1680" s="6" t="str">
        <f>"Astronaut Shirt(WHITE)"</f>
        <v>Astronaut Shirt(WHITE)</v>
      </c>
      <c r="K1680" s="6">
        <v>0</v>
      </c>
      <c r="L1680" s="6">
        <v>0</v>
      </c>
      <c r="M1680" s="6">
        <v>0</v>
      </c>
      <c r="N1680" s="6" t="str">
        <f>""</f>
        <v/>
      </c>
      <c r="O1680" s="6">
        <v>31048</v>
      </c>
      <c r="P1680" s="6" t="s">
        <v>7058</v>
      </c>
      <c r="R1680" s="6" t="s">
        <v>7024</v>
      </c>
      <c r="S1680" s="6" t="s">
        <v>7059</v>
      </c>
      <c r="T1680" s="6">
        <v>2</v>
      </c>
      <c r="U1680" s="6">
        <v>0</v>
      </c>
      <c r="V1680" s="6">
        <v>0</v>
      </c>
      <c r="W1680" s="6">
        <v>0</v>
      </c>
      <c r="X1680" s="6" t="s">
        <v>169</v>
      </c>
      <c r="Z1680" s="6" t="s">
        <v>170</v>
      </c>
      <c r="AA1680" s="6" t="s">
        <v>171</v>
      </c>
      <c r="AB1680" s="6">
        <v>0</v>
      </c>
      <c r="AC1680" s="6" t="str">
        <f>"KEY-022"</f>
        <v>KEY-022</v>
      </c>
      <c r="AQ1680" s="6" t="str">
        <f>""</f>
        <v/>
      </c>
      <c r="AR1680" s="6" t="s">
        <v>1567</v>
      </c>
      <c r="AS1680" s="6">
        <v>0</v>
      </c>
      <c r="AT1680" s="6">
        <v>2</v>
      </c>
    </row>
    <row r="1681" spans="2:46">
      <c r="B1681" s="6" t="s">
        <v>115</v>
      </c>
      <c r="D1681" s="6" t="s">
        <v>3316</v>
      </c>
      <c r="F1681" s="6" t="s">
        <v>7060</v>
      </c>
      <c r="G1681" s="6" t="str">
        <f>"3176224153299208"</f>
        <v>3176224153299208</v>
      </c>
      <c r="H1681" s="6">
        <v>3176224153299200</v>
      </c>
      <c r="I1681" s="6" t="s">
        <v>7061</v>
      </c>
      <c r="J1681" s="6" t="str">
        <f>"Saturn T-Shirt(BLACK)"</f>
        <v>Saturn T-Shirt(BLACK)</v>
      </c>
      <c r="K1681" s="6">
        <v>0</v>
      </c>
      <c r="L1681" s="6">
        <v>0</v>
      </c>
      <c r="M1681" s="6">
        <v>0</v>
      </c>
      <c r="N1681" s="6" t="str">
        <f>""</f>
        <v/>
      </c>
      <c r="O1681" s="6">
        <v>31046</v>
      </c>
      <c r="P1681" s="6" t="s">
        <v>7062</v>
      </c>
      <c r="R1681" s="6" t="s">
        <v>6979</v>
      </c>
      <c r="S1681" s="6" t="s">
        <v>7063</v>
      </c>
      <c r="T1681" s="6">
        <v>0</v>
      </c>
      <c r="U1681" s="6">
        <v>0</v>
      </c>
      <c r="V1681" s="6">
        <v>0</v>
      </c>
      <c r="W1681" s="6">
        <v>0</v>
      </c>
      <c r="X1681" s="6" t="s">
        <v>169</v>
      </c>
      <c r="Z1681" s="6" t="s">
        <v>170</v>
      </c>
      <c r="AA1681" s="6" t="s">
        <v>171</v>
      </c>
      <c r="AB1681" s="6">
        <v>0</v>
      </c>
      <c r="AC1681" s="6" t="str">
        <f>""</f>
        <v/>
      </c>
      <c r="AS1681" s="6">
        <v>0</v>
      </c>
      <c r="AT1681" s="6">
        <v>0</v>
      </c>
    </row>
    <row r="1682" spans="2:46">
      <c r="B1682" s="6" t="s">
        <v>115</v>
      </c>
      <c r="D1682" s="6" t="s">
        <v>3316</v>
      </c>
      <c r="F1682" s="6" t="s">
        <v>7064</v>
      </c>
      <c r="G1682" s="6" t="str">
        <f>"3176224153291208"</f>
        <v>3176224153291208</v>
      </c>
      <c r="I1682" s="6" t="s">
        <v>7065</v>
      </c>
      <c r="J1682" s="6" t="str">
        <f>"Saturn T-Shirt(WHITE)"</f>
        <v>Saturn T-Shirt(WHITE)</v>
      </c>
      <c r="K1682" s="6">
        <v>0</v>
      </c>
      <c r="L1682" s="6">
        <v>0</v>
      </c>
      <c r="M1682" s="6">
        <v>0</v>
      </c>
      <c r="N1682" s="6" t="str">
        <f>""</f>
        <v/>
      </c>
      <c r="O1682" s="6">
        <v>31044</v>
      </c>
      <c r="P1682" s="6" t="s">
        <v>7066</v>
      </c>
      <c r="R1682" s="6" t="s">
        <v>7024</v>
      </c>
      <c r="S1682" s="6" t="s">
        <v>7067</v>
      </c>
      <c r="T1682" s="6">
        <v>1</v>
      </c>
      <c r="U1682" s="6">
        <v>0</v>
      </c>
      <c r="V1682" s="6">
        <v>0</v>
      </c>
      <c r="W1682" s="6">
        <v>0</v>
      </c>
      <c r="X1682" s="6" t="s">
        <v>169</v>
      </c>
      <c r="Z1682" s="6" t="s">
        <v>170</v>
      </c>
      <c r="AA1682" s="6" t="s">
        <v>171</v>
      </c>
      <c r="AB1682" s="6">
        <v>0</v>
      </c>
      <c r="AC1682" s="6" t="str">
        <f>"KEY-017"</f>
        <v>KEY-017</v>
      </c>
      <c r="AQ1682" s="6" t="str">
        <f>""</f>
        <v/>
      </c>
      <c r="AR1682" s="6" t="s">
        <v>1567</v>
      </c>
      <c r="AS1682" s="6">
        <v>0</v>
      </c>
      <c r="AT1682" s="6">
        <v>1</v>
      </c>
    </row>
    <row r="1683" spans="2:46">
      <c r="B1683" s="6" t="s">
        <v>115</v>
      </c>
      <c r="D1683" s="6" t="s">
        <v>3316</v>
      </c>
      <c r="F1683" s="6" t="s">
        <v>7068</v>
      </c>
      <c r="G1683" s="6" t="str">
        <f>"3176224177091208"</f>
        <v>3176224177091208</v>
      </c>
      <c r="I1683" s="6" t="s">
        <v>7069</v>
      </c>
      <c r="J1683" s="6" t="str">
        <f>"New Moon Sweater(WHITE)"</f>
        <v>New Moon Sweater(WHITE)</v>
      </c>
      <c r="K1683" s="6">
        <v>0</v>
      </c>
      <c r="L1683" s="6">
        <v>0</v>
      </c>
      <c r="M1683" s="6">
        <v>0</v>
      </c>
      <c r="N1683" s="6" t="str">
        <f>""</f>
        <v/>
      </c>
      <c r="O1683" s="6">
        <v>31042</v>
      </c>
      <c r="P1683" s="6" t="s">
        <v>7070</v>
      </c>
      <c r="R1683" s="6" t="s">
        <v>7024</v>
      </c>
      <c r="S1683" s="6" t="s">
        <v>7071</v>
      </c>
      <c r="T1683" s="6">
        <v>1</v>
      </c>
      <c r="U1683" s="6">
        <v>0</v>
      </c>
      <c r="V1683" s="6">
        <v>0</v>
      </c>
      <c r="W1683" s="6">
        <v>0</v>
      </c>
      <c r="X1683" s="6" t="s">
        <v>169</v>
      </c>
      <c r="Z1683" s="6" t="s">
        <v>170</v>
      </c>
      <c r="AA1683" s="6" t="s">
        <v>171</v>
      </c>
      <c r="AB1683" s="6">
        <v>0</v>
      </c>
      <c r="AC1683" s="6" t="str">
        <f>"KEY-025"</f>
        <v>KEY-025</v>
      </c>
      <c r="AQ1683" s="6" t="str">
        <f>""</f>
        <v/>
      </c>
      <c r="AR1683" s="6" t="s">
        <v>1567</v>
      </c>
      <c r="AS1683" s="6">
        <v>0</v>
      </c>
      <c r="AT1683" s="6">
        <v>1</v>
      </c>
    </row>
    <row r="1684" spans="2:46">
      <c r="B1684" s="6" t="s">
        <v>115</v>
      </c>
      <c r="D1684" s="6" t="s">
        <v>3316</v>
      </c>
      <c r="F1684" s="6" t="s">
        <v>7072</v>
      </c>
      <c r="G1684" s="6" t="str">
        <f>"3176224177099208"</f>
        <v>3176224177099208</v>
      </c>
      <c r="H1684" s="6">
        <v>3176224177099200</v>
      </c>
      <c r="I1684" s="6" t="s">
        <v>7073</v>
      </c>
      <c r="J1684" s="6" t="str">
        <f>"New Moon Sweater(BLACK)"</f>
        <v>New Moon Sweater(BLACK)</v>
      </c>
      <c r="K1684" s="6">
        <v>0</v>
      </c>
      <c r="L1684" s="6">
        <v>0</v>
      </c>
      <c r="M1684" s="6">
        <v>0</v>
      </c>
      <c r="N1684" s="6" t="str">
        <f>""</f>
        <v/>
      </c>
      <c r="O1684" s="6">
        <v>31040</v>
      </c>
      <c r="P1684" s="6" t="s">
        <v>7074</v>
      </c>
      <c r="R1684" s="6" t="s">
        <v>6979</v>
      </c>
      <c r="S1684" s="6" t="s">
        <v>7075</v>
      </c>
      <c r="T1684" s="6">
        <v>0</v>
      </c>
      <c r="U1684" s="6">
        <v>0</v>
      </c>
      <c r="V1684" s="6">
        <v>0</v>
      </c>
      <c r="W1684" s="6">
        <v>0</v>
      </c>
      <c r="X1684" s="6" t="s">
        <v>169</v>
      </c>
      <c r="Z1684" s="6" t="s">
        <v>170</v>
      </c>
      <c r="AA1684" s="6" t="s">
        <v>171</v>
      </c>
      <c r="AB1684" s="6">
        <v>0</v>
      </c>
      <c r="AC1684" s="6" t="str">
        <f>""</f>
        <v/>
      </c>
      <c r="AS1684" s="6">
        <v>0</v>
      </c>
      <c r="AT1684" s="6">
        <v>0</v>
      </c>
    </row>
    <row r="1685" spans="2:46">
      <c r="B1685" s="6" t="s">
        <v>115</v>
      </c>
      <c r="D1685" s="6" t="s">
        <v>3316</v>
      </c>
      <c r="F1685" s="6" t="s">
        <v>7076</v>
      </c>
      <c r="G1685" s="6" t="str">
        <f>"3176214106674208"</f>
        <v>3176214106674208</v>
      </c>
      <c r="I1685" s="6" t="s">
        <v>7077</v>
      </c>
      <c r="J1685" s="6" t="str">
        <f>"New Moon Shirt(BEIGE)"</f>
        <v>New Moon Shirt(BEIGE)</v>
      </c>
      <c r="K1685" s="6">
        <v>0</v>
      </c>
      <c r="L1685" s="6">
        <v>0</v>
      </c>
      <c r="M1685" s="6">
        <v>0</v>
      </c>
      <c r="N1685" s="6" t="str">
        <f>""</f>
        <v/>
      </c>
      <c r="O1685" s="6">
        <v>31038</v>
      </c>
      <c r="P1685" s="6" t="s">
        <v>7078</v>
      </c>
      <c r="R1685" s="6" t="s">
        <v>7029</v>
      </c>
      <c r="S1685" s="6" t="s">
        <v>7079</v>
      </c>
      <c r="T1685" s="6">
        <v>2</v>
      </c>
      <c r="U1685" s="6">
        <v>0</v>
      </c>
      <c r="V1685" s="6">
        <v>0</v>
      </c>
      <c r="W1685" s="6">
        <v>0</v>
      </c>
      <c r="X1685" s="6" t="s">
        <v>169</v>
      </c>
      <c r="Z1685" s="6" t="s">
        <v>170</v>
      </c>
      <c r="AA1685" s="6" t="s">
        <v>171</v>
      </c>
      <c r="AB1685" s="6">
        <v>0</v>
      </c>
      <c r="AC1685" s="6" t="str">
        <f>"KEY-009"</f>
        <v>KEY-009</v>
      </c>
      <c r="AQ1685" s="6" t="str">
        <f>""</f>
        <v/>
      </c>
      <c r="AR1685" s="6" t="s">
        <v>1584</v>
      </c>
      <c r="AS1685" s="6">
        <v>0</v>
      </c>
      <c r="AT1685" s="6">
        <v>2</v>
      </c>
    </row>
    <row r="1686" spans="2:46">
      <c r="B1686" s="6" t="s">
        <v>115</v>
      </c>
      <c r="D1686" s="6" t="s">
        <v>3316</v>
      </c>
      <c r="F1686" s="6" t="s">
        <v>7080</v>
      </c>
      <c r="G1686" s="6" t="str">
        <f>"3176214106699208"</f>
        <v>3176214106699208</v>
      </c>
      <c r="I1686" s="6" t="s">
        <v>7081</v>
      </c>
      <c r="J1686" s="6" t="str">
        <f>"New Moon Shirt(BLACK)"</f>
        <v>New Moon Shirt(BLACK)</v>
      </c>
      <c r="K1686" s="6">
        <v>0</v>
      </c>
      <c r="L1686" s="6">
        <v>0</v>
      </c>
      <c r="M1686" s="6">
        <v>0</v>
      </c>
      <c r="N1686" s="6" t="str">
        <f>""</f>
        <v/>
      </c>
      <c r="O1686" s="6">
        <v>31036</v>
      </c>
      <c r="P1686" s="6" t="s">
        <v>7082</v>
      </c>
      <c r="R1686" s="6" t="s">
        <v>6979</v>
      </c>
      <c r="S1686" s="6" t="s">
        <v>7083</v>
      </c>
      <c r="T1686" s="6">
        <v>1</v>
      </c>
      <c r="U1686" s="6">
        <v>0</v>
      </c>
      <c r="V1686" s="6">
        <v>0</v>
      </c>
      <c r="W1686" s="6">
        <v>0</v>
      </c>
      <c r="X1686" s="6" t="s">
        <v>169</v>
      </c>
      <c r="Z1686" s="6" t="s">
        <v>170</v>
      </c>
      <c r="AA1686" s="6" t="s">
        <v>171</v>
      </c>
      <c r="AB1686" s="6">
        <v>0</v>
      </c>
      <c r="AC1686" s="6" t="str">
        <f>"KEY-016"</f>
        <v>KEY-016</v>
      </c>
      <c r="AQ1686" s="6" t="str">
        <f>""</f>
        <v/>
      </c>
      <c r="AR1686" s="6" t="s">
        <v>1567</v>
      </c>
      <c r="AS1686" s="6">
        <v>0</v>
      </c>
      <c r="AT1686" s="6">
        <v>1</v>
      </c>
    </row>
    <row r="1687" spans="2:46">
      <c r="B1687" s="6" t="s">
        <v>115</v>
      </c>
      <c r="D1687" s="6" t="s">
        <v>3316</v>
      </c>
      <c r="F1687" s="6" t="s">
        <v>7084</v>
      </c>
      <c r="G1687" s="6" t="str">
        <f>"3176214106599208"</f>
        <v>3176214106599208</v>
      </c>
      <c r="H1687" s="6">
        <v>3176214106599200</v>
      </c>
      <c r="I1687" s="6" t="s">
        <v>7085</v>
      </c>
      <c r="J1687" s="6" t="str">
        <f>"Bird Moon T-Shirt(BLACK)"</f>
        <v>Bird Moon T-Shirt(BLACK)</v>
      </c>
      <c r="K1687" s="6">
        <v>0</v>
      </c>
      <c r="L1687" s="6">
        <v>0</v>
      </c>
      <c r="M1687" s="6">
        <v>0</v>
      </c>
      <c r="N1687" s="6" t="str">
        <f>""</f>
        <v/>
      </c>
      <c r="O1687" s="6">
        <v>31034</v>
      </c>
      <c r="P1687" s="6" t="s">
        <v>7086</v>
      </c>
      <c r="R1687" s="6" t="s">
        <v>6979</v>
      </c>
      <c r="S1687" s="6" t="s">
        <v>7087</v>
      </c>
      <c r="T1687" s="6">
        <v>0</v>
      </c>
      <c r="U1687" s="6">
        <v>0</v>
      </c>
      <c r="V1687" s="6">
        <v>0</v>
      </c>
      <c r="W1687" s="6">
        <v>0</v>
      </c>
      <c r="X1687" s="6" t="s">
        <v>169</v>
      </c>
      <c r="Z1687" s="6" t="s">
        <v>170</v>
      </c>
      <c r="AA1687" s="6" t="s">
        <v>171</v>
      </c>
      <c r="AB1687" s="6">
        <v>0</v>
      </c>
      <c r="AC1687" s="6" t="str">
        <f>""</f>
        <v/>
      </c>
      <c r="AS1687" s="6">
        <v>0</v>
      </c>
      <c r="AT1687" s="6">
        <v>0</v>
      </c>
    </row>
    <row r="1688" spans="2:46">
      <c r="B1688" s="6" t="s">
        <v>115</v>
      </c>
      <c r="D1688" s="6" t="s">
        <v>3316</v>
      </c>
      <c r="F1688" s="6" t="s">
        <v>7088</v>
      </c>
      <c r="G1688" s="6" t="str">
        <f>"3176214106591208"</f>
        <v>3176214106591208</v>
      </c>
      <c r="H1688" s="6">
        <v>3176214106591200</v>
      </c>
      <c r="I1688" s="6" t="s">
        <v>7089</v>
      </c>
      <c r="J1688" s="6" t="str">
        <f>"Bird Moon T-Shirt(WHITE)"</f>
        <v>Bird Moon T-Shirt(WHITE)</v>
      </c>
      <c r="K1688" s="6">
        <v>0</v>
      </c>
      <c r="L1688" s="6">
        <v>0</v>
      </c>
      <c r="M1688" s="6">
        <v>0</v>
      </c>
      <c r="N1688" s="6" t="str">
        <f>""</f>
        <v/>
      </c>
      <c r="O1688" s="6">
        <v>31032</v>
      </c>
      <c r="P1688" s="6" t="s">
        <v>7090</v>
      </c>
      <c r="R1688" s="6" t="s">
        <v>7024</v>
      </c>
      <c r="S1688" s="6" t="s">
        <v>7091</v>
      </c>
      <c r="T1688" s="6">
        <v>0</v>
      </c>
      <c r="U1688" s="6">
        <v>0</v>
      </c>
      <c r="V1688" s="6">
        <v>0</v>
      </c>
      <c r="W1688" s="6">
        <v>0</v>
      </c>
      <c r="X1688" s="6" t="s">
        <v>169</v>
      </c>
      <c r="Z1688" s="6" t="s">
        <v>170</v>
      </c>
      <c r="AA1688" s="6" t="s">
        <v>171</v>
      </c>
      <c r="AB1688" s="6">
        <v>0</v>
      </c>
      <c r="AC1688" s="6" t="str">
        <f>""</f>
        <v/>
      </c>
      <c r="AS1688" s="6">
        <v>0</v>
      </c>
      <c r="AT1688" s="6">
        <v>0</v>
      </c>
    </row>
    <row r="1689" spans="2:46">
      <c r="B1689" s="6" t="s">
        <v>115</v>
      </c>
      <c r="D1689" s="6" t="s">
        <v>3316</v>
      </c>
      <c r="F1689" s="6" t="s">
        <v>7092</v>
      </c>
      <c r="G1689" s="6" t="str">
        <f>"3176224149191208"</f>
        <v>3176224149191208</v>
      </c>
      <c r="H1689" s="6">
        <v>3176224149191200</v>
      </c>
      <c r="I1689" s="6" t="s">
        <v>7093</v>
      </c>
      <c r="J1689" s="6" t="str">
        <f>"Bird Moon Hood T-Shirt(WHITE)"</f>
        <v>Bird Moon Hood T-Shirt(WHITE)</v>
      </c>
      <c r="K1689" s="6">
        <v>0</v>
      </c>
      <c r="L1689" s="6">
        <v>0</v>
      </c>
      <c r="M1689" s="6">
        <v>0</v>
      </c>
      <c r="N1689" s="6" t="str">
        <f>""</f>
        <v/>
      </c>
      <c r="O1689" s="6">
        <v>31030</v>
      </c>
      <c r="P1689" s="6" t="s">
        <v>7094</v>
      </c>
      <c r="R1689" s="6" t="s">
        <v>7024</v>
      </c>
      <c r="S1689" s="6" t="s">
        <v>7095</v>
      </c>
      <c r="T1689" s="6">
        <v>0</v>
      </c>
      <c r="U1689" s="6">
        <v>0</v>
      </c>
      <c r="V1689" s="6">
        <v>0</v>
      </c>
      <c r="W1689" s="6">
        <v>0</v>
      </c>
      <c r="X1689" s="6" t="s">
        <v>169</v>
      </c>
      <c r="Z1689" s="6" t="s">
        <v>170</v>
      </c>
      <c r="AA1689" s="6" t="s">
        <v>171</v>
      </c>
      <c r="AB1689" s="6">
        <v>0</v>
      </c>
      <c r="AC1689" s="6" t="str">
        <f>""</f>
        <v/>
      </c>
      <c r="AS1689" s="6">
        <v>0</v>
      </c>
      <c r="AT1689" s="6">
        <v>0</v>
      </c>
    </row>
    <row r="1690" spans="2:46">
      <c r="B1690" s="6" t="s">
        <v>115</v>
      </c>
      <c r="D1690" s="6" t="s">
        <v>3316</v>
      </c>
      <c r="F1690" s="6" t="s">
        <v>7096</v>
      </c>
      <c r="G1690" s="6" t="str">
        <f>"3176224149199208"</f>
        <v>3176224149199208</v>
      </c>
      <c r="H1690" s="6">
        <v>3176224149199200</v>
      </c>
      <c r="I1690" s="6" t="s">
        <v>7097</v>
      </c>
      <c r="J1690" s="6" t="str">
        <f>"Bird Moon Hood T-Shirt(BLACK)"</f>
        <v>Bird Moon Hood T-Shirt(BLACK)</v>
      </c>
      <c r="K1690" s="6">
        <v>0</v>
      </c>
      <c r="L1690" s="6">
        <v>0</v>
      </c>
      <c r="M1690" s="6">
        <v>0</v>
      </c>
      <c r="N1690" s="6" t="str">
        <f>""</f>
        <v/>
      </c>
      <c r="O1690" s="6">
        <v>31028</v>
      </c>
      <c r="P1690" s="6" t="s">
        <v>7098</v>
      </c>
      <c r="R1690" s="6" t="s">
        <v>6979</v>
      </c>
      <c r="S1690" s="6" t="s">
        <v>7099</v>
      </c>
      <c r="T1690" s="6">
        <v>0</v>
      </c>
      <c r="U1690" s="6">
        <v>0</v>
      </c>
      <c r="V1690" s="6">
        <v>0</v>
      </c>
      <c r="W1690" s="6">
        <v>0</v>
      </c>
      <c r="X1690" s="6" t="s">
        <v>169</v>
      </c>
      <c r="Z1690" s="6" t="s">
        <v>170</v>
      </c>
      <c r="AA1690" s="6" t="s">
        <v>171</v>
      </c>
      <c r="AB1690" s="6">
        <v>0</v>
      </c>
      <c r="AC1690" s="6" t="str">
        <f>""</f>
        <v/>
      </c>
      <c r="AS1690" s="6">
        <v>0</v>
      </c>
      <c r="AT1690" s="6">
        <v>0</v>
      </c>
    </row>
    <row r="1691" spans="2:46">
      <c r="B1691" s="6" t="s">
        <v>115</v>
      </c>
      <c r="D1691" s="6" t="s">
        <v>3316</v>
      </c>
      <c r="F1691" s="6" t="s">
        <v>7100</v>
      </c>
      <c r="G1691" s="6" t="str">
        <f>"3176224149099208"</f>
        <v>3176224149099208</v>
      </c>
      <c r="H1691" s="6">
        <v>3176224149099200</v>
      </c>
      <c r="I1691" s="6" t="s">
        <v>7101</v>
      </c>
      <c r="J1691" s="6" t="str">
        <f>"Bird Moon Sweatshirt(BLACK)"</f>
        <v>Bird Moon Sweatshirt(BLACK)</v>
      </c>
      <c r="K1691" s="6">
        <v>0</v>
      </c>
      <c r="L1691" s="6">
        <v>0</v>
      </c>
      <c r="M1691" s="6">
        <v>0</v>
      </c>
      <c r="N1691" s="6" t="str">
        <f>""</f>
        <v/>
      </c>
      <c r="O1691" s="6">
        <v>31026</v>
      </c>
      <c r="P1691" s="6" t="s">
        <v>7102</v>
      </c>
      <c r="R1691" s="6" t="s">
        <v>6979</v>
      </c>
      <c r="S1691" s="6" t="s">
        <v>7103</v>
      </c>
      <c r="T1691" s="6">
        <v>0</v>
      </c>
      <c r="U1691" s="6">
        <v>0</v>
      </c>
      <c r="V1691" s="6">
        <v>0</v>
      </c>
      <c r="W1691" s="6">
        <v>0</v>
      </c>
      <c r="X1691" s="6" t="s">
        <v>169</v>
      </c>
      <c r="Z1691" s="6" t="s">
        <v>170</v>
      </c>
      <c r="AA1691" s="6" t="s">
        <v>171</v>
      </c>
      <c r="AB1691" s="6">
        <v>0</v>
      </c>
      <c r="AC1691" s="6" t="str">
        <f>""</f>
        <v/>
      </c>
      <c r="AS1691" s="6">
        <v>0</v>
      </c>
      <c r="AT1691" s="6">
        <v>0</v>
      </c>
    </row>
    <row r="1692" spans="2:46">
      <c r="B1692" s="6" t="s">
        <v>115</v>
      </c>
      <c r="D1692" s="6" t="s">
        <v>3316</v>
      </c>
      <c r="F1692" s="6" t="s">
        <v>7104</v>
      </c>
      <c r="G1692" s="6" t="str">
        <f>"3176224149091208"</f>
        <v>3176224149091208</v>
      </c>
      <c r="H1692" s="6">
        <v>3176224149091200</v>
      </c>
      <c r="I1692" s="6" t="s">
        <v>7105</v>
      </c>
      <c r="J1692" s="6" t="str">
        <f>"Bird Moon Sweatshirt(WHITE)"</f>
        <v>Bird Moon Sweatshirt(WHITE)</v>
      </c>
      <c r="K1692" s="6">
        <v>0</v>
      </c>
      <c r="L1692" s="6">
        <v>0</v>
      </c>
      <c r="M1692" s="6">
        <v>0</v>
      </c>
      <c r="N1692" s="6" t="str">
        <f>""</f>
        <v/>
      </c>
      <c r="O1692" s="6">
        <v>31024</v>
      </c>
      <c r="P1692" s="6" t="s">
        <v>7106</v>
      </c>
      <c r="R1692" s="6" t="s">
        <v>7024</v>
      </c>
      <c r="S1692" s="6" t="s">
        <v>7107</v>
      </c>
      <c r="T1692" s="6">
        <v>0</v>
      </c>
      <c r="U1692" s="6">
        <v>0</v>
      </c>
      <c r="V1692" s="6">
        <v>0</v>
      </c>
      <c r="W1692" s="6">
        <v>0</v>
      </c>
      <c r="X1692" s="6" t="s">
        <v>169</v>
      </c>
      <c r="Z1692" s="6" t="s">
        <v>170</v>
      </c>
      <c r="AA1692" s="6" t="s">
        <v>171</v>
      </c>
      <c r="AB1692" s="6">
        <v>0</v>
      </c>
      <c r="AC1692" s="6" t="str">
        <f>""</f>
        <v/>
      </c>
      <c r="AS1692" s="6">
        <v>0</v>
      </c>
      <c r="AT1692" s="6">
        <v>0</v>
      </c>
    </row>
    <row r="1693" spans="2:46">
      <c r="B1693" s="6" t="s">
        <v>115</v>
      </c>
      <c r="D1693" s="6" t="s">
        <v>3316</v>
      </c>
      <c r="F1693" s="6" t="s">
        <v>7108</v>
      </c>
      <c r="G1693" s="6" t="str">
        <f>"3176124103874208"</f>
        <v>3176124103874208</v>
      </c>
      <c r="H1693" s="6">
        <v>3176124103874200</v>
      </c>
      <c r="I1693" s="6" t="s">
        <v>7109</v>
      </c>
      <c r="J1693" s="6" t="str">
        <f>"Bird Moon Blouson(BEIGE)"</f>
        <v>Bird Moon Blouson(BEIGE)</v>
      </c>
      <c r="K1693" s="6">
        <v>0</v>
      </c>
      <c r="L1693" s="6">
        <v>0</v>
      </c>
      <c r="M1693" s="6">
        <v>0</v>
      </c>
      <c r="N1693" s="6" t="str">
        <f>""</f>
        <v/>
      </c>
      <c r="O1693" s="6">
        <v>31022</v>
      </c>
      <c r="P1693" s="6" t="s">
        <v>7110</v>
      </c>
      <c r="R1693" s="6" t="s">
        <v>7029</v>
      </c>
      <c r="S1693" s="6" t="s">
        <v>7111</v>
      </c>
      <c r="T1693" s="6">
        <v>0</v>
      </c>
      <c r="U1693" s="6">
        <v>0</v>
      </c>
      <c r="V1693" s="6">
        <v>0</v>
      </c>
      <c r="W1693" s="6">
        <v>0</v>
      </c>
      <c r="X1693" s="6" t="s">
        <v>169</v>
      </c>
      <c r="Z1693" s="6" t="s">
        <v>170</v>
      </c>
      <c r="AA1693" s="6" t="s">
        <v>171</v>
      </c>
      <c r="AB1693" s="6">
        <v>0</v>
      </c>
      <c r="AC1693" s="6" t="str">
        <f>""</f>
        <v/>
      </c>
      <c r="AS1693" s="6">
        <v>0</v>
      </c>
      <c r="AT1693" s="6">
        <v>0</v>
      </c>
    </row>
    <row r="1694" spans="2:46">
      <c r="B1694" s="6" t="s">
        <v>115</v>
      </c>
      <c r="D1694" s="6" t="s">
        <v>3316</v>
      </c>
      <c r="F1694" s="6" t="s">
        <v>7112</v>
      </c>
      <c r="G1694" s="6" t="str">
        <f>"3176124103899208"</f>
        <v>3176124103899208</v>
      </c>
      <c r="H1694" s="6">
        <v>3176124103899200</v>
      </c>
      <c r="I1694" s="6" t="s">
        <v>7113</v>
      </c>
      <c r="J1694" s="6" t="str">
        <f>"Bird Moon Blouson(BLACK)"</f>
        <v>Bird Moon Blouson(BLACK)</v>
      </c>
      <c r="K1694" s="6">
        <v>0</v>
      </c>
      <c r="L1694" s="6">
        <v>0</v>
      </c>
      <c r="M1694" s="6">
        <v>0</v>
      </c>
      <c r="N1694" s="6" t="str">
        <f>""</f>
        <v/>
      </c>
      <c r="O1694" s="6">
        <v>31020</v>
      </c>
      <c r="P1694" s="6" t="s">
        <v>7114</v>
      </c>
      <c r="R1694" s="6" t="s">
        <v>6979</v>
      </c>
      <c r="S1694" s="6" t="s">
        <v>7115</v>
      </c>
      <c r="T1694" s="6">
        <v>0</v>
      </c>
      <c r="U1694" s="6">
        <v>0</v>
      </c>
      <c r="V1694" s="6">
        <v>0</v>
      </c>
      <c r="W1694" s="6">
        <v>0</v>
      </c>
      <c r="X1694" s="6" t="s">
        <v>169</v>
      </c>
      <c r="Z1694" s="6" t="s">
        <v>170</v>
      </c>
      <c r="AA1694" s="6" t="s">
        <v>171</v>
      </c>
      <c r="AB1694" s="6">
        <v>0</v>
      </c>
      <c r="AC1694" s="6" t="str">
        <f>""</f>
        <v/>
      </c>
      <c r="AS1694" s="6">
        <v>0</v>
      </c>
      <c r="AT1694" s="6">
        <v>0</v>
      </c>
    </row>
    <row r="1695" spans="2:46">
      <c r="B1695" s="6" t="s">
        <v>115</v>
      </c>
      <c r="D1695" s="6" t="s">
        <v>3316</v>
      </c>
      <c r="F1695" s="6" t="s">
        <v>7116</v>
      </c>
      <c r="G1695" s="6" t="str">
        <f>"3176214108791208"</f>
        <v>3176214108791208</v>
      </c>
      <c r="H1695" s="6">
        <v>3176214108791200</v>
      </c>
      <c r="I1695" s="6" t="s">
        <v>7117</v>
      </c>
      <c r="J1695" s="6" t="str">
        <f>"Stripe Stud Shirt(WHITE)"</f>
        <v>Stripe Stud Shirt(WHITE)</v>
      </c>
      <c r="K1695" s="6">
        <v>0</v>
      </c>
      <c r="L1695" s="6">
        <v>0</v>
      </c>
      <c r="M1695" s="6">
        <v>0</v>
      </c>
      <c r="N1695" s="6" t="str">
        <f>""</f>
        <v/>
      </c>
      <c r="O1695" s="6">
        <v>31018</v>
      </c>
      <c r="P1695" s="6" t="s">
        <v>7118</v>
      </c>
      <c r="R1695" s="6" t="s">
        <v>7024</v>
      </c>
      <c r="S1695" s="6" t="s">
        <v>7119</v>
      </c>
      <c r="T1695" s="6">
        <v>0</v>
      </c>
      <c r="U1695" s="6">
        <v>0</v>
      </c>
      <c r="V1695" s="6">
        <v>0</v>
      </c>
      <c r="W1695" s="6">
        <v>0</v>
      </c>
      <c r="X1695" s="6" t="s">
        <v>169</v>
      </c>
      <c r="Z1695" s="6" t="s">
        <v>170</v>
      </c>
      <c r="AA1695" s="6" t="s">
        <v>171</v>
      </c>
      <c r="AB1695" s="6">
        <v>0</v>
      </c>
      <c r="AC1695" s="6" t="str">
        <f>""</f>
        <v/>
      </c>
      <c r="AS1695" s="6">
        <v>0</v>
      </c>
      <c r="AT1695" s="6">
        <v>0</v>
      </c>
    </row>
    <row r="1696" spans="2:46">
      <c r="B1696" s="6" t="s">
        <v>117</v>
      </c>
      <c r="D1696" s="6" t="s">
        <v>7120</v>
      </c>
      <c r="F1696" s="6" t="s">
        <v>7121</v>
      </c>
      <c r="G1696" s="6" t="str">
        <f>"3174222105991208"</f>
        <v>3174222105991208</v>
      </c>
      <c r="H1696" s="6">
        <v>3174222105991200</v>
      </c>
      <c r="I1696" s="6" t="s">
        <v>7122</v>
      </c>
      <c r="J1696" s="6" t="str">
        <f>"LO LOGO TURTLENECK (WHITE)"</f>
        <v>LO LOGO TURTLENECK (WHITE)</v>
      </c>
      <c r="K1696" s="6">
        <v>0</v>
      </c>
      <c r="L1696" s="6">
        <v>0</v>
      </c>
      <c r="M1696" s="6">
        <v>0</v>
      </c>
      <c r="N1696" s="6" t="str">
        <f>""</f>
        <v/>
      </c>
      <c r="O1696" s="6">
        <v>26138</v>
      </c>
      <c r="P1696" s="6" t="s">
        <v>7123</v>
      </c>
      <c r="R1696" s="6" t="s">
        <v>2167</v>
      </c>
      <c r="S1696" s="6" t="s">
        <v>7124</v>
      </c>
      <c r="T1696" s="6">
        <v>0</v>
      </c>
      <c r="U1696" s="6">
        <v>0</v>
      </c>
      <c r="V1696" s="6">
        <v>0</v>
      </c>
      <c r="W1696" s="6">
        <v>0</v>
      </c>
      <c r="X1696" s="6" t="s">
        <v>169</v>
      </c>
      <c r="Z1696" s="6" t="s">
        <v>170</v>
      </c>
      <c r="AA1696" s="6" t="s">
        <v>171</v>
      </c>
      <c r="AB1696" s="6">
        <v>0</v>
      </c>
      <c r="AC1696" s="6" t="str">
        <f>""</f>
        <v/>
      </c>
      <c r="AS1696" s="6">
        <v>0</v>
      </c>
      <c r="AT1696" s="6">
        <v>0</v>
      </c>
    </row>
    <row r="1697" spans="2:46">
      <c r="B1697" s="6" t="s">
        <v>117</v>
      </c>
      <c r="D1697" s="6" t="s">
        <v>7120</v>
      </c>
      <c r="F1697" s="6" t="s">
        <v>7125</v>
      </c>
      <c r="G1697" s="6" t="str">
        <f>"3174222105930208"</f>
        <v>3174222105930208</v>
      </c>
      <c r="H1697" s="6">
        <v>3174222105930200</v>
      </c>
      <c r="I1697" s="6" t="s">
        <v>7126</v>
      </c>
      <c r="J1697" s="6" t="str">
        <f>"LO LOGO TURTLENECK (NAVY)"</f>
        <v>LO LOGO TURTLENECK (NAVY)</v>
      </c>
      <c r="K1697" s="6">
        <v>0</v>
      </c>
      <c r="L1697" s="6">
        <v>0</v>
      </c>
      <c r="M1697" s="6">
        <v>0</v>
      </c>
      <c r="N1697" s="6" t="str">
        <f>""</f>
        <v/>
      </c>
      <c r="O1697" s="6">
        <v>26136</v>
      </c>
      <c r="P1697" s="6" t="s">
        <v>7127</v>
      </c>
      <c r="R1697" s="6" t="s">
        <v>2111</v>
      </c>
      <c r="S1697" s="6" t="s">
        <v>7128</v>
      </c>
      <c r="T1697" s="6">
        <v>0</v>
      </c>
      <c r="U1697" s="6">
        <v>0</v>
      </c>
      <c r="V1697" s="6">
        <v>0</v>
      </c>
      <c r="W1697" s="6">
        <v>0</v>
      </c>
      <c r="X1697" s="6" t="s">
        <v>169</v>
      </c>
      <c r="Z1697" s="6" t="s">
        <v>170</v>
      </c>
      <c r="AA1697" s="6" t="s">
        <v>171</v>
      </c>
      <c r="AB1697" s="6">
        <v>0</v>
      </c>
      <c r="AC1697" s="6" t="str">
        <f>""</f>
        <v/>
      </c>
      <c r="AS1697" s="6">
        <v>0</v>
      </c>
      <c r="AT1697" s="6">
        <v>0</v>
      </c>
    </row>
    <row r="1698" spans="2:46">
      <c r="B1698" s="6" t="s">
        <v>117</v>
      </c>
      <c r="D1698" s="6" t="s">
        <v>7120</v>
      </c>
      <c r="F1698" s="6" t="s">
        <v>7129</v>
      </c>
      <c r="G1698" s="6" t="str">
        <f>"3174234111091208"</f>
        <v>3174234111091208</v>
      </c>
      <c r="H1698" s="6">
        <v>3174234111091200</v>
      </c>
      <c r="I1698" s="6" t="s">
        <v>7130</v>
      </c>
      <c r="J1698" s="6" t="str">
        <f>"(UNISEX)LO PEACE TEE (WHITE)"</f>
        <v>(UNISEX)LO PEACE TEE (WHITE)</v>
      </c>
      <c r="K1698" s="6">
        <v>0</v>
      </c>
      <c r="L1698" s="6">
        <v>0</v>
      </c>
      <c r="M1698" s="6">
        <v>0</v>
      </c>
      <c r="N1698" s="6" t="str">
        <f>""</f>
        <v/>
      </c>
      <c r="O1698" s="6">
        <v>26134</v>
      </c>
      <c r="P1698" s="6" t="s">
        <v>7131</v>
      </c>
      <c r="R1698" s="6" t="s">
        <v>2167</v>
      </c>
      <c r="S1698" s="6" t="s">
        <v>7132</v>
      </c>
      <c r="T1698" s="6">
        <v>0</v>
      </c>
      <c r="U1698" s="6">
        <v>0</v>
      </c>
      <c r="V1698" s="6">
        <v>0</v>
      </c>
      <c r="W1698" s="6">
        <v>0</v>
      </c>
      <c r="X1698" s="6" t="s">
        <v>169</v>
      </c>
      <c r="Z1698" s="6" t="s">
        <v>170</v>
      </c>
      <c r="AA1698" s="6" t="s">
        <v>171</v>
      </c>
      <c r="AB1698" s="6">
        <v>0</v>
      </c>
      <c r="AC1698" s="6" t="str">
        <f>""</f>
        <v/>
      </c>
      <c r="AS1698" s="6">
        <v>0</v>
      </c>
      <c r="AT1698" s="6">
        <v>0</v>
      </c>
    </row>
    <row r="1699" spans="2:46">
      <c r="B1699" s="6" t="s">
        <v>117</v>
      </c>
      <c r="D1699" s="6" t="s">
        <v>7120</v>
      </c>
      <c r="F1699" s="6" t="s">
        <v>7133</v>
      </c>
      <c r="G1699" s="6" t="str">
        <f>"3174234111099208"</f>
        <v>3174234111099208</v>
      </c>
      <c r="H1699" s="6">
        <v>3174234111099200</v>
      </c>
      <c r="I1699" s="6" t="s">
        <v>7134</v>
      </c>
      <c r="J1699" s="6" t="str">
        <f>"(UNISEX)LO PEACE TEE (BLACK)"</f>
        <v>(UNISEX)LO PEACE TEE (BLACK)</v>
      </c>
      <c r="K1699" s="6">
        <v>0</v>
      </c>
      <c r="L1699" s="6">
        <v>0</v>
      </c>
      <c r="M1699" s="6">
        <v>0</v>
      </c>
      <c r="N1699" s="6" t="str">
        <f>""</f>
        <v/>
      </c>
      <c r="O1699" s="6">
        <v>26132</v>
      </c>
      <c r="P1699" s="6" t="s">
        <v>7135</v>
      </c>
      <c r="R1699" s="6" t="s">
        <v>2106</v>
      </c>
      <c r="S1699" s="6" t="s">
        <v>7136</v>
      </c>
      <c r="T1699" s="6">
        <v>0</v>
      </c>
      <c r="U1699" s="6">
        <v>0</v>
      </c>
      <c r="V1699" s="6">
        <v>0</v>
      </c>
      <c r="W1699" s="6">
        <v>0</v>
      </c>
      <c r="X1699" s="6" t="s">
        <v>169</v>
      </c>
      <c r="Z1699" s="6" t="s">
        <v>170</v>
      </c>
      <c r="AA1699" s="6" t="s">
        <v>171</v>
      </c>
      <c r="AB1699" s="6">
        <v>0</v>
      </c>
      <c r="AC1699" s="6" t="str">
        <f>""</f>
        <v/>
      </c>
      <c r="AS1699" s="6">
        <v>0</v>
      </c>
      <c r="AT1699" s="6">
        <v>0</v>
      </c>
    </row>
    <row r="1700" spans="2:46">
      <c r="B1700" s="6" t="s">
        <v>117</v>
      </c>
      <c r="D1700" s="6" t="s">
        <v>7120</v>
      </c>
      <c r="F1700" s="6" t="s">
        <v>7137</v>
      </c>
      <c r="G1700" s="6" t="str">
        <f>"3174234110930208"</f>
        <v>3174234110930208</v>
      </c>
      <c r="H1700" s="6">
        <v>3174234110930200</v>
      </c>
      <c r="I1700" s="6" t="s">
        <v>7138</v>
      </c>
      <c r="J1700" s="6" t="str">
        <f>"(UNISEX)LO AHCHOO MTM (NAVY)"</f>
        <v>(UNISEX)LO AHCHOO MTM (NAVY)</v>
      </c>
      <c r="K1700" s="6">
        <v>0</v>
      </c>
      <c r="L1700" s="6">
        <v>0</v>
      </c>
      <c r="M1700" s="6">
        <v>0</v>
      </c>
      <c r="N1700" s="6" t="str">
        <f>""</f>
        <v/>
      </c>
      <c r="O1700" s="6">
        <v>26130</v>
      </c>
      <c r="P1700" s="6" t="s">
        <v>7139</v>
      </c>
      <c r="R1700" s="6" t="s">
        <v>2111</v>
      </c>
      <c r="S1700" s="6" t="s">
        <v>7140</v>
      </c>
      <c r="T1700" s="6">
        <v>0</v>
      </c>
      <c r="U1700" s="6">
        <v>0</v>
      </c>
      <c r="V1700" s="6">
        <v>0</v>
      </c>
      <c r="W1700" s="6">
        <v>0</v>
      </c>
      <c r="X1700" s="6" t="s">
        <v>169</v>
      </c>
      <c r="Z1700" s="6" t="s">
        <v>170</v>
      </c>
      <c r="AA1700" s="6" t="s">
        <v>171</v>
      </c>
      <c r="AB1700" s="6">
        <v>0</v>
      </c>
      <c r="AC1700" s="6" t="str">
        <f>""</f>
        <v/>
      </c>
      <c r="AS1700" s="6">
        <v>0</v>
      </c>
      <c r="AT1700" s="6">
        <v>0</v>
      </c>
    </row>
    <row r="1701" spans="2:46">
      <c r="B1701" s="6" t="s">
        <v>117</v>
      </c>
      <c r="D1701" s="6" t="s">
        <v>7120</v>
      </c>
      <c r="F1701" s="6" t="s">
        <v>7141</v>
      </c>
      <c r="G1701" s="6" t="str">
        <f>"3174234110869208"</f>
        <v>3174234110869208</v>
      </c>
      <c r="H1701" s="6">
        <v>3174234110869200</v>
      </c>
      <c r="I1701" s="6" t="s">
        <v>7142</v>
      </c>
      <c r="J1701" s="6" t="str">
        <f>"(UNISEX)LO COLD MTM (IVORY)"</f>
        <v>(UNISEX)LO COLD MTM (IVORY)</v>
      </c>
      <c r="K1701" s="6">
        <v>0</v>
      </c>
      <c r="L1701" s="6">
        <v>0</v>
      </c>
      <c r="M1701" s="6">
        <v>0</v>
      </c>
      <c r="N1701" s="6" t="str">
        <f>""</f>
        <v/>
      </c>
      <c r="O1701" s="6">
        <v>26128</v>
      </c>
      <c r="P1701" s="6" t="s">
        <v>7143</v>
      </c>
      <c r="R1701" s="6" t="s">
        <v>2356</v>
      </c>
      <c r="S1701" s="6" t="s">
        <v>7144</v>
      </c>
      <c r="T1701" s="6">
        <v>0</v>
      </c>
      <c r="U1701" s="6">
        <v>0</v>
      </c>
      <c r="V1701" s="6">
        <v>0</v>
      </c>
      <c r="W1701" s="6">
        <v>0</v>
      </c>
      <c r="X1701" s="6" t="s">
        <v>169</v>
      </c>
      <c r="Z1701" s="6" t="s">
        <v>170</v>
      </c>
      <c r="AA1701" s="6" t="s">
        <v>171</v>
      </c>
      <c r="AB1701" s="6">
        <v>0</v>
      </c>
      <c r="AC1701" s="6" t="str">
        <f>""</f>
        <v/>
      </c>
      <c r="AS1701" s="6">
        <v>0</v>
      </c>
      <c r="AT1701" s="6">
        <v>0</v>
      </c>
    </row>
    <row r="1702" spans="2:46">
      <c r="B1702" s="6" t="s">
        <v>117</v>
      </c>
      <c r="D1702" s="6" t="s">
        <v>7120</v>
      </c>
      <c r="F1702" s="6" t="s">
        <v>7145</v>
      </c>
      <c r="G1702" s="6" t="str">
        <f>"3174224103491208"</f>
        <v>3174224103491208</v>
      </c>
      <c r="H1702" s="6">
        <v>3174224103491200</v>
      </c>
      <c r="I1702" s="6" t="s">
        <v>7146</v>
      </c>
      <c r="J1702" s="6" t="str">
        <f>"(UNISEX)LO LOGO TEE (WHITE)"</f>
        <v>(UNISEX)LO LOGO TEE (WHITE)</v>
      </c>
      <c r="K1702" s="6">
        <v>0</v>
      </c>
      <c r="L1702" s="6">
        <v>0</v>
      </c>
      <c r="M1702" s="6">
        <v>0</v>
      </c>
      <c r="N1702" s="6" t="str">
        <f>""</f>
        <v/>
      </c>
      <c r="O1702" s="6">
        <v>26126</v>
      </c>
      <c r="P1702" s="6" t="s">
        <v>7147</v>
      </c>
      <c r="R1702" s="6" t="s">
        <v>2167</v>
      </c>
      <c r="S1702" s="6" t="s">
        <v>7148</v>
      </c>
      <c r="T1702" s="6">
        <v>0</v>
      </c>
      <c r="U1702" s="6">
        <v>0</v>
      </c>
      <c r="V1702" s="6">
        <v>0</v>
      </c>
      <c r="W1702" s="6">
        <v>0</v>
      </c>
      <c r="X1702" s="6" t="s">
        <v>169</v>
      </c>
      <c r="Z1702" s="6" t="s">
        <v>170</v>
      </c>
      <c r="AA1702" s="6" t="s">
        <v>171</v>
      </c>
      <c r="AB1702" s="6">
        <v>0</v>
      </c>
      <c r="AC1702" s="6" t="str">
        <f>""</f>
        <v/>
      </c>
      <c r="AS1702" s="6">
        <v>0</v>
      </c>
      <c r="AT1702" s="6">
        <v>0</v>
      </c>
    </row>
    <row r="1703" spans="2:46">
      <c r="B1703" s="6" t="s">
        <v>117</v>
      </c>
      <c r="D1703" s="6" t="s">
        <v>7120</v>
      </c>
      <c r="F1703" s="6" t="s">
        <v>7149</v>
      </c>
      <c r="G1703" s="6" t="str">
        <f>"3174224103499208"</f>
        <v>3174224103499208</v>
      </c>
      <c r="H1703" s="6">
        <v>3174224103499200</v>
      </c>
      <c r="I1703" s="6" t="s">
        <v>7150</v>
      </c>
      <c r="J1703" s="6" t="str">
        <f>"(UNISEX)LO LOGO TEE (BLACK)"</f>
        <v>(UNISEX)LO LOGO TEE (BLACK)</v>
      </c>
      <c r="K1703" s="6">
        <v>0</v>
      </c>
      <c r="L1703" s="6">
        <v>0</v>
      </c>
      <c r="M1703" s="6">
        <v>0</v>
      </c>
      <c r="N1703" s="6" t="str">
        <f>""</f>
        <v/>
      </c>
      <c r="O1703" s="6">
        <v>26124</v>
      </c>
      <c r="P1703" s="6" t="s">
        <v>7151</v>
      </c>
      <c r="R1703" s="6" t="s">
        <v>2106</v>
      </c>
      <c r="S1703" s="6" t="s">
        <v>7152</v>
      </c>
      <c r="T1703" s="6">
        <v>0</v>
      </c>
      <c r="U1703" s="6">
        <v>0</v>
      </c>
      <c r="V1703" s="6">
        <v>0</v>
      </c>
      <c r="W1703" s="6">
        <v>0</v>
      </c>
      <c r="X1703" s="6" t="s">
        <v>169</v>
      </c>
      <c r="Z1703" s="6" t="s">
        <v>170</v>
      </c>
      <c r="AA1703" s="6" t="s">
        <v>171</v>
      </c>
      <c r="AB1703" s="6">
        <v>0</v>
      </c>
      <c r="AC1703" s="6" t="str">
        <f>""</f>
        <v/>
      </c>
      <c r="AS1703" s="6">
        <v>0</v>
      </c>
      <c r="AT1703" s="6">
        <v>0</v>
      </c>
    </row>
    <row r="1704" spans="2:46">
      <c r="B1704" s="6" t="s">
        <v>117</v>
      </c>
      <c r="D1704" s="6" t="s">
        <v>7120</v>
      </c>
      <c r="F1704" s="6" t="s">
        <v>7153</v>
      </c>
      <c r="G1704" s="6" t="str">
        <f>"3174332104365320"</f>
        <v>3174332104365320</v>
      </c>
      <c r="H1704" s="6">
        <v>3174332104365320</v>
      </c>
      <c r="I1704" s="6" t="s">
        <v>7154</v>
      </c>
      <c r="J1704" s="6" t="str">
        <f>"LO BUCKET SKIRT (YELLOW)"</f>
        <v>LO BUCKET SKIRT (YELLOW)</v>
      </c>
      <c r="K1704" s="6">
        <v>0</v>
      </c>
      <c r="L1704" s="6">
        <v>0</v>
      </c>
      <c r="M1704" s="6">
        <v>0</v>
      </c>
      <c r="N1704" s="6" t="str">
        <f>""</f>
        <v/>
      </c>
      <c r="O1704" s="6">
        <v>26122</v>
      </c>
      <c r="P1704" s="6" t="s">
        <v>7155</v>
      </c>
      <c r="R1704" s="6" t="s">
        <v>2570</v>
      </c>
      <c r="S1704" s="6" t="s">
        <v>7156</v>
      </c>
      <c r="T1704" s="6">
        <v>0</v>
      </c>
      <c r="U1704" s="6">
        <v>0</v>
      </c>
      <c r="V1704" s="6">
        <v>0</v>
      </c>
      <c r="W1704" s="6">
        <v>0</v>
      </c>
      <c r="X1704" s="6" t="s">
        <v>169</v>
      </c>
      <c r="Z1704" s="6" t="s">
        <v>170</v>
      </c>
      <c r="AA1704" s="6" t="s">
        <v>171</v>
      </c>
      <c r="AB1704" s="6">
        <v>0</v>
      </c>
      <c r="AC1704" s="6" t="str">
        <f>""</f>
        <v/>
      </c>
      <c r="AS1704" s="6">
        <v>0</v>
      </c>
      <c r="AT1704" s="6">
        <v>0</v>
      </c>
    </row>
    <row r="1705" spans="2:46">
      <c r="B1705" s="6" t="s">
        <v>117</v>
      </c>
      <c r="D1705" s="6" t="s">
        <v>7120</v>
      </c>
      <c r="F1705" s="6" t="s">
        <v>7157</v>
      </c>
      <c r="G1705" s="6" t="str">
        <f>"3174332104398320"</f>
        <v>3174332104398320</v>
      </c>
      <c r="H1705" s="6">
        <v>3174332104398320</v>
      </c>
      <c r="I1705" s="6" t="s">
        <v>7158</v>
      </c>
      <c r="J1705" s="6" t="str">
        <f>"LO BUCKET SKIRT (CHARCOAL)"</f>
        <v>LO BUCKET SKIRT (CHARCOAL)</v>
      </c>
      <c r="K1705" s="6">
        <v>0</v>
      </c>
      <c r="L1705" s="6">
        <v>0</v>
      </c>
      <c r="M1705" s="6">
        <v>0</v>
      </c>
      <c r="N1705" s="6" t="str">
        <f>""</f>
        <v/>
      </c>
      <c r="O1705" s="6">
        <v>26120</v>
      </c>
      <c r="P1705" s="6" t="s">
        <v>7159</v>
      </c>
      <c r="R1705" s="6" t="s">
        <v>2595</v>
      </c>
      <c r="S1705" s="6" t="s">
        <v>7160</v>
      </c>
      <c r="T1705" s="6">
        <v>0</v>
      </c>
      <c r="U1705" s="6">
        <v>0</v>
      </c>
      <c r="V1705" s="6">
        <v>0</v>
      </c>
      <c r="W1705" s="6">
        <v>0</v>
      </c>
      <c r="X1705" s="6" t="s">
        <v>169</v>
      </c>
      <c r="Z1705" s="6" t="s">
        <v>170</v>
      </c>
      <c r="AA1705" s="6" t="s">
        <v>171</v>
      </c>
      <c r="AB1705" s="6">
        <v>0</v>
      </c>
      <c r="AC1705" s="6" t="str">
        <f>""</f>
        <v/>
      </c>
      <c r="AS1705" s="6">
        <v>0</v>
      </c>
      <c r="AT1705" s="6">
        <v>0</v>
      </c>
    </row>
    <row r="1706" spans="2:46">
      <c r="B1706" s="6" t="s">
        <v>117</v>
      </c>
      <c r="D1706" s="6" t="s">
        <v>7120</v>
      </c>
      <c r="F1706" s="6" t="s">
        <v>7161</v>
      </c>
      <c r="G1706" s="6" t="str">
        <f>"3174314102665320"</f>
        <v>3174314102665320</v>
      </c>
      <c r="H1706" s="6">
        <v>3174314102665320</v>
      </c>
      <c r="I1706" s="6" t="s">
        <v>7162</v>
      </c>
      <c r="J1706" s="6" t="str">
        <f>"(UNISEX)LO TRACK PANTS (YELLOW)"</f>
        <v>(UNISEX)LO TRACK PANTS (YELLOW)</v>
      </c>
      <c r="K1706" s="6">
        <v>0</v>
      </c>
      <c r="L1706" s="6">
        <v>0</v>
      </c>
      <c r="M1706" s="6">
        <v>0</v>
      </c>
      <c r="N1706" s="6" t="str">
        <f>""</f>
        <v/>
      </c>
      <c r="O1706" s="6">
        <v>26118</v>
      </c>
      <c r="P1706" s="6" t="s">
        <v>7163</v>
      </c>
      <c r="R1706" s="6" t="s">
        <v>2570</v>
      </c>
      <c r="S1706" s="6" t="s">
        <v>7164</v>
      </c>
      <c r="T1706" s="6">
        <v>0</v>
      </c>
      <c r="U1706" s="6">
        <v>0</v>
      </c>
      <c r="V1706" s="6">
        <v>0</v>
      </c>
      <c r="W1706" s="6">
        <v>0</v>
      </c>
      <c r="X1706" s="6" t="s">
        <v>169</v>
      </c>
      <c r="Z1706" s="6" t="s">
        <v>170</v>
      </c>
      <c r="AA1706" s="6" t="s">
        <v>171</v>
      </c>
      <c r="AB1706" s="6">
        <v>0</v>
      </c>
      <c r="AC1706" s="6" t="str">
        <f>""</f>
        <v/>
      </c>
      <c r="AS1706" s="6">
        <v>0</v>
      </c>
      <c r="AT1706" s="6">
        <v>0</v>
      </c>
    </row>
    <row r="1707" spans="2:46">
      <c r="B1707" s="6" t="s">
        <v>117</v>
      </c>
      <c r="D1707" s="6" t="s">
        <v>7120</v>
      </c>
      <c r="F1707" s="6" t="s">
        <v>7165</v>
      </c>
      <c r="G1707" s="6" t="str">
        <f>"3174314102630320"</f>
        <v>3174314102630320</v>
      </c>
      <c r="H1707" s="6">
        <v>3174314102630320</v>
      </c>
      <c r="I1707" s="6" t="s">
        <v>7166</v>
      </c>
      <c r="J1707" s="6" t="str">
        <f>"(UNISEX)LO TRACK PANTS (NAVY)"</f>
        <v>(UNISEX)LO TRACK PANTS (NAVY)</v>
      </c>
      <c r="K1707" s="6">
        <v>0</v>
      </c>
      <c r="L1707" s="6">
        <v>0</v>
      </c>
      <c r="M1707" s="6">
        <v>0</v>
      </c>
      <c r="N1707" s="6" t="str">
        <f>""</f>
        <v/>
      </c>
      <c r="O1707" s="6">
        <v>26116</v>
      </c>
      <c r="P1707" s="6" t="s">
        <v>7167</v>
      </c>
      <c r="R1707" s="6" t="s">
        <v>2111</v>
      </c>
      <c r="S1707" s="6" t="s">
        <v>7168</v>
      </c>
      <c r="T1707" s="6">
        <v>0</v>
      </c>
      <c r="U1707" s="6">
        <v>0</v>
      </c>
      <c r="V1707" s="6">
        <v>0</v>
      </c>
      <c r="W1707" s="6">
        <v>0</v>
      </c>
      <c r="X1707" s="6" t="s">
        <v>169</v>
      </c>
      <c r="Z1707" s="6" t="s">
        <v>170</v>
      </c>
      <c r="AA1707" s="6" t="s">
        <v>171</v>
      </c>
      <c r="AB1707" s="6">
        <v>0</v>
      </c>
      <c r="AC1707" s="6" t="str">
        <f>""</f>
        <v/>
      </c>
      <c r="AS1707" s="6">
        <v>0</v>
      </c>
      <c r="AT1707" s="6">
        <v>0</v>
      </c>
    </row>
    <row r="1708" spans="2:46">
      <c r="B1708" s="6" t="s">
        <v>117</v>
      </c>
      <c r="D1708" s="6" t="s">
        <v>7120</v>
      </c>
      <c r="F1708" s="6" t="s">
        <v>7169</v>
      </c>
      <c r="G1708" s="6" t="str">
        <f>"3174252103395208"</f>
        <v>3174252103395208</v>
      </c>
      <c r="H1708" s="6">
        <v>3174252103395200</v>
      </c>
      <c r="I1708" s="6" t="s">
        <v>7170</v>
      </c>
      <c r="J1708" s="6" t="str">
        <f>"LO LOGO OPS (GRAY)"</f>
        <v>LO LOGO OPS (GRAY)</v>
      </c>
      <c r="K1708" s="6">
        <v>0</v>
      </c>
      <c r="L1708" s="6">
        <v>0</v>
      </c>
      <c r="M1708" s="6">
        <v>0</v>
      </c>
      <c r="N1708" s="6" t="str">
        <f>""</f>
        <v/>
      </c>
      <c r="O1708" s="6">
        <v>26114</v>
      </c>
      <c r="P1708" s="6" t="s">
        <v>7171</v>
      </c>
      <c r="R1708" s="6" t="s">
        <v>2364</v>
      </c>
      <c r="S1708" s="6" t="s">
        <v>7172</v>
      </c>
      <c r="T1708" s="6">
        <v>0</v>
      </c>
      <c r="U1708" s="6">
        <v>0</v>
      </c>
      <c r="V1708" s="6">
        <v>0</v>
      </c>
      <c r="W1708" s="6">
        <v>0</v>
      </c>
      <c r="X1708" s="6" t="s">
        <v>169</v>
      </c>
      <c r="Z1708" s="6" t="s">
        <v>170</v>
      </c>
      <c r="AA1708" s="6" t="s">
        <v>171</v>
      </c>
      <c r="AB1708" s="6">
        <v>0</v>
      </c>
      <c r="AC1708" s="6" t="str">
        <f>""</f>
        <v/>
      </c>
      <c r="AS1708" s="6">
        <v>0</v>
      </c>
      <c r="AT1708" s="6">
        <v>0</v>
      </c>
    </row>
    <row r="1709" spans="2:46">
      <c r="B1709" s="6" t="s">
        <v>117</v>
      </c>
      <c r="D1709" s="6" t="s">
        <v>7120</v>
      </c>
      <c r="F1709" s="6" t="s">
        <v>7173</v>
      </c>
      <c r="G1709" s="6" t="str">
        <f>"3174252103399208"</f>
        <v>3174252103399208</v>
      </c>
      <c r="I1709" s="6" t="s">
        <v>7174</v>
      </c>
      <c r="J1709" s="6" t="str">
        <f>"LO LOGO OPS (BLACK)"</f>
        <v>LO LOGO OPS (BLACK)</v>
      </c>
      <c r="K1709" s="6">
        <v>0</v>
      </c>
      <c r="L1709" s="6">
        <v>0</v>
      </c>
      <c r="M1709" s="6">
        <v>0</v>
      </c>
      <c r="N1709" s="6" t="str">
        <f>""</f>
        <v/>
      </c>
      <c r="O1709" s="6">
        <v>26112</v>
      </c>
      <c r="P1709" s="6" t="s">
        <v>7175</v>
      </c>
      <c r="R1709" s="6" t="s">
        <v>2106</v>
      </c>
      <c r="S1709" s="6" t="s">
        <v>7176</v>
      </c>
      <c r="T1709" s="6">
        <v>1</v>
      </c>
      <c r="U1709" s="6">
        <v>0</v>
      </c>
      <c r="V1709" s="6">
        <v>0</v>
      </c>
      <c r="W1709" s="6">
        <v>0</v>
      </c>
      <c r="X1709" s="6" t="s">
        <v>169</v>
      </c>
      <c r="Z1709" s="6" t="s">
        <v>170</v>
      </c>
      <c r="AA1709" s="6" t="s">
        <v>171</v>
      </c>
      <c r="AB1709" s="6">
        <v>0</v>
      </c>
      <c r="AC1709" s="6" t="str">
        <f>"KEY-027"</f>
        <v>KEY-027</v>
      </c>
      <c r="AQ1709" s="6" t="str">
        <f>""</f>
        <v/>
      </c>
      <c r="AR1709" s="6" t="s">
        <v>1567</v>
      </c>
      <c r="AS1709" s="6">
        <v>0</v>
      </c>
      <c r="AT1709" s="6">
        <v>1</v>
      </c>
    </row>
    <row r="1710" spans="2:46">
      <c r="B1710" s="6" t="s">
        <v>117</v>
      </c>
      <c r="D1710" s="6" t="s">
        <v>7120</v>
      </c>
      <c r="F1710" s="6" t="s">
        <v>7177</v>
      </c>
      <c r="G1710" s="6" t="str">
        <f>"3174252102765208"</f>
        <v>3174252102765208</v>
      </c>
      <c r="H1710" s="6">
        <v>3174252102765200</v>
      </c>
      <c r="I1710" s="6" t="s">
        <v>7178</v>
      </c>
      <c r="J1710" s="6" t="str">
        <f>"LO SUSPENDER SKIRT (YELLOW)"</f>
        <v>LO SUSPENDER SKIRT (YELLOW)</v>
      </c>
      <c r="K1710" s="6">
        <v>0</v>
      </c>
      <c r="L1710" s="6">
        <v>0</v>
      </c>
      <c r="M1710" s="6">
        <v>0</v>
      </c>
      <c r="N1710" s="6" t="str">
        <f>""</f>
        <v/>
      </c>
      <c r="O1710" s="6">
        <v>26110</v>
      </c>
      <c r="P1710" s="6" t="s">
        <v>7179</v>
      </c>
      <c r="R1710" s="6" t="s">
        <v>2570</v>
      </c>
      <c r="S1710" s="6" t="s">
        <v>7180</v>
      </c>
      <c r="T1710" s="6">
        <v>0</v>
      </c>
      <c r="U1710" s="6">
        <v>0</v>
      </c>
      <c r="V1710" s="6">
        <v>0</v>
      </c>
      <c r="W1710" s="6">
        <v>0</v>
      </c>
      <c r="X1710" s="6" t="s">
        <v>169</v>
      </c>
      <c r="Z1710" s="6" t="s">
        <v>170</v>
      </c>
      <c r="AA1710" s="6" t="s">
        <v>171</v>
      </c>
      <c r="AB1710" s="6">
        <v>0</v>
      </c>
      <c r="AC1710" s="6" t="str">
        <f>""</f>
        <v/>
      </c>
      <c r="AS1710" s="6">
        <v>0</v>
      </c>
      <c r="AT1710" s="6">
        <v>0</v>
      </c>
    </row>
    <row r="1711" spans="2:46">
      <c r="B1711" s="6" t="s">
        <v>117</v>
      </c>
      <c r="D1711" s="6" t="s">
        <v>7120</v>
      </c>
      <c r="F1711" s="6" t="s">
        <v>7181</v>
      </c>
      <c r="G1711" s="6" t="str">
        <f>"3174252102791208"</f>
        <v>3174252102791208</v>
      </c>
      <c r="H1711" s="6">
        <v>3174252102791200</v>
      </c>
      <c r="I1711" s="6" t="s">
        <v>7182</v>
      </c>
      <c r="J1711" s="6" t="str">
        <f>"LO SUSPENDER SKIRT (WHITE)"</f>
        <v>LO SUSPENDER SKIRT (WHITE)</v>
      </c>
      <c r="K1711" s="6">
        <v>0</v>
      </c>
      <c r="L1711" s="6">
        <v>0</v>
      </c>
      <c r="M1711" s="6">
        <v>0</v>
      </c>
      <c r="N1711" s="6" t="str">
        <f>""</f>
        <v/>
      </c>
      <c r="O1711" s="6">
        <v>26108</v>
      </c>
      <c r="P1711" s="6" t="s">
        <v>7183</v>
      </c>
      <c r="R1711" s="6" t="s">
        <v>2167</v>
      </c>
      <c r="S1711" s="6" t="s">
        <v>7184</v>
      </c>
      <c r="T1711" s="6">
        <v>0</v>
      </c>
      <c r="U1711" s="6">
        <v>0</v>
      </c>
      <c r="V1711" s="6">
        <v>0</v>
      </c>
      <c r="W1711" s="6">
        <v>0</v>
      </c>
      <c r="X1711" s="6" t="s">
        <v>169</v>
      </c>
      <c r="Z1711" s="6" t="s">
        <v>170</v>
      </c>
      <c r="AA1711" s="6" t="s">
        <v>171</v>
      </c>
      <c r="AB1711" s="6">
        <v>0</v>
      </c>
      <c r="AC1711" s="6" t="str">
        <f>""</f>
        <v/>
      </c>
      <c r="AS1711" s="6">
        <v>0</v>
      </c>
      <c r="AT1711" s="6">
        <v>0</v>
      </c>
    </row>
    <row r="1712" spans="2:46">
      <c r="B1712" s="6" t="s">
        <v>117</v>
      </c>
      <c r="D1712" s="6" t="s">
        <v>7120</v>
      </c>
      <c r="F1712" s="6" t="s">
        <v>7185</v>
      </c>
      <c r="G1712" s="6" t="str">
        <f>"3174234111265208"</f>
        <v>3174234111265208</v>
      </c>
      <c r="H1712" s="6">
        <v>3174234111265200</v>
      </c>
      <c r="I1712" s="6" t="s">
        <v>7186</v>
      </c>
      <c r="J1712" s="6" t="str">
        <f>"(UNISEX)LO TRACK TOP (YELLOW)"</f>
        <v>(UNISEX)LO TRACK TOP (YELLOW)</v>
      </c>
      <c r="K1712" s="6">
        <v>0</v>
      </c>
      <c r="L1712" s="6">
        <v>0</v>
      </c>
      <c r="M1712" s="6">
        <v>0</v>
      </c>
      <c r="N1712" s="6" t="str">
        <f>""</f>
        <v/>
      </c>
      <c r="O1712" s="6">
        <v>26106</v>
      </c>
      <c r="P1712" s="6" t="s">
        <v>7187</v>
      </c>
      <c r="R1712" s="6" t="s">
        <v>2570</v>
      </c>
      <c r="S1712" s="6" t="s">
        <v>7188</v>
      </c>
      <c r="T1712" s="6">
        <v>0</v>
      </c>
      <c r="U1712" s="6">
        <v>0</v>
      </c>
      <c r="V1712" s="6">
        <v>0</v>
      </c>
      <c r="W1712" s="6">
        <v>0</v>
      </c>
      <c r="X1712" s="6" t="s">
        <v>169</v>
      </c>
      <c r="Z1712" s="6" t="s">
        <v>170</v>
      </c>
      <c r="AA1712" s="6" t="s">
        <v>171</v>
      </c>
      <c r="AB1712" s="6">
        <v>0</v>
      </c>
      <c r="AC1712" s="6" t="str">
        <f>""</f>
        <v/>
      </c>
      <c r="AS1712" s="6">
        <v>0</v>
      </c>
      <c r="AT1712" s="6">
        <v>0</v>
      </c>
    </row>
    <row r="1713" spans="2:46">
      <c r="B1713" s="6" t="s">
        <v>117</v>
      </c>
      <c r="D1713" s="6" t="s">
        <v>7120</v>
      </c>
      <c r="F1713" s="6" t="s">
        <v>7189</v>
      </c>
      <c r="G1713" s="6" t="str">
        <f>"3174234111230208"</f>
        <v>3174234111230208</v>
      </c>
      <c r="H1713" s="6">
        <v>3174234111230200</v>
      </c>
      <c r="I1713" s="6" t="s">
        <v>7190</v>
      </c>
      <c r="J1713" s="6" t="str">
        <f>"(UNISEX)LO TRACK TOP (NAVY)"</f>
        <v>(UNISEX)LO TRACK TOP (NAVY)</v>
      </c>
      <c r="K1713" s="6">
        <v>0</v>
      </c>
      <c r="L1713" s="6">
        <v>0</v>
      </c>
      <c r="M1713" s="6">
        <v>0</v>
      </c>
      <c r="N1713" s="6" t="str">
        <f>""</f>
        <v/>
      </c>
      <c r="O1713" s="6">
        <v>26104</v>
      </c>
      <c r="P1713" s="6" t="s">
        <v>7191</v>
      </c>
      <c r="R1713" s="6" t="s">
        <v>2111</v>
      </c>
      <c r="S1713" s="6" t="s">
        <v>7192</v>
      </c>
      <c r="T1713" s="6">
        <v>0</v>
      </c>
      <c r="U1713" s="6">
        <v>0</v>
      </c>
      <c r="V1713" s="6">
        <v>0</v>
      </c>
      <c r="W1713" s="6">
        <v>0</v>
      </c>
      <c r="X1713" s="6" t="s">
        <v>169</v>
      </c>
      <c r="Z1713" s="6" t="s">
        <v>170</v>
      </c>
      <c r="AA1713" s="6" t="s">
        <v>171</v>
      </c>
      <c r="AB1713" s="6">
        <v>0</v>
      </c>
      <c r="AC1713" s="6" t="str">
        <f>""</f>
        <v/>
      </c>
      <c r="AS1713" s="6">
        <v>0</v>
      </c>
      <c r="AT1713" s="6">
        <v>0</v>
      </c>
    </row>
    <row r="1714" spans="2:46">
      <c r="B1714" s="6" t="s">
        <v>117</v>
      </c>
      <c r="D1714" s="6" t="s">
        <v>7120</v>
      </c>
      <c r="F1714" s="6" t="s">
        <v>7193</v>
      </c>
      <c r="G1714" s="6" t="str">
        <f>"3174132101601208"</f>
        <v>3174132101601208</v>
      </c>
      <c r="H1714" s="6">
        <v>3174132101601200</v>
      </c>
      <c r="I1714" s="6" t="s">
        <v>7194</v>
      </c>
      <c r="J1714" s="6" t="str">
        <f>"LO FUR JACKET (PINK)"</f>
        <v>LO FUR JACKET (PINK)</v>
      </c>
      <c r="K1714" s="6">
        <v>0</v>
      </c>
      <c r="L1714" s="6">
        <v>0</v>
      </c>
      <c r="M1714" s="6">
        <v>0</v>
      </c>
      <c r="N1714" s="6" t="str">
        <f>""</f>
        <v/>
      </c>
      <c r="O1714" s="6">
        <v>26102</v>
      </c>
      <c r="P1714" s="6" t="s">
        <v>7195</v>
      </c>
      <c r="R1714" s="6" t="s">
        <v>2446</v>
      </c>
      <c r="S1714" s="6" t="s">
        <v>7196</v>
      </c>
      <c r="T1714" s="6">
        <v>0</v>
      </c>
      <c r="U1714" s="6">
        <v>0</v>
      </c>
      <c r="V1714" s="6">
        <v>0</v>
      </c>
      <c r="W1714" s="6">
        <v>0</v>
      </c>
      <c r="X1714" s="6" t="s">
        <v>169</v>
      </c>
      <c r="Z1714" s="6" t="s">
        <v>170</v>
      </c>
      <c r="AA1714" s="6" t="s">
        <v>171</v>
      </c>
      <c r="AB1714" s="6">
        <v>0</v>
      </c>
      <c r="AC1714" s="6" t="str">
        <f>""</f>
        <v/>
      </c>
      <c r="AS1714" s="6">
        <v>0</v>
      </c>
      <c r="AT1714" s="6">
        <v>0</v>
      </c>
    </row>
    <row r="1715" spans="2:46">
      <c r="B1715" s="6" t="s">
        <v>117</v>
      </c>
      <c r="D1715" s="6" t="s">
        <v>7120</v>
      </c>
      <c r="F1715" s="6" t="s">
        <v>7197</v>
      </c>
      <c r="G1715" s="6" t="str">
        <f>"3174132101625208"</f>
        <v>3174132101625208</v>
      </c>
      <c r="H1715" s="6">
        <v>3174132101625200</v>
      </c>
      <c r="I1715" s="6" t="s">
        <v>7198</v>
      </c>
      <c r="J1715" s="6" t="str">
        <f>"LO FUR JACKET (BLUE)"</f>
        <v>LO FUR JACKET (BLUE)</v>
      </c>
      <c r="K1715" s="6">
        <v>0</v>
      </c>
      <c r="L1715" s="6">
        <v>0</v>
      </c>
      <c r="M1715" s="6">
        <v>0</v>
      </c>
      <c r="N1715" s="6" t="str">
        <f>""</f>
        <v/>
      </c>
      <c r="O1715" s="6">
        <v>26100</v>
      </c>
      <c r="P1715" s="6" t="s">
        <v>7199</v>
      </c>
      <c r="R1715" s="6" t="s">
        <v>2175</v>
      </c>
      <c r="S1715" s="6" t="s">
        <v>7200</v>
      </c>
      <c r="T1715" s="6">
        <v>0</v>
      </c>
      <c r="U1715" s="6">
        <v>0</v>
      </c>
      <c r="V1715" s="6">
        <v>0</v>
      </c>
      <c r="W1715" s="6">
        <v>0</v>
      </c>
      <c r="X1715" s="6" t="s">
        <v>169</v>
      </c>
      <c r="Z1715" s="6" t="s">
        <v>170</v>
      </c>
      <c r="AA1715" s="6" t="s">
        <v>171</v>
      </c>
      <c r="AB1715" s="6">
        <v>0</v>
      </c>
      <c r="AC1715" s="6" t="str">
        <f>""</f>
        <v/>
      </c>
      <c r="AS1715" s="6">
        <v>0</v>
      </c>
      <c r="AT1715" s="6">
        <v>0</v>
      </c>
    </row>
    <row r="1716" spans="2:46">
      <c r="B1716" s="6" t="s">
        <v>117</v>
      </c>
      <c r="D1716" s="6" t="s">
        <v>7120</v>
      </c>
      <c r="F1716" s="6" t="s">
        <v>7201</v>
      </c>
      <c r="G1716" s="6" t="str">
        <f>"3174114101730208"</f>
        <v>3174114101730208</v>
      </c>
      <c r="H1716" s="6">
        <v>3174114101730200</v>
      </c>
      <c r="I1716" s="6" t="s">
        <v>7202</v>
      </c>
      <c r="J1716" s="6" t="str">
        <f>"(UNISEX)LO SNOWMAN COAT (NAVY)"</f>
        <v>(UNISEX)LO SNOWMAN COAT (NAVY)</v>
      </c>
      <c r="K1716" s="6">
        <v>0</v>
      </c>
      <c r="L1716" s="6">
        <v>0</v>
      </c>
      <c r="M1716" s="6">
        <v>0</v>
      </c>
      <c r="N1716" s="6" t="str">
        <f>""</f>
        <v/>
      </c>
      <c r="O1716" s="6">
        <v>26098</v>
      </c>
      <c r="P1716" s="6" t="s">
        <v>7203</v>
      </c>
      <c r="R1716" s="6" t="s">
        <v>2111</v>
      </c>
      <c r="S1716" s="6" t="s">
        <v>7204</v>
      </c>
      <c r="T1716" s="6">
        <v>0</v>
      </c>
      <c r="U1716" s="6">
        <v>0</v>
      </c>
      <c r="V1716" s="6">
        <v>0</v>
      </c>
      <c r="W1716" s="6">
        <v>0</v>
      </c>
      <c r="X1716" s="6" t="s">
        <v>169</v>
      </c>
      <c r="Z1716" s="6" t="s">
        <v>170</v>
      </c>
      <c r="AA1716" s="6" t="s">
        <v>171</v>
      </c>
      <c r="AB1716" s="6">
        <v>0</v>
      </c>
      <c r="AC1716" s="6" t="str">
        <f>""</f>
        <v/>
      </c>
      <c r="AS1716" s="6">
        <v>0</v>
      </c>
      <c r="AT1716" s="6">
        <v>0</v>
      </c>
    </row>
    <row r="1717" spans="2:46">
      <c r="B1717" s="6" t="s">
        <v>117</v>
      </c>
      <c r="D1717" s="6" t="s">
        <v>7120</v>
      </c>
      <c r="F1717" s="6" t="s">
        <v>7205</v>
      </c>
      <c r="G1717" s="6" t="str">
        <f>"3174114101699208"</f>
        <v>3174114101699208</v>
      </c>
      <c r="H1717" s="6">
        <v>3174114101699200</v>
      </c>
      <c r="I1717" s="6" t="s">
        <v>7206</v>
      </c>
      <c r="J1717" s="6" t="str">
        <f>"(UNISEX)LO DUFFLE COAT (BLACK)"</f>
        <v>(UNISEX)LO DUFFLE COAT (BLACK)</v>
      </c>
      <c r="K1717" s="6">
        <v>0</v>
      </c>
      <c r="L1717" s="6">
        <v>0</v>
      </c>
      <c r="M1717" s="6">
        <v>0</v>
      </c>
      <c r="N1717" s="6" t="str">
        <f>""</f>
        <v/>
      </c>
      <c r="O1717" s="6">
        <v>26096</v>
      </c>
      <c r="P1717" s="6" t="s">
        <v>7207</v>
      </c>
      <c r="R1717" s="6" t="s">
        <v>2106</v>
      </c>
      <c r="S1717" s="6" t="s">
        <v>7208</v>
      </c>
      <c r="T1717" s="6">
        <v>0</v>
      </c>
      <c r="U1717" s="6">
        <v>0</v>
      </c>
      <c r="V1717" s="6">
        <v>0</v>
      </c>
      <c r="W1717" s="6">
        <v>0</v>
      </c>
      <c r="X1717" s="6" t="s">
        <v>169</v>
      </c>
      <c r="Z1717" s="6" t="s">
        <v>170</v>
      </c>
      <c r="AA1717" s="6" t="s">
        <v>171</v>
      </c>
      <c r="AB1717" s="6">
        <v>0</v>
      </c>
      <c r="AC1717" s="6" t="str">
        <f>""</f>
        <v/>
      </c>
      <c r="AS1717" s="6">
        <v>0</v>
      </c>
      <c r="AT1717" s="6">
        <v>0</v>
      </c>
    </row>
    <row r="1718" spans="2:46">
      <c r="B1718" s="6" t="s">
        <v>117</v>
      </c>
      <c r="D1718" s="6" t="s">
        <v>7120</v>
      </c>
      <c r="F1718" s="6" t="s">
        <v>7209</v>
      </c>
      <c r="G1718" s="6" t="str">
        <f>"3174114101674208"</f>
        <v>3174114101674208</v>
      </c>
      <c r="H1718" s="6">
        <v>3174114101674200</v>
      </c>
      <c r="I1718" s="6" t="s">
        <v>7210</v>
      </c>
      <c r="J1718" s="6" t="str">
        <f>"(UNISEX)LO DUFFLE COAT (BEIGE)"</f>
        <v>(UNISEX)LO DUFFLE COAT (BEIGE)</v>
      </c>
      <c r="K1718" s="6">
        <v>0</v>
      </c>
      <c r="L1718" s="6">
        <v>0</v>
      </c>
      <c r="M1718" s="6">
        <v>0</v>
      </c>
      <c r="N1718" s="6" t="str">
        <f>""</f>
        <v/>
      </c>
      <c r="O1718" s="6">
        <v>26094</v>
      </c>
      <c r="P1718" s="6" t="s">
        <v>7211</v>
      </c>
      <c r="R1718" s="6" t="s">
        <v>2102</v>
      </c>
      <c r="S1718" s="6" t="s">
        <v>7212</v>
      </c>
      <c r="T1718" s="6">
        <v>0</v>
      </c>
      <c r="U1718" s="6">
        <v>0</v>
      </c>
      <c r="V1718" s="6">
        <v>0</v>
      </c>
      <c r="W1718" s="6">
        <v>0</v>
      </c>
      <c r="X1718" s="6" t="s">
        <v>169</v>
      </c>
      <c r="Z1718" s="6" t="s">
        <v>170</v>
      </c>
      <c r="AA1718" s="6" t="s">
        <v>171</v>
      </c>
      <c r="AB1718" s="6">
        <v>0</v>
      </c>
      <c r="AC1718" s="6" t="str">
        <f>""</f>
        <v/>
      </c>
      <c r="AS1718" s="6">
        <v>0</v>
      </c>
      <c r="AT1718" s="6">
        <v>0</v>
      </c>
    </row>
    <row r="1719" spans="2:46">
      <c r="B1719" s="6" t="s">
        <v>117</v>
      </c>
      <c r="D1719" s="6" t="s">
        <v>7120</v>
      </c>
      <c r="F1719" s="6" t="s">
        <v>7213</v>
      </c>
      <c r="G1719" s="6" t="str">
        <f>"3173234107099208"</f>
        <v>3173234107099208</v>
      </c>
      <c r="H1719" s="6">
        <v>3173234107099200</v>
      </c>
      <c r="I1719" s="6" t="s">
        <v>7214</v>
      </c>
      <c r="J1719" s="6" t="str">
        <f>"(UNISEX)SD LOGO HOODIE (BLACK)"</f>
        <v>(UNISEX)SD LOGO HOODIE (BLACK)</v>
      </c>
      <c r="K1719" s="6">
        <v>0</v>
      </c>
      <c r="L1719" s="6">
        <v>0</v>
      </c>
      <c r="M1719" s="6">
        <v>0</v>
      </c>
      <c r="N1719" s="6" t="str">
        <f>""</f>
        <v/>
      </c>
      <c r="O1719" s="6">
        <v>26092</v>
      </c>
      <c r="P1719" s="6" t="s">
        <v>7215</v>
      </c>
      <c r="R1719" s="6" t="s">
        <v>2106</v>
      </c>
      <c r="S1719" s="6" t="s">
        <v>7216</v>
      </c>
      <c r="T1719" s="6">
        <v>0</v>
      </c>
      <c r="U1719" s="6">
        <v>0</v>
      </c>
      <c r="V1719" s="6">
        <v>0</v>
      </c>
      <c r="W1719" s="6">
        <v>0</v>
      </c>
      <c r="X1719" s="6" t="s">
        <v>169</v>
      </c>
      <c r="Z1719" s="6" t="s">
        <v>170</v>
      </c>
      <c r="AA1719" s="6" t="s">
        <v>171</v>
      </c>
      <c r="AB1719" s="6">
        <v>0</v>
      </c>
      <c r="AC1719" s="6" t="str">
        <f>""</f>
        <v/>
      </c>
      <c r="AS1719" s="6">
        <v>0</v>
      </c>
      <c r="AT1719" s="6">
        <v>0</v>
      </c>
    </row>
    <row r="1720" spans="2:46">
      <c r="B1720" s="6" t="s">
        <v>117</v>
      </c>
      <c r="D1720" s="6" t="s">
        <v>7120</v>
      </c>
      <c r="F1720" s="6" t="s">
        <v>7217</v>
      </c>
      <c r="G1720" s="6" t="str">
        <f>"3173234107074208"</f>
        <v>3173234107074208</v>
      </c>
      <c r="H1720" s="6">
        <v>3173234107074200</v>
      </c>
      <c r="I1720" s="6" t="s">
        <v>7218</v>
      </c>
      <c r="J1720" s="6" t="str">
        <f>"(UNISEX)SD LOGO HOODIE (BEIGE)"</f>
        <v>(UNISEX)SD LOGO HOODIE (BEIGE)</v>
      </c>
      <c r="K1720" s="6">
        <v>0</v>
      </c>
      <c r="L1720" s="6">
        <v>0</v>
      </c>
      <c r="M1720" s="6">
        <v>0</v>
      </c>
      <c r="N1720" s="6" t="str">
        <f>""</f>
        <v/>
      </c>
      <c r="O1720" s="6">
        <v>26090</v>
      </c>
      <c r="P1720" s="6" t="s">
        <v>7219</v>
      </c>
      <c r="R1720" s="6" t="s">
        <v>2102</v>
      </c>
      <c r="S1720" s="6" t="s">
        <v>7220</v>
      </c>
      <c r="T1720" s="6">
        <v>0</v>
      </c>
      <c r="U1720" s="6">
        <v>0</v>
      </c>
      <c r="V1720" s="6">
        <v>0</v>
      </c>
      <c r="W1720" s="6">
        <v>0</v>
      </c>
      <c r="X1720" s="6" t="s">
        <v>169</v>
      </c>
      <c r="Z1720" s="6" t="s">
        <v>170</v>
      </c>
      <c r="AA1720" s="6" t="s">
        <v>171</v>
      </c>
      <c r="AB1720" s="6">
        <v>0</v>
      </c>
      <c r="AC1720" s="6" t="str">
        <f>""</f>
        <v/>
      </c>
      <c r="AS1720" s="6">
        <v>0</v>
      </c>
      <c r="AT1720" s="6">
        <v>0</v>
      </c>
    </row>
    <row r="1721" spans="2:46">
      <c r="B1721" s="6" t="s">
        <v>117</v>
      </c>
      <c r="D1721" s="6" t="s">
        <v>7120</v>
      </c>
      <c r="F1721" s="6" t="s">
        <v>7221</v>
      </c>
      <c r="G1721" s="6" t="str">
        <f>"3173224105430208"</f>
        <v>3173224105430208</v>
      </c>
      <c r="H1721" s="6">
        <v>3173224105430200</v>
      </c>
      <c r="I1721" s="6" t="s">
        <v>7222</v>
      </c>
      <c r="J1721" s="6" t="str">
        <f>"(UNISEX)SD STUDENTS TEE (NAVY)"</f>
        <v>(UNISEX)SD STUDENTS TEE (NAVY)</v>
      </c>
      <c r="K1721" s="6">
        <v>0</v>
      </c>
      <c r="L1721" s="6">
        <v>0</v>
      </c>
      <c r="M1721" s="6">
        <v>0</v>
      </c>
      <c r="N1721" s="6" t="str">
        <f>""</f>
        <v/>
      </c>
      <c r="O1721" s="6">
        <v>26088</v>
      </c>
      <c r="P1721" s="6" t="s">
        <v>7223</v>
      </c>
      <c r="R1721" s="6" t="s">
        <v>2111</v>
      </c>
      <c r="S1721" s="6" t="s">
        <v>7224</v>
      </c>
      <c r="T1721" s="6">
        <v>0</v>
      </c>
      <c r="U1721" s="6">
        <v>0</v>
      </c>
      <c r="V1721" s="6">
        <v>0</v>
      </c>
      <c r="W1721" s="6">
        <v>0</v>
      </c>
      <c r="X1721" s="6" t="s">
        <v>169</v>
      </c>
      <c r="Z1721" s="6" t="s">
        <v>170</v>
      </c>
      <c r="AA1721" s="6" t="s">
        <v>171</v>
      </c>
      <c r="AB1721" s="6">
        <v>0</v>
      </c>
      <c r="AC1721" s="6" t="str">
        <f>""</f>
        <v/>
      </c>
      <c r="AS1721" s="6">
        <v>0</v>
      </c>
      <c r="AT1721" s="6">
        <v>0</v>
      </c>
    </row>
    <row r="1722" spans="2:46">
      <c r="B1722" s="6" t="s">
        <v>117</v>
      </c>
      <c r="D1722" s="6" t="s">
        <v>7120</v>
      </c>
      <c r="F1722" s="6" t="s">
        <v>7225</v>
      </c>
      <c r="G1722" s="6" t="str">
        <f>"3173224105395208"</f>
        <v>3173224105395208</v>
      </c>
      <c r="H1722" s="6">
        <v>3173224105395200</v>
      </c>
      <c r="I1722" s="6" t="s">
        <v>7226</v>
      </c>
      <c r="J1722" s="6" t="str">
        <f>"(UNISEX)SD QUIZ TEE (GRAY)"</f>
        <v>(UNISEX)SD QUIZ TEE (GRAY)</v>
      </c>
      <c r="K1722" s="6">
        <v>0</v>
      </c>
      <c r="L1722" s="6">
        <v>0</v>
      </c>
      <c r="M1722" s="6">
        <v>0</v>
      </c>
      <c r="N1722" s="6" t="str">
        <f>""</f>
        <v/>
      </c>
      <c r="O1722" s="6">
        <v>26086</v>
      </c>
      <c r="P1722" s="6" t="s">
        <v>7227</v>
      </c>
      <c r="R1722" s="6" t="s">
        <v>2364</v>
      </c>
      <c r="S1722" s="6" t="s">
        <v>7228</v>
      </c>
      <c r="T1722" s="6">
        <v>0</v>
      </c>
      <c r="U1722" s="6">
        <v>0</v>
      </c>
      <c r="V1722" s="6">
        <v>0</v>
      </c>
      <c r="W1722" s="6">
        <v>0</v>
      </c>
      <c r="X1722" s="6" t="s">
        <v>169</v>
      </c>
      <c r="Z1722" s="6" t="s">
        <v>170</v>
      </c>
      <c r="AA1722" s="6" t="s">
        <v>171</v>
      </c>
      <c r="AB1722" s="6">
        <v>0</v>
      </c>
      <c r="AC1722" s="6" t="str">
        <f>""</f>
        <v/>
      </c>
      <c r="AS1722" s="6">
        <v>0</v>
      </c>
      <c r="AT1722" s="6">
        <v>0</v>
      </c>
    </row>
    <row r="1723" spans="2:46">
      <c r="B1723" s="6" t="s">
        <v>117</v>
      </c>
      <c r="D1723" s="6" t="s">
        <v>7120</v>
      </c>
      <c r="F1723" s="6" t="s">
        <v>7229</v>
      </c>
      <c r="G1723" s="6" t="str">
        <f>"3173222104091208"</f>
        <v>3173222104091208</v>
      </c>
      <c r="H1723" s="6">
        <v>3173222104091200</v>
      </c>
      <c r="I1723" s="6" t="s">
        <v>7230</v>
      </c>
      <c r="J1723" s="6" t="str">
        <f>"SD LOGO TURTLENECK (WHITE)"</f>
        <v>SD LOGO TURTLENECK (WHITE)</v>
      </c>
      <c r="K1723" s="6">
        <v>0</v>
      </c>
      <c r="L1723" s="6">
        <v>0</v>
      </c>
      <c r="M1723" s="6">
        <v>0</v>
      </c>
      <c r="N1723" s="6" t="str">
        <f>""</f>
        <v/>
      </c>
      <c r="O1723" s="6">
        <v>26084</v>
      </c>
      <c r="P1723" s="6" t="s">
        <v>7231</v>
      </c>
      <c r="R1723" s="6" t="s">
        <v>2167</v>
      </c>
      <c r="S1723" s="6" t="s">
        <v>7232</v>
      </c>
      <c r="T1723" s="6">
        <v>0</v>
      </c>
      <c r="U1723" s="6">
        <v>0</v>
      </c>
      <c r="V1723" s="6">
        <v>0</v>
      </c>
      <c r="W1723" s="6">
        <v>0</v>
      </c>
      <c r="X1723" s="6" t="s">
        <v>169</v>
      </c>
      <c r="Z1723" s="6" t="s">
        <v>170</v>
      </c>
      <c r="AA1723" s="6" t="s">
        <v>171</v>
      </c>
      <c r="AB1723" s="6">
        <v>0</v>
      </c>
      <c r="AC1723" s="6" t="str">
        <f>""</f>
        <v/>
      </c>
      <c r="AS1723" s="6">
        <v>0</v>
      </c>
      <c r="AT1723" s="6">
        <v>0</v>
      </c>
    </row>
    <row r="1724" spans="2:46">
      <c r="B1724" s="6" t="s">
        <v>117</v>
      </c>
      <c r="D1724" s="6" t="s">
        <v>7120</v>
      </c>
      <c r="F1724" s="6" t="s">
        <v>7233</v>
      </c>
      <c r="G1724" s="6" t="str">
        <f>"3173222104099208"</f>
        <v>3173222104099208</v>
      </c>
      <c r="H1724" s="6">
        <v>3173222104099200</v>
      </c>
      <c r="I1724" s="6" t="s">
        <v>7234</v>
      </c>
      <c r="J1724" s="6" t="str">
        <f>"SD LOGO TURTLENECK (BLACK)"</f>
        <v>SD LOGO TURTLENECK (BLACK)</v>
      </c>
      <c r="K1724" s="6">
        <v>0</v>
      </c>
      <c r="L1724" s="6">
        <v>0</v>
      </c>
      <c r="M1724" s="6">
        <v>0</v>
      </c>
      <c r="N1724" s="6" t="str">
        <f>""</f>
        <v/>
      </c>
      <c r="O1724" s="6">
        <v>26082</v>
      </c>
      <c r="P1724" s="6" t="s">
        <v>7235</v>
      </c>
      <c r="R1724" s="6" t="s">
        <v>2106</v>
      </c>
      <c r="S1724" s="6" t="s">
        <v>7236</v>
      </c>
      <c r="T1724" s="6">
        <v>0</v>
      </c>
      <c r="U1724" s="6">
        <v>0</v>
      </c>
      <c r="V1724" s="6">
        <v>0</v>
      </c>
      <c r="W1724" s="6">
        <v>0</v>
      </c>
      <c r="X1724" s="6" t="s">
        <v>169</v>
      </c>
      <c r="Z1724" s="6" t="s">
        <v>170</v>
      </c>
      <c r="AA1724" s="6" t="s">
        <v>171</v>
      </c>
      <c r="AB1724" s="6">
        <v>0</v>
      </c>
      <c r="AC1724" s="6" t="str">
        <f>""</f>
        <v/>
      </c>
      <c r="AS1724" s="6">
        <v>0</v>
      </c>
      <c r="AT1724" s="6">
        <v>0</v>
      </c>
    </row>
    <row r="1725" spans="2:46">
      <c r="B1725" s="6" t="s">
        <v>117</v>
      </c>
      <c r="D1725" s="6" t="s">
        <v>7120</v>
      </c>
      <c r="F1725" s="6" t="s">
        <v>7237</v>
      </c>
      <c r="G1725" s="6" t="str">
        <f>"3173234105395208"</f>
        <v>3173234105395208</v>
      </c>
      <c r="H1725" s="6">
        <v>3173234105395200</v>
      </c>
      <c r="I1725" s="6" t="s">
        <v>7238</v>
      </c>
      <c r="J1725" s="6" t="str">
        <f>"(UNISEX)SD CAMERA MTM (GRAY)"</f>
        <v>(UNISEX)SD CAMERA MTM (GRAY)</v>
      </c>
      <c r="K1725" s="6">
        <v>0</v>
      </c>
      <c r="L1725" s="6">
        <v>0</v>
      </c>
      <c r="M1725" s="6">
        <v>0</v>
      </c>
      <c r="N1725" s="6" t="str">
        <f>""</f>
        <v/>
      </c>
      <c r="O1725" s="6">
        <v>26080</v>
      </c>
      <c r="P1725" s="6" t="s">
        <v>7239</v>
      </c>
      <c r="R1725" s="6" t="s">
        <v>2364</v>
      </c>
      <c r="S1725" s="6" t="s">
        <v>7240</v>
      </c>
      <c r="T1725" s="6">
        <v>0</v>
      </c>
      <c r="U1725" s="6">
        <v>0</v>
      </c>
      <c r="V1725" s="6">
        <v>0</v>
      </c>
      <c r="W1725" s="6">
        <v>0</v>
      </c>
      <c r="X1725" s="6" t="s">
        <v>169</v>
      </c>
      <c r="Z1725" s="6" t="s">
        <v>170</v>
      </c>
      <c r="AA1725" s="6" t="s">
        <v>171</v>
      </c>
      <c r="AB1725" s="6">
        <v>0</v>
      </c>
      <c r="AC1725" s="6" t="str">
        <f>""</f>
        <v/>
      </c>
      <c r="AS1725" s="6">
        <v>0</v>
      </c>
      <c r="AT1725" s="6">
        <v>0</v>
      </c>
    </row>
    <row r="1726" spans="2:46">
      <c r="B1726" s="6" t="s">
        <v>117</v>
      </c>
      <c r="D1726" s="6" t="s">
        <v>7120</v>
      </c>
      <c r="F1726" s="6" t="s">
        <v>7241</v>
      </c>
      <c r="G1726" s="6" t="str">
        <f>"3173234105399208"</f>
        <v>3173234105399208</v>
      </c>
      <c r="H1726" s="6">
        <v>3173234105399200</v>
      </c>
      <c r="I1726" s="6" t="s">
        <v>7242</v>
      </c>
      <c r="J1726" s="6" t="str">
        <f>"(UNISEX)SD CAMERA MTM (BLACK)"</f>
        <v>(UNISEX)SD CAMERA MTM (BLACK)</v>
      </c>
      <c r="K1726" s="6">
        <v>0</v>
      </c>
      <c r="L1726" s="6">
        <v>0</v>
      </c>
      <c r="M1726" s="6">
        <v>0</v>
      </c>
      <c r="N1726" s="6" t="str">
        <f>""</f>
        <v/>
      </c>
      <c r="O1726" s="6">
        <v>26078</v>
      </c>
      <c r="P1726" s="6" t="s">
        <v>7243</v>
      </c>
      <c r="R1726" s="6" t="s">
        <v>2106</v>
      </c>
      <c r="S1726" s="6" t="s">
        <v>7244</v>
      </c>
      <c r="T1726" s="6">
        <v>0</v>
      </c>
      <c r="U1726" s="6">
        <v>0</v>
      </c>
      <c r="V1726" s="6">
        <v>0</v>
      </c>
      <c r="W1726" s="6">
        <v>0</v>
      </c>
      <c r="X1726" s="6" t="s">
        <v>169</v>
      </c>
      <c r="Z1726" s="6" t="s">
        <v>170</v>
      </c>
      <c r="AA1726" s="6" t="s">
        <v>171</v>
      </c>
      <c r="AB1726" s="6">
        <v>0</v>
      </c>
      <c r="AC1726" s="6" t="str">
        <f>""</f>
        <v/>
      </c>
      <c r="AS1726" s="6">
        <v>0</v>
      </c>
      <c r="AT1726" s="6">
        <v>0</v>
      </c>
    </row>
    <row r="1727" spans="2:46">
      <c r="B1727" s="6" t="s">
        <v>117</v>
      </c>
      <c r="D1727" s="6" t="s">
        <v>7120</v>
      </c>
      <c r="F1727" s="6" t="s">
        <v>7245</v>
      </c>
      <c r="G1727" s="6" t="str">
        <f>"3173234105245208"</f>
        <v>3173234105245208</v>
      </c>
      <c r="H1727" s="6">
        <v>3173234105245200</v>
      </c>
      <c r="I1727" s="6" t="s">
        <v>7246</v>
      </c>
      <c r="J1727" s="6" t="str">
        <f>"(UNISEX)SD FILM MTM (GREEN)"</f>
        <v>(UNISEX)SD FILM MTM (GREEN)</v>
      </c>
      <c r="K1727" s="6">
        <v>0</v>
      </c>
      <c r="L1727" s="6">
        <v>0</v>
      </c>
      <c r="M1727" s="6">
        <v>0</v>
      </c>
      <c r="N1727" s="6" t="str">
        <f>""</f>
        <v/>
      </c>
      <c r="O1727" s="6">
        <v>26076</v>
      </c>
      <c r="P1727" s="6" t="s">
        <v>7247</v>
      </c>
      <c r="R1727" s="6" t="s">
        <v>2512</v>
      </c>
      <c r="S1727" s="6" t="s">
        <v>7248</v>
      </c>
      <c r="T1727" s="6">
        <v>0</v>
      </c>
      <c r="U1727" s="6">
        <v>0</v>
      </c>
      <c r="V1727" s="6">
        <v>0</v>
      </c>
      <c r="W1727" s="6">
        <v>0</v>
      </c>
      <c r="X1727" s="6" t="s">
        <v>169</v>
      </c>
      <c r="Z1727" s="6" t="s">
        <v>170</v>
      </c>
      <c r="AA1727" s="6" t="s">
        <v>171</v>
      </c>
      <c r="AB1727" s="6">
        <v>0</v>
      </c>
      <c r="AC1727" s="6" t="str">
        <f>""</f>
        <v/>
      </c>
      <c r="AS1727" s="6">
        <v>0</v>
      </c>
      <c r="AT1727" s="6">
        <v>0</v>
      </c>
    </row>
    <row r="1728" spans="2:46">
      <c r="B1728" s="6" t="s">
        <v>117</v>
      </c>
      <c r="D1728" s="6" t="s">
        <v>7120</v>
      </c>
      <c r="F1728" s="6" t="s">
        <v>7249</v>
      </c>
      <c r="G1728" s="6" t="str">
        <f>"3173234105225208"</f>
        <v>3173234105225208</v>
      </c>
      <c r="H1728" s="6">
        <v>3173234105225200</v>
      </c>
      <c r="I1728" s="6" t="s">
        <v>7250</v>
      </c>
      <c r="J1728" s="6" t="str">
        <f>"(UNISEX)SD FILM MTM (BLUE)"</f>
        <v>(UNISEX)SD FILM MTM (BLUE)</v>
      </c>
      <c r="K1728" s="6">
        <v>0</v>
      </c>
      <c r="L1728" s="6">
        <v>0</v>
      </c>
      <c r="M1728" s="6">
        <v>0</v>
      </c>
      <c r="N1728" s="6" t="str">
        <f>""</f>
        <v/>
      </c>
      <c r="O1728" s="6">
        <v>26074</v>
      </c>
      <c r="P1728" s="6" t="s">
        <v>7251</v>
      </c>
      <c r="R1728" s="6" t="s">
        <v>2175</v>
      </c>
      <c r="S1728" s="6" t="s">
        <v>7252</v>
      </c>
      <c r="T1728" s="6">
        <v>0</v>
      </c>
      <c r="U1728" s="6">
        <v>0</v>
      </c>
      <c r="V1728" s="6">
        <v>0</v>
      </c>
      <c r="W1728" s="6">
        <v>0</v>
      </c>
      <c r="X1728" s="6" t="s">
        <v>169</v>
      </c>
      <c r="Z1728" s="6" t="s">
        <v>170</v>
      </c>
      <c r="AA1728" s="6" t="s">
        <v>171</v>
      </c>
      <c r="AB1728" s="6">
        <v>0</v>
      </c>
      <c r="AC1728" s="6" t="str">
        <f>""</f>
        <v/>
      </c>
      <c r="AS1728" s="6">
        <v>0</v>
      </c>
      <c r="AT1728" s="6">
        <v>0</v>
      </c>
    </row>
    <row r="1729" spans="2:46">
      <c r="B1729" s="6" t="s">
        <v>117</v>
      </c>
      <c r="D1729" s="6" t="s">
        <v>7120</v>
      </c>
      <c r="F1729" s="6" t="s">
        <v>7253</v>
      </c>
      <c r="G1729" s="6" t="str">
        <f>"3173234105191208"</f>
        <v>3173234105191208</v>
      </c>
      <c r="H1729" s="6">
        <v>3173234105191200</v>
      </c>
      <c r="I1729" s="6" t="s">
        <v>7254</v>
      </c>
      <c r="J1729" s="6" t="str">
        <f>"(UNISEX)SD ZIP UP MTM (WHITE)"</f>
        <v>(UNISEX)SD ZIP UP MTM (WHITE)</v>
      </c>
      <c r="K1729" s="6">
        <v>0</v>
      </c>
      <c r="L1729" s="6">
        <v>0</v>
      </c>
      <c r="M1729" s="6">
        <v>0</v>
      </c>
      <c r="N1729" s="6" t="str">
        <f>""</f>
        <v/>
      </c>
      <c r="O1729" s="6">
        <v>26072</v>
      </c>
      <c r="P1729" s="6" t="s">
        <v>7255</v>
      </c>
      <c r="R1729" s="6" t="s">
        <v>2167</v>
      </c>
      <c r="S1729" s="6" t="s">
        <v>7256</v>
      </c>
      <c r="T1729" s="6">
        <v>0</v>
      </c>
      <c r="U1729" s="6">
        <v>0</v>
      </c>
      <c r="V1729" s="6">
        <v>0</v>
      </c>
      <c r="W1729" s="6">
        <v>0</v>
      </c>
      <c r="X1729" s="6" t="s">
        <v>169</v>
      </c>
      <c r="Z1729" s="6" t="s">
        <v>170</v>
      </c>
      <c r="AA1729" s="6" t="s">
        <v>171</v>
      </c>
      <c r="AB1729" s="6">
        <v>0</v>
      </c>
      <c r="AC1729" s="6" t="str">
        <f>""</f>
        <v/>
      </c>
      <c r="AS1729" s="6">
        <v>0</v>
      </c>
      <c r="AT1729" s="6">
        <v>0</v>
      </c>
    </row>
    <row r="1730" spans="2:46">
      <c r="B1730" s="6" t="s">
        <v>117</v>
      </c>
      <c r="D1730" s="6" t="s">
        <v>7120</v>
      </c>
      <c r="F1730" s="6" t="s">
        <v>7257</v>
      </c>
      <c r="G1730" s="6" t="str">
        <f>"3173234105195208"</f>
        <v>3173234105195208</v>
      </c>
      <c r="H1730" s="6">
        <v>3173234105195200</v>
      </c>
      <c r="I1730" s="6" t="s">
        <v>7258</v>
      </c>
      <c r="J1730" s="6" t="str">
        <f>"(UNISEX)SD ZIP UP MTM (GRAY)"</f>
        <v>(UNISEX)SD ZIP UP MTM (GRAY)</v>
      </c>
      <c r="K1730" s="6">
        <v>0</v>
      </c>
      <c r="L1730" s="6">
        <v>0</v>
      </c>
      <c r="M1730" s="6">
        <v>0</v>
      </c>
      <c r="N1730" s="6" t="str">
        <f>""</f>
        <v/>
      </c>
      <c r="O1730" s="6">
        <v>26070</v>
      </c>
      <c r="P1730" s="6" t="s">
        <v>7259</v>
      </c>
      <c r="R1730" s="6" t="s">
        <v>2364</v>
      </c>
      <c r="S1730" s="6" t="s">
        <v>7260</v>
      </c>
      <c r="T1730" s="6">
        <v>0</v>
      </c>
      <c r="U1730" s="6">
        <v>0</v>
      </c>
      <c r="V1730" s="6">
        <v>0</v>
      </c>
      <c r="W1730" s="6">
        <v>0</v>
      </c>
      <c r="X1730" s="6" t="s">
        <v>169</v>
      </c>
      <c r="Z1730" s="6" t="s">
        <v>170</v>
      </c>
      <c r="AA1730" s="6" t="s">
        <v>171</v>
      </c>
      <c r="AB1730" s="6">
        <v>0</v>
      </c>
      <c r="AC1730" s="6" t="str">
        <f>""</f>
        <v/>
      </c>
      <c r="AS1730" s="6">
        <v>0</v>
      </c>
      <c r="AT1730" s="6">
        <v>0</v>
      </c>
    </row>
    <row r="1731" spans="2:46">
      <c r="B1731" s="6" t="s">
        <v>117</v>
      </c>
      <c r="D1731" s="6" t="s">
        <v>7120</v>
      </c>
      <c r="F1731" s="6" t="s">
        <v>7261</v>
      </c>
      <c r="G1731" s="6" t="str">
        <f>"3173222104201208"</f>
        <v>3173222104201208</v>
      </c>
      <c r="H1731" s="6">
        <v>3173222104201200</v>
      </c>
      <c r="I1731" s="6" t="s">
        <v>7262</v>
      </c>
      <c r="J1731" s="6" t="str">
        <f>"SD RIBBON SLEEVELESS (PINK)"</f>
        <v>SD RIBBON SLEEVELESS (PINK)</v>
      </c>
      <c r="K1731" s="6">
        <v>0</v>
      </c>
      <c r="L1731" s="6">
        <v>0</v>
      </c>
      <c r="M1731" s="6">
        <v>0</v>
      </c>
      <c r="N1731" s="6" t="str">
        <f>""</f>
        <v/>
      </c>
      <c r="O1731" s="6">
        <v>26068</v>
      </c>
      <c r="P1731" s="6" t="s">
        <v>7263</v>
      </c>
      <c r="R1731" s="6" t="s">
        <v>2446</v>
      </c>
      <c r="S1731" s="6" t="s">
        <v>7264</v>
      </c>
      <c r="T1731" s="6">
        <v>0</v>
      </c>
      <c r="U1731" s="6">
        <v>0</v>
      </c>
      <c r="V1731" s="6">
        <v>0</v>
      </c>
      <c r="W1731" s="6">
        <v>0</v>
      </c>
      <c r="X1731" s="6" t="s">
        <v>169</v>
      </c>
      <c r="Z1731" s="6" t="s">
        <v>170</v>
      </c>
      <c r="AA1731" s="6" t="s">
        <v>171</v>
      </c>
      <c r="AB1731" s="6">
        <v>0</v>
      </c>
      <c r="AC1731" s="6" t="str">
        <f>""</f>
        <v/>
      </c>
      <c r="AS1731" s="6">
        <v>0</v>
      </c>
      <c r="AT1731" s="6">
        <v>0</v>
      </c>
    </row>
    <row r="1732" spans="2:46">
      <c r="B1732" s="6" t="s">
        <v>117</v>
      </c>
      <c r="D1732" s="6" t="s">
        <v>7120</v>
      </c>
      <c r="F1732" s="6" t="s">
        <v>7265</v>
      </c>
      <c r="G1732" s="6" t="str">
        <f>"3173222104299208"</f>
        <v>3173222104299208</v>
      </c>
      <c r="H1732" s="6">
        <v>3173222104299200</v>
      </c>
      <c r="I1732" s="6" t="s">
        <v>7266</v>
      </c>
      <c r="J1732" s="6" t="str">
        <f>"SD RIBBON SLEEVELESS (BLACK)"</f>
        <v>SD RIBBON SLEEVELESS (BLACK)</v>
      </c>
      <c r="K1732" s="6">
        <v>0</v>
      </c>
      <c r="L1732" s="6">
        <v>0</v>
      </c>
      <c r="M1732" s="6">
        <v>0</v>
      </c>
      <c r="N1732" s="6" t="str">
        <f>""</f>
        <v/>
      </c>
      <c r="O1732" s="6">
        <v>26066</v>
      </c>
      <c r="P1732" s="6" t="s">
        <v>7267</v>
      </c>
      <c r="R1732" s="6" t="s">
        <v>2106</v>
      </c>
      <c r="S1732" s="6" t="s">
        <v>7268</v>
      </c>
      <c r="T1732" s="6">
        <v>0</v>
      </c>
      <c r="U1732" s="6">
        <v>0</v>
      </c>
      <c r="V1732" s="6">
        <v>0</v>
      </c>
      <c r="W1732" s="6">
        <v>0</v>
      </c>
      <c r="X1732" s="6" t="s">
        <v>169</v>
      </c>
      <c r="Z1732" s="6" t="s">
        <v>170</v>
      </c>
      <c r="AA1732" s="6" t="s">
        <v>171</v>
      </c>
      <c r="AB1732" s="6">
        <v>0</v>
      </c>
      <c r="AC1732" s="6" t="str">
        <f>""</f>
        <v/>
      </c>
      <c r="AS1732" s="6">
        <v>0</v>
      </c>
      <c r="AT1732" s="6">
        <v>0</v>
      </c>
    </row>
    <row r="1733" spans="2:46">
      <c r="B1733" s="6" t="s">
        <v>117</v>
      </c>
      <c r="D1733" s="6" t="s">
        <v>7120</v>
      </c>
      <c r="F1733" s="6" t="s">
        <v>7269</v>
      </c>
      <c r="G1733" s="6" t="str">
        <f>"3173224105291208"</f>
        <v>3173224105291208</v>
      </c>
      <c r="H1733" s="6">
        <v>3173224105291200</v>
      </c>
      <c r="I1733" s="6" t="s">
        <v>7270</v>
      </c>
      <c r="J1733" s="6" t="str">
        <f>"(UNISEX)SD LETTERING TEE (WHITE)"</f>
        <v>(UNISEX)SD LETTERING TEE (WHITE)</v>
      </c>
      <c r="K1733" s="6">
        <v>0</v>
      </c>
      <c r="L1733" s="6">
        <v>0</v>
      </c>
      <c r="M1733" s="6">
        <v>0</v>
      </c>
      <c r="N1733" s="6" t="str">
        <f>""</f>
        <v/>
      </c>
      <c r="O1733" s="6">
        <v>26064</v>
      </c>
      <c r="P1733" s="6" t="s">
        <v>7271</v>
      </c>
      <c r="R1733" s="6" t="s">
        <v>2167</v>
      </c>
      <c r="S1733" s="6" t="s">
        <v>7272</v>
      </c>
      <c r="T1733" s="6">
        <v>0</v>
      </c>
      <c r="U1733" s="6">
        <v>0</v>
      </c>
      <c r="V1733" s="6">
        <v>0</v>
      </c>
      <c r="W1733" s="6">
        <v>0</v>
      </c>
      <c r="X1733" s="6" t="s">
        <v>169</v>
      </c>
      <c r="Z1733" s="6" t="s">
        <v>170</v>
      </c>
      <c r="AA1733" s="6" t="s">
        <v>171</v>
      </c>
      <c r="AB1733" s="6">
        <v>0</v>
      </c>
      <c r="AC1733" s="6" t="str">
        <f>""</f>
        <v/>
      </c>
      <c r="AS1733" s="6">
        <v>0</v>
      </c>
      <c r="AT1733" s="6">
        <v>0</v>
      </c>
    </row>
    <row r="1734" spans="2:46">
      <c r="B1734" s="6" t="s">
        <v>117</v>
      </c>
      <c r="D1734" s="6" t="s">
        <v>7120</v>
      </c>
      <c r="F1734" s="6" t="s">
        <v>7273</v>
      </c>
      <c r="G1734" s="6" t="str">
        <f>"3173224105299208"</f>
        <v>3173224105299208</v>
      </c>
      <c r="H1734" s="6">
        <v>3173224105299200</v>
      </c>
      <c r="I1734" s="6" t="s">
        <v>7274</v>
      </c>
      <c r="J1734" s="6" t="str">
        <f>"(UNISEX)SD LETTERING TEE (BLACK)"</f>
        <v>(UNISEX)SD LETTERING TEE (BLACK)</v>
      </c>
      <c r="K1734" s="6">
        <v>0</v>
      </c>
      <c r="L1734" s="6">
        <v>0</v>
      </c>
      <c r="M1734" s="6">
        <v>0</v>
      </c>
      <c r="N1734" s="6" t="str">
        <f>""</f>
        <v/>
      </c>
      <c r="O1734" s="6">
        <v>26062</v>
      </c>
      <c r="P1734" s="6" t="s">
        <v>7275</v>
      </c>
      <c r="R1734" s="6" t="s">
        <v>2106</v>
      </c>
      <c r="S1734" s="6" t="s">
        <v>7276</v>
      </c>
      <c r="T1734" s="6">
        <v>0</v>
      </c>
      <c r="U1734" s="6">
        <v>0</v>
      </c>
      <c r="V1734" s="6">
        <v>0</v>
      </c>
      <c r="W1734" s="6">
        <v>0</v>
      </c>
      <c r="X1734" s="6" t="s">
        <v>169</v>
      </c>
      <c r="Z1734" s="6" t="s">
        <v>170</v>
      </c>
      <c r="AA1734" s="6" t="s">
        <v>171</v>
      </c>
      <c r="AB1734" s="6">
        <v>0</v>
      </c>
      <c r="AC1734" s="6" t="str">
        <f>""</f>
        <v/>
      </c>
      <c r="AS1734" s="6">
        <v>0</v>
      </c>
      <c r="AT1734" s="6">
        <v>0</v>
      </c>
    </row>
    <row r="1735" spans="2:46">
      <c r="B1735" s="6" t="s">
        <v>117</v>
      </c>
      <c r="D1735" s="6" t="s">
        <v>7120</v>
      </c>
      <c r="F1735" s="6" t="s">
        <v>7277</v>
      </c>
      <c r="G1735" s="6" t="str">
        <f>"3173234104130208"</f>
        <v>3173234104130208</v>
      </c>
      <c r="H1735" s="6">
        <v>3173234104130200</v>
      </c>
      <c r="I1735" s="6" t="s">
        <v>7278</v>
      </c>
      <c r="J1735" s="6" t="str">
        <f>"(UNISEX)SD CAMCORDER MTM (NAVY)"</f>
        <v>(UNISEX)SD CAMCORDER MTM (NAVY)</v>
      </c>
      <c r="K1735" s="6">
        <v>0</v>
      </c>
      <c r="L1735" s="6">
        <v>0</v>
      </c>
      <c r="M1735" s="6">
        <v>0</v>
      </c>
      <c r="N1735" s="6" t="str">
        <f>""</f>
        <v/>
      </c>
      <c r="O1735" s="6">
        <v>26060</v>
      </c>
      <c r="P1735" s="6" t="s">
        <v>7279</v>
      </c>
      <c r="R1735" s="6" t="s">
        <v>2111</v>
      </c>
      <c r="S1735" s="6" t="s">
        <v>7280</v>
      </c>
      <c r="T1735" s="6">
        <v>0</v>
      </c>
      <c r="U1735" s="6">
        <v>0</v>
      </c>
      <c r="V1735" s="6">
        <v>0</v>
      </c>
      <c r="W1735" s="6">
        <v>0</v>
      </c>
      <c r="X1735" s="6" t="s">
        <v>169</v>
      </c>
      <c r="Z1735" s="6" t="s">
        <v>170</v>
      </c>
      <c r="AA1735" s="6" t="s">
        <v>171</v>
      </c>
      <c r="AB1735" s="6">
        <v>0</v>
      </c>
      <c r="AC1735" s="6" t="str">
        <f>""</f>
        <v/>
      </c>
      <c r="AS1735" s="6">
        <v>0</v>
      </c>
      <c r="AT1735" s="6">
        <v>0</v>
      </c>
    </row>
    <row r="1736" spans="2:46">
      <c r="B1736" s="6" t="s">
        <v>117</v>
      </c>
      <c r="D1736" s="6" t="s">
        <v>7120</v>
      </c>
      <c r="F1736" s="6" t="s">
        <v>7281</v>
      </c>
      <c r="G1736" s="6" t="str">
        <f>"3173234104274208"</f>
        <v>3173234104274208</v>
      </c>
      <c r="H1736" s="6">
        <v>3173234104274200</v>
      </c>
      <c r="I1736" s="6" t="s">
        <v>7282</v>
      </c>
      <c r="J1736" s="6" t="str">
        <f>"(UNISEX)SD GUN MTM (BEIGE)"</f>
        <v>(UNISEX)SD GUN MTM (BEIGE)</v>
      </c>
      <c r="K1736" s="6">
        <v>0</v>
      </c>
      <c r="L1736" s="6">
        <v>0</v>
      </c>
      <c r="M1736" s="6">
        <v>0</v>
      </c>
      <c r="N1736" s="6" t="str">
        <f>""</f>
        <v/>
      </c>
      <c r="O1736" s="6">
        <v>26058</v>
      </c>
      <c r="P1736" s="6" t="s">
        <v>7283</v>
      </c>
      <c r="R1736" s="6" t="s">
        <v>2102</v>
      </c>
      <c r="S1736" s="6" t="s">
        <v>7284</v>
      </c>
      <c r="T1736" s="6">
        <v>0</v>
      </c>
      <c r="U1736" s="6">
        <v>0</v>
      </c>
      <c r="V1736" s="6">
        <v>0</v>
      </c>
      <c r="W1736" s="6">
        <v>0</v>
      </c>
      <c r="X1736" s="6" t="s">
        <v>169</v>
      </c>
      <c r="Z1736" s="6" t="s">
        <v>170</v>
      </c>
      <c r="AA1736" s="6" t="s">
        <v>171</v>
      </c>
      <c r="AB1736" s="6">
        <v>0</v>
      </c>
      <c r="AC1736" s="6" t="str">
        <f>""</f>
        <v/>
      </c>
      <c r="AS1736" s="6">
        <v>0</v>
      </c>
      <c r="AT1736" s="6">
        <v>0</v>
      </c>
    </row>
    <row r="1737" spans="2:46">
      <c r="B1737" s="6" t="s">
        <v>117</v>
      </c>
      <c r="D1737" s="6" t="s">
        <v>7120</v>
      </c>
      <c r="F1737" s="6" t="s">
        <v>7285</v>
      </c>
      <c r="G1737" s="6" t="str">
        <f>"3173234104391208"</f>
        <v>3173234104391208</v>
      </c>
      <c r="H1737" s="6">
        <v>3173234104391200</v>
      </c>
      <c r="I1737" s="6" t="s">
        <v>7286</v>
      </c>
      <c r="J1737" s="6" t="str">
        <f>"(UNISEX)SD SPORTS MTM (WHITE)"</f>
        <v>(UNISEX)SD SPORTS MTM (WHITE)</v>
      </c>
      <c r="K1737" s="6">
        <v>0</v>
      </c>
      <c r="L1737" s="6">
        <v>0</v>
      </c>
      <c r="M1737" s="6">
        <v>0</v>
      </c>
      <c r="N1737" s="6" t="str">
        <f>""</f>
        <v/>
      </c>
      <c r="O1737" s="6">
        <v>26056</v>
      </c>
      <c r="P1737" s="6" t="s">
        <v>7287</v>
      </c>
      <c r="R1737" s="6" t="s">
        <v>2167</v>
      </c>
      <c r="S1737" s="6" t="s">
        <v>7288</v>
      </c>
      <c r="T1737" s="6">
        <v>0</v>
      </c>
      <c r="U1737" s="6">
        <v>0</v>
      </c>
      <c r="V1737" s="6">
        <v>0</v>
      </c>
      <c r="W1737" s="6">
        <v>0</v>
      </c>
      <c r="X1737" s="6" t="s">
        <v>169</v>
      </c>
      <c r="Z1737" s="6" t="s">
        <v>170</v>
      </c>
      <c r="AA1737" s="6" t="s">
        <v>171</v>
      </c>
      <c r="AB1737" s="6">
        <v>0</v>
      </c>
      <c r="AC1737" s="6" t="str">
        <f>""</f>
        <v/>
      </c>
      <c r="AS1737" s="6">
        <v>0</v>
      </c>
      <c r="AT1737" s="6">
        <v>0</v>
      </c>
    </row>
    <row r="1738" spans="2:46">
      <c r="B1738" s="6" t="s">
        <v>117</v>
      </c>
      <c r="D1738" s="6" t="s">
        <v>7120</v>
      </c>
      <c r="F1738" s="6" t="s">
        <v>7289</v>
      </c>
      <c r="G1738" s="6" t="str">
        <f>"3173234104330208"</f>
        <v>3173234104330208</v>
      </c>
      <c r="H1738" s="6">
        <v>3173234104330200</v>
      </c>
      <c r="I1738" s="6" t="s">
        <v>7290</v>
      </c>
      <c r="J1738" s="6" t="str">
        <f>"(UNISEX)SD SPORTS MTM (NAVY)"</f>
        <v>(UNISEX)SD SPORTS MTM (NAVY)</v>
      </c>
      <c r="K1738" s="6">
        <v>0</v>
      </c>
      <c r="L1738" s="6">
        <v>0</v>
      </c>
      <c r="M1738" s="6">
        <v>0</v>
      </c>
      <c r="N1738" s="6" t="str">
        <f>""</f>
        <v/>
      </c>
      <c r="O1738" s="6">
        <v>26054</v>
      </c>
      <c r="P1738" s="6" t="s">
        <v>7291</v>
      </c>
      <c r="R1738" s="6" t="s">
        <v>2111</v>
      </c>
      <c r="S1738" s="6" t="s">
        <v>7292</v>
      </c>
      <c r="T1738" s="6">
        <v>0</v>
      </c>
      <c r="U1738" s="6">
        <v>0</v>
      </c>
      <c r="V1738" s="6">
        <v>0</v>
      </c>
      <c r="W1738" s="6">
        <v>0</v>
      </c>
      <c r="X1738" s="6" t="s">
        <v>169</v>
      </c>
      <c r="Z1738" s="6" t="s">
        <v>170</v>
      </c>
      <c r="AA1738" s="6" t="s">
        <v>171</v>
      </c>
      <c r="AB1738" s="6">
        <v>0</v>
      </c>
      <c r="AC1738" s="6" t="str">
        <f>""</f>
        <v/>
      </c>
      <c r="AS1738" s="6">
        <v>0</v>
      </c>
      <c r="AT1738" s="6">
        <v>0</v>
      </c>
    </row>
    <row r="1739" spans="2:46">
      <c r="B1739" s="6" t="s">
        <v>117</v>
      </c>
      <c r="D1739" s="6" t="s">
        <v>7120</v>
      </c>
      <c r="F1739" s="6" t="s">
        <v>7293</v>
      </c>
      <c r="G1739" s="6" t="str">
        <f>"3173232100230208"</f>
        <v>3173232100230208</v>
      </c>
      <c r="H1739" s="6">
        <v>3173232100230200</v>
      </c>
      <c r="I1739" s="6" t="s">
        <v>7294</v>
      </c>
      <c r="J1739" s="6" t="str">
        <f>"SD SET MTM (NAVY)"</f>
        <v>SD SET MTM (NAVY)</v>
      </c>
      <c r="K1739" s="6">
        <v>0</v>
      </c>
      <c r="L1739" s="6">
        <v>0</v>
      </c>
      <c r="M1739" s="6">
        <v>0</v>
      </c>
      <c r="N1739" s="6" t="str">
        <f>""</f>
        <v/>
      </c>
      <c r="O1739" s="6">
        <v>26052</v>
      </c>
      <c r="P1739" s="6" t="s">
        <v>7295</v>
      </c>
      <c r="R1739" s="6" t="s">
        <v>2111</v>
      </c>
      <c r="S1739" s="6" t="s">
        <v>7296</v>
      </c>
      <c r="T1739" s="6">
        <v>0</v>
      </c>
      <c r="U1739" s="6">
        <v>0</v>
      </c>
      <c r="V1739" s="6">
        <v>0</v>
      </c>
      <c r="W1739" s="6">
        <v>0</v>
      </c>
      <c r="X1739" s="6" t="s">
        <v>169</v>
      </c>
      <c r="Z1739" s="6" t="s">
        <v>170</v>
      </c>
      <c r="AA1739" s="6" t="s">
        <v>171</v>
      </c>
      <c r="AB1739" s="6">
        <v>0</v>
      </c>
      <c r="AC1739" s="6" t="str">
        <f>""</f>
        <v/>
      </c>
      <c r="AS1739" s="6">
        <v>0</v>
      </c>
      <c r="AT1739" s="6">
        <v>0</v>
      </c>
    </row>
    <row r="1740" spans="2:46">
      <c r="B1740" s="6" t="s">
        <v>117</v>
      </c>
      <c r="D1740" s="6" t="s">
        <v>7120</v>
      </c>
      <c r="F1740" s="6" t="s">
        <v>7297</v>
      </c>
      <c r="G1740" s="6" t="str">
        <f>"3173232100295208"</f>
        <v>3173232100295208</v>
      </c>
      <c r="H1740" s="6">
        <v>3173232100295200</v>
      </c>
      <c r="I1740" s="6" t="s">
        <v>7298</v>
      </c>
      <c r="J1740" s="6" t="str">
        <f>"SD SET MTM (GRAY)"</f>
        <v>SD SET MTM (GRAY)</v>
      </c>
      <c r="K1740" s="6">
        <v>0</v>
      </c>
      <c r="L1740" s="6">
        <v>0</v>
      </c>
      <c r="M1740" s="6">
        <v>0</v>
      </c>
      <c r="N1740" s="6" t="str">
        <f>""</f>
        <v/>
      </c>
      <c r="O1740" s="6">
        <v>26050</v>
      </c>
      <c r="P1740" s="6" t="s">
        <v>7299</v>
      </c>
      <c r="R1740" s="6" t="s">
        <v>2364</v>
      </c>
      <c r="S1740" s="6" t="s">
        <v>7300</v>
      </c>
      <c r="T1740" s="6">
        <v>0</v>
      </c>
      <c r="U1740" s="6">
        <v>0</v>
      </c>
      <c r="V1740" s="6">
        <v>0</v>
      </c>
      <c r="W1740" s="6">
        <v>0</v>
      </c>
      <c r="X1740" s="6" t="s">
        <v>169</v>
      </c>
      <c r="Z1740" s="6" t="s">
        <v>170</v>
      </c>
      <c r="AA1740" s="6" t="s">
        <v>171</v>
      </c>
      <c r="AB1740" s="6">
        <v>0</v>
      </c>
      <c r="AC1740" s="6" t="str">
        <f>""</f>
        <v/>
      </c>
      <c r="AS1740" s="6">
        <v>0</v>
      </c>
      <c r="AT1740" s="6">
        <v>0</v>
      </c>
    </row>
    <row r="1741" spans="2:46">
      <c r="B1741" s="6" t="s">
        <v>117</v>
      </c>
      <c r="D1741" s="6" t="s">
        <v>7120</v>
      </c>
      <c r="F1741" s="6" t="s">
        <v>7301</v>
      </c>
      <c r="G1741" s="6" t="str">
        <f>"3173224103191208"</f>
        <v>3173224103191208</v>
      </c>
      <c r="H1741" s="6">
        <v>3173224103191200</v>
      </c>
      <c r="I1741" s="6" t="s">
        <v>7302</v>
      </c>
      <c r="J1741" s="6" t="str">
        <f>"(UNISEX)SD SCORE TEE (WHITE)"</f>
        <v>(UNISEX)SD SCORE TEE (WHITE)</v>
      </c>
      <c r="K1741" s="6">
        <v>0</v>
      </c>
      <c r="L1741" s="6">
        <v>0</v>
      </c>
      <c r="M1741" s="6">
        <v>0</v>
      </c>
      <c r="N1741" s="6" t="str">
        <f>""</f>
        <v/>
      </c>
      <c r="O1741" s="6">
        <v>26048</v>
      </c>
      <c r="P1741" s="6" t="s">
        <v>7303</v>
      </c>
      <c r="R1741" s="6" t="s">
        <v>2167</v>
      </c>
      <c r="S1741" s="6" t="s">
        <v>7304</v>
      </c>
      <c r="T1741" s="6">
        <v>0</v>
      </c>
      <c r="U1741" s="6">
        <v>0</v>
      </c>
      <c r="V1741" s="6">
        <v>0</v>
      </c>
      <c r="W1741" s="6">
        <v>0</v>
      </c>
      <c r="X1741" s="6" t="s">
        <v>169</v>
      </c>
      <c r="Z1741" s="6" t="s">
        <v>170</v>
      </c>
      <c r="AA1741" s="6" t="s">
        <v>171</v>
      </c>
      <c r="AB1741" s="6">
        <v>0</v>
      </c>
      <c r="AC1741" s="6" t="str">
        <f>""</f>
        <v/>
      </c>
      <c r="AS1741" s="6">
        <v>0</v>
      </c>
      <c r="AT1741" s="6">
        <v>0</v>
      </c>
    </row>
    <row r="1742" spans="2:46">
      <c r="B1742" s="6" t="s">
        <v>117</v>
      </c>
      <c r="D1742" s="6" t="s">
        <v>7120</v>
      </c>
      <c r="F1742" s="6" t="s">
        <v>7305</v>
      </c>
      <c r="G1742" s="6" t="str">
        <f>"3173224103199208"</f>
        <v>3173224103199208</v>
      </c>
      <c r="H1742" s="6">
        <v>3173224103199200</v>
      </c>
      <c r="I1742" s="6" t="s">
        <v>7306</v>
      </c>
      <c r="J1742" s="6" t="str">
        <f>"(UNISEX)SD SCORE TEE (BLACK)"</f>
        <v>(UNISEX)SD SCORE TEE (BLACK)</v>
      </c>
      <c r="K1742" s="6">
        <v>0</v>
      </c>
      <c r="L1742" s="6">
        <v>0</v>
      </c>
      <c r="M1742" s="6">
        <v>0</v>
      </c>
      <c r="N1742" s="6" t="str">
        <f>""</f>
        <v/>
      </c>
      <c r="O1742" s="6">
        <v>26046</v>
      </c>
      <c r="P1742" s="6" t="s">
        <v>7307</v>
      </c>
      <c r="R1742" s="6" t="s">
        <v>2106</v>
      </c>
      <c r="S1742" s="6" t="s">
        <v>7308</v>
      </c>
      <c r="T1742" s="6">
        <v>0</v>
      </c>
      <c r="U1742" s="6">
        <v>0</v>
      </c>
      <c r="V1742" s="6">
        <v>0</v>
      </c>
      <c r="W1742" s="6">
        <v>0</v>
      </c>
      <c r="X1742" s="6" t="s">
        <v>169</v>
      </c>
      <c r="Z1742" s="6" t="s">
        <v>170</v>
      </c>
      <c r="AA1742" s="6" t="s">
        <v>171</v>
      </c>
      <c r="AB1742" s="6">
        <v>0</v>
      </c>
      <c r="AC1742" s="6" t="str">
        <f>""</f>
        <v/>
      </c>
      <c r="AS1742" s="6">
        <v>0</v>
      </c>
      <c r="AT1742" s="6">
        <v>0</v>
      </c>
    </row>
    <row r="1743" spans="2:46">
      <c r="B1743" s="6" t="s">
        <v>117</v>
      </c>
      <c r="D1743" s="6" t="s">
        <v>7120</v>
      </c>
      <c r="F1743" s="6" t="s">
        <v>7309</v>
      </c>
      <c r="G1743" s="6" t="str">
        <f>"3173332101025320"</f>
        <v>3173332101025320</v>
      </c>
      <c r="H1743" s="6">
        <v>3173332101025320</v>
      </c>
      <c r="I1743" s="6" t="s">
        <v>7310</v>
      </c>
      <c r="J1743" s="6" t="str">
        <f>"SD CHEER SKIRT (BLUE)"</f>
        <v>SD CHEER SKIRT (BLUE)</v>
      </c>
      <c r="K1743" s="6">
        <v>0</v>
      </c>
      <c r="L1743" s="6">
        <v>0</v>
      </c>
      <c r="M1743" s="6">
        <v>0</v>
      </c>
      <c r="N1743" s="6" t="str">
        <f>""</f>
        <v/>
      </c>
      <c r="O1743" s="6">
        <v>26044</v>
      </c>
      <c r="P1743" s="6" t="s">
        <v>7311</v>
      </c>
      <c r="R1743" s="6" t="s">
        <v>2175</v>
      </c>
      <c r="S1743" s="6" t="s">
        <v>7312</v>
      </c>
      <c r="T1743" s="6">
        <v>0</v>
      </c>
      <c r="U1743" s="6">
        <v>0</v>
      </c>
      <c r="V1743" s="6">
        <v>0</v>
      </c>
      <c r="W1743" s="6">
        <v>0</v>
      </c>
      <c r="X1743" s="6" t="s">
        <v>169</v>
      </c>
      <c r="Z1743" s="6" t="s">
        <v>170</v>
      </c>
      <c r="AA1743" s="6" t="s">
        <v>171</v>
      </c>
      <c r="AB1743" s="6">
        <v>0</v>
      </c>
      <c r="AC1743" s="6" t="str">
        <f>""</f>
        <v/>
      </c>
      <c r="AS1743" s="6">
        <v>0</v>
      </c>
      <c r="AT1743" s="6">
        <v>0</v>
      </c>
    </row>
    <row r="1744" spans="2:46">
      <c r="B1744" s="6" t="s">
        <v>117</v>
      </c>
      <c r="D1744" s="6" t="s">
        <v>7120</v>
      </c>
      <c r="F1744" s="6" t="s">
        <v>7313</v>
      </c>
      <c r="G1744" s="6" t="str">
        <f>"3173332100699320"</f>
        <v>3173332100699320</v>
      </c>
      <c r="H1744" s="6">
        <v>3173332100699320</v>
      </c>
      <c r="I1744" s="6" t="s">
        <v>7314</v>
      </c>
      <c r="J1744" s="6" t="str">
        <f>"SD LOGO SKIRT (BLACK)"</f>
        <v>SD LOGO SKIRT (BLACK)</v>
      </c>
      <c r="K1744" s="6">
        <v>0</v>
      </c>
      <c r="L1744" s="6">
        <v>0</v>
      </c>
      <c r="M1744" s="6">
        <v>0</v>
      </c>
      <c r="N1744" s="6" t="str">
        <f>""</f>
        <v/>
      </c>
      <c r="O1744" s="6">
        <v>26042</v>
      </c>
      <c r="P1744" s="6" t="s">
        <v>7315</v>
      </c>
      <c r="R1744" s="6" t="s">
        <v>2106</v>
      </c>
      <c r="S1744" s="6" t="s">
        <v>7316</v>
      </c>
      <c r="T1744" s="6">
        <v>0</v>
      </c>
      <c r="U1744" s="6">
        <v>0</v>
      </c>
      <c r="V1744" s="6">
        <v>0</v>
      </c>
      <c r="W1744" s="6">
        <v>0</v>
      </c>
      <c r="X1744" s="6" t="s">
        <v>169</v>
      </c>
      <c r="Z1744" s="6" t="s">
        <v>170</v>
      </c>
      <c r="AA1744" s="6" t="s">
        <v>171</v>
      </c>
      <c r="AB1744" s="6">
        <v>0</v>
      </c>
      <c r="AC1744" s="6" t="str">
        <f>""</f>
        <v/>
      </c>
      <c r="AS1744" s="6">
        <v>0</v>
      </c>
      <c r="AT1744" s="6">
        <v>0</v>
      </c>
    </row>
    <row r="1745" spans="2:46">
      <c r="B1745" s="6" t="s">
        <v>117</v>
      </c>
      <c r="D1745" s="6" t="s">
        <v>7120</v>
      </c>
      <c r="F1745" s="6" t="s">
        <v>7317</v>
      </c>
      <c r="G1745" s="6" t="str">
        <f>"3173332100674320"</f>
        <v>3173332100674320</v>
      </c>
      <c r="H1745" s="6">
        <v>3173332100674320</v>
      </c>
      <c r="I1745" s="6" t="s">
        <v>7318</v>
      </c>
      <c r="J1745" s="6" t="str">
        <f>"SD LOGO SKIRT (BEIGE)"</f>
        <v>SD LOGO SKIRT (BEIGE)</v>
      </c>
      <c r="K1745" s="6">
        <v>0</v>
      </c>
      <c r="L1745" s="6">
        <v>0</v>
      </c>
      <c r="M1745" s="6">
        <v>0</v>
      </c>
      <c r="N1745" s="6" t="str">
        <f>""</f>
        <v/>
      </c>
      <c r="O1745" s="6">
        <v>26040</v>
      </c>
      <c r="P1745" s="6" t="s">
        <v>7319</v>
      </c>
      <c r="R1745" s="6" t="s">
        <v>2102</v>
      </c>
      <c r="S1745" s="6" t="s">
        <v>7320</v>
      </c>
      <c r="T1745" s="6">
        <v>0</v>
      </c>
      <c r="U1745" s="6">
        <v>0</v>
      </c>
      <c r="V1745" s="6">
        <v>0</v>
      </c>
      <c r="W1745" s="6">
        <v>0</v>
      </c>
      <c r="X1745" s="6" t="s">
        <v>169</v>
      </c>
      <c r="Z1745" s="6" t="s">
        <v>170</v>
      </c>
      <c r="AA1745" s="6" t="s">
        <v>171</v>
      </c>
      <c r="AB1745" s="6">
        <v>0</v>
      </c>
      <c r="AC1745" s="6" t="str">
        <f>""</f>
        <v/>
      </c>
      <c r="AS1745" s="6">
        <v>0</v>
      </c>
      <c r="AT1745" s="6">
        <v>0</v>
      </c>
    </row>
    <row r="1746" spans="2:46">
      <c r="B1746" s="6" t="s">
        <v>117</v>
      </c>
      <c r="D1746" s="6" t="s">
        <v>7120</v>
      </c>
      <c r="F1746" s="6" t="s">
        <v>7321</v>
      </c>
      <c r="G1746" s="6" t="str">
        <f>"3173332100430320"</f>
        <v>3173332100430320</v>
      </c>
      <c r="H1746" s="6">
        <v>3173332100430320</v>
      </c>
      <c r="I1746" s="6" t="s">
        <v>7322</v>
      </c>
      <c r="J1746" s="6" t="str">
        <f>"SD SET SKIRT (NAVY)"</f>
        <v>SD SET SKIRT (NAVY)</v>
      </c>
      <c r="K1746" s="6">
        <v>0</v>
      </c>
      <c r="L1746" s="6">
        <v>0</v>
      </c>
      <c r="M1746" s="6">
        <v>0</v>
      </c>
      <c r="N1746" s="6" t="str">
        <f>""</f>
        <v/>
      </c>
      <c r="O1746" s="6">
        <v>26038</v>
      </c>
      <c r="P1746" s="6" t="s">
        <v>7323</v>
      </c>
      <c r="R1746" s="6" t="s">
        <v>2111</v>
      </c>
      <c r="S1746" s="6" t="s">
        <v>7324</v>
      </c>
      <c r="T1746" s="6">
        <v>0</v>
      </c>
      <c r="U1746" s="6">
        <v>0</v>
      </c>
      <c r="V1746" s="6">
        <v>0</v>
      </c>
      <c r="W1746" s="6">
        <v>0</v>
      </c>
      <c r="X1746" s="6" t="s">
        <v>169</v>
      </c>
      <c r="Z1746" s="6" t="s">
        <v>170</v>
      </c>
      <c r="AA1746" s="6" t="s">
        <v>171</v>
      </c>
      <c r="AB1746" s="6">
        <v>0</v>
      </c>
      <c r="AC1746" s="6" t="str">
        <f>""</f>
        <v/>
      </c>
      <c r="AS1746" s="6">
        <v>0</v>
      </c>
      <c r="AT1746" s="6">
        <v>0</v>
      </c>
    </row>
    <row r="1747" spans="2:46">
      <c r="B1747" s="6" t="s">
        <v>117</v>
      </c>
      <c r="D1747" s="6" t="s">
        <v>7120</v>
      </c>
      <c r="F1747" s="6" t="s">
        <v>7325</v>
      </c>
      <c r="G1747" s="6" t="str">
        <f>"3173332100495320"</f>
        <v>3173332100495320</v>
      </c>
      <c r="H1747" s="6">
        <v>3173332100495320</v>
      </c>
      <c r="I1747" s="6" t="s">
        <v>7326</v>
      </c>
      <c r="J1747" s="6" t="str">
        <f>"SD SET SKIRT (GRAY)"</f>
        <v>SD SET SKIRT (GRAY)</v>
      </c>
      <c r="K1747" s="6">
        <v>0</v>
      </c>
      <c r="L1747" s="6">
        <v>0</v>
      </c>
      <c r="M1747" s="6">
        <v>0</v>
      </c>
      <c r="N1747" s="6" t="str">
        <f>""</f>
        <v/>
      </c>
      <c r="O1747" s="6">
        <v>26036</v>
      </c>
      <c r="P1747" s="6" t="s">
        <v>7327</v>
      </c>
      <c r="R1747" s="6" t="s">
        <v>2364</v>
      </c>
      <c r="S1747" s="6" t="s">
        <v>7328</v>
      </c>
      <c r="T1747" s="6">
        <v>0</v>
      </c>
      <c r="U1747" s="6">
        <v>0</v>
      </c>
      <c r="V1747" s="6">
        <v>0</v>
      </c>
      <c r="W1747" s="6">
        <v>0</v>
      </c>
      <c r="X1747" s="6" t="s">
        <v>169</v>
      </c>
      <c r="Z1747" s="6" t="s">
        <v>170</v>
      </c>
      <c r="AA1747" s="6" t="s">
        <v>171</v>
      </c>
      <c r="AB1747" s="6">
        <v>0</v>
      </c>
      <c r="AC1747" s="6" t="str">
        <f>""</f>
        <v/>
      </c>
      <c r="AS1747" s="6">
        <v>0</v>
      </c>
      <c r="AT1747" s="6">
        <v>0</v>
      </c>
    </row>
    <row r="1748" spans="2:46">
      <c r="B1748" s="6" t="s">
        <v>117</v>
      </c>
      <c r="D1748" s="6" t="s">
        <v>7120</v>
      </c>
      <c r="F1748" s="6" t="s">
        <v>7329</v>
      </c>
      <c r="G1748" s="6" t="str">
        <f>"3173214105301208"</f>
        <v>3173214105301208</v>
      </c>
      <c r="H1748" s="6">
        <v>3173214105301200</v>
      </c>
      <c r="I1748" s="6" t="s">
        <v>7330</v>
      </c>
      <c r="J1748" s="6" t="str">
        <f>"(UNISEX)SD CHECK SHIRT (PINK)"</f>
        <v>(UNISEX)SD CHECK SHIRT (PINK)</v>
      </c>
      <c r="K1748" s="6">
        <v>0</v>
      </c>
      <c r="L1748" s="6">
        <v>0</v>
      </c>
      <c r="M1748" s="6">
        <v>0</v>
      </c>
      <c r="N1748" s="6" t="str">
        <f>""</f>
        <v/>
      </c>
      <c r="O1748" s="6">
        <v>26034</v>
      </c>
      <c r="P1748" s="6" t="s">
        <v>7331</v>
      </c>
      <c r="R1748" s="6" t="s">
        <v>2446</v>
      </c>
      <c r="S1748" s="6" t="s">
        <v>7332</v>
      </c>
      <c r="T1748" s="6">
        <v>0</v>
      </c>
      <c r="U1748" s="6">
        <v>0</v>
      </c>
      <c r="V1748" s="6">
        <v>0</v>
      </c>
      <c r="W1748" s="6">
        <v>0</v>
      </c>
      <c r="X1748" s="6" t="s">
        <v>169</v>
      </c>
      <c r="Z1748" s="6" t="s">
        <v>170</v>
      </c>
      <c r="AA1748" s="6" t="s">
        <v>171</v>
      </c>
      <c r="AB1748" s="6">
        <v>0</v>
      </c>
      <c r="AC1748" s="6" t="str">
        <f>""</f>
        <v/>
      </c>
      <c r="AS1748" s="6">
        <v>0</v>
      </c>
      <c r="AT1748" s="6">
        <v>0</v>
      </c>
    </row>
    <row r="1749" spans="2:46">
      <c r="B1749" s="6" t="s">
        <v>117</v>
      </c>
      <c r="D1749" s="6" t="s">
        <v>7120</v>
      </c>
      <c r="F1749" s="6" t="s">
        <v>7333</v>
      </c>
      <c r="G1749" s="6" t="str">
        <f>"3173214105399208"</f>
        <v>3173214105399208</v>
      </c>
      <c r="H1749" s="6">
        <v>3173214105399200</v>
      </c>
      <c r="I1749" s="6" t="s">
        <v>7334</v>
      </c>
      <c r="J1749" s="6" t="str">
        <f>"(UNISEX)SD CHECK SHIRT (BLACK)"</f>
        <v>(UNISEX)SD CHECK SHIRT (BLACK)</v>
      </c>
      <c r="K1749" s="6">
        <v>0</v>
      </c>
      <c r="L1749" s="6">
        <v>0</v>
      </c>
      <c r="M1749" s="6">
        <v>0</v>
      </c>
      <c r="N1749" s="6" t="str">
        <f>""</f>
        <v/>
      </c>
      <c r="O1749" s="6">
        <v>26032</v>
      </c>
      <c r="P1749" s="6" t="s">
        <v>7335</v>
      </c>
      <c r="R1749" s="6" t="s">
        <v>2106</v>
      </c>
      <c r="S1749" s="6" t="s">
        <v>7336</v>
      </c>
      <c r="T1749" s="6">
        <v>0</v>
      </c>
      <c r="U1749" s="6">
        <v>0</v>
      </c>
      <c r="V1749" s="6">
        <v>0</v>
      </c>
      <c r="W1749" s="6">
        <v>0</v>
      </c>
      <c r="X1749" s="6" t="s">
        <v>169</v>
      </c>
      <c r="Z1749" s="6" t="s">
        <v>170</v>
      </c>
      <c r="AA1749" s="6" t="s">
        <v>171</v>
      </c>
      <c r="AB1749" s="6">
        <v>0</v>
      </c>
      <c r="AC1749" s="6" t="str">
        <f>""</f>
        <v/>
      </c>
      <c r="AS1749" s="6">
        <v>0</v>
      </c>
      <c r="AT1749" s="6">
        <v>0</v>
      </c>
    </row>
    <row r="1750" spans="2:46">
      <c r="B1750" s="6" t="s">
        <v>117</v>
      </c>
      <c r="D1750" s="6" t="s">
        <v>7120</v>
      </c>
      <c r="F1750" s="6" t="s">
        <v>7337</v>
      </c>
      <c r="G1750" s="6" t="str">
        <f>"3173214105491208"</f>
        <v>3173214105491208</v>
      </c>
      <c r="H1750" s="6">
        <v>3173214105491200</v>
      </c>
      <c r="I1750" s="6" t="s">
        <v>7338</v>
      </c>
      <c r="J1750" s="6" t="str">
        <f>"(UNISEX)SD POINT SHIRT (WHITE)"</f>
        <v>(UNISEX)SD POINT SHIRT (WHITE)</v>
      </c>
      <c r="K1750" s="6">
        <v>0</v>
      </c>
      <c r="L1750" s="6">
        <v>0</v>
      </c>
      <c r="M1750" s="6">
        <v>0</v>
      </c>
      <c r="N1750" s="6" t="str">
        <f>""</f>
        <v/>
      </c>
      <c r="O1750" s="6">
        <v>26030</v>
      </c>
      <c r="P1750" s="6" t="s">
        <v>7339</v>
      </c>
      <c r="R1750" s="6" t="s">
        <v>2167</v>
      </c>
      <c r="S1750" s="6" t="s">
        <v>7340</v>
      </c>
      <c r="T1750" s="6">
        <v>0</v>
      </c>
      <c r="U1750" s="6">
        <v>0</v>
      </c>
      <c r="V1750" s="6">
        <v>0</v>
      </c>
      <c r="W1750" s="6">
        <v>0</v>
      </c>
      <c r="X1750" s="6" t="s">
        <v>169</v>
      </c>
      <c r="Z1750" s="6" t="s">
        <v>170</v>
      </c>
      <c r="AA1750" s="6" t="s">
        <v>171</v>
      </c>
      <c r="AB1750" s="6">
        <v>0</v>
      </c>
      <c r="AC1750" s="6" t="str">
        <f>""</f>
        <v/>
      </c>
      <c r="AS1750" s="6">
        <v>0</v>
      </c>
      <c r="AT1750" s="6">
        <v>0</v>
      </c>
    </row>
    <row r="1751" spans="2:46">
      <c r="B1751" s="6" t="s">
        <v>117</v>
      </c>
      <c r="D1751" s="6" t="s">
        <v>7120</v>
      </c>
      <c r="F1751" s="6" t="s">
        <v>7341</v>
      </c>
      <c r="G1751" s="6" t="str">
        <f>"3173214105430208"</f>
        <v>3173214105430208</v>
      </c>
      <c r="H1751" s="6">
        <v>3173214105430200</v>
      </c>
      <c r="I1751" s="6" t="s">
        <v>7342</v>
      </c>
      <c r="J1751" s="6" t="str">
        <f>"(UNISEX)SD POINT SHIRT (NAVY)"</f>
        <v>(UNISEX)SD POINT SHIRT (NAVY)</v>
      </c>
      <c r="K1751" s="6">
        <v>0</v>
      </c>
      <c r="L1751" s="6">
        <v>0</v>
      </c>
      <c r="M1751" s="6">
        <v>0</v>
      </c>
      <c r="N1751" s="6" t="str">
        <f>""</f>
        <v/>
      </c>
      <c r="O1751" s="6">
        <v>26028</v>
      </c>
      <c r="P1751" s="6" t="s">
        <v>7343</v>
      </c>
      <c r="R1751" s="6" t="s">
        <v>2111</v>
      </c>
      <c r="S1751" s="6" t="s">
        <v>7344</v>
      </c>
      <c r="T1751" s="6">
        <v>0</v>
      </c>
      <c r="U1751" s="6">
        <v>0</v>
      </c>
      <c r="V1751" s="6">
        <v>0</v>
      </c>
      <c r="W1751" s="6">
        <v>0</v>
      </c>
      <c r="X1751" s="6" t="s">
        <v>169</v>
      </c>
      <c r="Z1751" s="6" t="s">
        <v>170</v>
      </c>
      <c r="AA1751" s="6" t="s">
        <v>171</v>
      </c>
      <c r="AB1751" s="6">
        <v>0</v>
      </c>
      <c r="AC1751" s="6" t="str">
        <f>""</f>
        <v/>
      </c>
      <c r="AS1751" s="6">
        <v>0</v>
      </c>
      <c r="AT1751" s="6">
        <v>0</v>
      </c>
    </row>
    <row r="1752" spans="2:46">
      <c r="B1752" s="6" t="s">
        <v>117</v>
      </c>
      <c r="D1752" s="6" t="s">
        <v>7120</v>
      </c>
      <c r="F1752" s="6" t="s">
        <v>7345</v>
      </c>
      <c r="G1752" s="6" t="str">
        <f>"3173314102030308"</f>
        <v>3173314102030308</v>
      </c>
      <c r="H1752" s="6">
        <v>3173314102030300</v>
      </c>
      <c r="I1752" s="6" t="s">
        <v>7346</v>
      </c>
      <c r="J1752" s="6" t="str">
        <f>"(UNISEX)SD PIPING SLACKS (NAVY)"</f>
        <v>(UNISEX)SD PIPING SLACKS (NAVY)</v>
      </c>
      <c r="K1752" s="6">
        <v>0</v>
      </c>
      <c r="L1752" s="6">
        <v>0</v>
      </c>
      <c r="M1752" s="6">
        <v>0</v>
      </c>
      <c r="N1752" s="6" t="str">
        <f>""</f>
        <v/>
      </c>
      <c r="O1752" s="6">
        <v>26026</v>
      </c>
      <c r="P1752" s="6" t="s">
        <v>7347</v>
      </c>
      <c r="R1752" s="6" t="s">
        <v>2111</v>
      </c>
      <c r="S1752" s="6" t="s">
        <v>7348</v>
      </c>
      <c r="T1752" s="6">
        <v>0</v>
      </c>
      <c r="U1752" s="6">
        <v>0</v>
      </c>
      <c r="V1752" s="6">
        <v>0</v>
      </c>
      <c r="W1752" s="6">
        <v>0</v>
      </c>
      <c r="X1752" s="6" t="s">
        <v>169</v>
      </c>
      <c r="Z1752" s="6" t="s">
        <v>170</v>
      </c>
      <c r="AA1752" s="6" t="s">
        <v>171</v>
      </c>
      <c r="AB1752" s="6">
        <v>0</v>
      </c>
      <c r="AC1752" s="6" t="str">
        <f>""</f>
        <v/>
      </c>
      <c r="AS1752" s="6">
        <v>0</v>
      </c>
      <c r="AT1752" s="6">
        <v>0</v>
      </c>
    </row>
    <row r="1753" spans="2:46">
      <c r="B1753" s="6" t="s">
        <v>117</v>
      </c>
      <c r="D1753" s="6" t="s">
        <v>7120</v>
      </c>
      <c r="F1753" s="6" t="s">
        <v>7349</v>
      </c>
      <c r="G1753" s="6" t="str">
        <f>"3173312100425320"</f>
        <v>3173312100425320</v>
      </c>
      <c r="H1753" s="6">
        <v>3173312100425320</v>
      </c>
      <c r="I1753" s="6" t="s">
        <v>7350</v>
      </c>
      <c r="J1753" s="6" t="str">
        <f>"SD FIELD DAY DENIM PANTS (BLUE)"</f>
        <v>SD FIELD DAY DENIM PANTS (BLUE)</v>
      </c>
      <c r="K1753" s="6">
        <v>0</v>
      </c>
      <c r="L1753" s="6">
        <v>0</v>
      </c>
      <c r="M1753" s="6">
        <v>0</v>
      </c>
      <c r="N1753" s="6" t="str">
        <f>""</f>
        <v/>
      </c>
      <c r="O1753" s="6">
        <v>26024</v>
      </c>
      <c r="P1753" s="6" t="s">
        <v>7351</v>
      </c>
      <c r="R1753" s="6" t="s">
        <v>2175</v>
      </c>
      <c r="S1753" s="6" t="s">
        <v>7352</v>
      </c>
      <c r="T1753" s="6">
        <v>0</v>
      </c>
      <c r="U1753" s="6">
        <v>0</v>
      </c>
      <c r="V1753" s="6">
        <v>0</v>
      </c>
      <c r="W1753" s="6">
        <v>0</v>
      </c>
      <c r="X1753" s="6" t="s">
        <v>169</v>
      </c>
      <c r="Z1753" s="6" t="s">
        <v>170</v>
      </c>
      <c r="AA1753" s="6" t="s">
        <v>171</v>
      </c>
      <c r="AB1753" s="6">
        <v>0</v>
      </c>
      <c r="AC1753" s="6" t="str">
        <f>""</f>
        <v/>
      </c>
      <c r="AS1753" s="6">
        <v>0</v>
      </c>
      <c r="AT1753" s="6">
        <v>0</v>
      </c>
    </row>
    <row r="1754" spans="2:46">
      <c r="B1754" s="6" t="s">
        <v>117</v>
      </c>
      <c r="D1754" s="6" t="s">
        <v>7120</v>
      </c>
      <c r="F1754" s="6" t="s">
        <v>7353</v>
      </c>
      <c r="G1754" s="6" t="str">
        <f>"3173314100899320"</f>
        <v>3173314100899320</v>
      </c>
      <c r="H1754" s="6">
        <v>3173314100899320</v>
      </c>
      <c r="I1754" s="6" t="s">
        <v>7354</v>
      </c>
      <c r="J1754" s="6" t="str">
        <f>"(UNISEX)SD SWEAT PANTS (BLACK)"</f>
        <v>(UNISEX)SD SWEAT PANTS (BLACK)</v>
      </c>
      <c r="K1754" s="6">
        <v>0</v>
      </c>
      <c r="L1754" s="6">
        <v>0</v>
      </c>
      <c r="M1754" s="6">
        <v>0</v>
      </c>
      <c r="N1754" s="6" t="str">
        <f>""</f>
        <v/>
      </c>
      <c r="O1754" s="6">
        <v>26022</v>
      </c>
      <c r="P1754" s="6" t="s">
        <v>7355</v>
      </c>
      <c r="R1754" s="6" t="s">
        <v>2106</v>
      </c>
      <c r="S1754" s="6" t="s">
        <v>7356</v>
      </c>
      <c r="T1754" s="6">
        <v>0</v>
      </c>
      <c r="U1754" s="6">
        <v>0</v>
      </c>
      <c r="V1754" s="6">
        <v>0</v>
      </c>
      <c r="W1754" s="6">
        <v>0</v>
      </c>
      <c r="X1754" s="6" t="s">
        <v>169</v>
      </c>
      <c r="Z1754" s="6" t="s">
        <v>170</v>
      </c>
      <c r="AA1754" s="6" t="s">
        <v>171</v>
      </c>
      <c r="AB1754" s="6">
        <v>0</v>
      </c>
      <c r="AC1754" s="6" t="str">
        <f>""</f>
        <v/>
      </c>
      <c r="AS1754" s="6">
        <v>0</v>
      </c>
      <c r="AT1754" s="6">
        <v>0</v>
      </c>
    </row>
    <row r="1755" spans="2:46">
      <c r="B1755" s="6" t="s">
        <v>117</v>
      </c>
      <c r="D1755" s="6" t="s">
        <v>7120</v>
      </c>
      <c r="F1755" s="6" t="s">
        <v>7357</v>
      </c>
      <c r="G1755" s="6" t="str">
        <f>"3173314100874320"</f>
        <v>3173314100874320</v>
      </c>
      <c r="H1755" s="6">
        <v>3173314100874320</v>
      </c>
      <c r="I1755" s="6" t="s">
        <v>7358</v>
      </c>
      <c r="J1755" s="6" t="str">
        <f>"(UNISEX)SD SWEAT PANTS (BEIGE)"</f>
        <v>(UNISEX)SD SWEAT PANTS (BEIGE)</v>
      </c>
      <c r="K1755" s="6">
        <v>0</v>
      </c>
      <c r="L1755" s="6">
        <v>0</v>
      </c>
      <c r="M1755" s="6">
        <v>0</v>
      </c>
      <c r="N1755" s="6" t="str">
        <f>""</f>
        <v/>
      </c>
      <c r="O1755" s="6">
        <v>26020</v>
      </c>
      <c r="P1755" s="6" t="s">
        <v>7359</v>
      </c>
      <c r="R1755" s="6" t="s">
        <v>2102</v>
      </c>
      <c r="S1755" s="6" t="s">
        <v>7360</v>
      </c>
      <c r="T1755" s="6">
        <v>0</v>
      </c>
      <c r="U1755" s="6">
        <v>0</v>
      </c>
      <c r="V1755" s="6">
        <v>0</v>
      </c>
      <c r="W1755" s="6">
        <v>0</v>
      </c>
      <c r="X1755" s="6" t="s">
        <v>169</v>
      </c>
      <c r="Z1755" s="6" t="s">
        <v>170</v>
      </c>
      <c r="AA1755" s="6" t="s">
        <v>171</v>
      </c>
      <c r="AB1755" s="6">
        <v>0</v>
      </c>
      <c r="AC1755" s="6" t="str">
        <f>""</f>
        <v/>
      </c>
      <c r="AS1755" s="6">
        <v>0</v>
      </c>
      <c r="AT1755" s="6">
        <v>0</v>
      </c>
    </row>
    <row r="1756" spans="2:46">
      <c r="B1756" s="6" t="s">
        <v>117</v>
      </c>
      <c r="D1756" s="6" t="s">
        <v>7120</v>
      </c>
      <c r="F1756" s="6" t="s">
        <v>7361</v>
      </c>
      <c r="G1756" s="6" t="str">
        <f>"3173324100199320"</f>
        <v>3173324100199320</v>
      </c>
      <c r="H1756" s="6">
        <v>3173324100199320</v>
      </c>
      <c r="I1756" s="6" t="s">
        <v>7362</v>
      </c>
      <c r="J1756" s="6" t="str">
        <f>"(UNISEX)SD RUN DENIM PANTS (BLACK)"</f>
        <v>(UNISEX)SD RUN DENIM PANTS (BLACK)</v>
      </c>
      <c r="K1756" s="6">
        <v>0</v>
      </c>
      <c r="L1756" s="6">
        <v>0</v>
      </c>
      <c r="M1756" s="6">
        <v>0</v>
      </c>
      <c r="N1756" s="6" t="str">
        <f>""</f>
        <v/>
      </c>
      <c r="O1756" s="6">
        <v>26018</v>
      </c>
      <c r="P1756" s="6" t="s">
        <v>7363</v>
      </c>
      <c r="R1756" s="6" t="s">
        <v>2106</v>
      </c>
      <c r="S1756" s="6" t="s">
        <v>7364</v>
      </c>
      <c r="T1756" s="6">
        <v>0</v>
      </c>
      <c r="U1756" s="6">
        <v>0</v>
      </c>
      <c r="V1756" s="6">
        <v>0</v>
      </c>
      <c r="W1756" s="6">
        <v>0</v>
      </c>
      <c r="X1756" s="6" t="s">
        <v>169</v>
      </c>
      <c r="Z1756" s="6" t="s">
        <v>170</v>
      </c>
      <c r="AA1756" s="6" t="s">
        <v>171</v>
      </c>
      <c r="AB1756" s="6">
        <v>0</v>
      </c>
      <c r="AC1756" s="6" t="str">
        <f>""</f>
        <v/>
      </c>
      <c r="AS1756" s="6">
        <v>0</v>
      </c>
      <c r="AT1756" s="6">
        <v>0</v>
      </c>
    </row>
    <row r="1757" spans="2:46">
      <c r="B1757" s="6" t="s">
        <v>117</v>
      </c>
      <c r="D1757" s="6" t="s">
        <v>7120</v>
      </c>
      <c r="F1757" s="6" t="s">
        <v>7365</v>
      </c>
      <c r="G1757" s="6" t="str">
        <f>"3173252101245208"</f>
        <v>3173252101245208</v>
      </c>
      <c r="H1757" s="6">
        <v>3173252101245200</v>
      </c>
      <c r="I1757" s="6" t="s">
        <v>7366</v>
      </c>
      <c r="J1757" s="6" t="str">
        <f>"SD CORDUROY OPS (GREEN)"</f>
        <v>SD CORDUROY OPS (GREEN)</v>
      </c>
      <c r="K1757" s="6">
        <v>0</v>
      </c>
      <c r="L1757" s="6">
        <v>0</v>
      </c>
      <c r="M1757" s="6">
        <v>0</v>
      </c>
      <c r="N1757" s="6" t="str">
        <f>""</f>
        <v/>
      </c>
      <c r="O1757" s="6">
        <v>26016</v>
      </c>
      <c r="P1757" s="6" t="s">
        <v>7367</v>
      </c>
      <c r="R1757" s="6" t="s">
        <v>2512</v>
      </c>
      <c r="S1757" s="6" t="s">
        <v>7368</v>
      </c>
      <c r="T1757" s="6">
        <v>0</v>
      </c>
      <c r="U1757" s="6">
        <v>0</v>
      </c>
      <c r="V1757" s="6">
        <v>0</v>
      </c>
      <c r="W1757" s="6">
        <v>0</v>
      </c>
      <c r="X1757" s="6" t="s">
        <v>169</v>
      </c>
      <c r="Z1757" s="6" t="s">
        <v>170</v>
      </c>
      <c r="AA1757" s="6" t="s">
        <v>171</v>
      </c>
      <c r="AB1757" s="6">
        <v>0</v>
      </c>
      <c r="AC1757" s="6" t="str">
        <f>""</f>
        <v/>
      </c>
      <c r="AS1757" s="6">
        <v>0</v>
      </c>
      <c r="AT1757" s="6">
        <v>0</v>
      </c>
    </row>
    <row r="1758" spans="2:46">
      <c r="B1758" s="6" t="s">
        <v>117</v>
      </c>
      <c r="D1758" s="6" t="s">
        <v>7120</v>
      </c>
      <c r="F1758" s="6" t="s">
        <v>7369</v>
      </c>
      <c r="G1758" s="6" t="str">
        <f>"3173252100730208"</f>
        <v>3173252100730208</v>
      </c>
      <c r="H1758" s="6">
        <v>3173252100730200</v>
      </c>
      <c r="I1758" s="6" t="s">
        <v>7370</v>
      </c>
      <c r="J1758" s="6" t="str">
        <f>"SD LOGO OPS (NAVY)"</f>
        <v>SD LOGO OPS (NAVY)</v>
      </c>
      <c r="K1758" s="6">
        <v>0</v>
      </c>
      <c r="L1758" s="6">
        <v>0</v>
      </c>
      <c r="M1758" s="6">
        <v>0</v>
      </c>
      <c r="N1758" s="6" t="str">
        <f>""</f>
        <v/>
      </c>
      <c r="O1758" s="6">
        <v>26014</v>
      </c>
      <c r="P1758" s="6" t="s">
        <v>7371</v>
      </c>
      <c r="R1758" s="6" t="s">
        <v>2111</v>
      </c>
      <c r="S1758" s="6" t="s">
        <v>7372</v>
      </c>
      <c r="T1758" s="6">
        <v>0</v>
      </c>
      <c r="U1758" s="6">
        <v>0</v>
      </c>
      <c r="V1758" s="6">
        <v>0</v>
      </c>
      <c r="W1758" s="6">
        <v>0</v>
      </c>
      <c r="X1758" s="6" t="s">
        <v>169</v>
      </c>
      <c r="Z1758" s="6" t="s">
        <v>170</v>
      </c>
      <c r="AA1758" s="6" t="s">
        <v>171</v>
      </c>
      <c r="AB1758" s="6">
        <v>0</v>
      </c>
      <c r="AC1758" s="6" t="str">
        <f>""</f>
        <v/>
      </c>
      <c r="AS1758" s="6">
        <v>0</v>
      </c>
      <c r="AT1758" s="6">
        <v>0</v>
      </c>
    </row>
    <row r="1759" spans="2:46">
      <c r="B1759" s="6" t="s">
        <v>117</v>
      </c>
      <c r="D1759" s="6" t="s">
        <v>7120</v>
      </c>
      <c r="F1759" s="6" t="s">
        <v>7373</v>
      </c>
      <c r="G1759" s="6" t="str">
        <f>"3173252100774208"</f>
        <v>3173252100774208</v>
      </c>
      <c r="H1759" s="6">
        <v>3173252100774200</v>
      </c>
      <c r="I1759" s="6" t="s">
        <v>7374</v>
      </c>
      <c r="J1759" s="6" t="str">
        <f>"SD LOGO OPS (BEIGE)"</f>
        <v>SD LOGO OPS (BEIGE)</v>
      </c>
      <c r="K1759" s="6">
        <v>0</v>
      </c>
      <c r="L1759" s="6">
        <v>0</v>
      </c>
      <c r="M1759" s="6">
        <v>0</v>
      </c>
      <c r="N1759" s="6" t="str">
        <f>""</f>
        <v/>
      </c>
      <c r="O1759" s="6">
        <v>26012</v>
      </c>
      <c r="P1759" s="6" t="s">
        <v>7375</v>
      </c>
      <c r="R1759" s="6" t="s">
        <v>2102</v>
      </c>
      <c r="S1759" s="6" t="s">
        <v>7376</v>
      </c>
      <c r="T1759" s="6">
        <v>0</v>
      </c>
      <c r="U1759" s="6">
        <v>0</v>
      </c>
      <c r="V1759" s="6">
        <v>0</v>
      </c>
      <c r="W1759" s="6">
        <v>0</v>
      </c>
      <c r="X1759" s="6" t="s">
        <v>169</v>
      </c>
      <c r="Z1759" s="6" t="s">
        <v>170</v>
      </c>
      <c r="AA1759" s="6" t="s">
        <v>171</v>
      </c>
      <c r="AB1759" s="6">
        <v>0</v>
      </c>
      <c r="AC1759" s="6" t="str">
        <f>""</f>
        <v/>
      </c>
      <c r="AS1759" s="6">
        <v>0</v>
      </c>
      <c r="AT1759" s="6">
        <v>0</v>
      </c>
    </row>
    <row r="1760" spans="2:46">
      <c r="B1760" s="6" t="s">
        <v>117</v>
      </c>
      <c r="D1760" s="6" t="s">
        <v>7120</v>
      </c>
      <c r="F1760" s="6" t="s">
        <v>7377</v>
      </c>
      <c r="G1760" s="6" t="str">
        <f>"3173234109830208"</f>
        <v>3173234109830208</v>
      </c>
      <c r="H1760" s="6">
        <v>3173234109830200</v>
      </c>
      <c r="I1760" s="6" t="s">
        <v>7378</v>
      </c>
      <c r="J1760" s="6" t="str">
        <f>"(UNISEX)SD GOODJOB VEST (NAVY)"</f>
        <v>(UNISEX)SD GOODJOB VEST (NAVY)</v>
      </c>
      <c r="K1760" s="6">
        <v>0</v>
      </c>
      <c r="L1760" s="6">
        <v>0</v>
      </c>
      <c r="M1760" s="6">
        <v>0</v>
      </c>
      <c r="N1760" s="6" t="str">
        <f>""</f>
        <v/>
      </c>
      <c r="O1760" s="6">
        <v>26010</v>
      </c>
      <c r="P1760" s="6" t="s">
        <v>7379</v>
      </c>
      <c r="R1760" s="6" t="s">
        <v>2111</v>
      </c>
      <c r="S1760" s="6" t="s">
        <v>7380</v>
      </c>
      <c r="T1760" s="6">
        <v>0</v>
      </c>
      <c r="U1760" s="6">
        <v>0</v>
      </c>
      <c r="V1760" s="6">
        <v>0</v>
      </c>
      <c r="W1760" s="6">
        <v>0</v>
      </c>
      <c r="X1760" s="6" t="s">
        <v>169</v>
      </c>
      <c r="Z1760" s="6" t="s">
        <v>170</v>
      </c>
      <c r="AA1760" s="6" t="s">
        <v>171</v>
      </c>
      <c r="AB1760" s="6">
        <v>0</v>
      </c>
      <c r="AC1760" s="6" t="str">
        <f>""</f>
        <v/>
      </c>
      <c r="AS1760" s="6">
        <v>0</v>
      </c>
      <c r="AT1760" s="6">
        <v>0</v>
      </c>
    </row>
    <row r="1761" spans="2:46">
      <c r="B1761" s="6" t="s">
        <v>117</v>
      </c>
      <c r="D1761" s="6" t="s">
        <v>7120</v>
      </c>
      <c r="F1761" s="6" t="s">
        <v>7381</v>
      </c>
      <c r="G1761" s="6" t="str">
        <f>"3173234108291208"</f>
        <v>3173234108291208</v>
      </c>
      <c r="H1761" s="6">
        <v>3173234108291200</v>
      </c>
      <c r="I1761" s="6" t="s">
        <v>7382</v>
      </c>
      <c r="J1761" s="6" t="str">
        <f>"(UNISEX)SD CHEER UP KNIT (WHITE)"</f>
        <v>(UNISEX)SD CHEER UP KNIT (WHITE)</v>
      </c>
      <c r="K1761" s="6">
        <v>0</v>
      </c>
      <c r="L1761" s="6">
        <v>0</v>
      </c>
      <c r="M1761" s="6">
        <v>0</v>
      </c>
      <c r="N1761" s="6" t="str">
        <f>""</f>
        <v/>
      </c>
      <c r="O1761" s="6">
        <v>26008</v>
      </c>
      <c r="P1761" s="6" t="s">
        <v>7383</v>
      </c>
      <c r="R1761" s="6" t="s">
        <v>2167</v>
      </c>
      <c r="S1761" s="6" t="s">
        <v>7384</v>
      </c>
      <c r="T1761" s="6">
        <v>0</v>
      </c>
      <c r="U1761" s="6">
        <v>0</v>
      </c>
      <c r="V1761" s="6">
        <v>0</v>
      </c>
      <c r="W1761" s="6">
        <v>0</v>
      </c>
      <c r="X1761" s="6" t="s">
        <v>169</v>
      </c>
      <c r="Z1761" s="6" t="s">
        <v>170</v>
      </c>
      <c r="AA1761" s="6" t="s">
        <v>171</v>
      </c>
      <c r="AB1761" s="6">
        <v>0</v>
      </c>
      <c r="AC1761" s="6" t="str">
        <f>""</f>
        <v/>
      </c>
      <c r="AS1761" s="6">
        <v>0</v>
      </c>
      <c r="AT1761" s="6">
        <v>0</v>
      </c>
    </row>
    <row r="1762" spans="2:46">
      <c r="B1762" s="6" t="s">
        <v>117</v>
      </c>
      <c r="D1762" s="6" t="s">
        <v>7120</v>
      </c>
      <c r="F1762" s="6" t="s">
        <v>7385</v>
      </c>
      <c r="G1762" s="6" t="str">
        <f>"3173232100769208"</f>
        <v>3173232100769208</v>
      </c>
      <c r="H1762" s="6">
        <v>3173232100769200</v>
      </c>
      <c r="I1762" s="6" t="s">
        <v>7386</v>
      </c>
      <c r="J1762" s="6" t="str">
        <f>"SD CROP KNIT (IVORY)"</f>
        <v>SD CROP KNIT (IVORY)</v>
      </c>
      <c r="K1762" s="6">
        <v>0</v>
      </c>
      <c r="L1762" s="6">
        <v>0</v>
      </c>
      <c r="M1762" s="6">
        <v>0</v>
      </c>
      <c r="N1762" s="6" t="str">
        <f>""</f>
        <v/>
      </c>
      <c r="O1762" s="6">
        <v>26006</v>
      </c>
      <c r="P1762" s="6" t="s">
        <v>7387</v>
      </c>
      <c r="R1762" s="6" t="s">
        <v>2356</v>
      </c>
      <c r="S1762" s="6" t="s">
        <v>7388</v>
      </c>
      <c r="T1762" s="6">
        <v>0</v>
      </c>
      <c r="U1762" s="6">
        <v>0</v>
      </c>
      <c r="V1762" s="6">
        <v>0</v>
      </c>
      <c r="W1762" s="6">
        <v>0</v>
      </c>
      <c r="X1762" s="6" t="s">
        <v>169</v>
      </c>
      <c r="Z1762" s="6" t="s">
        <v>170</v>
      </c>
      <c r="AA1762" s="6" t="s">
        <v>171</v>
      </c>
      <c r="AB1762" s="6">
        <v>0</v>
      </c>
      <c r="AC1762" s="6" t="str">
        <f>""</f>
        <v/>
      </c>
      <c r="AS1762" s="6">
        <v>0</v>
      </c>
      <c r="AT1762" s="6">
        <v>0</v>
      </c>
    </row>
    <row r="1763" spans="2:46">
      <c r="B1763" s="6" t="s">
        <v>117</v>
      </c>
      <c r="D1763" s="6" t="s">
        <v>7120</v>
      </c>
      <c r="F1763" s="6" t="s">
        <v>7389</v>
      </c>
      <c r="G1763" s="6" t="str">
        <f>"3173234108369208"</f>
        <v>3173234108369208</v>
      </c>
      <c r="H1763" s="6">
        <v>3173234108369200</v>
      </c>
      <c r="I1763" s="6" t="s">
        <v>7390</v>
      </c>
      <c r="J1763" s="6" t="str">
        <f>"(UNISEX)SD CLAP KNIT (IVORY)"</f>
        <v>(UNISEX)SD CLAP KNIT (IVORY)</v>
      </c>
      <c r="K1763" s="6">
        <v>0</v>
      </c>
      <c r="L1763" s="6">
        <v>0</v>
      </c>
      <c r="M1763" s="6">
        <v>0</v>
      </c>
      <c r="N1763" s="6" t="str">
        <f>""</f>
        <v/>
      </c>
      <c r="O1763" s="6">
        <v>26004</v>
      </c>
      <c r="P1763" s="6" t="s">
        <v>7391</v>
      </c>
      <c r="R1763" s="6" t="s">
        <v>2356</v>
      </c>
      <c r="S1763" s="6" t="s">
        <v>7392</v>
      </c>
      <c r="T1763" s="6">
        <v>0</v>
      </c>
      <c r="U1763" s="6">
        <v>0</v>
      </c>
      <c r="V1763" s="6">
        <v>0</v>
      </c>
      <c r="W1763" s="6">
        <v>0</v>
      </c>
      <c r="X1763" s="6" t="s">
        <v>169</v>
      </c>
      <c r="Z1763" s="6" t="s">
        <v>170</v>
      </c>
      <c r="AA1763" s="6" t="s">
        <v>171</v>
      </c>
      <c r="AB1763" s="6">
        <v>0</v>
      </c>
      <c r="AC1763" s="6" t="str">
        <f>""</f>
        <v/>
      </c>
      <c r="AS1763" s="6">
        <v>0</v>
      </c>
      <c r="AT1763" s="6">
        <v>0</v>
      </c>
    </row>
    <row r="1764" spans="2:46">
      <c r="B1764" s="6" t="s">
        <v>117</v>
      </c>
      <c r="D1764" s="6" t="s">
        <v>7120</v>
      </c>
      <c r="F1764" s="6" t="s">
        <v>7393</v>
      </c>
      <c r="G1764" s="6" t="str">
        <f>"3173234108469208"</f>
        <v>3173234108469208</v>
      </c>
      <c r="H1764" s="6">
        <v>3173234108469200</v>
      </c>
      <c r="I1764" s="6" t="s">
        <v>7394</v>
      </c>
      <c r="J1764" s="6" t="str">
        <f>"(UNISEX)SD LOGO VEST (IVORY)"</f>
        <v>(UNISEX)SD LOGO VEST (IVORY)</v>
      </c>
      <c r="K1764" s="6">
        <v>0</v>
      </c>
      <c r="L1764" s="6">
        <v>0</v>
      </c>
      <c r="M1764" s="6">
        <v>0</v>
      </c>
      <c r="N1764" s="6" t="str">
        <f>""</f>
        <v/>
      </c>
      <c r="O1764" s="6">
        <v>26002</v>
      </c>
      <c r="P1764" s="6" t="s">
        <v>7395</v>
      </c>
      <c r="R1764" s="6" t="s">
        <v>2356</v>
      </c>
      <c r="S1764" s="6" t="s">
        <v>7396</v>
      </c>
      <c r="T1764" s="6">
        <v>0</v>
      </c>
      <c r="U1764" s="6">
        <v>0</v>
      </c>
      <c r="V1764" s="6">
        <v>0</v>
      </c>
      <c r="W1764" s="6">
        <v>0</v>
      </c>
      <c r="X1764" s="6" t="s">
        <v>169</v>
      </c>
      <c r="Z1764" s="6" t="s">
        <v>170</v>
      </c>
      <c r="AA1764" s="6" t="s">
        <v>171</v>
      </c>
      <c r="AB1764" s="6">
        <v>0</v>
      </c>
      <c r="AC1764" s="6" t="str">
        <f>""</f>
        <v/>
      </c>
      <c r="AS1764" s="6">
        <v>0</v>
      </c>
      <c r="AT1764" s="6">
        <v>0</v>
      </c>
    </row>
    <row r="1765" spans="2:46">
      <c r="B1765" s="6" t="s">
        <v>117</v>
      </c>
      <c r="D1765" s="6" t="s">
        <v>7120</v>
      </c>
      <c r="F1765" s="6" t="s">
        <v>7397</v>
      </c>
      <c r="G1765" s="6" t="str">
        <f>"3173134101499208"</f>
        <v>3173134101499208</v>
      </c>
      <c r="H1765" s="6">
        <v>3173134101499200</v>
      </c>
      <c r="I1765" s="6" t="s">
        <v>7398</v>
      </c>
      <c r="J1765" s="6" t="str">
        <f>"(UNISEX)SD FIELD  JACKET (BLACK)"</f>
        <v>(UNISEX)SD FIELD  JACKET (BLACK)</v>
      </c>
      <c r="K1765" s="6">
        <v>0</v>
      </c>
      <c r="L1765" s="6">
        <v>0</v>
      </c>
      <c r="M1765" s="6">
        <v>0</v>
      </c>
      <c r="N1765" s="6" t="str">
        <f>""</f>
        <v/>
      </c>
      <c r="O1765" s="6">
        <v>26000</v>
      </c>
      <c r="P1765" s="6" t="s">
        <v>7399</v>
      </c>
      <c r="R1765" s="6" t="s">
        <v>2106</v>
      </c>
      <c r="S1765" s="6" t="s">
        <v>7400</v>
      </c>
      <c r="T1765" s="6">
        <v>0</v>
      </c>
      <c r="U1765" s="6">
        <v>0</v>
      </c>
      <c r="V1765" s="6">
        <v>0</v>
      </c>
      <c r="W1765" s="6">
        <v>0</v>
      </c>
      <c r="X1765" s="6" t="s">
        <v>169</v>
      </c>
      <c r="Z1765" s="6" t="s">
        <v>170</v>
      </c>
      <c r="AA1765" s="6" t="s">
        <v>171</v>
      </c>
      <c r="AB1765" s="6">
        <v>0</v>
      </c>
      <c r="AC1765" s="6" t="str">
        <f>""</f>
        <v/>
      </c>
      <c r="AS1765" s="6">
        <v>0</v>
      </c>
      <c r="AT1765" s="6">
        <v>0</v>
      </c>
    </row>
    <row r="1766" spans="2:46">
      <c r="B1766" s="6" t="s">
        <v>117</v>
      </c>
      <c r="D1766" s="6" t="s">
        <v>7120</v>
      </c>
      <c r="F1766" s="6" t="s">
        <v>7401</v>
      </c>
      <c r="G1766" s="6" t="str">
        <f>"3173134101530208"</f>
        <v>3173134101530208</v>
      </c>
      <c r="H1766" s="6">
        <v>3173134101530200</v>
      </c>
      <c r="I1766" s="6" t="s">
        <v>7402</v>
      </c>
      <c r="J1766" s="6" t="str">
        <f>"(UNISEX)SD PIPING JACKET (NAVY)"</f>
        <v>(UNISEX)SD PIPING JACKET (NAVY)</v>
      </c>
      <c r="K1766" s="6">
        <v>0</v>
      </c>
      <c r="L1766" s="6">
        <v>0</v>
      </c>
      <c r="M1766" s="6">
        <v>0</v>
      </c>
      <c r="N1766" s="6" t="str">
        <f>""</f>
        <v/>
      </c>
      <c r="O1766" s="6">
        <v>25998</v>
      </c>
      <c r="P1766" s="6" t="s">
        <v>7403</v>
      </c>
      <c r="R1766" s="6" t="s">
        <v>2111</v>
      </c>
      <c r="S1766" s="6" t="s">
        <v>7404</v>
      </c>
      <c r="T1766" s="6">
        <v>0</v>
      </c>
      <c r="U1766" s="6">
        <v>0</v>
      </c>
      <c r="V1766" s="6">
        <v>0</v>
      </c>
      <c r="W1766" s="6">
        <v>0</v>
      </c>
      <c r="X1766" s="6" t="s">
        <v>169</v>
      </c>
      <c r="Z1766" s="6" t="s">
        <v>170</v>
      </c>
      <c r="AA1766" s="6" t="s">
        <v>171</v>
      </c>
      <c r="AB1766" s="6">
        <v>0</v>
      </c>
      <c r="AC1766" s="6" t="str">
        <f>""</f>
        <v/>
      </c>
      <c r="AS1766" s="6">
        <v>0</v>
      </c>
      <c r="AT1766" s="6">
        <v>0</v>
      </c>
    </row>
    <row r="1767" spans="2:46">
      <c r="B1767" s="6" t="s">
        <v>117</v>
      </c>
      <c r="D1767" s="6" t="s">
        <v>7120</v>
      </c>
      <c r="F1767" s="6" t="s">
        <v>7405</v>
      </c>
      <c r="G1767" s="6" t="str">
        <f>"3173234104430208"</f>
        <v>3173234104430208</v>
      </c>
      <c r="H1767" s="6">
        <v>3173234104430200</v>
      </c>
      <c r="I1767" s="6" t="s">
        <v>7406</v>
      </c>
      <c r="J1767" s="6" t="str">
        <f>"(UNISEX)SD CARDIGAN (NAVY)"</f>
        <v>(UNISEX)SD CARDIGAN (NAVY)</v>
      </c>
      <c r="K1767" s="6">
        <v>0</v>
      </c>
      <c r="L1767" s="6">
        <v>0</v>
      </c>
      <c r="M1767" s="6">
        <v>0</v>
      </c>
      <c r="N1767" s="6" t="str">
        <f>""</f>
        <v/>
      </c>
      <c r="O1767" s="6">
        <v>25996</v>
      </c>
      <c r="P1767" s="6" t="s">
        <v>7407</v>
      </c>
      <c r="R1767" s="6" t="s">
        <v>2111</v>
      </c>
      <c r="S1767" s="6" t="s">
        <v>7408</v>
      </c>
      <c r="T1767" s="6">
        <v>0</v>
      </c>
      <c r="U1767" s="6">
        <v>0</v>
      </c>
      <c r="V1767" s="6">
        <v>0</v>
      </c>
      <c r="W1767" s="6">
        <v>0</v>
      </c>
      <c r="X1767" s="6" t="s">
        <v>169</v>
      </c>
      <c r="Z1767" s="6" t="s">
        <v>170</v>
      </c>
      <c r="AA1767" s="6" t="s">
        <v>171</v>
      </c>
      <c r="AB1767" s="6">
        <v>0</v>
      </c>
      <c r="AC1767" s="6" t="str">
        <f>""</f>
        <v/>
      </c>
      <c r="AS1767" s="6">
        <v>0</v>
      </c>
      <c r="AT1767" s="6">
        <v>0</v>
      </c>
    </row>
    <row r="1768" spans="2:46">
      <c r="B1768" s="6" t="s">
        <v>117</v>
      </c>
      <c r="D1768" s="6" t="s">
        <v>7120</v>
      </c>
      <c r="F1768" s="6" t="s">
        <v>7409</v>
      </c>
      <c r="G1768" s="6" t="str">
        <f>"3173234104495208"</f>
        <v>3173234104495208</v>
      </c>
      <c r="H1768" s="6">
        <v>3173234104495200</v>
      </c>
      <c r="I1768" s="6" t="s">
        <v>7410</v>
      </c>
      <c r="J1768" s="6" t="str">
        <f>"(UNISEX)SD CARDIGAN (GRAY)"</f>
        <v>(UNISEX)SD CARDIGAN (GRAY)</v>
      </c>
      <c r="K1768" s="6">
        <v>0</v>
      </c>
      <c r="L1768" s="6">
        <v>0</v>
      </c>
      <c r="M1768" s="6">
        <v>0</v>
      </c>
      <c r="N1768" s="6" t="str">
        <f>""</f>
        <v/>
      </c>
      <c r="O1768" s="6">
        <v>25994</v>
      </c>
      <c r="P1768" s="6" t="s">
        <v>7411</v>
      </c>
      <c r="R1768" s="6" t="s">
        <v>2364</v>
      </c>
      <c r="S1768" s="6" t="s">
        <v>7412</v>
      </c>
      <c r="T1768" s="6">
        <v>0</v>
      </c>
      <c r="U1768" s="6">
        <v>0</v>
      </c>
      <c r="V1768" s="6">
        <v>0</v>
      </c>
      <c r="W1768" s="6">
        <v>0</v>
      </c>
      <c r="X1768" s="6" t="s">
        <v>169</v>
      </c>
      <c r="Z1768" s="6" t="s">
        <v>170</v>
      </c>
      <c r="AA1768" s="6" t="s">
        <v>171</v>
      </c>
      <c r="AB1768" s="6">
        <v>0</v>
      </c>
      <c r="AC1768" s="6" t="str">
        <f>""</f>
        <v/>
      </c>
      <c r="AS1768" s="6">
        <v>0</v>
      </c>
      <c r="AT1768" s="6">
        <v>0</v>
      </c>
    </row>
    <row r="1769" spans="2:46">
      <c r="B1769" s="6" t="s">
        <v>117</v>
      </c>
      <c r="D1769" s="6" t="s">
        <v>7120</v>
      </c>
      <c r="F1769" s="6" t="s">
        <v>7413</v>
      </c>
      <c r="G1769" s="6" t="str">
        <f>"3173114100174208"</f>
        <v>3173114100174208</v>
      </c>
      <c r="H1769" s="6">
        <v>3173114100174200</v>
      </c>
      <c r="I1769" s="6" t="s">
        <v>7414</v>
      </c>
      <c r="J1769" s="6" t="str">
        <f>"(UNISEX)SD TRENCH COAT (BEIGE)"</f>
        <v>(UNISEX)SD TRENCH COAT (BEIGE)</v>
      </c>
      <c r="K1769" s="6">
        <v>0</v>
      </c>
      <c r="L1769" s="6">
        <v>0</v>
      </c>
      <c r="M1769" s="6">
        <v>0</v>
      </c>
      <c r="N1769" s="6" t="str">
        <f>""</f>
        <v/>
      </c>
      <c r="O1769" s="6">
        <v>25992</v>
      </c>
      <c r="P1769" s="6" t="s">
        <v>7415</v>
      </c>
      <c r="R1769" s="6" t="s">
        <v>2102</v>
      </c>
      <c r="S1769" s="6" t="s">
        <v>7416</v>
      </c>
      <c r="T1769" s="6">
        <v>0</v>
      </c>
      <c r="U1769" s="6">
        <v>0</v>
      </c>
      <c r="V1769" s="6">
        <v>0</v>
      </c>
      <c r="W1769" s="6">
        <v>0</v>
      </c>
      <c r="X1769" s="6" t="s">
        <v>169</v>
      </c>
      <c r="Z1769" s="6" t="s">
        <v>170</v>
      </c>
      <c r="AA1769" s="6" t="s">
        <v>171</v>
      </c>
      <c r="AB1769" s="6">
        <v>0</v>
      </c>
      <c r="AC1769" s="6" t="str">
        <f>""</f>
        <v/>
      </c>
      <c r="AS1769" s="6">
        <v>0</v>
      </c>
      <c r="AT1769" s="6">
        <v>0</v>
      </c>
    </row>
    <row r="1770" spans="2:46">
      <c r="B1770" s="6" t="s">
        <v>117</v>
      </c>
      <c r="D1770" s="6" t="s">
        <v>7120</v>
      </c>
      <c r="F1770" s="6" t="s">
        <v>7417</v>
      </c>
      <c r="G1770" s="6" t="str">
        <f>"3173514200561120"</f>
        <v>3173514200561120</v>
      </c>
      <c r="H1770" s="6">
        <v>3173514200561120</v>
      </c>
      <c r="I1770" s="6" t="s">
        <v>7418</v>
      </c>
      <c r="J1770" s="6" t="str">
        <f>"(UNISEX)SD GYM BAG (RED)"</f>
        <v>(UNISEX)SD GYM BAG (RED)</v>
      </c>
      <c r="K1770" s="6">
        <v>0</v>
      </c>
      <c r="L1770" s="6">
        <v>0</v>
      </c>
      <c r="M1770" s="6">
        <v>0</v>
      </c>
      <c r="N1770" s="6" t="str">
        <f>""</f>
        <v/>
      </c>
      <c r="O1770" s="6">
        <v>25990</v>
      </c>
      <c r="P1770" s="6" t="s">
        <v>7419</v>
      </c>
      <c r="R1770" s="6" t="s">
        <v>2309</v>
      </c>
      <c r="S1770" s="6" t="s">
        <v>7420</v>
      </c>
      <c r="T1770" s="6">
        <v>0</v>
      </c>
      <c r="U1770" s="6">
        <v>0</v>
      </c>
      <c r="V1770" s="6">
        <v>0</v>
      </c>
      <c r="W1770" s="6">
        <v>0</v>
      </c>
      <c r="X1770" s="6" t="s">
        <v>169</v>
      </c>
      <c r="Z1770" s="6" t="s">
        <v>170</v>
      </c>
      <c r="AA1770" s="6" t="s">
        <v>171</v>
      </c>
      <c r="AB1770" s="6">
        <v>0</v>
      </c>
      <c r="AC1770" s="6" t="str">
        <f>""</f>
        <v/>
      </c>
      <c r="AS1770" s="6">
        <v>0</v>
      </c>
      <c r="AT1770" s="6">
        <v>0</v>
      </c>
    </row>
    <row r="1771" spans="2:46">
      <c r="B1771" s="6" t="s">
        <v>117</v>
      </c>
      <c r="D1771" s="6" t="s">
        <v>7120</v>
      </c>
      <c r="F1771" s="6" t="s">
        <v>7421</v>
      </c>
      <c r="G1771" s="6" t="str">
        <f>"3173514200501120"</f>
        <v>3173514200501120</v>
      </c>
      <c r="H1771" s="6">
        <v>3173514200501120</v>
      </c>
      <c r="I1771" s="6" t="s">
        <v>7422</v>
      </c>
      <c r="J1771" s="6" t="str">
        <f>"(UNISEX)SD GYM BAG (PINK)"</f>
        <v>(UNISEX)SD GYM BAG (PINK)</v>
      </c>
      <c r="K1771" s="6">
        <v>0</v>
      </c>
      <c r="L1771" s="6">
        <v>0</v>
      </c>
      <c r="M1771" s="6">
        <v>0</v>
      </c>
      <c r="N1771" s="6" t="str">
        <f>""</f>
        <v/>
      </c>
      <c r="O1771" s="6">
        <v>25988</v>
      </c>
      <c r="P1771" s="6" t="s">
        <v>7423</v>
      </c>
      <c r="R1771" s="6" t="s">
        <v>2446</v>
      </c>
      <c r="S1771" s="6" t="s">
        <v>7424</v>
      </c>
      <c r="T1771" s="6">
        <v>0</v>
      </c>
      <c r="U1771" s="6">
        <v>0</v>
      </c>
      <c r="V1771" s="6">
        <v>0</v>
      </c>
      <c r="W1771" s="6">
        <v>0</v>
      </c>
      <c r="X1771" s="6" t="s">
        <v>169</v>
      </c>
      <c r="Z1771" s="6" t="s">
        <v>170</v>
      </c>
      <c r="AA1771" s="6" t="s">
        <v>171</v>
      </c>
      <c r="AB1771" s="6">
        <v>0</v>
      </c>
      <c r="AC1771" s="6" t="str">
        <f>""</f>
        <v/>
      </c>
      <c r="AS1771" s="6">
        <v>0</v>
      </c>
      <c r="AT1771" s="6">
        <v>0</v>
      </c>
    </row>
    <row r="1772" spans="2:46">
      <c r="B1772" s="6" t="s">
        <v>117</v>
      </c>
      <c r="D1772" s="6" t="s">
        <v>7120</v>
      </c>
      <c r="F1772" s="6" t="s">
        <v>7425</v>
      </c>
      <c r="G1772" s="6" t="str">
        <f>"3173514200491120"</f>
        <v>3173514200491120</v>
      </c>
      <c r="H1772" s="6">
        <v>3173514200491120</v>
      </c>
      <c r="I1772" s="6" t="s">
        <v>7426</v>
      </c>
      <c r="J1772" s="6" t="str">
        <f>"(UNISEX)SD FL BACKPACK (WHITE)"</f>
        <v>(UNISEX)SD FL BACKPACK (WHITE)</v>
      </c>
      <c r="K1772" s="6">
        <v>0</v>
      </c>
      <c r="L1772" s="6">
        <v>0</v>
      </c>
      <c r="M1772" s="6">
        <v>0</v>
      </c>
      <c r="N1772" s="6" t="str">
        <f>""</f>
        <v/>
      </c>
      <c r="O1772" s="6">
        <v>25986</v>
      </c>
      <c r="P1772" s="6" t="s">
        <v>7427</v>
      </c>
      <c r="R1772" s="6" t="s">
        <v>2167</v>
      </c>
      <c r="S1772" s="6" t="s">
        <v>7428</v>
      </c>
      <c r="T1772" s="6">
        <v>0</v>
      </c>
      <c r="U1772" s="6">
        <v>0</v>
      </c>
      <c r="V1772" s="6">
        <v>0</v>
      </c>
      <c r="W1772" s="6">
        <v>0</v>
      </c>
      <c r="X1772" s="6" t="s">
        <v>169</v>
      </c>
      <c r="Z1772" s="6" t="s">
        <v>170</v>
      </c>
      <c r="AA1772" s="6" t="s">
        <v>171</v>
      </c>
      <c r="AB1772" s="6">
        <v>0</v>
      </c>
      <c r="AC1772" s="6" t="str">
        <f>""</f>
        <v/>
      </c>
      <c r="AS1772" s="6">
        <v>0</v>
      </c>
      <c r="AT1772" s="6">
        <v>0</v>
      </c>
    </row>
    <row r="1773" spans="2:46">
      <c r="B1773" s="6" t="s">
        <v>117</v>
      </c>
      <c r="D1773" s="6" t="s">
        <v>7120</v>
      </c>
      <c r="F1773" s="6" t="s">
        <v>7429</v>
      </c>
      <c r="G1773" s="6" t="str">
        <f>"3173514200499120"</f>
        <v>3173514200499120</v>
      </c>
      <c r="H1773" s="6">
        <v>3173514200499120</v>
      </c>
      <c r="I1773" s="6" t="s">
        <v>7430</v>
      </c>
      <c r="J1773" s="6" t="str">
        <f>"(UNISEX)SD FL BACKPACK (BLACK)"</f>
        <v>(UNISEX)SD FL BACKPACK (BLACK)</v>
      </c>
      <c r="K1773" s="6">
        <v>0</v>
      </c>
      <c r="L1773" s="6">
        <v>0</v>
      </c>
      <c r="M1773" s="6">
        <v>0</v>
      </c>
      <c r="N1773" s="6" t="str">
        <f>""</f>
        <v/>
      </c>
      <c r="O1773" s="6">
        <v>25984</v>
      </c>
      <c r="P1773" s="6" t="s">
        <v>7431</v>
      </c>
      <c r="R1773" s="6" t="s">
        <v>2106</v>
      </c>
      <c r="S1773" s="6" t="s">
        <v>7432</v>
      </c>
      <c r="T1773" s="6">
        <v>0</v>
      </c>
      <c r="U1773" s="6">
        <v>0</v>
      </c>
      <c r="V1773" s="6">
        <v>0</v>
      </c>
      <c r="W1773" s="6">
        <v>0</v>
      </c>
      <c r="X1773" s="6" t="s">
        <v>169</v>
      </c>
      <c r="Z1773" s="6" t="s">
        <v>170</v>
      </c>
      <c r="AA1773" s="6" t="s">
        <v>171</v>
      </c>
      <c r="AB1773" s="6">
        <v>0</v>
      </c>
      <c r="AC1773" s="6" t="str">
        <f>""</f>
        <v/>
      </c>
      <c r="AS1773" s="6">
        <v>0</v>
      </c>
      <c r="AT1773" s="6">
        <v>0</v>
      </c>
    </row>
    <row r="1774" spans="2:46">
      <c r="B1774" s="6" t="s">
        <v>117</v>
      </c>
      <c r="D1774" s="6" t="s">
        <v>7120</v>
      </c>
      <c r="F1774" s="6" t="s">
        <v>7433</v>
      </c>
      <c r="G1774" s="6" t="str">
        <f>"3173524100299120"</f>
        <v>3173524100299120</v>
      </c>
      <c r="H1774" s="6">
        <v>3173524100299120</v>
      </c>
      <c r="I1774" s="6" t="s">
        <v>7434</v>
      </c>
      <c r="J1774" s="6" t="str">
        <f>"(UNISEX)SD STRING BUCKET HAT (BLACK)"</f>
        <v>(UNISEX)SD STRING BUCKET HAT (BLACK)</v>
      </c>
      <c r="K1774" s="6">
        <v>0</v>
      </c>
      <c r="L1774" s="6">
        <v>0</v>
      </c>
      <c r="M1774" s="6">
        <v>0</v>
      </c>
      <c r="N1774" s="6" t="str">
        <f>""</f>
        <v/>
      </c>
      <c r="O1774" s="6">
        <v>25982</v>
      </c>
      <c r="P1774" s="6" t="s">
        <v>7435</v>
      </c>
      <c r="R1774" s="6" t="s">
        <v>2106</v>
      </c>
      <c r="S1774" s="6" t="s">
        <v>7436</v>
      </c>
      <c r="T1774" s="6">
        <v>0</v>
      </c>
      <c r="U1774" s="6">
        <v>0</v>
      </c>
      <c r="V1774" s="6">
        <v>0</v>
      </c>
      <c r="W1774" s="6">
        <v>0</v>
      </c>
      <c r="X1774" s="6" t="s">
        <v>169</v>
      </c>
      <c r="Z1774" s="6" t="s">
        <v>170</v>
      </c>
      <c r="AA1774" s="6" t="s">
        <v>171</v>
      </c>
      <c r="AB1774" s="6">
        <v>0</v>
      </c>
      <c r="AC1774" s="6" t="str">
        <f>""</f>
        <v/>
      </c>
      <c r="AS1774" s="6">
        <v>0</v>
      </c>
      <c r="AT1774" s="6">
        <v>0</v>
      </c>
    </row>
    <row r="1775" spans="2:46">
      <c r="B1775" s="6" t="s">
        <v>117</v>
      </c>
      <c r="D1775" s="6" t="s">
        <v>7120</v>
      </c>
      <c r="F1775" s="6" t="s">
        <v>7437</v>
      </c>
      <c r="G1775" s="6" t="str">
        <f>"3173524100130120"</f>
        <v>3173524100130120</v>
      </c>
      <c r="H1775" s="6">
        <v>3173524100130120</v>
      </c>
      <c r="I1775" s="6" t="s">
        <v>7438</v>
      </c>
      <c r="J1775" s="6" t="str">
        <f>"(UNISEX)SD LETTERING BUCKET HAT (NAVY)"</f>
        <v>(UNISEX)SD LETTERING BUCKET HAT (NAVY)</v>
      </c>
      <c r="K1775" s="6">
        <v>0</v>
      </c>
      <c r="L1775" s="6">
        <v>0</v>
      </c>
      <c r="M1775" s="6">
        <v>0</v>
      </c>
      <c r="N1775" s="6" t="str">
        <f>""</f>
        <v/>
      </c>
      <c r="O1775" s="6">
        <v>25980</v>
      </c>
      <c r="P1775" s="6" t="s">
        <v>7439</v>
      </c>
      <c r="R1775" s="6" t="s">
        <v>2111</v>
      </c>
      <c r="S1775" s="6" t="s">
        <v>7440</v>
      </c>
      <c r="T1775" s="6">
        <v>0</v>
      </c>
      <c r="U1775" s="6">
        <v>0</v>
      </c>
      <c r="V1775" s="6">
        <v>0</v>
      </c>
      <c r="W1775" s="6">
        <v>0</v>
      </c>
      <c r="X1775" s="6" t="s">
        <v>169</v>
      </c>
      <c r="Z1775" s="6" t="s">
        <v>170</v>
      </c>
      <c r="AA1775" s="6" t="s">
        <v>171</v>
      </c>
      <c r="AB1775" s="6">
        <v>0</v>
      </c>
      <c r="AC1775" s="6" t="str">
        <f>""</f>
        <v/>
      </c>
      <c r="AS1775" s="6">
        <v>0</v>
      </c>
      <c r="AT1775" s="6">
        <v>0</v>
      </c>
    </row>
    <row r="1776" spans="2:46">
      <c r="B1776" s="6" t="s">
        <v>117</v>
      </c>
      <c r="D1776" s="6" t="s">
        <v>7120</v>
      </c>
      <c r="F1776" s="6" t="s">
        <v>7441</v>
      </c>
      <c r="G1776" s="6" t="str">
        <f>"3172212104101208"</f>
        <v>3172212104101208</v>
      </c>
      <c r="I1776" s="6" t="s">
        <v>7442</v>
      </c>
      <c r="J1776" s="6" t="str">
        <f>"RE SET TOP(PINK)"</f>
        <v>RE SET TOP(PINK)</v>
      </c>
      <c r="K1776" s="6">
        <v>0</v>
      </c>
      <c r="L1776" s="6">
        <v>0</v>
      </c>
      <c r="M1776" s="6">
        <v>0</v>
      </c>
      <c r="N1776" s="6" t="str">
        <f>""</f>
        <v/>
      </c>
      <c r="O1776" s="6">
        <v>25978</v>
      </c>
      <c r="P1776" s="6" t="s">
        <v>7443</v>
      </c>
      <c r="R1776" s="6" t="s">
        <v>2446</v>
      </c>
      <c r="S1776" s="6" t="s">
        <v>7444</v>
      </c>
      <c r="T1776" s="6">
        <v>2</v>
      </c>
      <c r="U1776" s="6">
        <v>0</v>
      </c>
      <c r="V1776" s="6">
        <v>0</v>
      </c>
      <c r="W1776" s="6">
        <v>0</v>
      </c>
      <c r="X1776" s="6" t="s">
        <v>169</v>
      </c>
      <c r="Z1776" s="6" t="s">
        <v>170</v>
      </c>
      <c r="AA1776" s="6" t="s">
        <v>171</v>
      </c>
      <c r="AB1776" s="6">
        <v>0</v>
      </c>
      <c r="AC1776" s="6" t="str">
        <f>"KEY-024"</f>
        <v>KEY-024</v>
      </c>
      <c r="AQ1776" s="6" t="str">
        <f>""</f>
        <v/>
      </c>
      <c r="AR1776" s="6" t="s">
        <v>1567</v>
      </c>
      <c r="AS1776" s="6">
        <v>0</v>
      </c>
      <c r="AT1776" s="6">
        <v>2</v>
      </c>
    </row>
    <row r="1777" spans="2:46">
      <c r="B1777" s="6" t="s">
        <v>117</v>
      </c>
      <c r="D1777" s="6" t="s">
        <v>7120</v>
      </c>
      <c r="F1777" s="6" t="s">
        <v>7445</v>
      </c>
      <c r="G1777" s="6" t="str">
        <f>"3172212104130208"</f>
        <v>3172212104130208</v>
      </c>
      <c r="H1777" s="6">
        <v>3172212104130200</v>
      </c>
      <c r="I1777" s="6" t="s">
        <v>7446</v>
      </c>
      <c r="J1777" s="6" t="str">
        <f>"RE SET TOP(NAVY)"</f>
        <v>RE SET TOP(NAVY)</v>
      </c>
      <c r="K1777" s="6">
        <v>0</v>
      </c>
      <c r="L1777" s="6">
        <v>0</v>
      </c>
      <c r="M1777" s="6">
        <v>0</v>
      </c>
      <c r="N1777" s="6" t="str">
        <f>""</f>
        <v/>
      </c>
      <c r="O1777" s="6">
        <v>25976</v>
      </c>
      <c r="P1777" s="6" t="s">
        <v>7447</v>
      </c>
      <c r="R1777" s="6" t="s">
        <v>2111</v>
      </c>
      <c r="S1777" s="6" t="s">
        <v>7448</v>
      </c>
      <c r="T1777" s="6">
        <v>0</v>
      </c>
      <c r="U1777" s="6">
        <v>0</v>
      </c>
      <c r="V1777" s="6">
        <v>0</v>
      </c>
      <c r="W1777" s="6">
        <v>0</v>
      </c>
      <c r="X1777" s="6" t="s">
        <v>169</v>
      </c>
      <c r="Z1777" s="6" t="s">
        <v>170</v>
      </c>
      <c r="AA1777" s="6" t="s">
        <v>171</v>
      </c>
      <c r="AB1777" s="6">
        <v>0</v>
      </c>
      <c r="AC1777" s="6" t="str">
        <f>""</f>
        <v/>
      </c>
      <c r="AS1777" s="6">
        <v>0</v>
      </c>
      <c r="AT1777" s="6">
        <v>0</v>
      </c>
    </row>
    <row r="1778" spans="2:46">
      <c r="B1778" s="6" t="s">
        <v>117</v>
      </c>
      <c r="D1778" s="6" t="s">
        <v>7120</v>
      </c>
      <c r="F1778" s="6" t="s">
        <v>7449</v>
      </c>
      <c r="G1778" s="6" t="str">
        <f>"3172222121691208"</f>
        <v>3172222121691208</v>
      </c>
      <c r="I1778" s="6" t="s">
        <v>7450</v>
      </c>
      <c r="J1778" s="6" t="str">
        <f>"RE RETREAT CROP TOP(WHITE)"</f>
        <v>RE RETREAT CROP TOP(WHITE)</v>
      </c>
      <c r="K1778" s="6">
        <v>0</v>
      </c>
      <c r="L1778" s="6">
        <v>0</v>
      </c>
      <c r="M1778" s="6">
        <v>0</v>
      </c>
      <c r="N1778" s="6" t="str">
        <f>""</f>
        <v/>
      </c>
      <c r="O1778" s="6">
        <v>25974</v>
      </c>
      <c r="P1778" s="6" t="s">
        <v>7451</v>
      </c>
      <c r="R1778" s="6" t="s">
        <v>2167</v>
      </c>
      <c r="S1778" s="6" t="s">
        <v>7452</v>
      </c>
      <c r="T1778" s="6">
        <v>1</v>
      </c>
      <c r="U1778" s="6">
        <v>0</v>
      </c>
      <c r="V1778" s="6">
        <v>0</v>
      </c>
      <c r="W1778" s="6">
        <v>0</v>
      </c>
      <c r="X1778" s="6" t="s">
        <v>169</v>
      </c>
      <c r="Z1778" s="6" t="s">
        <v>170</v>
      </c>
      <c r="AA1778" s="6" t="s">
        <v>171</v>
      </c>
      <c r="AB1778" s="6">
        <v>0</v>
      </c>
      <c r="AC1778" s="6" t="str">
        <f>"KEY-034"</f>
        <v>KEY-034</v>
      </c>
      <c r="AQ1778" s="6" t="str">
        <f>""</f>
        <v/>
      </c>
      <c r="AR1778" s="6" t="s">
        <v>1567</v>
      </c>
      <c r="AS1778" s="6">
        <v>0</v>
      </c>
      <c r="AT1778" s="6">
        <v>1</v>
      </c>
    </row>
    <row r="1779" spans="2:46">
      <c r="B1779" s="6" t="s">
        <v>117</v>
      </c>
      <c r="D1779" s="6" t="s">
        <v>7120</v>
      </c>
      <c r="F1779" s="6" t="s">
        <v>7453</v>
      </c>
      <c r="G1779" s="6" t="str">
        <f>"3172222121699208"</f>
        <v>3172222121699208</v>
      </c>
      <c r="I1779" s="6" t="s">
        <v>7454</v>
      </c>
      <c r="J1779" s="6" t="str">
        <f>"RE RETREAT CROP TOP(BLACK)"</f>
        <v>RE RETREAT CROP TOP(BLACK)</v>
      </c>
      <c r="K1779" s="6">
        <v>0</v>
      </c>
      <c r="L1779" s="6">
        <v>0</v>
      </c>
      <c r="M1779" s="6">
        <v>0</v>
      </c>
      <c r="N1779" s="6" t="str">
        <f>""</f>
        <v/>
      </c>
      <c r="O1779" s="6">
        <v>25972</v>
      </c>
      <c r="P1779" s="6" t="s">
        <v>7455</v>
      </c>
      <c r="R1779" s="6" t="s">
        <v>2106</v>
      </c>
      <c r="S1779" s="6" t="s">
        <v>7456</v>
      </c>
      <c r="T1779" s="6">
        <v>2</v>
      </c>
      <c r="U1779" s="6">
        <v>0</v>
      </c>
      <c r="V1779" s="6">
        <v>0</v>
      </c>
      <c r="W1779" s="6">
        <v>0</v>
      </c>
      <c r="X1779" s="6" t="s">
        <v>169</v>
      </c>
      <c r="Z1779" s="6" t="s">
        <v>170</v>
      </c>
      <c r="AA1779" s="6" t="s">
        <v>171</v>
      </c>
      <c r="AB1779" s="6">
        <v>0</v>
      </c>
      <c r="AC1779" s="6" t="str">
        <f>"KEY-033"</f>
        <v>KEY-033</v>
      </c>
      <c r="AQ1779" s="6" t="str">
        <f>""</f>
        <v/>
      </c>
      <c r="AR1779" s="6" t="s">
        <v>1567</v>
      </c>
      <c r="AS1779" s="6">
        <v>0</v>
      </c>
      <c r="AT1779" s="6">
        <v>2</v>
      </c>
    </row>
    <row r="1780" spans="2:46">
      <c r="B1780" s="6" t="s">
        <v>117</v>
      </c>
      <c r="D1780" s="6" t="s">
        <v>7120</v>
      </c>
      <c r="F1780" s="6" t="s">
        <v>7457</v>
      </c>
      <c r="G1780" s="6" t="str">
        <f>"3172222121499208"</f>
        <v>3172222121499208</v>
      </c>
      <c r="H1780" s="6">
        <v>3172222121499200</v>
      </c>
      <c r="I1780" s="6" t="s">
        <v>7458</v>
      </c>
      <c r="J1780" s="6" t="str">
        <f>"RE OFF SHOULDER TOP(BLACK)"</f>
        <v>RE OFF SHOULDER TOP(BLACK)</v>
      </c>
      <c r="K1780" s="6">
        <v>0</v>
      </c>
      <c r="L1780" s="6">
        <v>0</v>
      </c>
      <c r="M1780" s="6">
        <v>0</v>
      </c>
      <c r="N1780" s="6" t="str">
        <f>""</f>
        <v/>
      </c>
      <c r="O1780" s="6">
        <v>25970</v>
      </c>
      <c r="P1780" s="6" t="s">
        <v>7459</v>
      </c>
      <c r="R1780" s="6" t="s">
        <v>2106</v>
      </c>
      <c r="S1780" s="6" t="s">
        <v>7460</v>
      </c>
      <c r="T1780" s="6">
        <v>0</v>
      </c>
      <c r="U1780" s="6">
        <v>0</v>
      </c>
      <c r="V1780" s="6">
        <v>0</v>
      </c>
      <c r="W1780" s="6">
        <v>0</v>
      </c>
      <c r="X1780" s="6" t="s">
        <v>169</v>
      </c>
      <c r="Z1780" s="6" t="s">
        <v>170</v>
      </c>
      <c r="AA1780" s="6" t="s">
        <v>171</v>
      </c>
      <c r="AB1780" s="6">
        <v>0</v>
      </c>
      <c r="AC1780" s="6" t="str">
        <f>""</f>
        <v/>
      </c>
      <c r="AS1780" s="6">
        <v>0</v>
      </c>
      <c r="AT1780" s="6">
        <v>0</v>
      </c>
    </row>
    <row r="1781" spans="2:46">
      <c r="B1781" s="6" t="s">
        <v>117</v>
      </c>
      <c r="D1781" s="6" t="s">
        <v>7120</v>
      </c>
      <c r="F1781" s="6" t="s">
        <v>7461</v>
      </c>
      <c r="G1781" s="6" t="str">
        <f>"3172222121561208"</f>
        <v>3172222121561208</v>
      </c>
      <c r="H1781" s="6">
        <v>3172222121561200</v>
      </c>
      <c r="I1781" s="6" t="s">
        <v>7462</v>
      </c>
      <c r="J1781" s="6" t="str">
        <f>"RE LIGHTS TOP(RED)"</f>
        <v>RE LIGHTS TOP(RED)</v>
      </c>
      <c r="K1781" s="6">
        <v>0</v>
      </c>
      <c r="L1781" s="6">
        <v>0</v>
      </c>
      <c r="M1781" s="6">
        <v>0</v>
      </c>
      <c r="N1781" s="6" t="str">
        <f>""</f>
        <v/>
      </c>
      <c r="O1781" s="6">
        <v>25968</v>
      </c>
      <c r="P1781" s="6" t="s">
        <v>7463</v>
      </c>
      <c r="R1781" s="6" t="s">
        <v>2309</v>
      </c>
      <c r="S1781" s="6" t="s">
        <v>7464</v>
      </c>
      <c r="T1781" s="6">
        <v>0</v>
      </c>
      <c r="U1781" s="6">
        <v>0</v>
      </c>
      <c r="V1781" s="6">
        <v>0</v>
      </c>
      <c r="W1781" s="6">
        <v>0</v>
      </c>
      <c r="X1781" s="6" t="s">
        <v>169</v>
      </c>
      <c r="Z1781" s="6" t="s">
        <v>170</v>
      </c>
      <c r="AA1781" s="6" t="s">
        <v>171</v>
      </c>
      <c r="AB1781" s="6">
        <v>0</v>
      </c>
      <c r="AC1781" s="6" t="str">
        <f>""</f>
        <v/>
      </c>
      <c r="AS1781" s="6">
        <v>0</v>
      </c>
      <c r="AT1781" s="6">
        <v>0</v>
      </c>
    </row>
    <row r="1782" spans="2:46">
      <c r="B1782" s="6" t="s">
        <v>117</v>
      </c>
      <c r="D1782" s="6" t="s">
        <v>7120</v>
      </c>
      <c r="F1782" s="6" t="s">
        <v>7465</v>
      </c>
      <c r="G1782" s="6" t="str">
        <f>"3172222121525208"</f>
        <v>3172222121525208</v>
      </c>
      <c r="I1782" s="6" t="s">
        <v>7466</v>
      </c>
      <c r="J1782" s="6" t="str">
        <f>"RE LIGHTS TOP(BLUE)"</f>
        <v>RE LIGHTS TOP(BLUE)</v>
      </c>
      <c r="K1782" s="6">
        <v>0</v>
      </c>
      <c r="L1782" s="6">
        <v>0</v>
      </c>
      <c r="M1782" s="6">
        <v>0</v>
      </c>
      <c r="N1782" s="6" t="str">
        <f>""</f>
        <v/>
      </c>
      <c r="O1782" s="6">
        <v>25966</v>
      </c>
      <c r="P1782" s="6" t="s">
        <v>7467</v>
      </c>
      <c r="R1782" s="6" t="s">
        <v>2175</v>
      </c>
      <c r="S1782" s="6" t="s">
        <v>7468</v>
      </c>
      <c r="T1782" s="6">
        <v>2</v>
      </c>
      <c r="U1782" s="6">
        <v>0</v>
      </c>
      <c r="V1782" s="6">
        <v>0</v>
      </c>
      <c r="W1782" s="6">
        <v>0</v>
      </c>
      <c r="X1782" s="6" t="s">
        <v>169</v>
      </c>
      <c r="Z1782" s="6" t="s">
        <v>170</v>
      </c>
      <c r="AA1782" s="6" t="s">
        <v>171</v>
      </c>
      <c r="AB1782" s="6">
        <v>0</v>
      </c>
      <c r="AC1782" s="6" t="str">
        <f>"KEY-032"</f>
        <v>KEY-032</v>
      </c>
      <c r="AQ1782" s="6" t="str">
        <f>""</f>
        <v/>
      </c>
      <c r="AR1782" s="6" t="s">
        <v>1567</v>
      </c>
      <c r="AS1782" s="6">
        <v>0</v>
      </c>
      <c r="AT1782" s="6">
        <v>2</v>
      </c>
    </row>
    <row r="1783" spans="2:46">
      <c r="B1783" s="6" t="s">
        <v>117</v>
      </c>
      <c r="D1783" s="6" t="s">
        <v>7120</v>
      </c>
      <c r="F1783" s="6" t="s">
        <v>7469</v>
      </c>
      <c r="G1783" s="6" t="str">
        <f>"3172222121301208"</f>
        <v>3172222121301208</v>
      </c>
      <c r="I1783" s="6" t="s">
        <v>7470</v>
      </c>
      <c r="J1783" s="6" t="str">
        <f>"RE CAMPFIRE CROP T(PINK)"</f>
        <v>RE CAMPFIRE CROP T(PINK)</v>
      </c>
      <c r="K1783" s="6">
        <v>0</v>
      </c>
      <c r="L1783" s="6">
        <v>0</v>
      </c>
      <c r="M1783" s="6">
        <v>0</v>
      </c>
      <c r="N1783" s="6" t="str">
        <f>""</f>
        <v/>
      </c>
      <c r="O1783" s="6">
        <v>25964</v>
      </c>
      <c r="P1783" s="6" t="s">
        <v>7471</v>
      </c>
      <c r="R1783" s="6" t="s">
        <v>2446</v>
      </c>
      <c r="S1783" s="6" t="s">
        <v>7472</v>
      </c>
      <c r="T1783" s="6">
        <v>2</v>
      </c>
      <c r="U1783" s="6">
        <v>0</v>
      </c>
      <c r="V1783" s="6">
        <v>0</v>
      </c>
      <c r="W1783" s="6">
        <v>0</v>
      </c>
      <c r="X1783" s="6" t="s">
        <v>169</v>
      </c>
      <c r="Z1783" s="6" t="s">
        <v>170</v>
      </c>
      <c r="AA1783" s="6" t="s">
        <v>171</v>
      </c>
      <c r="AB1783" s="6">
        <v>0</v>
      </c>
      <c r="AC1783" s="6" t="str">
        <f>"KEY-023"</f>
        <v>KEY-023</v>
      </c>
      <c r="AQ1783" s="6" t="str">
        <f>""</f>
        <v/>
      </c>
      <c r="AR1783" s="6" t="s">
        <v>1567</v>
      </c>
      <c r="AS1783" s="6">
        <v>0</v>
      </c>
      <c r="AT1783" s="6">
        <v>2</v>
      </c>
    </row>
    <row r="1784" spans="2:46">
      <c r="B1784" s="6" t="s">
        <v>117</v>
      </c>
      <c r="D1784" s="6" t="s">
        <v>7120</v>
      </c>
      <c r="F1784" s="6" t="s">
        <v>7473</v>
      </c>
      <c r="G1784" s="6" t="str">
        <f>"3172222121399208"</f>
        <v>3172222121399208</v>
      </c>
      <c r="I1784" s="6" t="s">
        <v>7474</v>
      </c>
      <c r="J1784" s="6" t="str">
        <f>"RE CAMPFIRE CROP T(BLACK)"</f>
        <v>RE CAMPFIRE CROP T(BLACK)</v>
      </c>
      <c r="K1784" s="6">
        <v>0</v>
      </c>
      <c r="L1784" s="6">
        <v>0</v>
      </c>
      <c r="M1784" s="6">
        <v>0</v>
      </c>
      <c r="N1784" s="6" t="str">
        <f>""</f>
        <v/>
      </c>
      <c r="O1784" s="6">
        <v>25962</v>
      </c>
      <c r="P1784" s="6" t="s">
        <v>7475</v>
      </c>
      <c r="R1784" s="6" t="s">
        <v>2106</v>
      </c>
      <c r="S1784" s="6" t="s">
        <v>7476</v>
      </c>
      <c r="T1784" s="6">
        <v>1</v>
      </c>
      <c r="U1784" s="6">
        <v>0</v>
      </c>
      <c r="V1784" s="6">
        <v>0</v>
      </c>
      <c r="W1784" s="6">
        <v>0</v>
      </c>
      <c r="X1784" s="6" t="s">
        <v>169</v>
      </c>
      <c r="Z1784" s="6" t="s">
        <v>170</v>
      </c>
      <c r="AA1784" s="6" t="s">
        <v>171</v>
      </c>
      <c r="AB1784" s="6">
        <v>0</v>
      </c>
      <c r="AC1784" s="6" t="str">
        <f>"KEY-040"</f>
        <v>KEY-040</v>
      </c>
      <c r="AQ1784" s="6" t="str">
        <f>""</f>
        <v/>
      </c>
      <c r="AR1784" s="6" t="s">
        <v>1567</v>
      </c>
      <c r="AS1784" s="6">
        <v>0</v>
      </c>
      <c r="AT1784" s="6">
        <v>2</v>
      </c>
    </row>
    <row r="1785" spans="2:46">
      <c r="B1785" s="6" t="s">
        <v>117</v>
      </c>
      <c r="D1785" s="6" t="s">
        <v>7120</v>
      </c>
      <c r="F1785" s="6" t="s">
        <v>7477</v>
      </c>
      <c r="G1785" s="6" t="str">
        <f>"3172224154601208"</f>
        <v>3172224154601208</v>
      </c>
      <c r="I1785" s="6" t="s">
        <v>7478</v>
      </c>
      <c r="J1785" s="6" t="str">
        <f>"RE NOSMOKING SLEEVELESS(PINK)"</f>
        <v>RE NOSMOKING SLEEVELESS(PINK)</v>
      </c>
      <c r="K1785" s="6">
        <v>0</v>
      </c>
      <c r="L1785" s="6">
        <v>0</v>
      </c>
      <c r="M1785" s="6">
        <v>0</v>
      </c>
      <c r="N1785" s="6" t="str">
        <f>""</f>
        <v/>
      </c>
      <c r="O1785" s="6">
        <v>25960</v>
      </c>
      <c r="P1785" s="6" t="s">
        <v>7479</v>
      </c>
      <c r="R1785" s="6" t="s">
        <v>2446</v>
      </c>
      <c r="S1785" s="6" t="s">
        <v>7480</v>
      </c>
      <c r="T1785" s="6">
        <v>2</v>
      </c>
      <c r="U1785" s="6">
        <v>0</v>
      </c>
      <c r="V1785" s="6">
        <v>0</v>
      </c>
      <c r="W1785" s="6">
        <v>0</v>
      </c>
      <c r="X1785" s="6" t="s">
        <v>169</v>
      </c>
      <c r="Z1785" s="6" t="s">
        <v>170</v>
      </c>
      <c r="AA1785" s="6" t="s">
        <v>171</v>
      </c>
      <c r="AB1785" s="6">
        <v>0</v>
      </c>
      <c r="AC1785" s="6" t="str">
        <f>"KEY-023"</f>
        <v>KEY-023</v>
      </c>
      <c r="AQ1785" s="6" t="str">
        <f>""</f>
        <v/>
      </c>
      <c r="AR1785" s="6" t="s">
        <v>1567</v>
      </c>
      <c r="AS1785" s="6">
        <v>0</v>
      </c>
      <c r="AT1785" s="6">
        <v>2</v>
      </c>
    </row>
    <row r="1786" spans="2:46">
      <c r="B1786" s="6" t="s">
        <v>117</v>
      </c>
      <c r="D1786" s="6" t="s">
        <v>7120</v>
      </c>
      <c r="F1786" s="6" t="s">
        <v>7481</v>
      </c>
      <c r="G1786" s="6" t="str">
        <f>"3172224154699208"</f>
        <v>3172224154699208</v>
      </c>
      <c r="I1786" s="6" t="s">
        <v>7482</v>
      </c>
      <c r="J1786" s="6" t="str">
        <f>"RE NOSMOKING SLEEVELESS(BLACK)"</f>
        <v>RE NOSMOKING SLEEVELESS(BLACK)</v>
      </c>
      <c r="K1786" s="6">
        <v>0</v>
      </c>
      <c r="L1786" s="6">
        <v>0</v>
      </c>
      <c r="M1786" s="6">
        <v>0</v>
      </c>
      <c r="N1786" s="6" t="str">
        <f>""</f>
        <v/>
      </c>
      <c r="O1786" s="6">
        <v>25958</v>
      </c>
      <c r="P1786" s="6" t="s">
        <v>7483</v>
      </c>
      <c r="R1786" s="6" t="s">
        <v>2106</v>
      </c>
      <c r="S1786" s="6" t="s">
        <v>7484</v>
      </c>
      <c r="T1786" s="6">
        <v>2</v>
      </c>
      <c r="U1786" s="6">
        <v>0</v>
      </c>
      <c r="V1786" s="6">
        <v>0</v>
      </c>
      <c r="W1786" s="6">
        <v>0</v>
      </c>
      <c r="X1786" s="6" t="s">
        <v>169</v>
      </c>
      <c r="Z1786" s="6" t="s">
        <v>170</v>
      </c>
      <c r="AA1786" s="6" t="s">
        <v>171</v>
      </c>
      <c r="AB1786" s="6">
        <v>0</v>
      </c>
      <c r="AC1786" s="6" t="str">
        <f>"KEY-032"</f>
        <v>KEY-032</v>
      </c>
      <c r="AQ1786" s="6" t="str">
        <f>""</f>
        <v/>
      </c>
      <c r="AR1786" s="6" t="s">
        <v>1567</v>
      </c>
      <c r="AS1786" s="6">
        <v>0</v>
      </c>
      <c r="AT1786" s="6">
        <v>2</v>
      </c>
    </row>
    <row r="1787" spans="2:46">
      <c r="B1787" s="6" t="s">
        <v>117</v>
      </c>
      <c r="D1787" s="6" t="s">
        <v>7120</v>
      </c>
      <c r="F1787" s="6" t="s">
        <v>7485</v>
      </c>
      <c r="G1787" s="6" t="str">
        <f>"3172224154565208"</f>
        <v>3172224154565208</v>
      </c>
      <c r="I1787" s="6" t="s">
        <v>7486</v>
      </c>
      <c r="J1787" s="6" t="str">
        <f>"RE INSTRUCTOR T-SHIRT(YELLOW)"</f>
        <v>RE INSTRUCTOR T-SHIRT(YELLOW)</v>
      </c>
      <c r="K1787" s="6">
        <v>0</v>
      </c>
      <c r="L1787" s="6">
        <v>0</v>
      </c>
      <c r="M1787" s="6">
        <v>0</v>
      </c>
      <c r="N1787" s="6" t="str">
        <f>""</f>
        <v/>
      </c>
      <c r="O1787" s="6">
        <v>25956</v>
      </c>
      <c r="P1787" s="6" t="s">
        <v>7487</v>
      </c>
      <c r="R1787" s="6" t="s">
        <v>2570</v>
      </c>
      <c r="S1787" s="6" t="s">
        <v>7488</v>
      </c>
      <c r="T1787" s="6">
        <v>2</v>
      </c>
      <c r="U1787" s="6">
        <v>0</v>
      </c>
      <c r="V1787" s="6">
        <v>0</v>
      </c>
      <c r="W1787" s="6">
        <v>0</v>
      </c>
      <c r="X1787" s="6" t="s">
        <v>169</v>
      </c>
      <c r="Z1787" s="6" t="s">
        <v>170</v>
      </c>
      <c r="AA1787" s="6" t="s">
        <v>171</v>
      </c>
      <c r="AB1787" s="6">
        <v>0</v>
      </c>
      <c r="AC1787" s="6" t="str">
        <f>"KEY-033"</f>
        <v>KEY-033</v>
      </c>
      <c r="AQ1787" s="6" t="str">
        <f>""</f>
        <v/>
      </c>
      <c r="AR1787" s="6" t="s">
        <v>1567</v>
      </c>
      <c r="AS1787" s="6">
        <v>0</v>
      </c>
      <c r="AT1787" s="6">
        <v>2</v>
      </c>
    </row>
    <row r="1788" spans="2:46">
      <c r="B1788" s="6" t="s">
        <v>117</v>
      </c>
      <c r="D1788" s="6" t="s">
        <v>7120</v>
      </c>
      <c r="F1788" s="6" t="s">
        <v>7489</v>
      </c>
      <c r="G1788" s="6" t="str">
        <f>"3172224154365208"</f>
        <v>3172224154365208</v>
      </c>
      <c r="H1788" s="6">
        <v>3172224154365200</v>
      </c>
      <c r="I1788" s="6" t="s">
        <v>7490</v>
      </c>
      <c r="J1788" s="6" t="str">
        <f>"RE SUNCREAM T-SHIRT(YELLOW)"</f>
        <v>RE SUNCREAM T-SHIRT(YELLOW)</v>
      </c>
      <c r="K1788" s="6">
        <v>0</v>
      </c>
      <c r="L1788" s="6">
        <v>0</v>
      </c>
      <c r="M1788" s="6">
        <v>0</v>
      </c>
      <c r="N1788" s="6" t="str">
        <f>""</f>
        <v/>
      </c>
      <c r="O1788" s="6">
        <v>25954</v>
      </c>
      <c r="P1788" s="6" t="s">
        <v>7491</v>
      </c>
      <c r="R1788" s="6" t="s">
        <v>2570</v>
      </c>
      <c r="S1788" s="6" t="s">
        <v>7492</v>
      </c>
      <c r="T1788" s="6">
        <v>0</v>
      </c>
      <c r="U1788" s="6">
        <v>0</v>
      </c>
      <c r="V1788" s="6">
        <v>0</v>
      </c>
      <c r="W1788" s="6">
        <v>0</v>
      </c>
      <c r="X1788" s="6" t="s">
        <v>169</v>
      </c>
      <c r="Z1788" s="6" t="s">
        <v>170</v>
      </c>
      <c r="AA1788" s="6" t="s">
        <v>171</v>
      </c>
      <c r="AB1788" s="6">
        <v>0</v>
      </c>
      <c r="AC1788" s="6" t="str">
        <f>""</f>
        <v/>
      </c>
      <c r="AS1788" s="6">
        <v>0</v>
      </c>
      <c r="AT1788" s="6">
        <v>0</v>
      </c>
    </row>
    <row r="1789" spans="2:46">
      <c r="B1789" s="6" t="s">
        <v>117</v>
      </c>
      <c r="D1789" s="6" t="s">
        <v>7120</v>
      </c>
      <c r="F1789" s="6" t="s">
        <v>7493</v>
      </c>
      <c r="G1789" s="6" t="str">
        <f>"3172224154345208"</f>
        <v>3172224154345208</v>
      </c>
      <c r="H1789" s="6">
        <v>3172224154345200</v>
      </c>
      <c r="I1789" s="6" t="s">
        <v>7494</v>
      </c>
      <c r="J1789" s="6" t="str">
        <f>"RE SUNCREAM T-SHIRT(GREEN)"</f>
        <v>RE SUNCREAM T-SHIRT(GREEN)</v>
      </c>
      <c r="K1789" s="6">
        <v>0</v>
      </c>
      <c r="L1789" s="6">
        <v>0</v>
      </c>
      <c r="M1789" s="6">
        <v>0</v>
      </c>
      <c r="N1789" s="6" t="str">
        <f>""</f>
        <v/>
      </c>
      <c r="O1789" s="6">
        <v>25952</v>
      </c>
      <c r="P1789" s="6" t="s">
        <v>7495</v>
      </c>
      <c r="R1789" s="6" t="s">
        <v>2512</v>
      </c>
      <c r="S1789" s="6" t="s">
        <v>7496</v>
      </c>
      <c r="T1789" s="6">
        <v>0</v>
      </c>
      <c r="U1789" s="6">
        <v>0</v>
      </c>
      <c r="V1789" s="6">
        <v>0</v>
      </c>
      <c r="W1789" s="6">
        <v>0</v>
      </c>
      <c r="X1789" s="6" t="s">
        <v>169</v>
      </c>
      <c r="Z1789" s="6" t="s">
        <v>170</v>
      </c>
      <c r="AA1789" s="6" t="s">
        <v>171</v>
      </c>
      <c r="AB1789" s="6">
        <v>0</v>
      </c>
      <c r="AC1789" s="6" t="str">
        <f>""</f>
        <v/>
      </c>
      <c r="AS1789" s="6">
        <v>0</v>
      </c>
      <c r="AT1789" s="6">
        <v>0</v>
      </c>
    </row>
    <row r="1790" spans="2:46">
      <c r="B1790" s="6" t="s">
        <v>117</v>
      </c>
      <c r="D1790" s="6" t="s">
        <v>7120</v>
      </c>
      <c r="F1790" s="6" t="s">
        <v>7497</v>
      </c>
      <c r="G1790" s="6" t="str">
        <f>"3172224154230208"</f>
        <v>3172224154230208</v>
      </c>
      <c r="I1790" s="6" t="s">
        <v>7498</v>
      </c>
      <c r="J1790" s="6" t="str">
        <f>"RE CLICK T-SHIRT(NAVY)"</f>
        <v>RE CLICK T-SHIRT(NAVY)</v>
      </c>
      <c r="K1790" s="6">
        <v>0</v>
      </c>
      <c r="L1790" s="6">
        <v>0</v>
      </c>
      <c r="M1790" s="6">
        <v>0</v>
      </c>
      <c r="N1790" s="6" t="str">
        <f>""</f>
        <v/>
      </c>
      <c r="O1790" s="6">
        <v>25950</v>
      </c>
      <c r="P1790" s="6" t="s">
        <v>7499</v>
      </c>
      <c r="R1790" s="6" t="s">
        <v>2111</v>
      </c>
      <c r="S1790" s="6" t="s">
        <v>7500</v>
      </c>
      <c r="T1790" s="6">
        <v>1</v>
      </c>
      <c r="U1790" s="6">
        <v>0</v>
      </c>
      <c r="V1790" s="6">
        <v>0</v>
      </c>
      <c r="W1790" s="6">
        <v>0</v>
      </c>
      <c r="X1790" s="6" t="s">
        <v>169</v>
      </c>
      <c r="Z1790" s="6" t="s">
        <v>170</v>
      </c>
      <c r="AA1790" s="6" t="s">
        <v>171</v>
      </c>
      <c r="AB1790" s="6">
        <v>0</v>
      </c>
      <c r="AC1790" s="6" t="str">
        <f>"KEY-013"</f>
        <v>KEY-013</v>
      </c>
      <c r="AQ1790" s="6" t="str">
        <f>""</f>
        <v/>
      </c>
      <c r="AR1790" s="6" t="s">
        <v>1584</v>
      </c>
      <c r="AS1790" s="6">
        <v>0</v>
      </c>
      <c r="AT1790" s="6">
        <v>2</v>
      </c>
    </row>
    <row r="1791" spans="2:46">
      <c r="B1791" s="6" t="s">
        <v>117</v>
      </c>
      <c r="D1791" s="6" t="s">
        <v>7120</v>
      </c>
      <c r="F1791" s="6" t="s">
        <v>7501</v>
      </c>
      <c r="G1791" s="6" t="str">
        <f>"3172224154274208"</f>
        <v>3172224154274208</v>
      </c>
      <c r="I1791" s="6" t="s">
        <v>7502</v>
      </c>
      <c r="J1791" s="6" t="str">
        <f>"RE CLICK T-SHIRT(BEIGE)"</f>
        <v>RE CLICK T-SHIRT(BEIGE)</v>
      </c>
      <c r="K1791" s="6">
        <v>0</v>
      </c>
      <c r="L1791" s="6">
        <v>0</v>
      </c>
      <c r="M1791" s="6">
        <v>0</v>
      </c>
      <c r="N1791" s="6" t="str">
        <f>""</f>
        <v/>
      </c>
      <c r="O1791" s="6">
        <v>25948</v>
      </c>
      <c r="P1791" s="6" t="s">
        <v>7503</v>
      </c>
      <c r="R1791" s="6" t="s">
        <v>2102</v>
      </c>
      <c r="S1791" s="6" t="s">
        <v>7504</v>
      </c>
      <c r="T1791" s="6">
        <v>2</v>
      </c>
      <c r="U1791" s="6">
        <v>0</v>
      </c>
      <c r="V1791" s="6">
        <v>0</v>
      </c>
      <c r="W1791" s="6">
        <v>0</v>
      </c>
      <c r="X1791" s="6" t="s">
        <v>169</v>
      </c>
      <c r="Z1791" s="6" t="s">
        <v>170</v>
      </c>
      <c r="AA1791" s="6" t="s">
        <v>171</v>
      </c>
      <c r="AB1791" s="6">
        <v>0</v>
      </c>
      <c r="AC1791" s="6" t="str">
        <f>"KEY-032"</f>
        <v>KEY-032</v>
      </c>
      <c r="AQ1791" s="6" t="str">
        <f>""</f>
        <v/>
      </c>
      <c r="AR1791" s="6" t="s">
        <v>1567</v>
      </c>
      <c r="AS1791" s="6">
        <v>0</v>
      </c>
      <c r="AT1791" s="6">
        <v>2</v>
      </c>
    </row>
    <row r="1792" spans="2:46">
      <c r="B1792" s="6" t="s">
        <v>117</v>
      </c>
      <c r="D1792" s="6" t="s">
        <v>7120</v>
      </c>
      <c r="F1792" s="6" t="s">
        <v>7505</v>
      </c>
      <c r="G1792" s="6" t="str">
        <f>"3172224153401208"</f>
        <v>3172224153401208</v>
      </c>
      <c r="I1792" s="6" t="s">
        <v>7506</v>
      </c>
      <c r="J1792" s="6" t="str">
        <f>"RE TOWEL T-SHIRT(PINK)"</f>
        <v>RE TOWEL T-SHIRT(PINK)</v>
      </c>
      <c r="K1792" s="6">
        <v>0</v>
      </c>
      <c r="L1792" s="6">
        <v>0</v>
      </c>
      <c r="M1792" s="6">
        <v>0</v>
      </c>
      <c r="N1792" s="6" t="str">
        <f>""</f>
        <v/>
      </c>
      <c r="O1792" s="6">
        <v>25946</v>
      </c>
      <c r="P1792" s="6" t="s">
        <v>7507</v>
      </c>
      <c r="R1792" s="6" t="s">
        <v>2446</v>
      </c>
      <c r="S1792" s="6" t="s">
        <v>7508</v>
      </c>
      <c r="T1792" s="6">
        <v>1</v>
      </c>
      <c r="U1792" s="6">
        <v>0</v>
      </c>
      <c r="V1792" s="6">
        <v>0</v>
      </c>
      <c r="W1792" s="6">
        <v>0</v>
      </c>
      <c r="X1792" s="6" t="s">
        <v>169</v>
      </c>
      <c r="Z1792" s="6" t="s">
        <v>170</v>
      </c>
      <c r="AA1792" s="6" t="s">
        <v>171</v>
      </c>
      <c r="AB1792" s="6">
        <v>0</v>
      </c>
      <c r="AC1792" s="6" t="str">
        <f>"KEY-030"</f>
        <v>KEY-030</v>
      </c>
      <c r="AQ1792" s="6" t="str">
        <f>""</f>
        <v/>
      </c>
      <c r="AR1792" s="6" t="s">
        <v>1567</v>
      </c>
      <c r="AS1792" s="6">
        <v>0</v>
      </c>
      <c r="AT1792" s="6">
        <v>1</v>
      </c>
    </row>
    <row r="1793" spans="2:46">
      <c r="B1793" s="6" t="s">
        <v>117</v>
      </c>
      <c r="D1793" s="6" t="s">
        <v>7120</v>
      </c>
      <c r="F1793" s="6" t="s">
        <v>7509</v>
      </c>
      <c r="G1793" s="6" t="str">
        <f>"3172224153499208"</f>
        <v>3172224153499208</v>
      </c>
      <c r="I1793" s="6" t="s">
        <v>7510</v>
      </c>
      <c r="J1793" s="6" t="str">
        <f>"RE TOWEL T-SHIRT(BLACK)"</f>
        <v>RE TOWEL T-SHIRT(BLACK)</v>
      </c>
      <c r="K1793" s="6">
        <v>0</v>
      </c>
      <c r="L1793" s="6">
        <v>0</v>
      </c>
      <c r="M1793" s="6">
        <v>0</v>
      </c>
      <c r="N1793" s="6" t="str">
        <f>""</f>
        <v/>
      </c>
      <c r="O1793" s="6">
        <v>25944</v>
      </c>
      <c r="P1793" s="6" t="s">
        <v>7511</v>
      </c>
      <c r="R1793" s="6" t="s">
        <v>2106</v>
      </c>
      <c r="S1793" s="6" t="s">
        <v>7512</v>
      </c>
      <c r="T1793" s="6">
        <v>2</v>
      </c>
      <c r="U1793" s="6">
        <v>0</v>
      </c>
      <c r="V1793" s="6">
        <v>0</v>
      </c>
      <c r="W1793" s="6">
        <v>0</v>
      </c>
      <c r="X1793" s="6" t="s">
        <v>169</v>
      </c>
      <c r="Z1793" s="6" t="s">
        <v>170</v>
      </c>
      <c r="AA1793" s="6" t="s">
        <v>171</v>
      </c>
      <c r="AB1793" s="6">
        <v>0</v>
      </c>
      <c r="AC1793" s="6" t="str">
        <f>"KEY-037"</f>
        <v>KEY-037</v>
      </c>
      <c r="AQ1793" s="6" t="str">
        <f>""</f>
        <v/>
      </c>
      <c r="AR1793" s="6" t="s">
        <v>1567</v>
      </c>
      <c r="AS1793" s="6">
        <v>0</v>
      </c>
      <c r="AT1793" s="6">
        <v>2</v>
      </c>
    </row>
    <row r="1794" spans="2:46">
      <c r="B1794" s="6" t="s">
        <v>117</v>
      </c>
      <c r="D1794" s="6" t="s">
        <v>7120</v>
      </c>
      <c r="F1794" s="6" t="s">
        <v>7513</v>
      </c>
      <c r="G1794" s="6" t="str">
        <f>"3172224149891208"</f>
        <v>3172224149891208</v>
      </c>
      <c r="I1794" s="6" t="s">
        <v>7514</v>
      </c>
      <c r="J1794" s="6" t="str">
        <f>"RE TP T-SHIRT(WHITE)"</f>
        <v>RE TP T-SHIRT(WHITE)</v>
      </c>
      <c r="K1794" s="6">
        <v>0</v>
      </c>
      <c r="L1794" s="6">
        <v>0</v>
      </c>
      <c r="M1794" s="6">
        <v>0</v>
      </c>
      <c r="N1794" s="6" t="str">
        <f>""</f>
        <v/>
      </c>
      <c r="O1794" s="6">
        <v>25942</v>
      </c>
      <c r="P1794" s="6" t="s">
        <v>7515</v>
      </c>
      <c r="R1794" s="6" t="s">
        <v>2167</v>
      </c>
      <c r="S1794" s="6" t="s">
        <v>7516</v>
      </c>
      <c r="T1794" s="6">
        <v>2</v>
      </c>
      <c r="U1794" s="6">
        <v>0</v>
      </c>
      <c r="V1794" s="6">
        <v>0</v>
      </c>
      <c r="W1794" s="6">
        <v>0</v>
      </c>
      <c r="X1794" s="6" t="s">
        <v>169</v>
      </c>
      <c r="Z1794" s="6" t="s">
        <v>170</v>
      </c>
      <c r="AA1794" s="6" t="s">
        <v>171</v>
      </c>
      <c r="AB1794" s="6">
        <v>0</v>
      </c>
      <c r="AC1794" s="6" t="str">
        <f>"KEY-029"</f>
        <v>KEY-029</v>
      </c>
      <c r="AQ1794" s="6" t="str">
        <f>""</f>
        <v/>
      </c>
      <c r="AR1794" s="6" t="s">
        <v>1567</v>
      </c>
      <c r="AS1794" s="6">
        <v>0</v>
      </c>
      <c r="AT1794" s="6">
        <v>2</v>
      </c>
    </row>
    <row r="1795" spans="2:46">
      <c r="B1795" s="6" t="s">
        <v>117</v>
      </c>
      <c r="D1795" s="6" t="s">
        <v>7120</v>
      </c>
      <c r="F1795" s="6" t="s">
        <v>7517</v>
      </c>
      <c r="G1795" s="6" t="str">
        <f>"3172224149825208"</f>
        <v>3172224149825208</v>
      </c>
      <c r="I1795" s="6" t="s">
        <v>74</v>
      </c>
      <c r="J1795" s="6" t="str">
        <f>"RE TP T-SHIRT(BLUE)"</f>
        <v>RE TP T-SHIRT(BLUE)</v>
      </c>
      <c r="K1795" s="6">
        <v>0</v>
      </c>
      <c r="L1795" s="6">
        <v>0</v>
      </c>
      <c r="M1795" s="6">
        <v>0</v>
      </c>
      <c r="N1795" s="6" t="str">
        <f>""</f>
        <v/>
      </c>
      <c r="O1795" s="6">
        <v>25940</v>
      </c>
      <c r="P1795" s="6" t="s">
        <v>73</v>
      </c>
      <c r="R1795" s="6" t="s">
        <v>2175</v>
      </c>
      <c r="S1795" s="6" t="s">
        <v>7518</v>
      </c>
      <c r="T1795" s="6">
        <v>1</v>
      </c>
      <c r="U1795" s="6">
        <v>0</v>
      </c>
      <c r="V1795" s="6">
        <v>0</v>
      </c>
      <c r="W1795" s="6">
        <v>0</v>
      </c>
      <c r="X1795" s="6" t="s">
        <v>169</v>
      </c>
      <c r="Z1795" s="6" t="s">
        <v>170</v>
      </c>
      <c r="AA1795" s="6" t="s">
        <v>171</v>
      </c>
      <c r="AB1795" s="6">
        <v>0</v>
      </c>
      <c r="AC1795" s="6" t="str">
        <f>"KEY-034"</f>
        <v>KEY-034</v>
      </c>
      <c r="AQ1795" s="6" t="str">
        <f>""</f>
        <v/>
      </c>
      <c r="AR1795" s="6" t="s">
        <v>1567</v>
      </c>
      <c r="AS1795" s="6">
        <v>0</v>
      </c>
      <c r="AT1795" s="6">
        <v>1</v>
      </c>
    </row>
    <row r="1796" spans="2:46">
      <c r="B1796" s="6" t="s">
        <v>117</v>
      </c>
      <c r="D1796" s="6" t="s">
        <v>7120</v>
      </c>
      <c r="F1796" s="6" t="s">
        <v>7519</v>
      </c>
      <c r="G1796" s="6" t="str">
        <f>"3172224149961208"</f>
        <v>3172224149961208</v>
      </c>
      <c r="H1796" s="6">
        <v>3172224149961200</v>
      </c>
      <c r="I1796" s="6" t="s">
        <v>7520</v>
      </c>
      <c r="J1796" s="6" t="str">
        <f>"RE ROYAL T-SHIRT(RED)"</f>
        <v>RE ROYAL T-SHIRT(RED)</v>
      </c>
      <c r="K1796" s="6">
        <v>0</v>
      </c>
      <c r="L1796" s="6">
        <v>0</v>
      </c>
      <c r="M1796" s="6">
        <v>0</v>
      </c>
      <c r="N1796" s="6" t="str">
        <f>""</f>
        <v/>
      </c>
      <c r="O1796" s="6">
        <v>25938</v>
      </c>
      <c r="P1796" s="6" t="s">
        <v>7521</v>
      </c>
      <c r="R1796" s="6" t="s">
        <v>2309</v>
      </c>
      <c r="S1796" s="6" t="s">
        <v>7522</v>
      </c>
      <c r="T1796" s="6">
        <v>0</v>
      </c>
      <c r="U1796" s="6">
        <v>0</v>
      </c>
      <c r="V1796" s="6">
        <v>0</v>
      </c>
      <c r="W1796" s="6">
        <v>0</v>
      </c>
      <c r="X1796" s="6" t="s">
        <v>169</v>
      </c>
      <c r="Z1796" s="6" t="s">
        <v>170</v>
      </c>
      <c r="AA1796" s="6" t="s">
        <v>171</v>
      </c>
      <c r="AB1796" s="6">
        <v>0</v>
      </c>
      <c r="AC1796" s="6" t="str">
        <f>""</f>
        <v/>
      </c>
      <c r="AS1796" s="6">
        <v>0</v>
      </c>
      <c r="AT1796" s="6">
        <v>0</v>
      </c>
    </row>
    <row r="1797" spans="2:46">
      <c r="B1797" s="6" t="s">
        <v>117</v>
      </c>
      <c r="D1797" s="6" t="s">
        <v>7120</v>
      </c>
      <c r="F1797" s="6" t="s">
        <v>7523</v>
      </c>
      <c r="G1797" s="6" t="str">
        <f>"3172224149999208"</f>
        <v>3172224149999208</v>
      </c>
      <c r="H1797" s="6">
        <v>3172224149999200</v>
      </c>
      <c r="I1797" s="6" t="s">
        <v>7524</v>
      </c>
      <c r="J1797" s="6" t="str">
        <f>"RE ROYAL T-SHIRT(BLACK)"</f>
        <v>RE ROYAL T-SHIRT(BLACK)</v>
      </c>
      <c r="K1797" s="6">
        <v>0</v>
      </c>
      <c r="L1797" s="6">
        <v>0</v>
      </c>
      <c r="M1797" s="6">
        <v>0</v>
      </c>
      <c r="N1797" s="6" t="str">
        <f>""</f>
        <v/>
      </c>
      <c r="O1797" s="6">
        <v>25936</v>
      </c>
      <c r="P1797" s="6" t="s">
        <v>7525</v>
      </c>
      <c r="R1797" s="6" t="s">
        <v>2106</v>
      </c>
      <c r="S1797" s="6" t="s">
        <v>7526</v>
      </c>
      <c r="T1797" s="6">
        <v>0</v>
      </c>
      <c r="U1797" s="6">
        <v>0</v>
      </c>
      <c r="V1797" s="6">
        <v>0</v>
      </c>
      <c r="W1797" s="6">
        <v>0</v>
      </c>
      <c r="X1797" s="6" t="s">
        <v>169</v>
      </c>
      <c r="Z1797" s="6" t="s">
        <v>170</v>
      </c>
      <c r="AA1797" s="6" t="s">
        <v>171</v>
      </c>
      <c r="AB1797" s="6">
        <v>0</v>
      </c>
      <c r="AC1797" s="6" t="str">
        <f>""</f>
        <v/>
      </c>
      <c r="AS1797" s="6">
        <v>0</v>
      </c>
      <c r="AT1797" s="6">
        <v>0</v>
      </c>
    </row>
    <row r="1798" spans="2:46">
      <c r="B1798" s="6" t="s">
        <v>117</v>
      </c>
      <c r="D1798" s="6" t="s">
        <v>7120</v>
      </c>
      <c r="F1798" s="6" t="s">
        <v>7527</v>
      </c>
      <c r="G1798" s="6" t="str">
        <f>"3172224150091208"</f>
        <v>3172224150091208</v>
      </c>
      <c r="I1798" s="6" t="s">
        <v>7528</v>
      </c>
      <c r="J1798" s="6" t="str">
        <f>"RE RETREAT T-SHIRT(WHITE)"</f>
        <v>RE RETREAT T-SHIRT(WHITE)</v>
      </c>
      <c r="K1798" s="6">
        <v>0</v>
      </c>
      <c r="L1798" s="6">
        <v>0</v>
      </c>
      <c r="M1798" s="6">
        <v>0</v>
      </c>
      <c r="N1798" s="6" t="str">
        <f>""</f>
        <v/>
      </c>
      <c r="O1798" s="6">
        <v>25934</v>
      </c>
      <c r="P1798" s="6" t="s">
        <v>7529</v>
      </c>
      <c r="R1798" s="6" t="s">
        <v>2167</v>
      </c>
      <c r="S1798" s="6" t="s">
        <v>7530</v>
      </c>
      <c r="T1798" s="6">
        <v>2</v>
      </c>
      <c r="U1798" s="6">
        <v>0</v>
      </c>
      <c r="V1798" s="6">
        <v>0</v>
      </c>
      <c r="W1798" s="6">
        <v>0</v>
      </c>
      <c r="X1798" s="6" t="s">
        <v>169</v>
      </c>
      <c r="Z1798" s="6" t="s">
        <v>170</v>
      </c>
      <c r="AA1798" s="6" t="s">
        <v>171</v>
      </c>
      <c r="AB1798" s="6">
        <v>0</v>
      </c>
      <c r="AC1798" s="6" t="str">
        <f>"KEY-030"</f>
        <v>KEY-030</v>
      </c>
      <c r="AQ1798" s="6" t="str">
        <f>""</f>
        <v/>
      </c>
      <c r="AR1798" s="6" t="s">
        <v>1567</v>
      </c>
      <c r="AS1798" s="6">
        <v>0</v>
      </c>
      <c r="AT1798" s="6">
        <v>2</v>
      </c>
    </row>
    <row r="1799" spans="2:46">
      <c r="B1799" s="6" t="s">
        <v>117</v>
      </c>
      <c r="D1799" s="6" t="s">
        <v>7120</v>
      </c>
      <c r="F1799" s="6" t="s">
        <v>7531</v>
      </c>
      <c r="G1799" s="6" t="str">
        <f>"3172224150099208"</f>
        <v>3172224150099208</v>
      </c>
      <c r="I1799" s="6" t="s">
        <v>7532</v>
      </c>
      <c r="J1799" s="6" t="str">
        <f>"RE RETREAT T-SHIRT(BLACK)"</f>
        <v>RE RETREAT T-SHIRT(BLACK)</v>
      </c>
      <c r="K1799" s="6">
        <v>0</v>
      </c>
      <c r="L1799" s="6">
        <v>0</v>
      </c>
      <c r="M1799" s="6">
        <v>0</v>
      </c>
      <c r="N1799" s="6" t="str">
        <f>""</f>
        <v/>
      </c>
      <c r="O1799" s="6">
        <v>25932</v>
      </c>
      <c r="P1799" s="6" t="s">
        <v>7533</v>
      </c>
      <c r="R1799" s="6" t="s">
        <v>2106</v>
      </c>
      <c r="S1799" s="6" t="s">
        <v>7534</v>
      </c>
      <c r="T1799" s="6">
        <v>2</v>
      </c>
      <c r="U1799" s="6">
        <v>0</v>
      </c>
      <c r="V1799" s="6">
        <v>0</v>
      </c>
      <c r="W1799" s="6">
        <v>0</v>
      </c>
      <c r="X1799" s="6" t="s">
        <v>169</v>
      </c>
      <c r="Z1799" s="6" t="s">
        <v>170</v>
      </c>
      <c r="AA1799" s="6" t="s">
        <v>171</v>
      </c>
      <c r="AB1799" s="6">
        <v>0</v>
      </c>
      <c r="AC1799" s="6" t="str">
        <f>"KEY-030"</f>
        <v>KEY-030</v>
      </c>
      <c r="AQ1799" s="6" t="str">
        <f>""</f>
        <v/>
      </c>
      <c r="AR1799" s="6" t="s">
        <v>1567</v>
      </c>
      <c r="AS1799" s="6">
        <v>0</v>
      </c>
      <c r="AT1799" s="6">
        <v>2</v>
      </c>
    </row>
    <row r="1800" spans="2:46">
      <c r="B1800" s="6" t="s">
        <v>117</v>
      </c>
      <c r="D1800" s="6" t="s">
        <v>7120</v>
      </c>
      <c r="F1800" s="6" t="s">
        <v>7535</v>
      </c>
      <c r="G1800" s="6" t="str">
        <f>"3172214106565208"</f>
        <v>3172214106565208</v>
      </c>
      <c r="I1800" s="6" t="s">
        <v>7536</v>
      </c>
      <c r="J1800" s="6" t="str">
        <f>"RE GAME PIQUE SHIRT(YELLOW)"</f>
        <v>RE GAME PIQUE SHIRT(YELLOW)</v>
      </c>
      <c r="K1800" s="6">
        <v>0</v>
      </c>
      <c r="L1800" s="6">
        <v>0</v>
      </c>
      <c r="M1800" s="6">
        <v>0</v>
      </c>
      <c r="N1800" s="6" t="str">
        <f>""</f>
        <v/>
      </c>
      <c r="O1800" s="6">
        <v>25930</v>
      </c>
      <c r="P1800" s="6" t="s">
        <v>7537</v>
      </c>
      <c r="R1800" s="6" t="s">
        <v>2570</v>
      </c>
      <c r="S1800" s="6" t="s">
        <v>7538</v>
      </c>
      <c r="T1800" s="6">
        <v>2</v>
      </c>
      <c r="U1800" s="6">
        <v>0</v>
      </c>
      <c r="V1800" s="6">
        <v>0</v>
      </c>
      <c r="W1800" s="6">
        <v>0</v>
      </c>
      <c r="X1800" s="6" t="s">
        <v>169</v>
      </c>
      <c r="Z1800" s="6" t="s">
        <v>170</v>
      </c>
      <c r="AA1800" s="6" t="s">
        <v>171</v>
      </c>
      <c r="AB1800" s="6">
        <v>0</v>
      </c>
      <c r="AC1800" s="6" t="str">
        <f>"KEY-029"</f>
        <v>KEY-029</v>
      </c>
      <c r="AQ1800" s="6" t="str">
        <f>""</f>
        <v/>
      </c>
      <c r="AR1800" s="6" t="s">
        <v>1567</v>
      </c>
      <c r="AS1800" s="6">
        <v>0</v>
      </c>
      <c r="AT1800" s="6">
        <v>2</v>
      </c>
    </row>
    <row r="1801" spans="2:46">
      <c r="B1801" s="6" t="s">
        <v>117</v>
      </c>
      <c r="D1801" s="6" t="s">
        <v>7120</v>
      </c>
      <c r="F1801" s="6" t="s">
        <v>7539</v>
      </c>
      <c r="G1801" s="6" t="str">
        <f>"3172214106530208"</f>
        <v>3172214106530208</v>
      </c>
      <c r="I1801" s="6" t="s">
        <v>7540</v>
      </c>
      <c r="J1801" s="6" t="str">
        <f>"RE GAME PIQUE SHIRT(NAVY)"</f>
        <v>RE GAME PIQUE SHIRT(NAVY)</v>
      </c>
      <c r="K1801" s="6">
        <v>0</v>
      </c>
      <c r="L1801" s="6">
        <v>0</v>
      </c>
      <c r="M1801" s="6">
        <v>0</v>
      </c>
      <c r="N1801" s="6" t="str">
        <f>""</f>
        <v/>
      </c>
      <c r="O1801" s="6">
        <v>25928</v>
      </c>
      <c r="P1801" s="6" t="s">
        <v>7541</v>
      </c>
      <c r="R1801" s="6" t="s">
        <v>2111</v>
      </c>
      <c r="S1801" s="6" t="s">
        <v>7542</v>
      </c>
      <c r="T1801" s="6">
        <v>2</v>
      </c>
      <c r="U1801" s="6">
        <v>0</v>
      </c>
      <c r="V1801" s="6">
        <v>0</v>
      </c>
      <c r="W1801" s="6">
        <v>0</v>
      </c>
      <c r="X1801" s="6" t="s">
        <v>169</v>
      </c>
      <c r="Z1801" s="6" t="s">
        <v>170</v>
      </c>
      <c r="AA1801" s="6" t="s">
        <v>171</v>
      </c>
      <c r="AB1801" s="6">
        <v>0</v>
      </c>
      <c r="AC1801" s="6" t="str">
        <f>"KEY-028"</f>
        <v>KEY-028</v>
      </c>
      <c r="AQ1801" s="6" t="str">
        <f>""</f>
        <v/>
      </c>
      <c r="AR1801" s="6" t="s">
        <v>1567</v>
      </c>
      <c r="AS1801" s="6">
        <v>0</v>
      </c>
      <c r="AT1801" s="6">
        <v>2</v>
      </c>
    </row>
    <row r="1802" spans="2:46">
      <c r="B1802" s="6" t="s">
        <v>117</v>
      </c>
      <c r="D1802" s="6" t="s">
        <v>7120</v>
      </c>
      <c r="F1802" s="6" t="s">
        <v>7543</v>
      </c>
      <c r="G1802" s="6" t="str">
        <f>"3172332104201320"</f>
        <v>3172332104201320</v>
      </c>
      <c r="I1802" s="6" t="s">
        <v>7544</v>
      </c>
      <c r="J1802" s="6" t="str">
        <f>"RE SET SKIRT(PINK)"</f>
        <v>RE SET SKIRT(PINK)</v>
      </c>
      <c r="K1802" s="6">
        <v>0</v>
      </c>
      <c r="L1802" s="6">
        <v>0</v>
      </c>
      <c r="M1802" s="6">
        <v>0</v>
      </c>
      <c r="N1802" s="6" t="str">
        <f>""</f>
        <v/>
      </c>
      <c r="O1802" s="6">
        <v>25926</v>
      </c>
      <c r="P1802" s="6" t="s">
        <v>7545</v>
      </c>
      <c r="R1802" s="6" t="s">
        <v>2446</v>
      </c>
      <c r="S1802" s="6" t="s">
        <v>7546</v>
      </c>
      <c r="T1802" s="6">
        <v>2</v>
      </c>
      <c r="U1802" s="6">
        <v>0</v>
      </c>
      <c r="V1802" s="6">
        <v>0</v>
      </c>
      <c r="W1802" s="6">
        <v>0</v>
      </c>
      <c r="X1802" s="6" t="s">
        <v>169</v>
      </c>
      <c r="Z1802" s="6" t="s">
        <v>170</v>
      </c>
      <c r="AA1802" s="6" t="s">
        <v>171</v>
      </c>
      <c r="AB1802" s="6">
        <v>0</v>
      </c>
      <c r="AC1802" s="6" t="str">
        <f>"KEY-018"</f>
        <v>KEY-018</v>
      </c>
      <c r="AQ1802" s="6" t="str">
        <f>""</f>
        <v/>
      </c>
      <c r="AR1802" s="6" t="s">
        <v>1567</v>
      </c>
      <c r="AS1802" s="6">
        <v>0</v>
      </c>
      <c r="AT1802" s="6">
        <v>2</v>
      </c>
    </row>
    <row r="1803" spans="2:46">
      <c r="B1803" s="6" t="s">
        <v>117</v>
      </c>
      <c r="D1803" s="6" t="s">
        <v>7120</v>
      </c>
      <c r="F1803" s="6" t="s">
        <v>7547</v>
      </c>
      <c r="G1803" s="6" t="str">
        <f>"3172332104230320"</f>
        <v>3172332104230320</v>
      </c>
      <c r="H1803" s="6">
        <v>3172332104230320</v>
      </c>
      <c r="I1803" s="6" t="s">
        <v>7548</v>
      </c>
      <c r="J1803" s="6" t="str">
        <f>"RE SET SKIRT(NAVY)"</f>
        <v>RE SET SKIRT(NAVY)</v>
      </c>
      <c r="K1803" s="6">
        <v>0</v>
      </c>
      <c r="L1803" s="6">
        <v>0</v>
      </c>
      <c r="M1803" s="6">
        <v>0</v>
      </c>
      <c r="N1803" s="6" t="str">
        <f>""</f>
        <v/>
      </c>
      <c r="O1803" s="6">
        <v>25924</v>
      </c>
      <c r="P1803" s="6" t="s">
        <v>7549</v>
      </c>
      <c r="R1803" s="6" t="s">
        <v>2111</v>
      </c>
      <c r="S1803" s="6" t="s">
        <v>7550</v>
      </c>
      <c r="T1803" s="6">
        <v>0</v>
      </c>
      <c r="U1803" s="6">
        <v>0</v>
      </c>
      <c r="V1803" s="6">
        <v>0</v>
      </c>
      <c r="W1803" s="6">
        <v>0</v>
      </c>
      <c r="X1803" s="6" t="s">
        <v>169</v>
      </c>
      <c r="Z1803" s="6" t="s">
        <v>170</v>
      </c>
      <c r="AA1803" s="6" t="s">
        <v>171</v>
      </c>
      <c r="AB1803" s="6">
        <v>0</v>
      </c>
      <c r="AC1803" s="6" t="str">
        <f>""</f>
        <v/>
      </c>
      <c r="AS1803" s="6">
        <v>0</v>
      </c>
      <c r="AT1803" s="6">
        <v>0</v>
      </c>
    </row>
    <row r="1804" spans="2:46">
      <c r="B1804" s="6" t="s">
        <v>117</v>
      </c>
      <c r="D1804" s="6" t="s">
        <v>7120</v>
      </c>
      <c r="F1804" s="6" t="s">
        <v>7551</v>
      </c>
      <c r="G1804" s="6" t="str">
        <f>"3172332104025308"</f>
        <v>3172332104025308</v>
      </c>
      <c r="I1804" s="6" t="s">
        <v>7552</v>
      </c>
      <c r="J1804" s="6" t="str">
        <f>"RE TWO PLEATS SKIRT(BLUE)"</f>
        <v>RE TWO PLEATS SKIRT(BLUE)</v>
      </c>
      <c r="K1804" s="6">
        <v>0</v>
      </c>
      <c r="L1804" s="6">
        <v>0</v>
      </c>
      <c r="M1804" s="6">
        <v>0</v>
      </c>
      <c r="N1804" s="6" t="str">
        <f>""</f>
        <v/>
      </c>
      <c r="O1804" s="6">
        <v>25922</v>
      </c>
      <c r="P1804" s="6" t="s">
        <v>7553</v>
      </c>
      <c r="R1804" s="6" t="s">
        <v>2175</v>
      </c>
      <c r="S1804" s="6" t="s">
        <v>7554</v>
      </c>
      <c r="T1804" s="6">
        <v>1</v>
      </c>
      <c r="U1804" s="6">
        <v>0</v>
      </c>
      <c r="V1804" s="6">
        <v>0</v>
      </c>
      <c r="W1804" s="6">
        <v>0</v>
      </c>
      <c r="X1804" s="6" t="s">
        <v>169</v>
      </c>
      <c r="Z1804" s="6" t="s">
        <v>170</v>
      </c>
      <c r="AA1804" s="6" t="s">
        <v>171</v>
      </c>
      <c r="AB1804" s="6">
        <v>0</v>
      </c>
      <c r="AC1804" s="6" t="str">
        <f>"KEY-022"</f>
        <v>KEY-022</v>
      </c>
      <c r="AQ1804" s="6" t="str">
        <f>""</f>
        <v/>
      </c>
      <c r="AR1804" s="6" t="s">
        <v>1567</v>
      </c>
      <c r="AS1804" s="6">
        <v>0</v>
      </c>
      <c r="AT1804" s="6">
        <v>1</v>
      </c>
    </row>
    <row r="1805" spans="2:46">
      <c r="B1805" s="6" t="s">
        <v>117</v>
      </c>
      <c r="D1805" s="6" t="s">
        <v>7120</v>
      </c>
      <c r="F1805" s="6" t="s">
        <v>7555</v>
      </c>
      <c r="G1805" s="6" t="str">
        <f>"3172332104099308"</f>
        <v>3172332104099308</v>
      </c>
      <c r="I1805" s="6" t="s">
        <v>7556</v>
      </c>
      <c r="J1805" s="6" t="str">
        <f>"RE TWO PLEATS SKIRT(BLACK)"</f>
        <v>RE TWO PLEATS SKIRT(BLACK)</v>
      </c>
      <c r="K1805" s="6">
        <v>0</v>
      </c>
      <c r="L1805" s="6">
        <v>0</v>
      </c>
      <c r="M1805" s="6">
        <v>0</v>
      </c>
      <c r="N1805" s="6" t="str">
        <f>""</f>
        <v/>
      </c>
      <c r="O1805" s="6">
        <v>25920</v>
      </c>
      <c r="P1805" s="6" t="s">
        <v>7557</v>
      </c>
      <c r="R1805" s="6" t="s">
        <v>2106</v>
      </c>
      <c r="S1805" s="6" t="s">
        <v>7558</v>
      </c>
      <c r="T1805" s="6">
        <v>1</v>
      </c>
      <c r="U1805" s="6">
        <v>0</v>
      </c>
      <c r="V1805" s="6">
        <v>0</v>
      </c>
      <c r="W1805" s="6">
        <v>0</v>
      </c>
      <c r="X1805" s="6" t="s">
        <v>169</v>
      </c>
      <c r="Z1805" s="6" t="s">
        <v>170</v>
      </c>
      <c r="AA1805" s="6" t="s">
        <v>171</v>
      </c>
      <c r="AB1805" s="6">
        <v>0</v>
      </c>
      <c r="AC1805" s="6" t="str">
        <f>"KEY-029"</f>
        <v>KEY-029</v>
      </c>
      <c r="AQ1805" s="6" t="str">
        <f>""</f>
        <v/>
      </c>
      <c r="AR1805" s="6" t="s">
        <v>1567</v>
      </c>
      <c r="AS1805" s="6">
        <v>0</v>
      </c>
      <c r="AT1805" s="6">
        <v>1</v>
      </c>
    </row>
    <row r="1806" spans="2:46">
      <c r="B1806" s="6" t="s">
        <v>117</v>
      </c>
      <c r="D1806" s="6" t="s">
        <v>7120</v>
      </c>
      <c r="F1806" s="6" t="s">
        <v>7559</v>
      </c>
      <c r="G1806" s="6" t="str">
        <f>"V17SUSK01BLF"</f>
        <v>V17SUSK01BLF</v>
      </c>
      <c r="H1806" s="6" t="s">
        <v>7560</v>
      </c>
      <c r="I1806" s="6" t="s">
        <v>7561</v>
      </c>
      <c r="J1806" s="6" t="str">
        <f>"RE MATCHES SKIRT(BLUE)"</f>
        <v>RE MATCHES SKIRT(BLUE)</v>
      </c>
      <c r="K1806" s="6">
        <v>0</v>
      </c>
      <c r="L1806" s="6">
        <v>0</v>
      </c>
      <c r="M1806" s="6">
        <v>0</v>
      </c>
      <c r="N1806" s="6" t="str">
        <f>""</f>
        <v/>
      </c>
      <c r="O1806" s="6">
        <v>25918</v>
      </c>
      <c r="P1806" s="6" t="s">
        <v>7560</v>
      </c>
      <c r="R1806" s="6" t="s">
        <v>2175</v>
      </c>
      <c r="S1806" s="6" t="s">
        <v>7562</v>
      </c>
      <c r="T1806" s="6">
        <v>0</v>
      </c>
      <c r="U1806" s="6">
        <v>0</v>
      </c>
      <c r="V1806" s="6">
        <v>0</v>
      </c>
      <c r="W1806" s="6">
        <v>0</v>
      </c>
      <c r="X1806" s="6" t="s">
        <v>169</v>
      </c>
      <c r="Z1806" s="6" t="s">
        <v>170</v>
      </c>
      <c r="AA1806" s="6" t="s">
        <v>171</v>
      </c>
      <c r="AB1806" s="6">
        <v>0</v>
      </c>
      <c r="AC1806" s="6" t="str">
        <f>""</f>
        <v/>
      </c>
      <c r="AS1806" s="6">
        <v>0</v>
      </c>
      <c r="AT1806" s="6">
        <v>2</v>
      </c>
    </row>
    <row r="1807" spans="2:46">
      <c r="B1807" s="6" t="s">
        <v>117</v>
      </c>
      <c r="D1807" s="6" t="s">
        <v>7120</v>
      </c>
      <c r="F1807" s="6" t="s">
        <v>7563</v>
      </c>
      <c r="G1807" s="6" t="str">
        <f>"3172214106430208"</f>
        <v>3172214106430208</v>
      </c>
      <c r="I1807" s="6" t="s">
        <v>7564</v>
      </c>
      <c r="J1807" s="6" t="str">
        <f>"RE PIPING SHIRT(NAVY)"</f>
        <v>RE PIPING SHIRT(NAVY)</v>
      </c>
      <c r="K1807" s="6">
        <v>0</v>
      </c>
      <c r="L1807" s="6">
        <v>0</v>
      </c>
      <c r="M1807" s="6">
        <v>0</v>
      </c>
      <c r="N1807" s="6" t="str">
        <f>""</f>
        <v/>
      </c>
      <c r="O1807" s="6">
        <v>25916</v>
      </c>
      <c r="P1807" s="6" t="s">
        <v>7565</v>
      </c>
      <c r="R1807" s="6" t="s">
        <v>2111</v>
      </c>
      <c r="S1807" s="6" t="s">
        <v>7566</v>
      </c>
      <c r="T1807" s="6">
        <v>2</v>
      </c>
      <c r="U1807" s="6">
        <v>0</v>
      </c>
      <c r="V1807" s="6">
        <v>0</v>
      </c>
      <c r="W1807" s="6">
        <v>0</v>
      </c>
      <c r="X1807" s="6" t="s">
        <v>169</v>
      </c>
      <c r="Z1807" s="6" t="s">
        <v>170</v>
      </c>
      <c r="AA1807" s="6" t="s">
        <v>171</v>
      </c>
      <c r="AB1807" s="6">
        <v>0</v>
      </c>
      <c r="AC1807" s="6" t="str">
        <f>"KEY-040"</f>
        <v>KEY-040</v>
      </c>
      <c r="AQ1807" s="6" t="str">
        <f>""</f>
        <v/>
      </c>
      <c r="AR1807" s="6" t="s">
        <v>1567</v>
      </c>
      <c r="AS1807" s="6">
        <v>0</v>
      </c>
      <c r="AT1807" s="6">
        <v>2</v>
      </c>
    </row>
    <row r="1808" spans="2:46">
      <c r="B1808" s="6" t="s">
        <v>117</v>
      </c>
      <c r="D1808" s="6" t="s">
        <v>7120</v>
      </c>
      <c r="F1808" s="6" t="s">
        <v>7567</v>
      </c>
      <c r="G1808" s="6" t="str">
        <f>"3172214105402208"</f>
        <v>3172214105402208</v>
      </c>
      <c r="I1808" s="6" t="s">
        <v>7568</v>
      </c>
      <c r="J1808" s="6" t="str">
        <f>"RE FLOSS SHIRT(VIOLET)"</f>
        <v>RE FLOSS SHIRT(VIOLET)</v>
      </c>
      <c r="K1808" s="6">
        <v>0</v>
      </c>
      <c r="L1808" s="6">
        <v>0</v>
      </c>
      <c r="M1808" s="6">
        <v>0</v>
      </c>
      <c r="N1808" s="6" t="str">
        <f>""</f>
        <v/>
      </c>
      <c r="O1808" s="6">
        <v>25914</v>
      </c>
      <c r="P1808" s="6" t="s">
        <v>7569</v>
      </c>
      <c r="R1808" s="6" t="s">
        <v>7570</v>
      </c>
      <c r="S1808" s="6" t="s">
        <v>7571</v>
      </c>
      <c r="T1808" s="6">
        <v>2</v>
      </c>
      <c r="U1808" s="6">
        <v>0</v>
      </c>
      <c r="V1808" s="6">
        <v>0</v>
      </c>
      <c r="W1808" s="6">
        <v>0</v>
      </c>
      <c r="X1808" s="6" t="s">
        <v>169</v>
      </c>
      <c r="Z1808" s="6" t="s">
        <v>170</v>
      </c>
      <c r="AA1808" s="6" t="s">
        <v>171</v>
      </c>
      <c r="AB1808" s="6">
        <v>0</v>
      </c>
      <c r="AC1808" s="6" t="str">
        <f>"KEY-024"</f>
        <v>KEY-024</v>
      </c>
      <c r="AQ1808" s="6" t="str">
        <f>""</f>
        <v/>
      </c>
      <c r="AR1808" s="6" t="s">
        <v>1567</v>
      </c>
      <c r="AS1808" s="6">
        <v>0</v>
      </c>
      <c r="AT1808" s="6">
        <v>2</v>
      </c>
    </row>
    <row r="1809" spans="2:46">
      <c r="B1809" s="6" t="s">
        <v>117</v>
      </c>
      <c r="D1809" s="6" t="s">
        <v>7120</v>
      </c>
      <c r="F1809" s="6" t="s">
        <v>7572</v>
      </c>
      <c r="G1809" s="6" t="str">
        <f>"3172214105425208"</f>
        <v>3172214105425208</v>
      </c>
      <c r="I1809" s="6" t="s">
        <v>7573</v>
      </c>
      <c r="J1809" s="6" t="str">
        <f>"RE FLOSS SHIRT(BLUE)"</f>
        <v>RE FLOSS SHIRT(BLUE)</v>
      </c>
      <c r="K1809" s="6">
        <v>0</v>
      </c>
      <c r="L1809" s="6">
        <v>0</v>
      </c>
      <c r="M1809" s="6">
        <v>0</v>
      </c>
      <c r="N1809" s="6" t="str">
        <f>""</f>
        <v/>
      </c>
      <c r="O1809" s="6">
        <v>25912</v>
      </c>
      <c r="P1809" s="6" t="s">
        <v>7574</v>
      </c>
      <c r="R1809" s="6" t="s">
        <v>2175</v>
      </c>
      <c r="S1809" s="6" t="s">
        <v>7575</v>
      </c>
      <c r="T1809" s="6">
        <v>2</v>
      </c>
      <c r="U1809" s="6">
        <v>0</v>
      </c>
      <c r="V1809" s="6">
        <v>0</v>
      </c>
      <c r="W1809" s="6">
        <v>0</v>
      </c>
      <c r="X1809" s="6" t="s">
        <v>169</v>
      </c>
      <c r="Z1809" s="6" t="s">
        <v>170</v>
      </c>
      <c r="AA1809" s="6" t="s">
        <v>171</v>
      </c>
      <c r="AB1809" s="6">
        <v>0</v>
      </c>
      <c r="AC1809" s="6" t="str">
        <f>"KEY-023"</f>
        <v>KEY-023</v>
      </c>
      <c r="AQ1809" s="6" t="str">
        <f>""</f>
        <v/>
      </c>
      <c r="AR1809" s="6" t="s">
        <v>1567</v>
      </c>
      <c r="AS1809" s="6">
        <v>0</v>
      </c>
      <c r="AT1809" s="6">
        <v>2</v>
      </c>
    </row>
    <row r="1810" spans="2:46">
      <c r="B1810" s="6" t="s">
        <v>117</v>
      </c>
      <c r="D1810" s="6" t="s">
        <v>7120</v>
      </c>
      <c r="F1810" s="6" t="s">
        <v>7576</v>
      </c>
      <c r="G1810" s="6" t="str">
        <f>"3172342101724308"</f>
        <v>3172342101724308</v>
      </c>
      <c r="H1810" s="6">
        <v>3172342101724300</v>
      </c>
      <c r="I1810" s="6" t="s">
        <v>7577</v>
      </c>
      <c r="J1810" s="6" t="str">
        <f>"RE BELTED SHORTS(LIGHT BLUE)"</f>
        <v>RE BELTED SHORTS(LIGHT BLUE)</v>
      </c>
      <c r="K1810" s="6">
        <v>0</v>
      </c>
      <c r="L1810" s="6">
        <v>0</v>
      </c>
      <c r="M1810" s="6">
        <v>0</v>
      </c>
      <c r="N1810" s="6" t="str">
        <f>""</f>
        <v/>
      </c>
      <c r="O1810" s="6">
        <v>25910</v>
      </c>
      <c r="P1810" s="6" t="s">
        <v>7578</v>
      </c>
      <c r="R1810" s="6" t="s">
        <v>7579</v>
      </c>
      <c r="S1810" s="6" t="s">
        <v>7580</v>
      </c>
      <c r="T1810" s="6">
        <v>0</v>
      </c>
      <c r="U1810" s="6">
        <v>0</v>
      </c>
      <c r="V1810" s="6">
        <v>0</v>
      </c>
      <c r="W1810" s="6">
        <v>0</v>
      </c>
      <c r="X1810" s="6" t="s">
        <v>169</v>
      </c>
      <c r="Z1810" s="6" t="s">
        <v>170</v>
      </c>
      <c r="AA1810" s="6" t="s">
        <v>171</v>
      </c>
      <c r="AB1810" s="6">
        <v>0</v>
      </c>
      <c r="AC1810" s="6" t="str">
        <f>""</f>
        <v/>
      </c>
      <c r="AS1810" s="6">
        <v>0</v>
      </c>
      <c r="AT1810" s="6">
        <v>0</v>
      </c>
    </row>
    <row r="1811" spans="2:46">
      <c r="B1811" s="6" t="s">
        <v>117</v>
      </c>
      <c r="D1811" s="6" t="s">
        <v>7120</v>
      </c>
      <c r="F1811" s="6" t="s">
        <v>7581</v>
      </c>
      <c r="G1811" s="6" t="str">
        <f>"3172324100224308"</f>
        <v>3172324100224308</v>
      </c>
      <c r="H1811" s="6">
        <v>3172324100224300</v>
      </c>
      <c r="I1811" s="6" t="s">
        <v>7582</v>
      </c>
      <c r="J1811" s="6" t="str">
        <f>"RE LUCKY PANTS(LIGHT BLUE)"</f>
        <v>RE LUCKY PANTS(LIGHT BLUE)</v>
      </c>
      <c r="K1811" s="6">
        <v>0</v>
      </c>
      <c r="L1811" s="6">
        <v>0</v>
      </c>
      <c r="M1811" s="6">
        <v>0</v>
      </c>
      <c r="N1811" s="6" t="str">
        <f>""</f>
        <v/>
      </c>
      <c r="O1811" s="6">
        <v>25908</v>
      </c>
      <c r="P1811" s="6" t="s">
        <v>7583</v>
      </c>
      <c r="R1811" s="6" t="s">
        <v>7579</v>
      </c>
      <c r="S1811" s="6" t="s">
        <v>7584</v>
      </c>
      <c r="T1811" s="6">
        <v>0</v>
      </c>
      <c r="U1811" s="6">
        <v>0</v>
      </c>
      <c r="V1811" s="6">
        <v>0</v>
      </c>
      <c r="W1811" s="6">
        <v>0</v>
      </c>
      <c r="X1811" s="6" t="s">
        <v>169</v>
      </c>
      <c r="Z1811" s="6" t="s">
        <v>170</v>
      </c>
      <c r="AA1811" s="6" t="s">
        <v>171</v>
      </c>
      <c r="AB1811" s="6">
        <v>0</v>
      </c>
      <c r="AC1811" s="6" t="str">
        <f>""</f>
        <v/>
      </c>
      <c r="AS1811" s="6">
        <v>0</v>
      </c>
      <c r="AT1811" s="6">
        <v>0</v>
      </c>
    </row>
    <row r="1812" spans="2:46">
      <c r="B1812" s="6" t="s">
        <v>117</v>
      </c>
      <c r="D1812" s="6" t="s">
        <v>7120</v>
      </c>
      <c r="F1812" s="6" t="s">
        <v>7585</v>
      </c>
      <c r="G1812" s="6" t="str">
        <f>"V17SUPT05BLF"</f>
        <v>V17SUPT05BLF</v>
      </c>
      <c r="H1812" s="6" t="s">
        <v>7586</v>
      </c>
      <c r="I1812" s="6" t="s">
        <v>7587</v>
      </c>
      <c r="J1812" s="6" t="str">
        <f>"RE OVERALLS(BLUE)"</f>
        <v>RE OVERALLS(BLUE)</v>
      </c>
      <c r="K1812" s="6">
        <v>0</v>
      </c>
      <c r="L1812" s="6">
        <v>0</v>
      </c>
      <c r="M1812" s="6">
        <v>0</v>
      </c>
      <c r="N1812" s="6" t="str">
        <f>""</f>
        <v/>
      </c>
      <c r="O1812" s="6">
        <v>25906</v>
      </c>
      <c r="P1812" s="6" t="s">
        <v>7586</v>
      </c>
      <c r="R1812" s="6" t="s">
        <v>2175</v>
      </c>
      <c r="S1812" s="6" t="s">
        <v>7588</v>
      </c>
      <c r="T1812" s="6">
        <v>0</v>
      </c>
      <c r="U1812" s="6">
        <v>0</v>
      </c>
      <c r="V1812" s="6">
        <v>0</v>
      </c>
      <c r="W1812" s="6">
        <v>0</v>
      </c>
      <c r="X1812" s="6" t="s">
        <v>169</v>
      </c>
      <c r="Z1812" s="6" t="s">
        <v>170</v>
      </c>
      <c r="AA1812" s="6" t="s">
        <v>171</v>
      </c>
      <c r="AB1812" s="6">
        <v>0</v>
      </c>
      <c r="AC1812" s="6" t="str">
        <f>""</f>
        <v/>
      </c>
      <c r="AS1812" s="6">
        <v>0</v>
      </c>
      <c r="AT1812" s="6">
        <v>0</v>
      </c>
    </row>
    <row r="1813" spans="2:46">
      <c r="B1813" s="6" t="s">
        <v>117</v>
      </c>
      <c r="D1813" s="6" t="s">
        <v>7120</v>
      </c>
      <c r="F1813" s="6" t="s">
        <v>7589</v>
      </c>
      <c r="G1813" s="6" t="str">
        <f>"3172344103501308"</f>
        <v>3172344103501308</v>
      </c>
      <c r="H1813" s="6">
        <v>3172344103501300</v>
      </c>
      <c r="I1813" s="6" t="s">
        <v>7590</v>
      </c>
      <c r="J1813" s="6" t="str">
        <f>"RE TOWEL PANTS(PINK)"</f>
        <v>RE TOWEL PANTS(PINK)</v>
      </c>
      <c r="K1813" s="6">
        <v>0</v>
      </c>
      <c r="L1813" s="6">
        <v>0</v>
      </c>
      <c r="M1813" s="6">
        <v>0</v>
      </c>
      <c r="N1813" s="6" t="str">
        <f>""</f>
        <v/>
      </c>
      <c r="O1813" s="6">
        <v>25904</v>
      </c>
      <c r="P1813" s="6" t="s">
        <v>7591</v>
      </c>
      <c r="R1813" s="6" t="s">
        <v>2446</v>
      </c>
      <c r="S1813" s="6" t="s">
        <v>7592</v>
      </c>
      <c r="T1813" s="6">
        <v>0</v>
      </c>
      <c r="U1813" s="6">
        <v>0</v>
      </c>
      <c r="V1813" s="6">
        <v>0</v>
      </c>
      <c r="W1813" s="6">
        <v>0</v>
      </c>
      <c r="X1813" s="6" t="s">
        <v>169</v>
      </c>
      <c r="Z1813" s="6" t="s">
        <v>170</v>
      </c>
      <c r="AA1813" s="6" t="s">
        <v>171</v>
      </c>
      <c r="AB1813" s="6">
        <v>0</v>
      </c>
      <c r="AC1813" s="6" t="str">
        <f>""</f>
        <v/>
      </c>
      <c r="AS1813" s="6">
        <v>0</v>
      </c>
      <c r="AT1813" s="6">
        <v>0</v>
      </c>
    </row>
    <row r="1814" spans="2:46">
      <c r="B1814" s="6" t="s">
        <v>117</v>
      </c>
      <c r="D1814" s="6" t="s">
        <v>7120</v>
      </c>
      <c r="F1814" s="6" t="s">
        <v>7593</v>
      </c>
      <c r="G1814" s="6" t="str">
        <f>"3172344103599308"</f>
        <v>3172344103599308</v>
      </c>
      <c r="I1814" s="6" t="s">
        <v>7594</v>
      </c>
      <c r="J1814" s="6" t="str">
        <f>"RE TOWEL PANTS(BLACK)"</f>
        <v>RE TOWEL PANTS(BLACK)</v>
      </c>
      <c r="K1814" s="6">
        <v>0</v>
      </c>
      <c r="L1814" s="6">
        <v>0</v>
      </c>
      <c r="M1814" s="6">
        <v>0</v>
      </c>
      <c r="N1814" s="6" t="str">
        <f>""</f>
        <v/>
      </c>
      <c r="O1814" s="6">
        <v>25902</v>
      </c>
      <c r="P1814" s="6" t="s">
        <v>7595</v>
      </c>
      <c r="R1814" s="6" t="s">
        <v>2106</v>
      </c>
      <c r="S1814" s="6" t="s">
        <v>7596</v>
      </c>
      <c r="T1814" s="6">
        <v>2</v>
      </c>
      <c r="U1814" s="6">
        <v>0</v>
      </c>
      <c r="V1814" s="6">
        <v>0</v>
      </c>
      <c r="W1814" s="6">
        <v>0</v>
      </c>
      <c r="X1814" s="6" t="s">
        <v>169</v>
      </c>
      <c r="Z1814" s="6" t="s">
        <v>170</v>
      </c>
      <c r="AA1814" s="6" t="s">
        <v>171</v>
      </c>
      <c r="AB1814" s="6">
        <v>0</v>
      </c>
      <c r="AC1814" s="6" t="str">
        <f>"KEY-040"</f>
        <v>KEY-040</v>
      </c>
      <c r="AQ1814" s="6" t="str">
        <f>""</f>
        <v/>
      </c>
      <c r="AR1814" s="6" t="s">
        <v>1567</v>
      </c>
      <c r="AS1814" s="6">
        <v>0</v>
      </c>
      <c r="AT1814" s="6">
        <v>2</v>
      </c>
    </row>
    <row r="1815" spans="2:46">
      <c r="B1815" s="6" t="s">
        <v>117</v>
      </c>
      <c r="D1815" s="6" t="s">
        <v>7120</v>
      </c>
      <c r="F1815" s="6" t="s">
        <v>7597</v>
      </c>
      <c r="G1815" s="6" t="str">
        <f>"3172344103861308"</f>
        <v>3172344103861308</v>
      </c>
      <c r="I1815" s="6" t="s">
        <v>7598</v>
      </c>
      <c r="J1815" s="6" t="str">
        <f>"RE SHORTS(RED)"</f>
        <v>RE SHORTS(RED)</v>
      </c>
      <c r="K1815" s="6">
        <v>0</v>
      </c>
      <c r="L1815" s="6">
        <v>0</v>
      </c>
      <c r="M1815" s="6">
        <v>0</v>
      </c>
      <c r="N1815" s="6" t="str">
        <f>""</f>
        <v/>
      </c>
      <c r="O1815" s="6">
        <v>25900</v>
      </c>
      <c r="P1815" s="6" t="s">
        <v>7599</v>
      </c>
      <c r="R1815" s="6" t="s">
        <v>2309</v>
      </c>
      <c r="S1815" s="6" t="s">
        <v>7600</v>
      </c>
      <c r="T1815" s="6">
        <v>2</v>
      </c>
      <c r="U1815" s="6">
        <v>0</v>
      </c>
      <c r="V1815" s="6">
        <v>0</v>
      </c>
      <c r="W1815" s="6">
        <v>0</v>
      </c>
      <c r="X1815" s="6" t="s">
        <v>169</v>
      </c>
      <c r="Z1815" s="6" t="s">
        <v>170</v>
      </c>
      <c r="AA1815" s="6" t="s">
        <v>171</v>
      </c>
      <c r="AB1815" s="6">
        <v>0</v>
      </c>
      <c r="AC1815" s="6" t="str">
        <f>"KEY-032"</f>
        <v>KEY-032</v>
      </c>
      <c r="AQ1815" s="6" t="str">
        <f>""</f>
        <v/>
      </c>
      <c r="AR1815" s="6" t="s">
        <v>1567</v>
      </c>
      <c r="AS1815" s="6">
        <v>0</v>
      </c>
      <c r="AT1815" s="6">
        <v>2</v>
      </c>
    </row>
    <row r="1816" spans="2:46">
      <c r="B1816" s="6" t="s">
        <v>117</v>
      </c>
      <c r="D1816" s="6" t="s">
        <v>7120</v>
      </c>
      <c r="F1816" s="6" t="s">
        <v>7601</v>
      </c>
      <c r="G1816" s="6" t="str">
        <f>"3172344103845308"</f>
        <v>3172344103845308</v>
      </c>
      <c r="I1816" s="6" t="s">
        <v>7602</v>
      </c>
      <c r="J1816" s="6" t="str">
        <f>"RE SHORTS(GREEN)"</f>
        <v>RE SHORTS(GREEN)</v>
      </c>
      <c r="K1816" s="6">
        <v>0</v>
      </c>
      <c r="L1816" s="6">
        <v>0</v>
      </c>
      <c r="M1816" s="6">
        <v>0</v>
      </c>
      <c r="N1816" s="6" t="str">
        <f>""</f>
        <v/>
      </c>
      <c r="O1816" s="6">
        <v>25898</v>
      </c>
      <c r="P1816" s="6" t="s">
        <v>7603</v>
      </c>
      <c r="R1816" s="6" t="s">
        <v>2512</v>
      </c>
      <c r="S1816" s="6" t="s">
        <v>7604</v>
      </c>
      <c r="T1816" s="6">
        <v>2</v>
      </c>
      <c r="U1816" s="6">
        <v>0</v>
      </c>
      <c r="V1816" s="6">
        <v>0</v>
      </c>
      <c r="W1816" s="6">
        <v>0</v>
      </c>
      <c r="X1816" s="6" t="s">
        <v>169</v>
      </c>
      <c r="Z1816" s="6" t="s">
        <v>170</v>
      </c>
      <c r="AA1816" s="6" t="s">
        <v>171</v>
      </c>
      <c r="AB1816" s="6">
        <v>0</v>
      </c>
      <c r="AC1816" s="6" t="str">
        <f>"KEY-035"</f>
        <v>KEY-035</v>
      </c>
      <c r="AQ1816" s="6" t="str">
        <f>""</f>
        <v/>
      </c>
      <c r="AR1816" s="6" t="s">
        <v>1567</v>
      </c>
      <c r="AS1816" s="6">
        <v>0</v>
      </c>
      <c r="AT1816" s="6">
        <v>2</v>
      </c>
    </row>
    <row r="1817" spans="2:46">
      <c r="B1817" s="6" t="s">
        <v>117</v>
      </c>
      <c r="D1817" s="6" t="s">
        <v>7120</v>
      </c>
      <c r="F1817" s="6" t="s">
        <v>7605</v>
      </c>
      <c r="G1817" s="6" t="str">
        <f>"3172344103899308"</f>
        <v>3172344103899308</v>
      </c>
      <c r="I1817" s="6" t="s">
        <v>7606</v>
      </c>
      <c r="J1817" s="6" t="str">
        <f>"RE SHORTS(BLACK)"</f>
        <v>RE SHORTS(BLACK)</v>
      </c>
      <c r="K1817" s="6">
        <v>0</v>
      </c>
      <c r="L1817" s="6">
        <v>0</v>
      </c>
      <c r="M1817" s="6">
        <v>0</v>
      </c>
      <c r="N1817" s="6" t="str">
        <f>""</f>
        <v/>
      </c>
      <c r="O1817" s="6">
        <v>25896</v>
      </c>
      <c r="P1817" s="6" t="s">
        <v>7607</v>
      </c>
      <c r="R1817" s="6" t="s">
        <v>2106</v>
      </c>
      <c r="S1817" s="6" t="s">
        <v>7608</v>
      </c>
      <c r="T1817" s="6">
        <v>2</v>
      </c>
      <c r="U1817" s="6">
        <v>0</v>
      </c>
      <c r="V1817" s="6">
        <v>0</v>
      </c>
      <c r="W1817" s="6">
        <v>0</v>
      </c>
      <c r="X1817" s="6" t="s">
        <v>169</v>
      </c>
      <c r="Z1817" s="6" t="s">
        <v>170</v>
      </c>
      <c r="AA1817" s="6" t="s">
        <v>171</v>
      </c>
      <c r="AB1817" s="6">
        <v>0</v>
      </c>
      <c r="AC1817" s="6" t="str">
        <f>"KEY-035"</f>
        <v>KEY-035</v>
      </c>
      <c r="AQ1817" s="6" t="str">
        <f>""</f>
        <v/>
      </c>
      <c r="AR1817" s="6" t="s">
        <v>1567</v>
      </c>
      <c r="AS1817" s="6">
        <v>0</v>
      </c>
      <c r="AT1817" s="6">
        <v>2</v>
      </c>
    </row>
    <row r="1818" spans="2:46">
      <c r="B1818" s="6" t="s">
        <v>117</v>
      </c>
      <c r="D1818" s="6" t="s">
        <v>7120</v>
      </c>
      <c r="F1818" s="6" t="s">
        <v>7609</v>
      </c>
      <c r="G1818" s="6" t="str">
        <f>"3172344103799308"</f>
        <v>3172344103799308</v>
      </c>
      <c r="I1818" s="6" t="s">
        <v>7610</v>
      </c>
      <c r="J1818" s="6" t="str">
        <f>"RE MATCHES SHORTS(BLACK)"</f>
        <v>RE MATCHES SHORTS(BLACK)</v>
      </c>
      <c r="K1818" s="6">
        <v>0</v>
      </c>
      <c r="L1818" s="6">
        <v>0</v>
      </c>
      <c r="M1818" s="6">
        <v>0</v>
      </c>
      <c r="N1818" s="6" t="str">
        <f>""</f>
        <v/>
      </c>
      <c r="O1818" s="6">
        <v>25894</v>
      </c>
      <c r="P1818" s="6" t="s">
        <v>7611</v>
      </c>
      <c r="R1818" s="6" t="s">
        <v>2106</v>
      </c>
      <c r="S1818" s="6" t="s">
        <v>7612</v>
      </c>
      <c r="T1818" s="6">
        <v>2</v>
      </c>
      <c r="U1818" s="6">
        <v>0</v>
      </c>
      <c r="V1818" s="6">
        <v>0</v>
      </c>
      <c r="W1818" s="6">
        <v>0</v>
      </c>
      <c r="X1818" s="6" t="s">
        <v>169</v>
      </c>
      <c r="Z1818" s="6" t="s">
        <v>170</v>
      </c>
      <c r="AA1818" s="6" t="s">
        <v>171</v>
      </c>
      <c r="AB1818" s="6">
        <v>0</v>
      </c>
      <c r="AC1818" s="6" t="str">
        <f>"KEY-032"</f>
        <v>KEY-032</v>
      </c>
      <c r="AQ1818" s="6" t="str">
        <f>""</f>
        <v/>
      </c>
      <c r="AR1818" s="6" t="s">
        <v>1567</v>
      </c>
      <c r="AS1818" s="6">
        <v>0</v>
      </c>
      <c r="AT1818" s="6">
        <v>2</v>
      </c>
    </row>
    <row r="1819" spans="2:46">
      <c r="B1819" s="6" t="s">
        <v>117</v>
      </c>
      <c r="D1819" s="6" t="s">
        <v>7120</v>
      </c>
      <c r="F1819" s="6" t="s">
        <v>7613</v>
      </c>
      <c r="G1819" s="6" t="str">
        <f>"3172344103774308"</f>
        <v>3172344103774308</v>
      </c>
      <c r="I1819" s="6" t="s">
        <v>7614</v>
      </c>
      <c r="J1819" s="6" t="str">
        <f>"RE MATCHES SHORTS(BEIGE)"</f>
        <v>RE MATCHES SHORTS(BEIGE)</v>
      </c>
      <c r="K1819" s="6">
        <v>0</v>
      </c>
      <c r="L1819" s="6">
        <v>0</v>
      </c>
      <c r="M1819" s="6">
        <v>0</v>
      </c>
      <c r="N1819" s="6" t="str">
        <f>""</f>
        <v/>
      </c>
      <c r="O1819" s="6">
        <v>25892</v>
      </c>
      <c r="P1819" s="6" t="s">
        <v>7615</v>
      </c>
      <c r="R1819" s="6" t="s">
        <v>2102</v>
      </c>
      <c r="S1819" s="6" t="s">
        <v>7616</v>
      </c>
      <c r="T1819" s="6">
        <v>2</v>
      </c>
      <c r="U1819" s="6">
        <v>0</v>
      </c>
      <c r="V1819" s="6">
        <v>0</v>
      </c>
      <c r="W1819" s="6">
        <v>0</v>
      </c>
      <c r="X1819" s="6" t="s">
        <v>169</v>
      </c>
      <c r="Z1819" s="6" t="s">
        <v>170</v>
      </c>
      <c r="AA1819" s="6" t="s">
        <v>171</v>
      </c>
      <c r="AB1819" s="6">
        <v>0</v>
      </c>
      <c r="AC1819" s="6" t="str">
        <f>"KEY-035"</f>
        <v>KEY-035</v>
      </c>
      <c r="AQ1819" s="6" t="str">
        <f>""</f>
        <v/>
      </c>
      <c r="AR1819" s="6" t="s">
        <v>1567</v>
      </c>
      <c r="AS1819" s="6">
        <v>0</v>
      </c>
      <c r="AT1819" s="6">
        <v>2</v>
      </c>
    </row>
    <row r="1820" spans="2:46">
      <c r="B1820" s="6" t="s">
        <v>117</v>
      </c>
      <c r="D1820" s="6" t="s">
        <v>7120</v>
      </c>
      <c r="F1820" s="6" t="s">
        <v>7617</v>
      </c>
      <c r="G1820" s="6" t="str">
        <f>"3172344103630308"</f>
        <v>3172344103630308</v>
      </c>
      <c r="I1820" s="6" t="s">
        <v>7618</v>
      </c>
      <c r="J1820" s="6" t="str">
        <f>"RE PIPING SHORTS(NAVY)"</f>
        <v>RE PIPING SHORTS(NAVY)</v>
      </c>
      <c r="K1820" s="6">
        <v>0</v>
      </c>
      <c r="L1820" s="6">
        <v>0</v>
      </c>
      <c r="M1820" s="6">
        <v>0</v>
      </c>
      <c r="N1820" s="6" t="str">
        <f>""</f>
        <v/>
      </c>
      <c r="O1820" s="6">
        <v>25890</v>
      </c>
      <c r="P1820" s="6" t="s">
        <v>7619</v>
      </c>
      <c r="R1820" s="6" t="s">
        <v>2111</v>
      </c>
      <c r="S1820" s="6" t="s">
        <v>7620</v>
      </c>
      <c r="T1820" s="6">
        <v>2</v>
      </c>
      <c r="U1820" s="6">
        <v>0</v>
      </c>
      <c r="V1820" s="6">
        <v>0</v>
      </c>
      <c r="W1820" s="6">
        <v>0</v>
      </c>
      <c r="X1820" s="6" t="s">
        <v>169</v>
      </c>
      <c r="Z1820" s="6" t="s">
        <v>170</v>
      </c>
      <c r="AA1820" s="6" t="s">
        <v>171</v>
      </c>
      <c r="AB1820" s="6">
        <v>0</v>
      </c>
      <c r="AC1820" s="6" t="str">
        <f>"KEY-012"</f>
        <v>KEY-012</v>
      </c>
      <c r="AQ1820" s="6" t="str">
        <f>""</f>
        <v/>
      </c>
      <c r="AR1820" s="6" t="s">
        <v>1584</v>
      </c>
      <c r="AS1820" s="6">
        <v>0</v>
      </c>
      <c r="AT1820" s="6">
        <v>2</v>
      </c>
    </row>
    <row r="1821" spans="2:46">
      <c r="B1821" s="6" t="s">
        <v>117</v>
      </c>
      <c r="D1821" s="6" t="s">
        <v>7120</v>
      </c>
      <c r="F1821" s="6" t="s">
        <v>7621</v>
      </c>
      <c r="G1821" s="6" t="str">
        <f>"3172252109291208"</f>
        <v>3172252109291208</v>
      </c>
      <c r="H1821" s="6">
        <v>3172252109291200</v>
      </c>
      <c r="I1821" s="6" t="s">
        <v>7622</v>
      </c>
      <c r="J1821" s="6" t="str">
        <f>"RE SLIP OPS(WHITE)"</f>
        <v>RE SLIP OPS(WHITE)</v>
      </c>
      <c r="K1821" s="6">
        <v>0</v>
      </c>
      <c r="L1821" s="6">
        <v>0</v>
      </c>
      <c r="M1821" s="6">
        <v>0</v>
      </c>
      <c r="N1821" s="6" t="str">
        <f>""</f>
        <v/>
      </c>
      <c r="O1821" s="6">
        <v>25888</v>
      </c>
      <c r="P1821" s="6" t="s">
        <v>7623</v>
      </c>
      <c r="R1821" s="6" t="s">
        <v>2167</v>
      </c>
      <c r="S1821" s="6" t="s">
        <v>7624</v>
      </c>
      <c r="T1821" s="6">
        <v>0</v>
      </c>
      <c r="U1821" s="6">
        <v>0</v>
      </c>
      <c r="V1821" s="6">
        <v>0</v>
      </c>
      <c r="W1821" s="6">
        <v>0</v>
      </c>
      <c r="X1821" s="6" t="s">
        <v>169</v>
      </c>
      <c r="Z1821" s="6" t="s">
        <v>170</v>
      </c>
      <c r="AA1821" s="6" t="s">
        <v>171</v>
      </c>
      <c r="AB1821" s="6">
        <v>0</v>
      </c>
      <c r="AC1821" s="6" t="str">
        <f>""</f>
        <v/>
      </c>
      <c r="AS1821" s="6">
        <v>0</v>
      </c>
      <c r="AT1821" s="6">
        <v>0</v>
      </c>
    </row>
    <row r="1822" spans="2:46">
      <c r="B1822" s="6" t="s">
        <v>117</v>
      </c>
      <c r="D1822" s="6" t="s">
        <v>7120</v>
      </c>
      <c r="F1822" s="6" t="s">
        <v>7625</v>
      </c>
      <c r="G1822" s="6" t="str">
        <f>"3172252109225208"</f>
        <v>3172252109225208</v>
      </c>
      <c r="H1822" s="6">
        <v>3172252109225200</v>
      </c>
      <c r="I1822" s="6" t="s">
        <v>7626</v>
      </c>
      <c r="J1822" s="6" t="str">
        <f>"RE SLIP OPS(BLUE)"</f>
        <v>RE SLIP OPS(BLUE)</v>
      </c>
      <c r="K1822" s="6">
        <v>0</v>
      </c>
      <c r="L1822" s="6">
        <v>0</v>
      </c>
      <c r="M1822" s="6">
        <v>0</v>
      </c>
      <c r="N1822" s="6" t="str">
        <f>""</f>
        <v/>
      </c>
      <c r="O1822" s="6">
        <v>25886</v>
      </c>
      <c r="P1822" s="6" t="s">
        <v>7627</v>
      </c>
      <c r="R1822" s="6" t="s">
        <v>2175</v>
      </c>
      <c r="S1822" s="6" t="s">
        <v>7628</v>
      </c>
      <c r="T1822" s="6">
        <v>0</v>
      </c>
      <c r="U1822" s="6">
        <v>0</v>
      </c>
      <c r="V1822" s="6">
        <v>0</v>
      </c>
      <c r="W1822" s="6">
        <v>0</v>
      </c>
      <c r="X1822" s="6" t="s">
        <v>169</v>
      </c>
      <c r="Z1822" s="6" t="s">
        <v>170</v>
      </c>
      <c r="AA1822" s="6" t="s">
        <v>171</v>
      </c>
      <c r="AB1822" s="6">
        <v>0</v>
      </c>
      <c r="AC1822" s="6" t="str">
        <f>""</f>
        <v/>
      </c>
      <c r="AS1822" s="6">
        <v>0</v>
      </c>
      <c r="AT1822" s="6">
        <v>0</v>
      </c>
    </row>
    <row r="1823" spans="2:46">
      <c r="B1823" s="6" t="s">
        <v>117</v>
      </c>
      <c r="D1823" s="6" t="s">
        <v>7120</v>
      </c>
      <c r="F1823" s="6" t="s">
        <v>7629</v>
      </c>
      <c r="G1823" s="6" t="str">
        <f>"3172252109161208"</f>
        <v>3172252109161208</v>
      </c>
      <c r="I1823" s="6" t="s">
        <v>7630</v>
      </c>
      <c r="J1823" s="6" t="str">
        <f>"RE KNOT OPS(RED)"</f>
        <v>RE KNOT OPS(RED)</v>
      </c>
      <c r="K1823" s="6">
        <v>0</v>
      </c>
      <c r="L1823" s="6">
        <v>0</v>
      </c>
      <c r="M1823" s="6">
        <v>0</v>
      </c>
      <c r="N1823" s="6" t="str">
        <f>""</f>
        <v/>
      </c>
      <c r="O1823" s="6">
        <v>25884</v>
      </c>
      <c r="P1823" s="6" t="s">
        <v>7631</v>
      </c>
      <c r="R1823" s="6" t="s">
        <v>2309</v>
      </c>
      <c r="S1823" s="6" t="s">
        <v>7632</v>
      </c>
      <c r="T1823" s="6">
        <v>1</v>
      </c>
      <c r="U1823" s="6">
        <v>0</v>
      </c>
      <c r="V1823" s="6">
        <v>0</v>
      </c>
      <c r="W1823" s="6">
        <v>0</v>
      </c>
      <c r="X1823" s="6" t="s">
        <v>169</v>
      </c>
      <c r="Z1823" s="6" t="s">
        <v>170</v>
      </c>
      <c r="AA1823" s="6" t="s">
        <v>171</v>
      </c>
      <c r="AB1823" s="6">
        <v>0</v>
      </c>
      <c r="AC1823" s="6" t="str">
        <f>"KEY-027"</f>
        <v>KEY-027</v>
      </c>
      <c r="AQ1823" s="6" t="str">
        <f>""</f>
        <v/>
      </c>
      <c r="AR1823" s="6" t="s">
        <v>1567</v>
      </c>
      <c r="AS1823" s="6">
        <v>0</v>
      </c>
      <c r="AT1823" s="6">
        <v>1</v>
      </c>
    </row>
    <row r="1824" spans="2:46">
      <c r="B1824" s="6" t="s">
        <v>117</v>
      </c>
      <c r="D1824" s="6" t="s">
        <v>7120</v>
      </c>
      <c r="F1824" s="6" t="s">
        <v>7633</v>
      </c>
      <c r="G1824" s="6" t="str">
        <f>"3172252109199208"</f>
        <v>3172252109199208</v>
      </c>
      <c r="I1824" s="6" t="s">
        <v>7634</v>
      </c>
      <c r="J1824" s="6" t="str">
        <f>"RE KNOT OPS(BLACK)"</f>
        <v>RE KNOT OPS(BLACK)</v>
      </c>
      <c r="K1824" s="6">
        <v>0</v>
      </c>
      <c r="L1824" s="6">
        <v>0</v>
      </c>
      <c r="M1824" s="6">
        <v>0</v>
      </c>
      <c r="N1824" s="6" t="str">
        <f>""</f>
        <v/>
      </c>
      <c r="O1824" s="6">
        <v>25882</v>
      </c>
      <c r="P1824" s="6" t="s">
        <v>7635</v>
      </c>
      <c r="R1824" s="6" t="s">
        <v>2106</v>
      </c>
      <c r="S1824" s="6" t="s">
        <v>7636</v>
      </c>
      <c r="T1824" s="6">
        <v>2</v>
      </c>
      <c r="U1824" s="6">
        <v>0</v>
      </c>
      <c r="V1824" s="6">
        <v>0</v>
      </c>
      <c r="W1824" s="6">
        <v>0</v>
      </c>
      <c r="X1824" s="6" t="s">
        <v>169</v>
      </c>
      <c r="Z1824" s="6" t="s">
        <v>170</v>
      </c>
      <c r="AA1824" s="6" t="s">
        <v>171</v>
      </c>
      <c r="AB1824" s="6">
        <v>0</v>
      </c>
      <c r="AC1824" s="6" t="str">
        <f>"KEY-028"</f>
        <v>KEY-028</v>
      </c>
      <c r="AQ1824" s="6" t="str">
        <f>""</f>
        <v/>
      </c>
      <c r="AR1824" s="6" t="s">
        <v>1567</v>
      </c>
      <c r="AS1824" s="6">
        <v>0</v>
      </c>
      <c r="AT1824" s="6">
        <v>2</v>
      </c>
    </row>
    <row r="1825" spans="2:46">
      <c r="B1825" s="6" t="s">
        <v>117</v>
      </c>
      <c r="D1825" s="6" t="s">
        <v>7120</v>
      </c>
      <c r="F1825" s="6" t="s">
        <v>7637</v>
      </c>
      <c r="G1825" s="6" t="str">
        <f>"3172252200191308"</f>
        <v>3172252200191308</v>
      </c>
      <c r="I1825" s="6" t="s">
        <v>7638</v>
      </c>
      <c r="J1825" s="6" t="str">
        <f>"RE SUSPENDER SKIRT(WHITE)"</f>
        <v>RE SUSPENDER SKIRT(WHITE)</v>
      </c>
      <c r="K1825" s="6">
        <v>0</v>
      </c>
      <c r="L1825" s="6">
        <v>0</v>
      </c>
      <c r="M1825" s="6">
        <v>0</v>
      </c>
      <c r="N1825" s="6" t="str">
        <f>""</f>
        <v/>
      </c>
      <c r="O1825" s="6">
        <v>25880</v>
      </c>
      <c r="P1825" s="6" t="s">
        <v>7639</v>
      </c>
      <c r="R1825" s="6" t="s">
        <v>2167</v>
      </c>
      <c r="S1825" s="6" t="s">
        <v>7640</v>
      </c>
      <c r="T1825" s="6">
        <v>2</v>
      </c>
      <c r="U1825" s="6">
        <v>0</v>
      </c>
      <c r="V1825" s="6">
        <v>0</v>
      </c>
      <c r="W1825" s="6">
        <v>0</v>
      </c>
      <c r="X1825" s="6" t="s">
        <v>169</v>
      </c>
      <c r="Z1825" s="6" t="s">
        <v>170</v>
      </c>
      <c r="AA1825" s="6" t="s">
        <v>171</v>
      </c>
      <c r="AB1825" s="6">
        <v>0</v>
      </c>
      <c r="AC1825" s="6" t="str">
        <f>"KEY-033"</f>
        <v>KEY-033</v>
      </c>
      <c r="AQ1825" s="6" t="str">
        <f>""</f>
        <v/>
      </c>
      <c r="AR1825" s="6" t="s">
        <v>1567</v>
      </c>
      <c r="AS1825" s="6">
        <v>0</v>
      </c>
      <c r="AT1825" s="6">
        <v>2</v>
      </c>
    </row>
    <row r="1826" spans="2:46">
      <c r="B1826" s="6" t="s">
        <v>117</v>
      </c>
      <c r="D1826" s="6" t="s">
        <v>7120</v>
      </c>
      <c r="F1826" s="6" t="s">
        <v>7641</v>
      </c>
      <c r="G1826" s="6" t="str">
        <f>"3172514100291108"</f>
        <v>3172514100291108</v>
      </c>
      <c r="I1826" s="6" t="s">
        <v>7642</v>
      </c>
      <c r="J1826" s="6" t="str">
        <f>"RE BACKPACK(WHITE)"</f>
        <v>RE BACKPACK(WHITE)</v>
      </c>
      <c r="K1826" s="6">
        <v>0</v>
      </c>
      <c r="L1826" s="6">
        <v>0</v>
      </c>
      <c r="M1826" s="6">
        <v>0</v>
      </c>
      <c r="N1826" s="6" t="str">
        <f>""</f>
        <v/>
      </c>
      <c r="O1826" s="6">
        <v>25878</v>
      </c>
      <c r="P1826" s="6" t="s">
        <v>7643</v>
      </c>
      <c r="R1826" s="6" t="s">
        <v>2167</v>
      </c>
      <c r="S1826" s="6" t="s">
        <v>7644</v>
      </c>
      <c r="T1826" s="6">
        <v>2</v>
      </c>
      <c r="U1826" s="6">
        <v>0</v>
      </c>
      <c r="V1826" s="6">
        <v>0</v>
      </c>
      <c r="W1826" s="6">
        <v>0</v>
      </c>
      <c r="X1826" s="6" t="s">
        <v>169</v>
      </c>
      <c r="Z1826" s="6" t="s">
        <v>170</v>
      </c>
      <c r="AA1826" s="6" t="s">
        <v>171</v>
      </c>
      <c r="AB1826" s="6">
        <v>0</v>
      </c>
      <c r="AC1826" s="6" t="str">
        <f t="shared" ref="AC1826:AC1831" si="11">"KEY-001"</f>
        <v>KEY-001</v>
      </c>
      <c r="AQ1826" s="6" t="str">
        <f>""</f>
        <v/>
      </c>
      <c r="AR1826" s="6" t="s">
        <v>1584</v>
      </c>
      <c r="AS1826" s="6">
        <v>0</v>
      </c>
      <c r="AT1826" s="6">
        <v>2</v>
      </c>
    </row>
    <row r="1827" spans="2:46">
      <c r="B1827" s="6" t="s">
        <v>117</v>
      </c>
      <c r="D1827" s="6" t="s">
        <v>7120</v>
      </c>
      <c r="F1827" s="6" t="s">
        <v>7645</v>
      </c>
      <c r="G1827" s="6" t="str">
        <f>"3172514201201108"</f>
        <v>3172514201201108</v>
      </c>
      <c r="I1827" s="6" t="s">
        <v>7646</v>
      </c>
      <c r="J1827" s="6" t="str">
        <f>"RE DUFFLE BAG(PINK)"</f>
        <v>RE DUFFLE BAG(PINK)</v>
      </c>
      <c r="K1827" s="6">
        <v>0</v>
      </c>
      <c r="L1827" s="6">
        <v>0</v>
      </c>
      <c r="M1827" s="6">
        <v>0</v>
      </c>
      <c r="N1827" s="6" t="str">
        <f>""</f>
        <v/>
      </c>
      <c r="O1827" s="6">
        <v>25876</v>
      </c>
      <c r="P1827" s="6" t="s">
        <v>7647</v>
      </c>
      <c r="R1827" s="6" t="s">
        <v>2446</v>
      </c>
      <c r="S1827" s="6" t="s">
        <v>7648</v>
      </c>
      <c r="T1827" s="6">
        <v>2</v>
      </c>
      <c r="U1827" s="6">
        <v>0</v>
      </c>
      <c r="V1827" s="6">
        <v>0</v>
      </c>
      <c r="W1827" s="6">
        <v>0</v>
      </c>
      <c r="X1827" s="6" t="s">
        <v>169</v>
      </c>
      <c r="Z1827" s="6" t="s">
        <v>170</v>
      </c>
      <c r="AA1827" s="6" t="s">
        <v>171</v>
      </c>
      <c r="AB1827" s="6">
        <v>0</v>
      </c>
      <c r="AC1827" s="6" t="str">
        <f t="shared" si="11"/>
        <v>KEY-001</v>
      </c>
      <c r="AQ1827" s="6" t="str">
        <f>""</f>
        <v/>
      </c>
      <c r="AR1827" s="6" t="s">
        <v>1584</v>
      </c>
      <c r="AS1827" s="6">
        <v>0</v>
      </c>
      <c r="AT1827" s="6">
        <v>2</v>
      </c>
    </row>
    <row r="1828" spans="2:46">
      <c r="B1828" s="6" t="s">
        <v>117</v>
      </c>
      <c r="D1828" s="6" t="s">
        <v>7120</v>
      </c>
      <c r="F1828" s="6" t="s">
        <v>7649</v>
      </c>
      <c r="G1828" s="6" t="str">
        <f>"3172514201225108"</f>
        <v>3172514201225108</v>
      </c>
      <c r="I1828" s="6" t="s">
        <v>7650</v>
      </c>
      <c r="J1828" s="6" t="str">
        <f>"RE DUFFLE BAG(BLUE)"</f>
        <v>RE DUFFLE BAG(BLUE)</v>
      </c>
      <c r="K1828" s="6">
        <v>0</v>
      </c>
      <c r="L1828" s="6">
        <v>0</v>
      </c>
      <c r="M1828" s="6">
        <v>0</v>
      </c>
      <c r="N1828" s="6" t="str">
        <f>""</f>
        <v/>
      </c>
      <c r="O1828" s="6">
        <v>25874</v>
      </c>
      <c r="P1828" s="6" t="s">
        <v>7651</v>
      </c>
      <c r="R1828" s="6" t="s">
        <v>2175</v>
      </c>
      <c r="S1828" s="6" t="s">
        <v>7652</v>
      </c>
      <c r="T1828" s="6">
        <v>2</v>
      </c>
      <c r="U1828" s="6">
        <v>0</v>
      </c>
      <c r="V1828" s="6">
        <v>0</v>
      </c>
      <c r="W1828" s="6">
        <v>0</v>
      </c>
      <c r="X1828" s="6" t="s">
        <v>169</v>
      </c>
      <c r="Z1828" s="6" t="s">
        <v>170</v>
      </c>
      <c r="AA1828" s="6" t="s">
        <v>171</v>
      </c>
      <c r="AB1828" s="6">
        <v>0</v>
      </c>
      <c r="AC1828" s="6" t="str">
        <f t="shared" si="11"/>
        <v>KEY-001</v>
      </c>
      <c r="AQ1828" s="6" t="str">
        <f>""</f>
        <v/>
      </c>
      <c r="AR1828" s="6" t="s">
        <v>1584</v>
      </c>
      <c r="AS1828" s="6">
        <v>0</v>
      </c>
      <c r="AT1828" s="6">
        <v>2</v>
      </c>
    </row>
    <row r="1829" spans="2:46">
      <c r="B1829" s="6" t="s">
        <v>117</v>
      </c>
      <c r="D1829" s="6" t="s">
        <v>7120</v>
      </c>
      <c r="F1829" s="6" t="s">
        <v>7653</v>
      </c>
      <c r="G1829" s="6" t="str">
        <f>"3172514201191108"</f>
        <v>3172514201191108</v>
      </c>
      <c r="I1829" s="6" t="s">
        <v>7654</v>
      </c>
      <c r="J1829" s="6" t="str">
        <f>"RE TOTE BAG(WHITE)"</f>
        <v>RE TOTE BAG(WHITE)</v>
      </c>
      <c r="K1829" s="6">
        <v>0</v>
      </c>
      <c r="L1829" s="6">
        <v>0</v>
      </c>
      <c r="M1829" s="6">
        <v>0</v>
      </c>
      <c r="N1829" s="6" t="str">
        <f>""</f>
        <v/>
      </c>
      <c r="O1829" s="6">
        <v>25872</v>
      </c>
      <c r="P1829" s="6" t="s">
        <v>7655</v>
      </c>
      <c r="R1829" s="6" t="s">
        <v>2167</v>
      </c>
      <c r="S1829" s="6" t="s">
        <v>7656</v>
      </c>
      <c r="T1829" s="6">
        <v>1</v>
      </c>
      <c r="U1829" s="6">
        <v>0</v>
      </c>
      <c r="V1829" s="6">
        <v>0</v>
      </c>
      <c r="W1829" s="6">
        <v>0</v>
      </c>
      <c r="X1829" s="6" t="s">
        <v>169</v>
      </c>
      <c r="Z1829" s="6" t="s">
        <v>170</v>
      </c>
      <c r="AA1829" s="6" t="s">
        <v>171</v>
      </c>
      <c r="AB1829" s="6">
        <v>0</v>
      </c>
      <c r="AC1829" s="6" t="str">
        <f t="shared" si="11"/>
        <v>KEY-001</v>
      </c>
      <c r="AQ1829" s="6" t="str">
        <f>""</f>
        <v/>
      </c>
      <c r="AR1829" s="6" t="s">
        <v>1584</v>
      </c>
      <c r="AS1829" s="6">
        <v>0</v>
      </c>
      <c r="AT1829" s="6">
        <v>1</v>
      </c>
    </row>
    <row r="1830" spans="2:46">
      <c r="B1830" s="6" t="s">
        <v>117</v>
      </c>
      <c r="D1830" s="6" t="s">
        <v>7120</v>
      </c>
      <c r="F1830" s="6" t="s">
        <v>7657</v>
      </c>
      <c r="G1830" s="6" t="str">
        <f>"3172514201101108"</f>
        <v>3172514201101108</v>
      </c>
      <c r="I1830" s="6" t="s">
        <v>7658</v>
      </c>
      <c r="J1830" s="6" t="str">
        <f>"RE TOTE BAG(PINK)"</f>
        <v>RE TOTE BAG(PINK)</v>
      </c>
      <c r="K1830" s="6">
        <v>0</v>
      </c>
      <c r="L1830" s="6">
        <v>0</v>
      </c>
      <c r="M1830" s="6">
        <v>0</v>
      </c>
      <c r="N1830" s="6" t="str">
        <f>""</f>
        <v/>
      </c>
      <c r="O1830" s="6">
        <v>25870</v>
      </c>
      <c r="P1830" s="6" t="s">
        <v>7659</v>
      </c>
      <c r="R1830" s="6" t="s">
        <v>2446</v>
      </c>
      <c r="S1830" s="6" t="s">
        <v>7660</v>
      </c>
      <c r="T1830" s="6">
        <v>1</v>
      </c>
      <c r="U1830" s="6">
        <v>0</v>
      </c>
      <c r="V1830" s="6">
        <v>0</v>
      </c>
      <c r="W1830" s="6">
        <v>0</v>
      </c>
      <c r="X1830" s="6" t="s">
        <v>169</v>
      </c>
      <c r="Z1830" s="6" t="s">
        <v>170</v>
      </c>
      <c r="AA1830" s="6" t="s">
        <v>171</v>
      </c>
      <c r="AB1830" s="6">
        <v>0</v>
      </c>
      <c r="AC1830" s="6" t="str">
        <f t="shared" si="11"/>
        <v>KEY-001</v>
      </c>
      <c r="AQ1830" s="6" t="str">
        <f>""</f>
        <v/>
      </c>
      <c r="AR1830" s="6" t="s">
        <v>1584</v>
      </c>
      <c r="AS1830" s="6">
        <v>0</v>
      </c>
      <c r="AT1830" s="6">
        <v>1</v>
      </c>
    </row>
    <row r="1831" spans="2:46">
      <c r="B1831" s="6" t="s">
        <v>117</v>
      </c>
      <c r="D1831" s="6" t="s">
        <v>7120</v>
      </c>
      <c r="F1831" s="6" t="s">
        <v>7661</v>
      </c>
      <c r="G1831" s="6" t="str">
        <f>"3172514201091101"</f>
        <v>3172514201091101</v>
      </c>
      <c r="I1831" s="6" t="s">
        <v>7662</v>
      </c>
      <c r="J1831" s="6" t="str">
        <f>"RE TS CLUTCH BAG(WHITE)"</f>
        <v>RE TS CLUTCH BAG(WHITE)</v>
      </c>
      <c r="K1831" s="6">
        <v>0</v>
      </c>
      <c r="L1831" s="6">
        <v>0</v>
      </c>
      <c r="M1831" s="6">
        <v>0</v>
      </c>
      <c r="N1831" s="6" t="str">
        <f>""</f>
        <v/>
      </c>
      <c r="O1831" s="6">
        <v>25868</v>
      </c>
      <c r="P1831" s="6" t="s">
        <v>7663</v>
      </c>
      <c r="R1831" s="6" t="s">
        <v>7664</v>
      </c>
      <c r="S1831" s="6" t="s">
        <v>7665</v>
      </c>
      <c r="T1831" s="6">
        <v>1</v>
      </c>
      <c r="U1831" s="6">
        <v>0</v>
      </c>
      <c r="V1831" s="6">
        <v>0</v>
      </c>
      <c r="W1831" s="6">
        <v>0</v>
      </c>
      <c r="X1831" s="6" t="s">
        <v>169</v>
      </c>
      <c r="Z1831" s="6" t="s">
        <v>170</v>
      </c>
      <c r="AA1831" s="6" t="s">
        <v>171</v>
      </c>
      <c r="AB1831" s="6">
        <v>0</v>
      </c>
      <c r="AC1831" s="6" t="str">
        <f t="shared" si="11"/>
        <v>KEY-001</v>
      </c>
      <c r="AQ1831" s="6" t="str">
        <f>""</f>
        <v/>
      </c>
      <c r="AR1831" s="6" t="s">
        <v>1584</v>
      </c>
      <c r="AS1831" s="6">
        <v>0</v>
      </c>
      <c r="AT1831" s="6">
        <v>1</v>
      </c>
    </row>
    <row r="1832" spans="2:46">
      <c r="B1832" s="6" t="s">
        <v>117</v>
      </c>
      <c r="D1832" s="6" t="s">
        <v>7120</v>
      </c>
      <c r="F1832" s="6" t="s">
        <v>7666</v>
      </c>
      <c r="G1832" s="6" t="str">
        <f>"3172544100165108"</f>
        <v>3172544100165108</v>
      </c>
      <c r="H1832" s="6">
        <v>3172544100165100</v>
      </c>
      <c r="I1832" s="6" t="s">
        <v>7667</v>
      </c>
      <c r="J1832" s="6" t="str">
        <f>"RE BELT(YELLOW)"</f>
        <v>RE BELT(YELLOW)</v>
      </c>
      <c r="K1832" s="6">
        <v>0</v>
      </c>
      <c r="L1832" s="6">
        <v>0</v>
      </c>
      <c r="M1832" s="6">
        <v>0</v>
      </c>
      <c r="N1832" s="6" t="str">
        <f>""</f>
        <v/>
      </c>
      <c r="O1832" s="6">
        <v>25866</v>
      </c>
      <c r="P1832" s="6" t="s">
        <v>7668</v>
      </c>
      <c r="R1832" s="6" t="s">
        <v>2570</v>
      </c>
      <c r="S1832" s="6" t="s">
        <v>7669</v>
      </c>
      <c r="T1832" s="6">
        <v>0</v>
      </c>
      <c r="U1832" s="6">
        <v>0</v>
      </c>
      <c r="V1832" s="6">
        <v>0</v>
      </c>
      <c r="W1832" s="6">
        <v>0</v>
      </c>
      <c r="X1832" s="6" t="s">
        <v>169</v>
      </c>
      <c r="Z1832" s="6" t="s">
        <v>170</v>
      </c>
      <c r="AA1832" s="6" t="s">
        <v>171</v>
      </c>
      <c r="AB1832" s="6">
        <v>0</v>
      </c>
      <c r="AC1832" s="6" t="str">
        <f>""</f>
        <v/>
      </c>
      <c r="AS1832" s="6">
        <v>0</v>
      </c>
      <c r="AT1832" s="6">
        <v>0</v>
      </c>
    </row>
    <row r="1833" spans="2:46">
      <c r="B1833" s="6" t="s">
        <v>117</v>
      </c>
      <c r="D1833" s="6" t="s">
        <v>7120</v>
      </c>
      <c r="F1833" s="6" t="s">
        <v>7670</v>
      </c>
      <c r="G1833" s="6" t="str">
        <f>"3172544100191108"</f>
        <v>3172544100191108</v>
      </c>
      <c r="H1833" s="6">
        <v>3172544100191100</v>
      </c>
      <c r="I1833" s="6" t="s">
        <v>7671</v>
      </c>
      <c r="J1833" s="6" t="str">
        <f>"RE BELT(WHITE)"</f>
        <v>RE BELT(WHITE)</v>
      </c>
      <c r="K1833" s="6">
        <v>0</v>
      </c>
      <c r="L1833" s="6">
        <v>0</v>
      </c>
      <c r="M1833" s="6">
        <v>0</v>
      </c>
      <c r="N1833" s="6" t="str">
        <f>""</f>
        <v/>
      </c>
      <c r="O1833" s="6">
        <v>25864</v>
      </c>
      <c r="P1833" s="6" t="s">
        <v>7672</v>
      </c>
      <c r="R1833" s="6" t="s">
        <v>2167</v>
      </c>
      <c r="S1833" s="6" t="s">
        <v>7673</v>
      </c>
      <c r="T1833" s="6">
        <v>0</v>
      </c>
      <c r="U1833" s="6">
        <v>0</v>
      </c>
      <c r="V1833" s="6">
        <v>0</v>
      </c>
      <c r="W1833" s="6">
        <v>0</v>
      </c>
      <c r="X1833" s="6" t="s">
        <v>169</v>
      </c>
      <c r="Z1833" s="6" t="s">
        <v>170</v>
      </c>
      <c r="AA1833" s="6" t="s">
        <v>171</v>
      </c>
      <c r="AB1833" s="6">
        <v>0</v>
      </c>
      <c r="AC1833" s="6" t="str">
        <f>""</f>
        <v/>
      </c>
      <c r="AS1833" s="6">
        <v>0</v>
      </c>
      <c r="AT1833" s="6">
        <v>0</v>
      </c>
    </row>
    <row r="1834" spans="2:46">
      <c r="B1834" s="6" t="s">
        <v>117</v>
      </c>
      <c r="D1834" s="6" t="s">
        <v>7120</v>
      </c>
      <c r="F1834" s="6" t="s">
        <v>7674</v>
      </c>
      <c r="G1834" s="6" t="str">
        <f>"3172544100101108"</f>
        <v>3172544100101108</v>
      </c>
      <c r="H1834" s="6">
        <v>3172544100101100</v>
      </c>
      <c r="I1834" s="6" t="s">
        <v>7675</v>
      </c>
      <c r="J1834" s="6" t="str">
        <f>"RE BELT(PINK)"</f>
        <v>RE BELT(PINK)</v>
      </c>
      <c r="K1834" s="6">
        <v>0</v>
      </c>
      <c r="L1834" s="6">
        <v>0</v>
      </c>
      <c r="M1834" s="6">
        <v>0</v>
      </c>
      <c r="N1834" s="6" t="str">
        <f>""</f>
        <v/>
      </c>
      <c r="O1834" s="6">
        <v>25862</v>
      </c>
      <c r="P1834" s="6" t="s">
        <v>7676</v>
      </c>
      <c r="R1834" s="6" t="s">
        <v>2446</v>
      </c>
      <c r="S1834" s="6" t="s">
        <v>7677</v>
      </c>
      <c r="T1834" s="6">
        <v>0</v>
      </c>
      <c r="U1834" s="6">
        <v>0</v>
      </c>
      <c r="V1834" s="6">
        <v>0</v>
      </c>
      <c r="W1834" s="6">
        <v>0</v>
      </c>
      <c r="X1834" s="6" t="s">
        <v>169</v>
      </c>
      <c r="Z1834" s="6" t="s">
        <v>170</v>
      </c>
      <c r="AA1834" s="6" t="s">
        <v>171</v>
      </c>
      <c r="AB1834" s="6">
        <v>0</v>
      </c>
      <c r="AC1834" s="6" t="str">
        <f>""</f>
        <v/>
      </c>
      <c r="AS1834" s="6">
        <v>0</v>
      </c>
      <c r="AT1834" s="6">
        <v>0</v>
      </c>
    </row>
    <row r="1835" spans="2:46">
      <c r="B1835" s="6" t="s">
        <v>117</v>
      </c>
      <c r="D1835" s="6" t="s">
        <v>7120</v>
      </c>
      <c r="F1835" s="6" t="s">
        <v>7678</v>
      </c>
      <c r="G1835" s="6" t="str">
        <f>"3172544100125108"</f>
        <v>3172544100125108</v>
      </c>
      <c r="H1835" s="6">
        <v>3172544100125100</v>
      </c>
      <c r="I1835" s="6" t="s">
        <v>7679</v>
      </c>
      <c r="J1835" s="6" t="str">
        <f>"RE BELT(BLUE)"</f>
        <v>RE BELT(BLUE)</v>
      </c>
      <c r="K1835" s="6">
        <v>0</v>
      </c>
      <c r="L1835" s="6">
        <v>0</v>
      </c>
      <c r="M1835" s="6">
        <v>0</v>
      </c>
      <c r="N1835" s="6" t="str">
        <f>""</f>
        <v/>
      </c>
      <c r="O1835" s="6">
        <v>25860</v>
      </c>
      <c r="P1835" s="6" t="s">
        <v>7680</v>
      </c>
      <c r="R1835" s="6" t="s">
        <v>2175</v>
      </c>
      <c r="S1835" s="6" t="s">
        <v>7681</v>
      </c>
      <c r="T1835" s="6">
        <v>0</v>
      </c>
      <c r="U1835" s="6">
        <v>0</v>
      </c>
      <c r="V1835" s="6">
        <v>0</v>
      </c>
      <c r="W1835" s="6">
        <v>0</v>
      </c>
      <c r="X1835" s="6" t="s">
        <v>169</v>
      </c>
      <c r="Z1835" s="6" t="s">
        <v>170</v>
      </c>
      <c r="AA1835" s="6" t="s">
        <v>171</v>
      </c>
      <c r="AB1835" s="6">
        <v>0</v>
      </c>
      <c r="AC1835" s="6" t="str">
        <f>""</f>
        <v/>
      </c>
      <c r="AS1835" s="6">
        <v>0</v>
      </c>
      <c r="AT1835" s="6">
        <v>0</v>
      </c>
    </row>
    <row r="1836" spans="2:46">
      <c r="B1836" s="6" t="s">
        <v>117</v>
      </c>
      <c r="D1836" s="6" t="s">
        <v>7120</v>
      </c>
      <c r="F1836" s="6" t="s">
        <v>7682</v>
      </c>
      <c r="G1836" s="6" t="str">
        <f>"3172524203191108"</f>
        <v>3172524203191108</v>
      </c>
      <c r="I1836" s="6" t="s">
        <v>7683</v>
      </c>
      <c r="J1836" s="6" t="str">
        <f>"RE SUN VISOR(WHITE)"</f>
        <v>RE SUN VISOR(WHITE)</v>
      </c>
      <c r="K1836" s="6">
        <v>0</v>
      </c>
      <c r="L1836" s="6">
        <v>0</v>
      </c>
      <c r="M1836" s="6">
        <v>0</v>
      </c>
      <c r="N1836" s="6" t="str">
        <f>""</f>
        <v/>
      </c>
      <c r="O1836" s="6">
        <v>25858</v>
      </c>
      <c r="P1836" s="6" t="s">
        <v>7684</v>
      </c>
      <c r="R1836" s="6" t="s">
        <v>2167</v>
      </c>
      <c r="S1836" s="6" t="s">
        <v>7685</v>
      </c>
      <c r="T1836" s="6">
        <v>1</v>
      </c>
      <c r="U1836" s="6">
        <v>0</v>
      </c>
      <c r="V1836" s="6">
        <v>0</v>
      </c>
      <c r="W1836" s="6">
        <v>0</v>
      </c>
      <c r="X1836" s="6" t="s">
        <v>169</v>
      </c>
      <c r="Z1836" s="6" t="s">
        <v>170</v>
      </c>
      <c r="AA1836" s="6" t="s">
        <v>171</v>
      </c>
      <c r="AB1836" s="6">
        <v>0</v>
      </c>
      <c r="AC1836" s="6" t="str">
        <f>"KEY-042"</f>
        <v>KEY-042</v>
      </c>
      <c r="AQ1836" s="6" t="str">
        <f>""</f>
        <v/>
      </c>
      <c r="AR1836" s="6" t="s">
        <v>1567</v>
      </c>
      <c r="AS1836" s="6">
        <v>0</v>
      </c>
      <c r="AT1836" s="6">
        <v>1</v>
      </c>
    </row>
    <row r="1837" spans="2:46">
      <c r="B1837" s="6" t="s">
        <v>117</v>
      </c>
      <c r="D1837" s="6" t="s">
        <v>7120</v>
      </c>
      <c r="F1837" s="6" t="s">
        <v>7686</v>
      </c>
      <c r="G1837" s="6" t="str">
        <f>"3172524203107108"</f>
        <v>3172524203107108</v>
      </c>
      <c r="I1837" s="6" t="s">
        <v>7687</v>
      </c>
      <c r="J1837" s="6" t="str">
        <f>"RE SUN VISOR(PINK)"</f>
        <v>RE SUN VISOR(PINK)</v>
      </c>
      <c r="K1837" s="6">
        <v>0</v>
      </c>
      <c r="L1837" s="6">
        <v>0</v>
      </c>
      <c r="M1837" s="6">
        <v>0</v>
      </c>
      <c r="N1837" s="6" t="str">
        <f>""</f>
        <v/>
      </c>
      <c r="O1837" s="6">
        <v>25856</v>
      </c>
      <c r="P1837" s="6" t="s">
        <v>7688</v>
      </c>
      <c r="R1837" s="6" t="s">
        <v>2446</v>
      </c>
      <c r="S1837" s="6" t="s">
        <v>7689</v>
      </c>
      <c r="T1837" s="6">
        <v>1</v>
      </c>
      <c r="U1837" s="6">
        <v>0</v>
      </c>
      <c r="V1837" s="6">
        <v>0</v>
      </c>
      <c r="W1837" s="6">
        <v>0</v>
      </c>
      <c r="X1837" s="6" t="s">
        <v>169</v>
      </c>
      <c r="Z1837" s="6" t="s">
        <v>170</v>
      </c>
      <c r="AA1837" s="6" t="s">
        <v>171</v>
      </c>
      <c r="AB1837" s="6">
        <v>0</v>
      </c>
      <c r="AC1837" s="6" t="str">
        <f>"KEY-042"</f>
        <v>KEY-042</v>
      </c>
      <c r="AQ1837" s="6" t="str">
        <f>""</f>
        <v/>
      </c>
      <c r="AR1837" s="6" t="s">
        <v>1567</v>
      </c>
      <c r="AS1837" s="6">
        <v>0</v>
      </c>
      <c r="AT1837" s="6">
        <v>1</v>
      </c>
    </row>
    <row r="1838" spans="2:46">
      <c r="B1838" s="6" t="s">
        <v>117</v>
      </c>
      <c r="D1838" s="6" t="s">
        <v>7120</v>
      </c>
      <c r="F1838" s="6" t="s">
        <v>7690</v>
      </c>
      <c r="G1838" s="6" t="str">
        <f>"3172524203065108"</f>
        <v>3172524203065108</v>
      </c>
      <c r="I1838" s="6" t="s">
        <v>7691</v>
      </c>
      <c r="J1838" s="6" t="str">
        <f>"RE FLASHLIGHT CAP(YELLOW)"</f>
        <v>RE FLASHLIGHT CAP(YELLOW)</v>
      </c>
      <c r="K1838" s="6">
        <v>0</v>
      </c>
      <c r="L1838" s="6">
        <v>0</v>
      </c>
      <c r="M1838" s="6">
        <v>0</v>
      </c>
      <c r="N1838" s="6" t="str">
        <f>""</f>
        <v/>
      </c>
      <c r="O1838" s="6">
        <v>25854</v>
      </c>
      <c r="P1838" s="6" t="s">
        <v>7692</v>
      </c>
      <c r="R1838" s="6" t="s">
        <v>2570</v>
      </c>
      <c r="S1838" s="6" t="s">
        <v>7693</v>
      </c>
      <c r="T1838" s="6">
        <v>1</v>
      </c>
      <c r="U1838" s="6">
        <v>0</v>
      </c>
      <c r="V1838" s="6">
        <v>0</v>
      </c>
      <c r="W1838" s="6">
        <v>0</v>
      </c>
      <c r="X1838" s="6" t="s">
        <v>169</v>
      </c>
      <c r="Z1838" s="6" t="s">
        <v>170</v>
      </c>
      <c r="AA1838" s="6" t="s">
        <v>171</v>
      </c>
      <c r="AB1838" s="6">
        <v>0</v>
      </c>
      <c r="AC1838" s="6" t="str">
        <f>"KEY-012"</f>
        <v>KEY-012</v>
      </c>
      <c r="AQ1838" s="6" t="str">
        <f>""</f>
        <v/>
      </c>
      <c r="AR1838" s="6" t="s">
        <v>1584</v>
      </c>
      <c r="AS1838" s="6">
        <v>0</v>
      </c>
      <c r="AT1838" s="6">
        <v>1</v>
      </c>
    </row>
    <row r="1839" spans="2:46">
      <c r="B1839" s="6" t="s">
        <v>117</v>
      </c>
      <c r="D1839" s="6" t="s">
        <v>7120</v>
      </c>
      <c r="F1839" s="6" t="s">
        <v>7694</v>
      </c>
      <c r="G1839" s="6" t="str">
        <f>"3172524203001108"</f>
        <v>3172524203001108</v>
      </c>
      <c r="I1839" s="6" t="s">
        <v>7695</v>
      </c>
      <c r="J1839" s="6" t="str">
        <f>"RE FLASHLIGHT CAP(PINK)"</f>
        <v>RE FLASHLIGHT CAP(PINK)</v>
      </c>
      <c r="K1839" s="6">
        <v>0</v>
      </c>
      <c r="L1839" s="6">
        <v>0</v>
      </c>
      <c r="M1839" s="6">
        <v>0</v>
      </c>
      <c r="N1839" s="6" t="str">
        <f>""</f>
        <v/>
      </c>
      <c r="O1839" s="6">
        <v>25852</v>
      </c>
      <c r="P1839" s="6" t="s">
        <v>7696</v>
      </c>
      <c r="R1839" s="6" t="s">
        <v>2446</v>
      </c>
      <c r="S1839" s="6" t="s">
        <v>7697</v>
      </c>
      <c r="T1839" s="6">
        <v>1</v>
      </c>
      <c r="U1839" s="6">
        <v>0</v>
      </c>
      <c r="V1839" s="6">
        <v>0</v>
      </c>
      <c r="W1839" s="6">
        <v>0</v>
      </c>
      <c r="X1839" s="6" t="s">
        <v>169</v>
      </c>
      <c r="Z1839" s="6" t="s">
        <v>170</v>
      </c>
      <c r="AA1839" s="6" t="s">
        <v>171</v>
      </c>
      <c r="AB1839" s="6">
        <v>0</v>
      </c>
      <c r="AC1839" s="6" t="str">
        <f>"KEY-012"</f>
        <v>KEY-012</v>
      </c>
      <c r="AQ1839" s="6" t="str">
        <f>""</f>
        <v/>
      </c>
      <c r="AR1839" s="6" t="s">
        <v>1584</v>
      </c>
      <c r="AS1839" s="6">
        <v>0</v>
      </c>
      <c r="AT1839" s="6">
        <v>1</v>
      </c>
    </row>
    <row r="1840" spans="2:46">
      <c r="B1840" s="6" t="s">
        <v>7698</v>
      </c>
      <c r="D1840" s="6" t="s">
        <v>7120</v>
      </c>
      <c r="F1840" s="6" t="s">
        <v>7699</v>
      </c>
      <c r="G1840" s="6" t="str">
        <f>"3174222108561208"</f>
        <v>3174222108561208</v>
      </c>
      <c r="H1840" s="6">
        <v>3174222108561200</v>
      </c>
      <c r="I1840" s="6" t="s">
        <v>7700</v>
      </c>
      <c r="J1840" s="6" t="str">
        <f>"17W GL TURTLENECK (RED)"</f>
        <v>17W GL TURTLENECK (RED)</v>
      </c>
      <c r="K1840" s="6">
        <v>0</v>
      </c>
      <c r="L1840" s="6">
        <v>0</v>
      </c>
      <c r="M1840" s="6">
        <v>0</v>
      </c>
      <c r="N1840" s="6" t="str">
        <f>""</f>
        <v/>
      </c>
      <c r="O1840" s="6">
        <v>25850</v>
      </c>
      <c r="P1840" s="6" t="s">
        <v>7701</v>
      </c>
      <c r="R1840" s="6" t="s">
        <v>7702</v>
      </c>
      <c r="S1840" s="6" t="s">
        <v>7703</v>
      </c>
      <c r="T1840" s="6">
        <v>0</v>
      </c>
      <c r="U1840" s="6">
        <v>0</v>
      </c>
      <c r="V1840" s="6">
        <v>0</v>
      </c>
      <c r="W1840" s="6">
        <v>0</v>
      </c>
      <c r="X1840" s="6" t="s">
        <v>169</v>
      </c>
      <c r="Z1840" s="6" t="s">
        <v>170</v>
      </c>
      <c r="AA1840" s="6" t="s">
        <v>171</v>
      </c>
      <c r="AB1840" s="6">
        <v>0</v>
      </c>
      <c r="AC1840" s="6" t="str">
        <f>""</f>
        <v/>
      </c>
      <c r="AS1840" s="6">
        <v>0</v>
      </c>
      <c r="AT1840" s="6">
        <v>0</v>
      </c>
    </row>
    <row r="1841" spans="2:46">
      <c r="B1841" s="6" t="s">
        <v>7698</v>
      </c>
      <c r="D1841" s="6" t="s">
        <v>7120</v>
      </c>
      <c r="F1841" s="6" t="s">
        <v>7704</v>
      </c>
      <c r="G1841" s="6" t="str">
        <f>"3174222108592208"</f>
        <v>3174222108592208</v>
      </c>
      <c r="H1841" s="6">
        <v>3174222108592200</v>
      </c>
      <c r="I1841" s="6" t="s">
        <v>7705</v>
      </c>
      <c r="J1841" s="6" t="str">
        <f>"17W GL TURTLENECK (GOLD)"</f>
        <v>17W GL TURTLENECK (GOLD)</v>
      </c>
      <c r="K1841" s="6">
        <v>0</v>
      </c>
      <c r="L1841" s="6">
        <v>0</v>
      </c>
      <c r="M1841" s="6">
        <v>0</v>
      </c>
      <c r="N1841" s="6" t="str">
        <f>""</f>
        <v/>
      </c>
      <c r="O1841" s="6">
        <v>25848</v>
      </c>
      <c r="P1841" s="6" t="s">
        <v>7706</v>
      </c>
      <c r="R1841" s="6" t="s">
        <v>7707</v>
      </c>
      <c r="S1841" s="6" t="s">
        <v>7708</v>
      </c>
      <c r="T1841" s="6">
        <v>0</v>
      </c>
      <c r="U1841" s="6">
        <v>0</v>
      </c>
      <c r="V1841" s="6">
        <v>0</v>
      </c>
      <c r="W1841" s="6">
        <v>0</v>
      </c>
      <c r="X1841" s="6" t="s">
        <v>169</v>
      </c>
      <c r="Z1841" s="6" t="s">
        <v>170</v>
      </c>
      <c r="AA1841" s="6" t="s">
        <v>171</v>
      </c>
      <c r="AB1841" s="6">
        <v>0</v>
      </c>
      <c r="AC1841" s="6" t="str">
        <f>""</f>
        <v/>
      </c>
      <c r="AS1841" s="6">
        <v>0</v>
      </c>
      <c r="AT1841" s="6">
        <v>0</v>
      </c>
    </row>
    <row r="1842" spans="2:46">
      <c r="B1842" s="6" t="s">
        <v>7698</v>
      </c>
      <c r="D1842" s="6" t="s">
        <v>7120</v>
      </c>
      <c r="F1842" s="6" t="s">
        <v>7709</v>
      </c>
      <c r="G1842" s="6" t="str">
        <f>"3174222108599208"</f>
        <v>3174222108599208</v>
      </c>
      <c r="H1842" s="6">
        <v>3174222108599200</v>
      </c>
      <c r="I1842" s="6" t="s">
        <v>7710</v>
      </c>
      <c r="J1842" s="6" t="str">
        <f>"17W GL TURTLENECK (BLACK)"</f>
        <v>17W GL TURTLENECK (BLACK)</v>
      </c>
      <c r="K1842" s="6">
        <v>0</v>
      </c>
      <c r="L1842" s="6">
        <v>0</v>
      </c>
      <c r="M1842" s="6">
        <v>0</v>
      </c>
      <c r="N1842" s="6" t="str">
        <f>""</f>
        <v/>
      </c>
      <c r="O1842" s="6">
        <v>25846</v>
      </c>
      <c r="P1842" s="6" t="s">
        <v>7711</v>
      </c>
      <c r="R1842" s="6" t="s">
        <v>5066</v>
      </c>
      <c r="S1842" s="6" t="s">
        <v>7712</v>
      </c>
      <c r="T1842" s="6">
        <v>0</v>
      </c>
      <c r="U1842" s="6">
        <v>0</v>
      </c>
      <c r="V1842" s="6">
        <v>0</v>
      </c>
      <c r="W1842" s="6">
        <v>0</v>
      </c>
      <c r="X1842" s="6" t="s">
        <v>169</v>
      </c>
      <c r="Z1842" s="6" t="s">
        <v>170</v>
      </c>
      <c r="AA1842" s="6" t="s">
        <v>171</v>
      </c>
      <c r="AB1842" s="6">
        <v>0</v>
      </c>
      <c r="AC1842" s="6" t="str">
        <f>""</f>
        <v/>
      </c>
      <c r="AS1842" s="6">
        <v>0</v>
      </c>
      <c r="AT1842" s="6">
        <v>0</v>
      </c>
    </row>
    <row r="1843" spans="2:46">
      <c r="B1843" s="6" t="s">
        <v>7698</v>
      </c>
      <c r="D1843" s="6" t="s">
        <v>7120</v>
      </c>
      <c r="F1843" s="6" t="s">
        <v>7713</v>
      </c>
      <c r="G1843" s="6" t="str">
        <f>"3174222108462208"</f>
        <v>3174222108462208</v>
      </c>
      <c r="H1843" s="6">
        <v>3174222108462200</v>
      </c>
      <c r="I1843" s="6" t="s">
        <v>7714</v>
      </c>
      <c r="J1843" s="6" t="str">
        <f>"17W RB TURTLENECK (ORANGE)"</f>
        <v>17W RB TURTLENECK (ORANGE)</v>
      </c>
      <c r="K1843" s="6">
        <v>0</v>
      </c>
      <c r="L1843" s="6">
        <v>0</v>
      </c>
      <c r="M1843" s="6">
        <v>0</v>
      </c>
      <c r="N1843" s="6" t="str">
        <f>""</f>
        <v/>
      </c>
      <c r="O1843" s="6">
        <v>25844</v>
      </c>
      <c r="P1843" s="6" t="s">
        <v>7715</v>
      </c>
      <c r="R1843" s="6" t="s">
        <v>7716</v>
      </c>
      <c r="S1843" s="6" t="s">
        <v>7717</v>
      </c>
      <c r="T1843" s="6">
        <v>0</v>
      </c>
      <c r="U1843" s="6">
        <v>0</v>
      </c>
      <c r="V1843" s="6">
        <v>0</v>
      </c>
      <c r="W1843" s="6">
        <v>0</v>
      </c>
      <c r="X1843" s="6" t="s">
        <v>169</v>
      </c>
      <c r="Z1843" s="6" t="s">
        <v>170</v>
      </c>
      <c r="AA1843" s="6" t="s">
        <v>171</v>
      </c>
      <c r="AB1843" s="6">
        <v>0</v>
      </c>
      <c r="AC1843" s="6" t="str">
        <f>""</f>
        <v/>
      </c>
      <c r="AS1843" s="6">
        <v>0</v>
      </c>
      <c r="AT1843" s="6">
        <v>0</v>
      </c>
    </row>
    <row r="1844" spans="2:46">
      <c r="B1844" s="6" t="s">
        <v>7698</v>
      </c>
      <c r="D1844" s="6" t="s">
        <v>7120</v>
      </c>
      <c r="F1844" s="6" t="s">
        <v>7718</v>
      </c>
      <c r="G1844" s="6" t="str">
        <f>"3174222108469208"</f>
        <v>3174222108469208</v>
      </c>
      <c r="H1844" s="6">
        <v>3174222108469200</v>
      </c>
      <c r="I1844" s="6" t="s">
        <v>7719</v>
      </c>
      <c r="J1844" s="6" t="str">
        <f>"17W RB TURTLENECK (IVORY)"</f>
        <v>17W RB TURTLENECK (IVORY)</v>
      </c>
      <c r="K1844" s="6">
        <v>0</v>
      </c>
      <c r="L1844" s="6">
        <v>0</v>
      </c>
      <c r="M1844" s="6">
        <v>0</v>
      </c>
      <c r="N1844" s="6" t="str">
        <f>""</f>
        <v/>
      </c>
      <c r="O1844" s="6">
        <v>25842</v>
      </c>
      <c r="P1844" s="6" t="s">
        <v>7720</v>
      </c>
      <c r="R1844" s="6" t="s">
        <v>6944</v>
      </c>
      <c r="S1844" s="6" t="s">
        <v>7721</v>
      </c>
      <c r="T1844" s="6">
        <v>0</v>
      </c>
      <c r="U1844" s="6">
        <v>0</v>
      </c>
      <c r="V1844" s="6">
        <v>0</v>
      </c>
      <c r="W1844" s="6">
        <v>0</v>
      </c>
      <c r="X1844" s="6" t="s">
        <v>169</v>
      </c>
      <c r="Z1844" s="6" t="s">
        <v>170</v>
      </c>
      <c r="AA1844" s="6" t="s">
        <v>171</v>
      </c>
      <c r="AB1844" s="6">
        <v>0</v>
      </c>
      <c r="AC1844" s="6" t="str">
        <f>""</f>
        <v/>
      </c>
      <c r="AS1844" s="6">
        <v>0</v>
      </c>
      <c r="AT1844" s="6">
        <v>0</v>
      </c>
    </row>
    <row r="1845" spans="2:46">
      <c r="B1845" s="6" t="s">
        <v>7698</v>
      </c>
      <c r="D1845" s="6" t="s">
        <v>7120</v>
      </c>
      <c r="F1845" s="6" t="s">
        <v>7722</v>
      </c>
      <c r="G1845" s="6" t="str">
        <f>"3174222108475208"</f>
        <v>3174222108475208</v>
      </c>
      <c r="H1845" s="6">
        <v>3174222108475200</v>
      </c>
      <c r="I1845" s="6" t="s">
        <v>7723</v>
      </c>
      <c r="J1845" s="6" t="str">
        <f>"17W RB TURTLENECK (BROWN)"</f>
        <v>17W RB TURTLENECK (BROWN)</v>
      </c>
      <c r="K1845" s="6">
        <v>0</v>
      </c>
      <c r="L1845" s="6">
        <v>0</v>
      </c>
      <c r="M1845" s="6">
        <v>0</v>
      </c>
      <c r="N1845" s="6" t="str">
        <f>""</f>
        <v/>
      </c>
      <c r="O1845" s="6">
        <v>25840</v>
      </c>
      <c r="P1845" s="6" t="s">
        <v>7724</v>
      </c>
      <c r="R1845" s="6" t="s">
        <v>7725</v>
      </c>
      <c r="S1845" s="6" t="s">
        <v>7726</v>
      </c>
      <c r="T1845" s="6">
        <v>0</v>
      </c>
      <c r="U1845" s="6">
        <v>0</v>
      </c>
      <c r="V1845" s="6">
        <v>0</v>
      </c>
      <c r="W1845" s="6">
        <v>0</v>
      </c>
      <c r="X1845" s="6" t="s">
        <v>169</v>
      </c>
      <c r="Z1845" s="6" t="s">
        <v>170</v>
      </c>
      <c r="AA1845" s="6" t="s">
        <v>171</v>
      </c>
      <c r="AB1845" s="6">
        <v>0</v>
      </c>
      <c r="AC1845" s="6" t="str">
        <f>""</f>
        <v/>
      </c>
      <c r="AS1845" s="6">
        <v>0</v>
      </c>
      <c r="AT1845" s="6">
        <v>0</v>
      </c>
    </row>
    <row r="1846" spans="2:46">
      <c r="B1846" s="6" t="s">
        <v>7698</v>
      </c>
      <c r="D1846" s="6" t="s">
        <v>7120</v>
      </c>
      <c r="F1846" s="6" t="s">
        <v>7727</v>
      </c>
      <c r="G1846" s="6" t="str">
        <f>"3174222108301208"</f>
        <v>3174222108301208</v>
      </c>
      <c r="H1846" s="6">
        <v>3174222108301200</v>
      </c>
      <c r="I1846" s="6" t="s">
        <v>7728</v>
      </c>
      <c r="J1846" s="6" t="str">
        <f>"17W VV TURTLENECK (PINK)"</f>
        <v>17W VV TURTLENECK (PINK)</v>
      </c>
      <c r="K1846" s="6">
        <v>0</v>
      </c>
      <c r="L1846" s="6">
        <v>0</v>
      </c>
      <c r="M1846" s="6">
        <v>0</v>
      </c>
      <c r="N1846" s="6" t="str">
        <f>""</f>
        <v/>
      </c>
      <c r="O1846" s="6">
        <v>25838</v>
      </c>
      <c r="P1846" s="6" t="s">
        <v>7729</v>
      </c>
      <c r="R1846" s="6" t="s">
        <v>1469</v>
      </c>
      <c r="S1846" s="6" t="s">
        <v>7730</v>
      </c>
      <c r="T1846" s="6">
        <v>0</v>
      </c>
      <c r="U1846" s="6">
        <v>0</v>
      </c>
      <c r="V1846" s="6">
        <v>0</v>
      </c>
      <c r="W1846" s="6">
        <v>0</v>
      </c>
      <c r="X1846" s="6" t="s">
        <v>169</v>
      </c>
      <c r="Z1846" s="6" t="s">
        <v>170</v>
      </c>
      <c r="AA1846" s="6" t="s">
        <v>171</v>
      </c>
      <c r="AB1846" s="6">
        <v>0</v>
      </c>
      <c r="AC1846" s="6" t="str">
        <f>""</f>
        <v/>
      </c>
      <c r="AS1846" s="6">
        <v>0</v>
      </c>
      <c r="AT1846" s="6">
        <v>0</v>
      </c>
    </row>
    <row r="1847" spans="2:46">
      <c r="B1847" s="6" t="s">
        <v>7698</v>
      </c>
      <c r="D1847" s="6" t="s">
        <v>7120</v>
      </c>
      <c r="F1847" s="6" t="s">
        <v>7731</v>
      </c>
      <c r="G1847" s="6" t="str">
        <f>"3174222108374208"</f>
        <v>3174222108374208</v>
      </c>
      <c r="H1847" s="6">
        <v>3174222108374200</v>
      </c>
      <c r="I1847" s="6" t="s">
        <v>7732</v>
      </c>
      <c r="J1847" s="6" t="str">
        <f>"17W VV TURTLENECK (BEIGE)"</f>
        <v>17W VV TURTLENECK (BEIGE)</v>
      </c>
      <c r="K1847" s="6">
        <v>0</v>
      </c>
      <c r="L1847" s="6">
        <v>0</v>
      </c>
      <c r="M1847" s="6">
        <v>0</v>
      </c>
      <c r="N1847" s="6" t="str">
        <f>""</f>
        <v/>
      </c>
      <c r="O1847" s="6">
        <v>25836</v>
      </c>
      <c r="P1847" s="6" t="s">
        <v>7733</v>
      </c>
      <c r="R1847" s="6" t="s">
        <v>6875</v>
      </c>
      <c r="S1847" s="6" t="s">
        <v>7734</v>
      </c>
      <c r="T1847" s="6">
        <v>0</v>
      </c>
      <c r="U1847" s="6">
        <v>0</v>
      </c>
      <c r="V1847" s="6">
        <v>0</v>
      </c>
      <c r="W1847" s="6">
        <v>0</v>
      </c>
      <c r="X1847" s="6" t="s">
        <v>169</v>
      </c>
      <c r="Z1847" s="6" t="s">
        <v>170</v>
      </c>
      <c r="AA1847" s="6" t="s">
        <v>171</v>
      </c>
      <c r="AB1847" s="6">
        <v>0</v>
      </c>
      <c r="AC1847" s="6" t="str">
        <f>""</f>
        <v/>
      </c>
      <c r="AS1847" s="6">
        <v>0</v>
      </c>
      <c r="AT1847" s="6">
        <v>0</v>
      </c>
    </row>
    <row r="1848" spans="2:46">
      <c r="B1848" s="6" t="s">
        <v>7698</v>
      </c>
      <c r="D1848" s="6" t="s">
        <v>7120</v>
      </c>
      <c r="F1848" s="6" t="s">
        <v>7735</v>
      </c>
      <c r="G1848" s="6" t="str">
        <f>"3174222108274208"</f>
        <v>3174222108274208</v>
      </c>
      <c r="H1848" s="6">
        <v>3174222108274200</v>
      </c>
      <c r="I1848" s="6" t="s">
        <v>7736</v>
      </c>
      <c r="J1848" s="6" t="str">
        <f>"17W ST TURTLENECK (BEIGE)"</f>
        <v>17W ST TURTLENECK (BEIGE)</v>
      </c>
      <c r="K1848" s="6">
        <v>0</v>
      </c>
      <c r="L1848" s="6">
        <v>0</v>
      </c>
      <c r="M1848" s="6">
        <v>0</v>
      </c>
      <c r="N1848" s="6" t="str">
        <f>""</f>
        <v/>
      </c>
      <c r="O1848" s="6">
        <v>25834</v>
      </c>
      <c r="P1848" s="6" t="s">
        <v>7737</v>
      </c>
      <c r="R1848" s="6" t="s">
        <v>6875</v>
      </c>
      <c r="S1848" s="6" t="s">
        <v>7738</v>
      </c>
      <c r="T1848" s="6">
        <v>0</v>
      </c>
      <c r="U1848" s="6">
        <v>0</v>
      </c>
      <c r="V1848" s="6">
        <v>0</v>
      </c>
      <c r="W1848" s="6">
        <v>0</v>
      </c>
      <c r="X1848" s="6" t="s">
        <v>169</v>
      </c>
      <c r="Z1848" s="6" t="s">
        <v>170</v>
      </c>
      <c r="AA1848" s="6" t="s">
        <v>171</v>
      </c>
      <c r="AB1848" s="6">
        <v>0</v>
      </c>
      <c r="AC1848" s="6" t="str">
        <f>""</f>
        <v/>
      </c>
      <c r="AS1848" s="6">
        <v>0</v>
      </c>
      <c r="AT1848" s="6">
        <v>0</v>
      </c>
    </row>
    <row r="1849" spans="2:46">
      <c r="B1849" s="6" t="s">
        <v>7698</v>
      </c>
      <c r="D1849" s="6" t="s">
        <v>7120</v>
      </c>
      <c r="F1849" s="6" t="s">
        <v>7739</v>
      </c>
      <c r="G1849" s="6" t="str">
        <f>"3174222108191208"</f>
        <v>3174222108191208</v>
      </c>
      <c r="H1849" s="6">
        <v>3174222108191200</v>
      </c>
      <c r="I1849" s="6" t="s">
        <v>7740</v>
      </c>
      <c r="J1849" s="6" t="str">
        <f>"17W ST TURTLENECK (WHITE)"</f>
        <v>17W ST TURTLENECK (WHITE)</v>
      </c>
      <c r="K1849" s="6">
        <v>0</v>
      </c>
      <c r="L1849" s="6">
        <v>0</v>
      </c>
      <c r="M1849" s="6">
        <v>0</v>
      </c>
      <c r="N1849" s="6" t="str">
        <f>""</f>
        <v/>
      </c>
      <c r="O1849" s="6">
        <v>25832</v>
      </c>
      <c r="P1849" s="6" t="s">
        <v>7741</v>
      </c>
      <c r="R1849" s="6" t="s">
        <v>5061</v>
      </c>
      <c r="S1849" s="6" t="s">
        <v>7742</v>
      </c>
      <c r="T1849" s="6">
        <v>0</v>
      </c>
      <c r="U1849" s="6">
        <v>0</v>
      </c>
      <c r="V1849" s="6">
        <v>0</v>
      </c>
      <c r="W1849" s="6">
        <v>0</v>
      </c>
      <c r="X1849" s="6" t="s">
        <v>169</v>
      </c>
      <c r="Z1849" s="6" t="s">
        <v>170</v>
      </c>
      <c r="AA1849" s="6" t="s">
        <v>171</v>
      </c>
      <c r="AB1849" s="6">
        <v>0</v>
      </c>
      <c r="AC1849" s="6" t="str">
        <f>""</f>
        <v/>
      </c>
      <c r="AS1849" s="6">
        <v>0</v>
      </c>
      <c r="AT1849" s="6">
        <v>0</v>
      </c>
    </row>
    <row r="1850" spans="2:46">
      <c r="B1850" s="6" t="s">
        <v>7698</v>
      </c>
      <c r="D1850" s="6" t="s">
        <v>7120</v>
      </c>
      <c r="F1850" s="6" t="s">
        <v>7743</v>
      </c>
      <c r="G1850" s="6" t="str">
        <f>"3174222108006208"</f>
        <v>3174222108006208</v>
      </c>
      <c r="H1850" s="6">
        <v>3174222108006200</v>
      </c>
      <c r="I1850" s="6" t="s">
        <v>7744</v>
      </c>
      <c r="J1850" s="6" t="str">
        <f>"17W SO TURTLENECK (WINE)"</f>
        <v>17W SO TURTLENECK (WINE)</v>
      </c>
      <c r="K1850" s="6">
        <v>0</v>
      </c>
      <c r="L1850" s="6">
        <v>0</v>
      </c>
      <c r="M1850" s="6">
        <v>0</v>
      </c>
      <c r="N1850" s="6" t="str">
        <f>""</f>
        <v/>
      </c>
      <c r="O1850" s="6">
        <v>25830</v>
      </c>
      <c r="P1850" s="6" t="s">
        <v>7745</v>
      </c>
      <c r="R1850" s="6" t="s">
        <v>7746</v>
      </c>
      <c r="S1850" s="6" t="s">
        <v>7747</v>
      </c>
      <c r="T1850" s="6">
        <v>0</v>
      </c>
      <c r="U1850" s="6">
        <v>0</v>
      </c>
      <c r="V1850" s="6">
        <v>0</v>
      </c>
      <c r="W1850" s="6">
        <v>0</v>
      </c>
      <c r="X1850" s="6" t="s">
        <v>169</v>
      </c>
      <c r="Z1850" s="6" t="s">
        <v>170</v>
      </c>
      <c r="AA1850" s="6" t="s">
        <v>171</v>
      </c>
      <c r="AB1850" s="6">
        <v>0</v>
      </c>
      <c r="AC1850" s="6" t="str">
        <f>""</f>
        <v/>
      </c>
      <c r="AS1850" s="6">
        <v>0</v>
      </c>
      <c r="AT1850" s="6">
        <v>0</v>
      </c>
    </row>
    <row r="1851" spans="2:46">
      <c r="B1851" s="6" t="s">
        <v>7698</v>
      </c>
      <c r="D1851" s="6" t="s">
        <v>7120</v>
      </c>
      <c r="F1851" s="6" t="s">
        <v>7748</v>
      </c>
      <c r="G1851" s="6" t="str">
        <f>"3174222108069208"</f>
        <v>3174222108069208</v>
      </c>
      <c r="H1851" s="6">
        <v>3174222108069200</v>
      </c>
      <c r="I1851" s="6" t="s">
        <v>7749</v>
      </c>
      <c r="J1851" s="6" t="str">
        <f>"17W SO TURTLENECK(IVORY)"</f>
        <v>17W SO TURTLENECK(IVORY)</v>
      </c>
      <c r="K1851" s="6">
        <v>0</v>
      </c>
      <c r="L1851" s="6">
        <v>0</v>
      </c>
      <c r="M1851" s="6">
        <v>0</v>
      </c>
      <c r="N1851" s="6" t="str">
        <f>""</f>
        <v/>
      </c>
      <c r="O1851" s="6">
        <v>25828</v>
      </c>
      <c r="P1851" s="6" t="s">
        <v>7750</v>
      </c>
      <c r="R1851" s="6" t="s">
        <v>6944</v>
      </c>
      <c r="S1851" s="6" t="s">
        <v>7751</v>
      </c>
      <c r="T1851" s="6">
        <v>0</v>
      </c>
      <c r="U1851" s="6">
        <v>0</v>
      </c>
      <c r="V1851" s="6">
        <v>0</v>
      </c>
      <c r="W1851" s="6">
        <v>0</v>
      </c>
      <c r="X1851" s="6" t="s">
        <v>169</v>
      </c>
      <c r="Z1851" s="6" t="s">
        <v>170</v>
      </c>
      <c r="AA1851" s="6" t="s">
        <v>171</v>
      </c>
      <c r="AB1851" s="6">
        <v>0</v>
      </c>
      <c r="AC1851" s="6" t="str">
        <f>""</f>
        <v/>
      </c>
      <c r="AS1851" s="6">
        <v>0</v>
      </c>
      <c r="AT1851" s="6">
        <v>0</v>
      </c>
    </row>
    <row r="1852" spans="2:46">
      <c r="B1852" s="6" t="s">
        <v>7698</v>
      </c>
      <c r="D1852" s="6" t="s">
        <v>7120</v>
      </c>
      <c r="F1852" s="6" t="s">
        <v>7752</v>
      </c>
      <c r="G1852" s="6" t="str">
        <f>"3174222108099208"</f>
        <v>3174222108099208</v>
      </c>
      <c r="H1852" s="6">
        <v>3174222108099200</v>
      </c>
      <c r="I1852" s="6" t="s">
        <v>7753</v>
      </c>
      <c r="J1852" s="6" t="str">
        <f>"17W SO TURTLENECK(BLACK)"</f>
        <v>17W SO TURTLENECK(BLACK)</v>
      </c>
      <c r="K1852" s="6">
        <v>0</v>
      </c>
      <c r="L1852" s="6">
        <v>0</v>
      </c>
      <c r="M1852" s="6">
        <v>0</v>
      </c>
      <c r="N1852" s="6" t="str">
        <f>""</f>
        <v/>
      </c>
      <c r="O1852" s="6">
        <v>25826</v>
      </c>
      <c r="P1852" s="6" t="s">
        <v>7754</v>
      </c>
      <c r="R1852" s="6" t="s">
        <v>5066</v>
      </c>
      <c r="S1852" s="6" t="s">
        <v>7755</v>
      </c>
      <c r="T1852" s="6">
        <v>0</v>
      </c>
      <c r="U1852" s="6">
        <v>0</v>
      </c>
      <c r="V1852" s="6">
        <v>0</v>
      </c>
      <c r="W1852" s="6">
        <v>0</v>
      </c>
      <c r="X1852" s="6" t="s">
        <v>169</v>
      </c>
      <c r="Z1852" s="6" t="s">
        <v>170</v>
      </c>
      <c r="AA1852" s="6" t="s">
        <v>171</v>
      </c>
      <c r="AB1852" s="6">
        <v>0</v>
      </c>
      <c r="AC1852" s="6" t="str">
        <f>""</f>
        <v/>
      </c>
      <c r="AS1852" s="6">
        <v>0</v>
      </c>
      <c r="AT1852" s="6">
        <v>0</v>
      </c>
    </row>
    <row r="1853" spans="2:46">
      <c r="B1853" s="6" t="s">
        <v>7698</v>
      </c>
      <c r="D1853" s="6" t="s">
        <v>7120</v>
      </c>
      <c r="F1853" s="6" t="s">
        <v>7756</v>
      </c>
      <c r="G1853" s="6" t="str">
        <f>"3174332106692320"</f>
        <v>3174332106692320</v>
      </c>
      <c r="H1853" s="6">
        <v>3174332106692320</v>
      </c>
      <c r="I1853" s="6" t="s">
        <v>7757</v>
      </c>
      <c r="J1853" s="6" t="str">
        <f>"17W GL SKIRT (GOLD)"</f>
        <v>17W GL SKIRT (GOLD)</v>
      </c>
      <c r="K1853" s="6">
        <v>0</v>
      </c>
      <c r="L1853" s="6">
        <v>0</v>
      </c>
      <c r="M1853" s="6">
        <v>0</v>
      </c>
      <c r="N1853" s="6" t="str">
        <f>""</f>
        <v/>
      </c>
      <c r="O1853" s="6">
        <v>25824</v>
      </c>
      <c r="P1853" s="6" t="s">
        <v>7758</v>
      </c>
      <c r="R1853" s="6" t="s">
        <v>7707</v>
      </c>
      <c r="S1853" s="6" t="s">
        <v>7759</v>
      </c>
      <c r="T1853" s="6">
        <v>0</v>
      </c>
      <c r="U1853" s="6">
        <v>0</v>
      </c>
      <c r="V1853" s="6">
        <v>0</v>
      </c>
      <c r="W1853" s="6">
        <v>0</v>
      </c>
      <c r="X1853" s="6" t="s">
        <v>169</v>
      </c>
      <c r="Z1853" s="6" t="s">
        <v>170</v>
      </c>
      <c r="AA1853" s="6" t="s">
        <v>171</v>
      </c>
      <c r="AB1853" s="6">
        <v>0</v>
      </c>
      <c r="AC1853" s="6" t="str">
        <f>""</f>
        <v/>
      </c>
      <c r="AS1853" s="6">
        <v>0</v>
      </c>
      <c r="AT1853" s="6">
        <v>0</v>
      </c>
    </row>
    <row r="1854" spans="2:46">
      <c r="B1854" s="6" t="s">
        <v>7698</v>
      </c>
      <c r="D1854" s="6" t="s">
        <v>7120</v>
      </c>
      <c r="F1854" s="6" t="s">
        <v>7760</v>
      </c>
      <c r="G1854" s="6" t="str">
        <f>"3174332106699320"</f>
        <v>3174332106699320</v>
      </c>
      <c r="H1854" s="6">
        <v>3174332106699320</v>
      </c>
      <c r="I1854" s="6" t="s">
        <v>7761</v>
      </c>
      <c r="J1854" s="6" t="str">
        <f>"17W GL SKIRT (BLACK)"</f>
        <v>17W GL SKIRT (BLACK)</v>
      </c>
      <c r="K1854" s="6">
        <v>0</v>
      </c>
      <c r="L1854" s="6">
        <v>0</v>
      </c>
      <c r="M1854" s="6">
        <v>0</v>
      </c>
      <c r="N1854" s="6" t="str">
        <f>""</f>
        <v/>
      </c>
      <c r="O1854" s="6">
        <v>25822</v>
      </c>
      <c r="P1854" s="6" t="s">
        <v>7762</v>
      </c>
      <c r="R1854" s="6" t="s">
        <v>5066</v>
      </c>
      <c r="S1854" s="6" t="s">
        <v>7763</v>
      </c>
      <c r="T1854" s="6">
        <v>0</v>
      </c>
      <c r="U1854" s="6">
        <v>0</v>
      </c>
      <c r="V1854" s="6">
        <v>0</v>
      </c>
      <c r="W1854" s="6">
        <v>0</v>
      </c>
      <c r="X1854" s="6" t="s">
        <v>169</v>
      </c>
      <c r="Z1854" s="6" t="s">
        <v>170</v>
      </c>
      <c r="AA1854" s="6" t="s">
        <v>171</v>
      </c>
      <c r="AB1854" s="6">
        <v>0</v>
      </c>
      <c r="AC1854" s="6" t="str">
        <f>""</f>
        <v/>
      </c>
      <c r="AS1854" s="6">
        <v>0</v>
      </c>
      <c r="AT1854" s="6">
        <v>0</v>
      </c>
    </row>
    <row r="1855" spans="2:46">
      <c r="B1855" s="6" t="s">
        <v>7698</v>
      </c>
      <c r="D1855" s="6" t="s">
        <v>7120</v>
      </c>
      <c r="F1855" s="6" t="s">
        <v>7764</v>
      </c>
      <c r="G1855" s="6" t="str">
        <f>"3174332106595320"</f>
        <v>3174332106595320</v>
      </c>
      <c r="H1855" s="6">
        <v>3174332106595320</v>
      </c>
      <c r="I1855" s="6" t="s">
        <v>7765</v>
      </c>
      <c r="J1855" s="6" t="str">
        <f>"17W CK SKIRT (GRAY)"</f>
        <v>17W CK SKIRT (GRAY)</v>
      </c>
      <c r="K1855" s="6">
        <v>0</v>
      </c>
      <c r="L1855" s="6">
        <v>0</v>
      </c>
      <c r="M1855" s="6">
        <v>0</v>
      </c>
      <c r="N1855" s="6" t="str">
        <f>""</f>
        <v/>
      </c>
      <c r="O1855" s="6">
        <v>25820</v>
      </c>
      <c r="P1855" s="6" t="s">
        <v>7766</v>
      </c>
      <c r="R1855" s="6" t="s">
        <v>7767</v>
      </c>
      <c r="S1855" s="6" t="s">
        <v>7768</v>
      </c>
      <c r="T1855" s="6">
        <v>0</v>
      </c>
      <c r="U1855" s="6">
        <v>0</v>
      </c>
      <c r="V1855" s="6">
        <v>0</v>
      </c>
      <c r="W1855" s="6">
        <v>0</v>
      </c>
      <c r="X1855" s="6" t="s">
        <v>169</v>
      </c>
      <c r="Z1855" s="6" t="s">
        <v>170</v>
      </c>
      <c r="AA1855" s="6" t="s">
        <v>171</v>
      </c>
      <c r="AB1855" s="6">
        <v>0</v>
      </c>
      <c r="AC1855" s="6" t="str">
        <f>""</f>
        <v/>
      </c>
      <c r="AS1855" s="6">
        <v>0</v>
      </c>
      <c r="AT1855" s="6">
        <v>0</v>
      </c>
    </row>
    <row r="1856" spans="2:46">
      <c r="B1856" s="6" t="s">
        <v>7698</v>
      </c>
      <c r="D1856" s="6" t="s">
        <v>7120</v>
      </c>
      <c r="F1856" s="6" t="s">
        <v>7769</v>
      </c>
      <c r="G1856" s="6" t="str">
        <f>"3174332106575320"</f>
        <v>3174332106575320</v>
      </c>
      <c r="H1856" s="6">
        <v>3174332106575320</v>
      </c>
      <c r="I1856" s="6" t="s">
        <v>7770</v>
      </c>
      <c r="J1856" s="6" t="str">
        <f>"17W CK SKIRT (BROWN)"</f>
        <v>17W CK SKIRT (BROWN)</v>
      </c>
      <c r="K1856" s="6">
        <v>0</v>
      </c>
      <c r="L1856" s="6">
        <v>0</v>
      </c>
      <c r="M1856" s="6">
        <v>0</v>
      </c>
      <c r="N1856" s="6" t="str">
        <f>""</f>
        <v/>
      </c>
      <c r="O1856" s="6">
        <v>25818</v>
      </c>
      <c r="P1856" s="6" t="s">
        <v>7771</v>
      </c>
      <c r="R1856" s="6" t="s">
        <v>7725</v>
      </c>
      <c r="S1856" s="6" t="s">
        <v>7772</v>
      </c>
      <c r="T1856" s="6">
        <v>0</v>
      </c>
      <c r="U1856" s="6">
        <v>0</v>
      </c>
      <c r="V1856" s="6">
        <v>0</v>
      </c>
      <c r="W1856" s="6">
        <v>0</v>
      </c>
      <c r="X1856" s="6" t="s">
        <v>169</v>
      </c>
      <c r="Z1856" s="6" t="s">
        <v>170</v>
      </c>
      <c r="AA1856" s="6" t="s">
        <v>171</v>
      </c>
      <c r="AB1856" s="6">
        <v>0</v>
      </c>
      <c r="AC1856" s="6" t="str">
        <f>""</f>
        <v/>
      </c>
      <c r="AS1856" s="6">
        <v>0</v>
      </c>
      <c r="AT1856" s="6">
        <v>0</v>
      </c>
    </row>
    <row r="1857" spans="2:46">
      <c r="B1857" s="6" t="s">
        <v>7698</v>
      </c>
      <c r="D1857" s="6" t="s">
        <v>7120</v>
      </c>
      <c r="F1857" s="6" t="s">
        <v>7773</v>
      </c>
      <c r="G1857" s="6" t="str">
        <f>"3174332106599320"</f>
        <v>3174332106599320</v>
      </c>
      <c r="H1857" s="6">
        <v>3174332106599320</v>
      </c>
      <c r="I1857" s="6" t="s">
        <v>7774</v>
      </c>
      <c r="J1857" s="6" t="str">
        <f>"17W CK SKIRT (BLACK)"</f>
        <v>17W CK SKIRT (BLACK)</v>
      </c>
      <c r="K1857" s="6">
        <v>0</v>
      </c>
      <c r="L1857" s="6">
        <v>0</v>
      </c>
      <c r="M1857" s="6">
        <v>0</v>
      </c>
      <c r="N1857" s="6" t="str">
        <f>""</f>
        <v/>
      </c>
      <c r="O1857" s="6">
        <v>25816</v>
      </c>
      <c r="P1857" s="6" t="s">
        <v>7775</v>
      </c>
      <c r="R1857" s="6" t="s">
        <v>5066</v>
      </c>
      <c r="S1857" s="6" t="s">
        <v>7776</v>
      </c>
      <c r="T1857" s="6">
        <v>0</v>
      </c>
      <c r="U1857" s="6">
        <v>0</v>
      </c>
      <c r="V1857" s="6">
        <v>0</v>
      </c>
      <c r="W1857" s="6">
        <v>0</v>
      </c>
      <c r="X1857" s="6" t="s">
        <v>169</v>
      </c>
      <c r="Z1857" s="6" t="s">
        <v>170</v>
      </c>
      <c r="AA1857" s="6" t="s">
        <v>171</v>
      </c>
      <c r="AB1857" s="6">
        <v>0</v>
      </c>
      <c r="AC1857" s="6" t="str">
        <f>""</f>
        <v/>
      </c>
      <c r="AS1857" s="6">
        <v>0</v>
      </c>
      <c r="AT1857" s="6">
        <v>0</v>
      </c>
    </row>
    <row r="1858" spans="2:46">
      <c r="B1858" s="6" t="s">
        <v>7698</v>
      </c>
      <c r="D1858" s="6" t="s">
        <v>7120</v>
      </c>
      <c r="F1858" s="6" t="s">
        <v>7777</v>
      </c>
      <c r="G1858" s="6" t="str">
        <f>"3174552100623120"</f>
        <v>3174552100623120</v>
      </c>
      <c r="H1858" s="6">
        <v>3174552100623120</v>
      </c>
      <c r="I1858" s="6" t="s">
        <v>7778</v>
      </c>
      <c r="J1858" s="6" t="str">
        <f>"17W MUFFLER (SKY BLUE)"</f>
        <v>17W MUFFLER (SKY BLUE)</v>
      </c>
      <c r="K1858" s="6">
        <v>0</v>
      </c>
      <c r="L1858" s="6">
        <v>0</v>
      </c>
      <c r="M1858" s="6">
        <v>0</v>
      </c>
      <c r="N1858" s="6" t="str">
        <f>""</f>
        <v/>
      </c>
      <c r="O1858" s="6">
        <v>25814</v>
      </c>
      <c r="P1858" s="6" t="s">
        <v>7779</v>
      </c>
      <c r="R1858" s="6" t="s">
        <v>7780</v>
      </c>
      <c r="S1858" s="6" t="s">
        <v>7781</v>
      </c>
      <c r="T1858" s="6">
        <v>0</v>
      </c>
      <c r="U1858" s="6">
        <v>0</v>
      </c>
      <c r="V1858" s="6">
        <v>0</v>
      </c>
      <c r="W1858" s="6">
        <v>0</v>
      </c>
      <c r="X1858" s="6" t="s">
        <v>169</v>
      </c>
      <c r="Z1858" s="6" t="s">
        <v>170</v>
      </c>
      <c r="AA1858" s="6" t="s">
        <v>171</v>
      </c>
      <c r="AB1858" s="6">
        <v>0</v>
      </c>
      <c r="AC1858" s="6" t="str">
        <f>""</f>
        <v/>
      </c>
      <c r="AS1858" s="6">
        <v>0</v>
      </c>
      <c r="AT1858" s="6">
        <v>0</v>
      </c>
    </row>
    <row r="1859" spans="2:46">
      <c r="B1859" s="6" t="s">
        <v>7698</v>
      </c>
      <c r="D1859" s="6" t="s">
        <v>7120</v>
      </c>
      <c r="F1859" s="6" t="s">
        <v>7782</v>
      </c>
      <c r="G1859" s="6" t="str">
        <f>"3174552100601120"</f>
        <v>3174552100601120</v>
      </c>
      <c r="H1859" s="6">
        <v>3174552100601120</v>
      </c>
      <c r="I1859" s="6" t="s">
        <v>7783</v>
      </c>
      <c r="J1859" s="6" t="str">
        <f>"17W MUFFLER (PINK)"</f>
        <v>17W MUFFLER (PINK)</v>
      </c>
      <c r="K1859" s="6">
        <v>0</v>
      </c>
      <c r="L1859" s="6">
        <v>0</v>
      </c>
      <c r="M1859" s="6">
        <v>0</v>
      </c>
      <c r="N1859" s="6" t="str">
        <f>""</f>
        <v/>
      </c>
      <c r="O1859" s="6">
        <v>25812</v>
      </c>
      <c r="P1859" s="6" t="s">
        <v>7784</v>
      </c>
      <c r="R1859" s="6" t="s">
        <v>1469</v>
      </c>
      <c r="S1859" s="6" t="s">
        <v>7785</v>
      </c>
      <c r="T1859" s="6">
        <v>0</v>
      </c>
      <c r="U1859" s="6">
        <v>0</v>
      </c>
      <c r="V1859" s="6">
        <v>0</v>
      </c>
      <c r="W1859" s="6">
        <v>0</v>
      </c>
      <c r="X1859" s="6" t="s">
        <v>169</v>
      </c>
      <c r="Z1859" s="6" t="s">
        <v>170</v>
      </c>
      <c r="AA1859" s="6" t="s">
        <v>171</v>
      </c>
      <c r="AB1859" s="6">
        <v>0</v>
      </c>
      <c r="AC1859" s="6" t="str">
        <f>""</f>
        <v/>
      </c>
      <c r="AS1859" s="6">
        <v>0</v>
      </c>
      <c r="AT1859" s="6">
        <v>0</v>
      </c>
    </row>
    <row r="1860" spans="2:46">
      <c r="B1860" s="6" t="s">
        <v>7698</v>
      </c>
      <c r="D1860" s="6" t="s">
        <v>7120</v>
      </c>
      <c r="F1860" s="6" t="s">
        <v>7786</v>
      </c>
      <c r="G1860" s="6" t="str">
        <f>"3174552100669120"</f>
        <v>3174552100669120</v>
      </c>
      <c r="H1860" s="6">
        <v>3174552100669120</v>
      </c>
      <c r="I1860" s="6" t="s">
        <v>7787</v>
      </c>
      <c r="J1860" s="6" t="str">
        <f>"17W MUFFLER (IVORY)"</f>
        <v>17W MUFFLER (IVORY)</v>
      </c>
      <c r="K1860" s="6">
        <v>0</v>
      </c>
      <c r="L1860" s="6">
        <v>0</v>
      </c>
      <c r="M1860" s="6">
        <v>0</v>
      </c>
      <c r="N1860" s="6" t="str">
        <f>""</f>
        <v/>
      </c>
      <c r="O1860" s="6">
        <v>25810</v>
      </c>
      <c r="P1860" s="6" t="s">
        <v>7788</v>
      </c>
      <c r="R1860" s="6" t="s">
        <v>6944</v>
      </c>
      <c r="S1860" s="6" t="s">
        <v>7789</v>
      </c>
      <c r="T1860" s="6">
        <v>0</v>
      </c>
      <c r="U1860" s="6">
        <v>0</v>
      </c>
      <c r="V1860" s="6">
        <v>0</v>
      </c>
      <c r="W1860" s="6">
        <v>0</v>
      </c>
      <c r="X1860" s="6" t="s">
        <v>169</v>
      </c>
      <c r="Z1860" s="6" t="s">
        <v>170</v>
      </c>
      <c r="AA1860" s="6" t="s">
        <v>171</v>
      </c>
      <c r="AB1860" s="6">
        <v>0</v>
      </c>
      <c r="AC1860" s="6" t="str">
        <f>""</f>
        <v/>
      </c>
      <c r="AS1860" s="6">
        <v>0</v>
      </c>
      <c r="AT1860" s="6">
        <v>0</v>
      </c>
    </row>
    <row r="1861" spans="2:46">
      <c r="B1861" s="6" t="s">
        <v>7698</v>
      </c>
      <c r="D1861" s="6" t="s">
        <v>7120</v>
      </c>
      <c r="F1861" s="6" t="s">
        <v>7790</v>
      </c>
      <c r="G1861" s="6" t="str">
        <f>"3174552100698120"</f>
        <v>3174552100698120</v>
      </c>
      <c r="H1861" s="6">
        <v>3174552100698120</v>
      </c>
      <c r="I1861" s="6" t="s">
        <v>7791</v>
      </c>
      <c r="J1861" s="6" t="str">
        <f>"17W MUFFLER (CHARCOAL)"</f>
        <v>17W MUFFLER (CHARCOAL)</v>
      </c>
      <c r="K1861" s="6">
        <v>0</v>
      </c>
      <c r="L1861" s="6">
        <v>0</v>
      </c>
      <c r="M1861" s="6">
        <v>0</v>
      </c>
      <c r="N1861" s="6" t="str">
        <f>""</f>
        <v/>
      </c>
      <c r="O1861" s="6">
        <v>25808</v>
      </c>
      <c r="P1861" s="6" t="s">
        <v>7792</v>
      </c>
      <c r="R1861" s="6" t="s">
        <v>7793</v>
      </c>
      <c r="S1861" s="6" t="s">
        <v>7794</v>
      </c>
      <c r="T1861" s="6">
        <v>0</v>
      </c>
      <c r="U1861" s="6">
        <v>0</v>
      </c>
      <c r="V1861" s="6">
        <v>0</v>
      </c>
      <c r="W1861" s="6">
        <v>0</v>
      </c>
      <c r="X1861" s="6" t="s">
        <v>169</v>
      </c>
      <c r="Z1861" s="6" t="s">
        <v>170</v>
      </c>
      <c r="AA1861" s="6" t="s">
        <v>171</v>
      </c>
      <c r="AB1861" s="6">
        <v>0</v>
      </c>
      <c r="AC1861" s="6" t="str">
        <f>""</f>
        <v/>
      </c>
      <c r="AS1861" s="6">
        <v>0</v>
      </c>
      <c r="AT1861" s="6">
        <v>0</v>
      </c>
    </row>
    <row r="1862" spans="2:46">
      <c r="B1862" s="6" t="s">
        <v>7698</v>
      </c>
      <c r="D1862" s="6" t="s">
        <v>7120</v>
      </c>
      <c r="F1862" s="6" t="s">
        <v>7795</v>
      </c>
      <c r="G1862" s="6" t="str">
        <f>"3174552100625120"</f>
        <v>3174552100625120</v>
      </c>
      <c r="H1862" s="6">
        <v>3174552100625120</v>
      </c>
      <c r="I1862" s="6" t="s">
        <v>7796</v>
      </c>
      <c r="J1862" s="6" t="str">
        <f>"17W MUFFLER (BLUE)"</f>
        <v>17W MUFFLER (BLUE)</v>
      </c>
      <c r="K1862" s="6">
        <v>0</v>
      </c>
      <c r="L1862" s="6">
        <v>0</v>
      </c>
      <c r="M1862" s="6">
        <v>0</v>
      </c>
      <c r="N1862" s="6" t="str">
        <f>""</f>
        <v/>
      </c>
      <c r="O1862" s="6">
        <v>25806</v>
      </c>
      <c r="P1862" s="6" t="s">
        <v>7797</v>
      </c>
      <c r="R1862" s="6" t="s">
        <v>5438</v>
      </c>
      <c r="S1862" s="6" t="s">
        <v>7798</v>
      </c>
      <c r="T1862" s="6">
        <v>0</v>
      </c>
      <c r="U1862" s="6">
        <v>0</v>
      </c>
      <c r="V1862" s="6">
        <v>0</v>
      </c>
      <c r="W1862" s="6">
        <v>0</v>
      </c>
      <c r="X1862" s="6" t="s">
        <v>169</v>
      </c>
      <c r="Z1862" s="6" t="s">
        <v>170</v>
      </c>
      <c r="AA1862" s="6" t="s">
        <v>171</v>
      </c>
      <c r="AB1862" s="6">
        <v>0</v>
      </c>
      <c r="AC1862" s="6" t="str">
        <f>""</f>
        <v/>
      </c>
      <c r="AS1862" s="6">
        <v>0</v>
      </c>
      <c r="AT1862" s="6">
        <v>0</v>
      </c>
    </row>
    <row r="1863" spans="2:46">
      <c r="B1863" s="6" t="s">
        <v>7698</v>
      </c>
      <c r="D1863" s="6" t="s">
        <v>7120</v>
      </c>
      <c r="F1863" s="6" t="s">
        <v>7799</v>
      </c>
      <c r="G1863" s="6" t="str">
        <f>"3174552100699120"</f>
        <v>3174552100699120</v>
      </c>
      <c r="H1863" s="6">
        <v>3174552100699120</v>
      </c>
      <c r="I1863" s="6" t="s">
        <v>7800</v>
      </c>
      <c r="J1863" s="6" t="str">
        <f>"17W MUFFLER (BLACK)"</f>
        <v>17W MUFFLER (BLACK)</v>
      </c>
      <c r="K1863" s="6">
        <v>0</v>
      </c>
      <c r="L1863" s="6">
        <v>0</v>
      </c>
      <c r="M1863" s="6">
        <v>0</v>
      </c>
      <c r="N1863" s="6" t="str">
        <f>""</f>
        <v/>
      </c>
      <c r="O1863" s="6">
        <v>25804</v>
      </c>
      <c r="P1863" s="6" t="s">
        <v>7801</v>
      </c>
      <c r="R1863" s="6" t="s">
        <v>5066</v>
      </c>
      <c r="S1863" s="6" t="s">
        <v>7802</v>
      </c>
      <c r="T1863" s="6">
        <v>0</v>
      </c>
      <c r="U1863" s="6">
        <v>0</v>
      </c>
      <c r="V1863" s="6">
        <v>0</v>
      </c>
      <c r="W1863" s="6">
        <v>0</v>
      </c>
      <c r="X1863" s="6" t="s">
        <v>169</v>
      </c>
      <c r="Z1863" s="6" t="s">
        <v>170</v>
      </c>
      <c r="AA1863" s="6" t="s">
        <v>171</v>
      </c>
      <c r="AB1863" s="6">
        <v>0</v>
      </c>
      <c r="AC1863" s="6" t="str">
        <f>""</f>
        <v/>
      </c>
      <c r="AS1863" s="6">
        <v>0</v>
      </c>
      <c r="AT1863" s="6">
        <v>0</v>
      </c>
    </row>
    <row r="1864" spans="2:46">
      <c r="B1864" s="6" t="s">
        <v>7698</v>
      </c>
      <c r="D1864" s="6" t="s">
        <v>7120</v>
      </c>
      <c r="F1864" s="6" t="s">
        <v>7803</v>
      </c>
      <c r="G1864" s="6" t="str">
        <f>"3174552100674120"</f>
        <v>3174552100674120</v>
      </c>
      <c r="H1864" s="6">
        <v>3174552100674120</v>
      </c>
      <c r="I1864" s="6" t="s">
        <v>7804</v>
      </c>
      <c r="J1864" s="6" t="str">
        <f>"17W MUFFLER (BEIGE)"</f>
        <v>17W MUFFLER (BEIGE)</v>
      </c>
      <c r="K1864" s="6">
        <v>0</v>
      </c>
      <c r="L1864" s="6">
        <v>0</v>
      </c>
      <c r="M1864" s="6">
        <v>0</v>
      </c>
      <c r="N1864" s="6" t="str">
        <f>""</f>
        <v/>
      </c>
      <c r="O1864" s="6">
        <v>25802</v>
      </c>
      <c r="P1864" s="6" t="s">
        <v>7805</v>
      </c>
      <c r="R1864" s="6" t="s">
        <v>6875</v>
      </c>
      <c r="S1864" s="6" t="s">
        <v>7806</v>
      </c>
      <c r="T1864" s="6">
        <v>0</v>
      </c>
      <c r="U1864" s="6">
        <v>0</v>
      </c>
      <c r="V1864" s="6">
        <v>0</v>
      </c>
      <c r="W1864" s="6">
        <v>0</v>
      </c>
      <c r="X1864" s="6" t="s">
        <v>169</v>
      </c>
      <c r="Z1864" s="6" t="s">
        <v>170</v>
      </c>
      <c r="AA1864" s="6" t="s">
        <v>171</v>
      </c>
      <c r="AB1864" s="6">
        <v>0</v>
      </c>
      <c r="AC1864" s="6" t="str">
        <f>""</f>
        <v/>
      </c>
      <c r="AS1864" s="6">
        <v>0</v>
      </c>
      <c r="AT1864" s="6">
        <v>0</v>
      </c>
    </row>
    <row r="1865" spans="2:46">
      <c r="B1865" s="6" t="s">
        <v>7698</v>
      </c>
      <c r="D1865" s="6" t="s">
        <v>7120</v>
      </c>
      <c r="F1865" s="6" t="s">
        <v>7807</v>
      </c>
      <c r="G1865" s="6" t="str">
        <f>"3174222104795208"</f>
        <v>3174222104795208</v>
      </c>
      <c r="H1865" s="6">
        <v>3174222104795200</v>
      </c>
      <c r="I1865" s="6" t="s">
        <v>7808</v>
      </c>
      <c r="J1865" s="6" t="str">
        <f>"LA BUSTIER TOP (GRAY)"</f>
        <v>LA BUSTIER TOP (GRAY)</v>
      </c>
      <c r="K1865" s="6">
        <v>0</v>
      </c>
      <c r="L1865" s="6">
        <v>0</v>
      </c>
      <c r="M1865" s="6">
        <v>0</v>
      </c>
      <c r="N1865" s="6" t="str">
        <f>""</f>
        <v/>
      </c>
      <c r="O1865" s="6">
        <v>25800</v>
      </c>
      <c r="P1865" s="6" t="s">
        <v>7809</v>
      </c>
      <c r="R1865" s="6" t="s">
        <v>2364</v>
      </c>
      <c r="S1865" s="6" t="s">
        <v>7810</v>
      </c>
      <c r="T1865" s="6">
        <v>0</v>
      </c>
      <c r="U1865" s="6">
        <v>0</v>
      </c>
      <c r="V1865" s="6">
        <v>0</v>
      </c>
      <c r="W1865" s="6">
        <v>0</v>
      </c>
      <c r="X1865" s="6" t="s">
        <v>169</v>
      </c>
      <c r="Z1865" s="6" t="s">
        <v>170</v>
      </c>
      <c r="AA1865" s="6" t="s">
        <v>171</v>
      </c>
      <c r="AB1865" s="6">
        <v>0</v>
      </c>
      <c r="AC1865" s="6" t="str">
        <f>""</f>
        <v/>
      </c>
      <c r="AS1865" s="6">
        <v>0</v>
      </c>
      <c r="AT1865" s="6">
        <v>0</v>
      </c>
    </row>
    <row r="1866" spans="2:46">
      <c r="B1866" s="6" t="s">
        <v>7698</v>
      </c>
      <c r="D1866" s="6" t="s">
        <v>7120</v>
      </c>
      <c r="F1866" s="6" t="s">
        <v>7811</v>
      </c>
      <c r="G1866" s="6" t="str">
        <f>"3174222104745208"</f>
        <v>3174222104745208</v>
      </c>
      <c r="H1866" s="6">
        <v>3174222104745200</v>
      </c>
      <c r="I1866" s="6" t="s">
        <v>7812</v>
      </c>
      <c r="J1866" s="6" t="str">
        <f>"LA BUSTIER TOP (GREEN)"</f>
        <v>LA BUSTIER TOP (GREEN)</v>
      </c>
      <c r="K1866" s="6">
        <v>0</v>
      </c>
      <c r="L1866" s="6">
        <v>0</v>
      </c>
      <c r="M1866" s="6">
        <v>0</v>
      </c>
      <c r="N1866" s="6" t="str">
        <f>""</f>
        <v/>
      </c>
      <c r="O1866" s="6">
        <v>25798</v>
      </c>
      <c r="P1866" s="6" t="s">
        <v>7813</v>
      </c>
      <c r="R1866" s="6" t="s">
        <v>2512</v>
      </c>
      <c r="S1866" s="6" t="s">
        <v>7814</v>
      </c>
      <c r="T1866" s="6">
        <v>0</v>
      </c>
      <c r="U1866" s="6">
        <v>0</v>
      </c>
      <c r="V1866" s="6">
        <v>0</v>
      </c>
      <c r="W1866" s="6">
        <v>0</v>
      </c>
      <c r="X1866" s="6" t="s">
        <v>169</v>
      </c>
      <c r="Z1866" s="6" t="s">
        <v>170</v>
      </c>
      <c r="AA1866" s="6" t="s">
        <v>171</v>
      </c>
      <c r="AB1866" s="6">
        <v>0</v>
      </c>
      <c r="AC1866" s="6" t="str">
        <f>""</f>
        <v/>
      </c>
      <c r="AS1866" s="6">
        <v>0</v>
      </c>
      <c r="AT1866" s="6">
        <v>0</v>
      </c>
    </row>
    <row r="1867" spans="2:46">
      <c r="B1867" s="6" t="s">
        <v>7698</v>
      </c>
      <c r="D1867" s="6" t="s">
        <v>7120</v>
      </c>
      <c r="F1867" s="6" t="s">
        <v>7815</v>
      </c>
      <c r="G1867" s="6" t="str">
        <f>"3174232102698208"</f>
        <v>3174232102698208</v>
      </c>
      <c r="H1867" s="6">
        <v>3174232102698200</v>
      </c>
      <c r="I1867" s="6" t="s">
        <v>7816</v>
      </c>
      <c r="J1867" s="6" t="str">
        <f>"LA V-NECK HOODY (CHARCOL)"</f>
        <v>LA V-NECK HOODY (CHARCOL)</v>
      </c>
      <c r="K1867" s="6">
        <v>0</v>
      </c>
      <c r="L1867" s="6">
        <v>0</v>
      </c>
      <c r="M1867" s="6">
        <v>0</v>
      </c>
      <c r="N1867" s="6" t="str">
        <f>""</f>
        <v/>
      </c>
      <c r="O1867" s="6">
        <v>25796</v>
      </c>
      <c r="P1867" s="6" t="s">
        <v>7817</v>
      </c>
      <c r="R1867" s="6" t="s">
        <v>2595</v>
      </c>
      <c r="S1867" s="6" t="s">
        <v>7818</v>
      </c>
      <c r="T1867" s="6">
        <v>0</v>
      </c>
      <c r="U1867" s="6">
        <v>0</v>
      </c>
      <c r="V1867" s="6">
        <v>0</v>
      </c>
      <c r="W1867" s="6">
        <v>0</v>
      </c>
      <c r="X1867" s="6" t="s">
        <v>169</v>
      </c>
      <c r="Z1867" s="6" t="s">
        <v>170</v>
      </c>
      <c r="AA1867" s="6" t="s">
        <v>171</v>
      </c>
      <c r="AB1867" s="6">
        <v>0</v>
      </c>
      <c r="AC1867" s="6" t="str">
        <f>""</f>
        <v/>
      </c>
      <c r="AS1867" s="6">
        <v>0</v>
      </c>
      <c r="AT1867" s="6">
        <v>0</v>
      </c>
    </row>
    <row r="1868" spans="2:46">
      <c r="B1868" s="6" t="s">
        <v>7698</v>
      </c>
      <c r="D1868" s="6" t="s">
        <v>7120</v>
      </c>
      <c r="F1868" s="6" t="s">
        <v>7819</v>
      </c>
      <c r="G1868" s="6" t="str">
        <f>"3174232102699208"</f>
        <v>3174232102699208</v>
      </c>
      <c r="H1868" s="6">
        <v>3174232102699200</v>
      </c>
      <c r="I1868" s="6" t="s">
        <v>7820</v>
      </c>
      <c r="J1868" s="6" t="str">
        <f>"LA V-NECK HOODY (BLACK)"</f>
        <v>LA V-NECK HOODY (BLACK)</v>
      </c>
      <c r="K1868" s="6">
        <v>0</v>
      </c>
      <c r="L1868" s="6">
        <v>0</v>
      </c>
      <c r="M1868" s="6">
        <v>0</v>
      </c>
      <c r="N1868" s="6" t="str">
        <f>""</f>
        <v/>
      </c>
      <c r="O1868" s="6">
        <v>25794</v>
      </c>
      <c r="P1868" s="6" t="s">
        <v>7821</v>
      </c>
      <c r="R1868" s="6" t="s">
        <v>2106</v>
      </c>
      <c r="S1868" s="6" t="s">
        <v>7822</v>
      </c>
      <c r="T1868" s="6">
        <v>0</v>
      </c>
      <c r="U1868" s="6">
        <v>0</v>
      </c>
      <c r="V1868" s="6">
        <v>0</v>
      </c>
      <c r="W1868" s="6">
        <v>0</v>
      </c>
      <c r="X1868" s="6" t="s">
        <v>169</v>
      </c>
      <c r="Z1868" s="6" t="s">
        <v>170</v>
      </c>
      <c r="AA1868" s="6" t="s">
        <v>171</v>
      </c>
      <c r="AB1868" s="6">
        <v>0</v>
      </c>
      <c r="AC1868" s="6" t="str">
        <f>""</f>
        <v/>
      </c>
      <c r="AS1868" s="6">
        <v>0</v>
      </c>
      <c r="AT1868" s="6">
        <v>0</v>
      </c>
    </row>
    <row r="1869" spans="2:46">
      <c r="B1869" s="6" t="s">
        <v>7698</v>
      </c>
      <c r="D1869" s="6" t="s">
        <v>7120</v>
      </c>
      <c r="F1869" s="6" t="s">
        <v>7823</v>
      </c>
      <c r="G1869" s="6" t="str">
        <f>"3174232102501208"</f>
        <v>3174232102501208</v>
      </c>
      <c r="H1869" s="6">
        <v>3174232102501200</v>
      </c>
      <c r="I1869" s="6" t="s">
        <v>7824</v>
      </c>
      <c r="J1869" s="6" t="str">
        <f>"LA HIGH NECK MTM (PINK)"</f>
        <v>LA HIGH NECK MTM (PINK)</v>
      </c>
      <c r="K1869" s="6">
        <v>0</v>
      </c>
      <c r="L1869" s="6">
        <v>0</v>
      </c>
      <c r="M1869" s="6">
        <v>0</v>
      </c>
      <c r="N1869" s="6" t="str">
        <f>""</f>
        <v/>
      </c>
      <c r="O1869" s="6">
        <v>25792</v>
      </c>
      <c r="P1869" s="6" t="s">
        <v>7825</v>
      </c>
      <c r="R1869" s="6" t="s">
        <v>2446</v>
      </c>
      <c r="S1869" s="6" t="s">
        <v>7826</v>
      </c>
      <c r="T1869" s="6">
        <v>0</v>
      </c>
      <c r="U1869" s="6">
        <v>0</v>
      </c>
      <c r="V1869" s="6">
        <v>0</v>
      </c>
      <c r="W1869" s="6">
        <v>0</v>
      </c>
      <c r="X1869" s="6" t="s">
        <v>169</v>
      </c>
      <c r="Z1869" s="6" t="s">
        <v>170</v>
      </c>
      <c r="AA1869" s="6" t="s">
        <v>171</v>
      </c>
      <c r="AB1869" s="6">
        <v>0</v>
      </c>
      <c r="AC1869" s="6" t="str">
        <f>""</f>
        <v/>
      </c>
      <c r="AS1869" s="6">
        <v>0</v>
      </c>
      <c r="AT1869" s="6">
        <v>0</v>
      </c>
    </row>
    <row r="1870" spans="2:46">
      <c r="B1870" s="6" t="s">
        <v>7698</v>
      </c>
      <c r="D1870" s="6" t="s">
        <v>7120</v>
      </c>
      <c r="F1870" s="6" t="s">
        <v>7827</v>
      </c>
      <c r="G1870" s="6" t="str">
        <f>"3174232102530208"</f>
        <v>3174232102530208</v>
      </c>
      <c r="H1870" s="6">
        <v>3174232102530200</v>
      </c>
      <c r="I1870" s="6" t="s">
        <v>7828</v>
      </c>
      <c r="J1870" s="6" t="str">
        <f>"LA HIGH NECK MTM (NAVY)"</f>
        <v>LA HIGH NECK MTM (NAVY)</v>
      </c>
      <c r="K1870" s="6">
        <v>0</v>
      </c>
      <c r="L1870" s="6">
        <v>0</v>
      </c>
      <c r="M1870" s="6">
        <v>0</v>
      </c>
      <c r="N1870" s="6" t="str">
        <f>""</f>
        <v/>
      </c>
      <c r="O1870" s="6">
        <v>25790</v>
      </c>
      <c r="P1870" s="6" t="s">
        <v>7829</v>
      </c>
      <c r="R1870" s="6" t="s">
        <v>2111</v>
      </c>
      <c r="S1870" s="6" t="s">
        <v>7830</v>
      </c>
      <c r="T1870" s="6">
        <v>0</v>
      </c>
      <c r="U1870" s="6">
        <v>0</v>
      </c>
      <c r="V1870" s="6">
        <v>0</v>
      </c>
      <c r="W1870" s="6">
        <v>0</v>
      </c>
      <c r="X1870" s="6" t="s">
        <v>169</v>
      </c>
      <c r="Z1870" s="6" t="s">
        <v>170</v>
      </c>
      <c r="AA1870" s="6" t="s">
        <v>171</v>
      </c>
      <c r="AB1870" s="6">
        <v>0</v>
      </c>
      <c r="AC1870" s="6" t="str">
        <f>""</f>
        <v/>
      </c>
      <c r="AS1870" s="6">
        <v>0</v>
      </c>
      <c r="AT1870" s="6">
        <v>0</v>
      </c>
    </row>
    <row r="1871" spans="2:46">
      <c r="B1871" s="6" t="s">
        <v>7698</v>
      </c>
      <c r="D1871" s="6" t="s">
        <v>7120</v>
      </c>
      <c r="F1871" s="6" t="s">
        <v>7831</v>
      </c>
      <c r="G1871" s="6" t="str">
        <f>"3174222104623208"</f>
        <v>3174222104623208</v>
      </c>
      <c r="H1871" s="6">
        <v>3174222104623200</v>
      </c>
      <c r="I1871" s="6" t="s">
        <v>7832</v>
      </c>
      <c r="J1871" s="6" t="str">
        <f>"LA BELL SLEEVE T-SHIRT (SKY BLUE)"</f>
        <v>LA BELL SLEEVE T-SHIRT (SKY BLUE)</v>
      </c>
      <c r="K1871" s="6">
        <v>0</v>
      </c>
      <c r="L1871" s="6">
        <v>0</v>
      </c>
      <c r="M1871" s="6">
        <v>0</v>
      </c>
      <c r="N1871" s="6" t="str">
        <f>""</f>
        <v/>
      </c>
      <c r="O1871" s="6">
        <v>25788</v>
      </c>
      <c r="P1871" s="6" t="s">
        <v>7833</v>
      </c>
      <c r="R1871" s="6" t="s">
        <v>2335</v>
      </c>
      <c r="S1871" s="6" t="s">
        <v>7834</v>
      </c>
      <c r="T1871" s="6">
        <v>0</v>
      </c>
      <c r="U1871" s="6">
        <v>0</v>
      </c>
      <c r="V1871" s="6">
        <v>0</v>
      </c>
      <c r="W1871" s="6">
        <v>0</v>
      </c>
      <c r="X1871" s="6" t="s">
        <v>169</v>
      </c>
      <c r="Z1871" s="6" t="s">
        <v>170</v>
      </c>
      <c r="AA1871" s="6" t="s">
        <v>171</v>
      </c>
      <c r="AB1871" s="6">
        <v>0</v>
      </c>
      <c r="AC1871" s="6" t="str">
        <f>""</f>
        <v/>
      </c>
      <c r="AS1871" s="6">
        <v>0</v>
      </c>
      <c r="AT1871" s="6">
        <v>0</v>
      </c>
    </row>
    <row r="1872" spans="2:46">
      <c r="B1872" s="6" t="s">
        <v>7698</v>
      </c>
      <c r="D1872" s="6" t="s">
        <v>7120</v>
      </c>
      <c r="F1872" s="6" t="s">
        <v>7835</v>
      </c>
      <c r="G1872" s="6" t="str">
        <f>"3174222104675208"</f>
        <v>3174222104675208</v>
      </c>
      <c r="H1872" s="6">
        <v>3174222104675200</v>
      </c>
      <c r="I1872" s="6" t="s">
        <v>7836</v>
      </c>
      <c r="J1872" s="6" t="str">
        <f>"LA BELL SLEEVE T-SHIRT (BROWN)"</f>
        <v>LA BELL SLEEVE T-SHIRT (BROWN)</v>
      </c>
      <c r="K1872" s="6">
        <v>0</v>
      </c>
      <c r="L1872" s="6">
        <v>0</v>
      </c>
      <c r="M1872" s="6">
        <v>0</v>
      </c>
      <c r="N1872" s="6" t="str">
        <f>""</f>
        <v/>
      </c>
      <c r="O1872" s="6">
        <v>25786</v>
      </c>
      <c r="P1872" s="6" t="s">
        <v>7837</v>
      </c>
      <c r="R1872" s="6" t="s">
        <v>2119</v>
      </c>
      <c r="S1872" s="6" t="s">
        <v>7838</v>
      </c>
      <c r="T1872" s="6">
        <v>0</v>
      </c>
      <c r="U1872" s="6">
        <v>0</v>
      </c>
      <c r="V1872" s="6">
        <v>0</v>
      </c>
      <c r="W1872" s="6">
        <v>0</v>
      </c>
      <c r="X1872" s="6" t="s">
        <v>169</v>
      </c>
      <c r="Z1872" s="6" t="s">
        <v>170</v>
      </c>
      <c r="AA1872" s="6" t="s">
        <v>171</v>
      </c>
      <c r="AB1872" s="6">
        <v>0</v>
      </c>
      <c r="AC1872" s="6" t="str">
        <f>""</f>
        <v/>
      </c>
      <c r="AS1872" s="6">
        <v>0</v>
      </c>
      <c r="AT1872" s="6">
        <v>0</v>
      </c>
    </row>
    <row r="1873" spans="2:46">
      <c r="B1873" s="6" t="s">
        <v>7698</v>
      </c>
      <c r="D1873" s="6" t="s">
        <v>7120</v>
      </c>
      <c r="F1873" s="6" t="s">
        <v>7839</v>
      </c>
      <c r="G1873" s="6" t="str">
        <f>"3174222104591208"</f>
        <v>3174222104591208</v>
      </c>
      <c r="H1873" s="6">
        <v>3174222104591200</v>
      </c>
      <c r="I1873" s="6" t="s">
        <v>7840</v>
      </c>
      <c r="J1873" s="6" t="str">
        <f>"LA POLO NECK T-SHIRT (WHIE)"</f>
        <v>LA POLO NECK T-SHIRT (WHIE)</v>
      </c>
      <c r="K1873" s="6">
        <v>0</v>
      </c>
      <c r="L1873" s="6">
        <v>0</v>
      </c>
      <c r="M1873" s="6">
        <v>0</v>
      </c>
      <c r="N1873" s="6" t="str">
        <f>""</f>
        <v/>
      </c>
      <c r="O1873" s="6">
        <v>25784</v>
      </c>
      <c r="P1873" s="6" t="s">
        <v>7841</v>
      </c>
      <c r="R1873" s="6" t="s">
        <v>2167</v>
      </c>
      <c r="S1873" s="6" t="s">
        <v>7842</v>
      </c>
      <c r="T1873" s="6">
        <v>0</v>
      </c>
      <c r="U1873" s="6">
        <v>0</v>
      </c>
      <c r="V1873" s="6">
        <v>0</v>
      </c>
      <c r="W1873" s="6">
        <v>0</v>
      </c>
      <c r="X1873" s="6" t="s">
        <v>169</v>
      </c>
      <c r="Z1873" s="6" t="s">
        <v>170</v>
      </c>
      <c r="AA1873" s="6" t="s">
        <v>171</v>
      </c>
      <c r="AB1873" s="6">
        <v>0</v>
      </c>
      <c r="AC1873" s="6" t="str">
        <f>""</f>
        <v/>
      </c>
      <c r="AS1873" s="6">
        <v>0</v>
      </c>
      <c r="AT1873" s="6">
        <v>0</v>
      </c>
    </row>
    <row r="1874" spans="2:46">
      <c r="B1874" s="6" t="s">
        <v>7698</v>
      </c>
      <c r="D1874" s="6" t="s">
        <v>7120</v>
      </c>
      <c r="F1874" s="6" t="s">
        <v>7843</v>
      </c>
      <c r="G1874" s="6" t="str">
        <f>"3174222104561208"</f>
        <v>3174222104561208</v>
      </c>
      <c r="H1874" s="6">
        <v>3174222104561200</v>
      </c>
      <c r="I1874" s="6" t="s">
        <v>7844</v>
      </c>
      <c r="J1874" s="6" t="str">
        <f>"LA POLO NECK T-SHIRT (RED)"</f>
        <v>LA POLO NECK T-SHIRT (RED)</v>
      </c>
      <c r="K1874" s="6">
        <v>0</v>
      </c>
      <c r="L1874" s="6">
        <v>0</v>
      </c>
      <c r="M1874" s="6">
        <v>0</v>
      </c>
      <c r="N1874" s="6" t="str">
        <f>""</f>
        <v/>
      </c>
      <c r="O1874" s="6">
        <v>25782</v>
      </c>
      <c r="P1874" s="6" t="s">
        <v>7845</v>
      </c>
      <c r="R1874" s="6" t="s">
        <v>2309</v>
      </c>
      <c r="S1874" s="6" t="s">
        <v>7846</v>
      </c>
      <c r="T1874" s="6">
        <v>0</v>
      </c>
      <c r="U1874" s="6">
        <v>0</v>
      </c>
      <c r="V1874" s="6">
        <v>0</v>
      </c>
      <c r="W1874" s="6">
        <v>0</v>
      </c>
      <c r="X1874" s="6" t="s">
        <v>169</v>
      </c>
      <c r="Z1874" s="6" t="s">
        <v>170</v>
      </c>
      <c r="AA1874" s="6" t="s">
        <v>171</v>
      </c>
      <c r="AB1874" s="6">
        <v>0</v>
      </c>
      <c r="AC1874" s="6" t="str">
        <f>""</f>
        <v/>
      </c>
      <c r="AS1874" s="6">
        <v>0</v>
      </c>
      <c r="AT1874" s="6">
        <v>0</v>
      </c>
    </row>
    <row r="1875" spans="2:46">
      <c r="B1875" s="6" t="s">
        <v>7698</v>
      </c>
      <c r="D1875" s="6" t="s">
        <v>7120</v>
      </c>
      <c r="F1875" s="6" t="s">
        <v>7847</v>
      </c>
      <c r="G1875" s="6" t="str">
        <f>"3174222104530208"</f>
        <v>3174222104530208</v>
      </c>
      <c r="H1875" s="6">
        <v>3174222104530200</v>
      </c>
      <c r="I1875" s="6" t="s">
        <v>7848</v>
      </c>
      <c r="J1875" s="6" t="str">
        <f>"LA POLO NECK T-SHIRT (NAVY)"</f>
        <v>LA POLO NECK T-SHIRT (NAVY)</v>
      </c>
      <c r="K1875" s="6">
        <v>0</v>
      </c>
      <c r="L1875" s="6">
        <v>0</v>
      </c>
      <c r="M1875" s="6">
        <v>0</v>
      </c>
      <c r="N1875" s="6" t="str">
        <f>""</f>
        <v/>
      </c>
      <c r="O1875" s="6">
        <v>25780</v>
      </c>
      <c r="P1875" s="6" t="s">
        <v>7849</v>
      </c>
      <c r="R1875" s="6" t="s">
        <v>2111</v>
      </c>
      <c r="S1875" s="6" t="s">
        <v>7850</v>
      </c>
      <c r="T1875" s="6">
        <v>0</v>
      </c>
      <c r="U1875" s="6">
        <v>0</v>
      </c>
      <c r="V1875" s="6">
        <v>0</v>
      </c>
      <c r="W1875" s="6">
        <v>0</v>
      </c>
      <c r="X1875" s="6" t="s">
        <v>169</v>
      </c>
      <c r="Z1875" s="6" t="s">
        <v>170</v>
      </c>
      <c r="AA1875" s="6" t="s">
        <v>171</v>
      </c>
      <c r="AB1875" s="6">
        <v>0</v>
      </c>
      <c r="AC1875" s="6" t="str">
        <f>""</f>
        <v/>
      </c>
      <c r="AS1875" s="6">
        <v>0</v>
      </c>
      <c r="AT1875" s="6">
        <v>0</v>
      </c>
    </row>
    <row r="1876" spans="2:46">
      <c r="B1876" s="6" t="s">
        <v>7698</v>
      </c>
      <c r="D1876" s="6" t="s">
        <v>7120</v>
      </c>
      <c r="F1876" s="6" t="s">
        <v>7851</v>
      </c>
      <c r="G1876" s="6" t="str">
        <f>"3174222104423208"</f>
        <v>3174222104423208</v>
      </c>
      <c r="H1876" s="6">
        <v>3174222104423200</v>
      </c>
      <c r="I1876" s="6" t="s">
        <v>7852</v>
      </c>
      <c r="J1876" s="6" t="str">
        <f>"LA HIGHNECK T-SHIRT (SKY BLUE)"</f>
        <v>LA HIGHNECK T-SHIRT (SKY BLUE)</v>
      </c>
      <c r="K1876" s="6">
        <v>0</v>
      </c>
      <c r="L1876" s="6">
        <v>0</v>
      </c>
      <c r="M1876" s="6">
        <v>0</v>
      </c>
      <c r="N1876" s="6" t="str">
        <f>""</f>
        <v/>
      </c>
      <c r="O1876" s="6">
        <v>25778</v>
      </c>
      <c r="P1876" s="6" t="s">
        <v>7853</v>
      </c>
      <c r="R1876" s="6" t="s">
        <v>2335</v>
      </c>
      <c r="S1876" s="6" t="s">
        <v>7854</v>
      </c>
      <c r="T1876" s="6">
        <v>0</v>
      </c>
      <c r="U1876" s="6">
        <v>0</v>
      </c>
      <c r="V1876" s="6">
        <v>0</v>
      </c>
      <c r="W1876" s="6">
        <v>0</v>
      </c>
      <c r="X1876" s="6" t="s">
        <v>169</v>
      </c>
      <c r="Z1876" s="6" t="s">
        <v>170</v>
      </c>
      <c r="AA1876" s="6" t="s">
        <v>171</v>
      </c>
      <c r="AB1876" s="6">
        <v>0</v>
      </c>
      <c r="AC1876" s="6" t="str">
        <f>""</f>
        <v/>
      </c>
      <c r="AS1876" s="6">
        <v>0</v>
      </c>
      <c r="AT1876" s="6">
        <v>0</v>
      </c>
    </row>
    <row r="1877" spans="2:46">
      <c r="B1877" s="6" t="s">
        <v>7698</v>
      </c>
      <c r="D1877" s="6" t="s">
        <v>7120</v>
      </c>
      <c r="F1877" s="6" t="s">
        <v>7855</v>
      </c>
      <c r="G1877" s="6" t="str">
        <f>"3174222104499208"</f>
        <v>3174222104499208</v>
      </c>
      <c r="H1877" s="6">
        <v>3174222104499200</v>
      </c>
      <c r="I1877" s="6" t="s">
        <v>7856</v>
      </c>
      <c r="J1877" s="6" t="str">
        <f>"LA HIGHNECK T-SHIRT (BLACK)"</f>
        <v>LA HIGHNECK T-SHIRT (BLACK)</v>
      </c>
      <c r="K1877" s="6">
        <v>0</v>
      </c>
      <c r="L1877" s="6">
        <v>0</v>
      </c>
      <c r="M1877" s="6">
        <v>0</v>
      </c>
      <c r="N1877" s="6" t="str">
        <f>""</f>
        <v/>
      </c>
      <c r="O1877" s="6">
        <v>25776</v>
      </c>
      <c r="P1877" s="6" t="s">
        <v>7857</v>
      </c>
      <c r="R1877" s="6" t="s">
        <v>2106</v>
      </c>
      <c r="S1877" s="6" t="s">
        <v>7858</v>
      </c>
      <c r="T1877" s="6">
        <v>0</v>
      </c>
      <c r="U1877" s="6">
        <v>0</v>
      </c>
      <c r="V1877" s="6">
        <v>0</v>
      </c>
      <c r="W1877" s="6">
        <v>0</v>
      </c>
      <c r="X1877" s="6" t="s">
        <v>169</v>
      </c>
      <c r="Z1877" s="6" t="s">
        <v>170</v>
      </c>
      <c r="AA1877" s="6" t="s">
        <v>171</v>
      </c>
      <c r="AB1877" s="6">
        <v>0</v>
      </c>
      <c r="AC1877" s="6" t="str">
        <f>""</f>
        <v/>
      </c>
      <c r="AS1877" s="6">
        <v>0</v>
      </c>
      <c r="AT1877" s="6">
        <v>0</v>
      </c>
    </row>
    <row r="1878" spans="2:46">
      <c r="B1878" s="6" t="s">
        <v>7698</v>
      </c>
      <c r="D1878" s="6" t="s">
        <v>7120</v>
      </c>
      <c r="F1878" s="6" t="s">
        <v>7859</v>
      </c>
      <c r="G1878" s="6" t="str">
        <f>"3174332103430320"</f>
        <v>3174332103430320</v>
      </c>
      <c r="H1878" s="6">
        <v>3174332103430320</v>
      </c>
      <c r="I1878" s="6" t="s">
        <v>7860</v>
      </c>
      <c r="J1878" s="6" t="str">
        <f>"LA BELTED SKIRT (NAVY)"</f>
        <v>LA BELTED SKIRT (NAVY)</v>
      </c>
      <c r="K1878" s="6">
        <v>0</v>
      </c>
      <c r="L1878" s="6">
        <v>0</v>
      </c>
      <c r="M1878" s="6">
        <v>0</v>
      </c>
      <c r="N1878" s="6" t="str">
        <f>""</f>
        <v/>
      </c>
      <c r="O1878" s="6">
        <v>25774</v>
      </c>
      <c r="P1878" s="6" t="s">
        <v>7861</v>
      </c>
      <c r="R1878" s="6" t="s">
        <v>2111</v>
      </c>
      <c r="S1878" s="6" t="s">
        <v>7862</v>
      </c>
      <c r="T1878" s="6">
        <v>0</v>
      </c>
      <c r="U1878" s="6">
        <v>0</v>
      </c>
      <c r="V1878" s="6">
        <v>0</v>
      </c>
      <c r="W1878" s="6">
        <v>0</v>
      </c>
      <c r="X1878" s="6" t="s">
        <v>169</v>
      </c>
      <c r="Z1878" s="6" t="s">
        <v>170</v>
      </c>
      <c r="AA1878" s="6" t="s">
        <v>171</v>
      </c>
      <c r="AB1878" s="6">
        <v>0</v>
      </c>
      <c r="AC1878" s="6" t="str">
        <f>""</f>
        <v/>
      </c>
      <c r="AS1878" s="6">
        <v>0</v>
      </c>
      <c r="AT1878" s="6">
        <v>0</v>
      </c>
    </row>
    <row r="1879" spans="2:46">
      <c r="B1879" s="6" t="s">
        <v>7698</v>
      </c>
      <c r="D1879" s="6" t="s">
        <v>7120</v>
      </c>
      <c r="F1879" s="6" t="s">
        <v>7863</v>
      </c>
      <c r="G1879" s="6" t="str">
        <f>"3174332103475320"</f>
        <v>3174332103475320</v>
      </c>
      <c r="H1879" s="6">
        <v>3174332103475320</v>
      </c>
      <c r="I1879" s="6" t="s">
        <v>7864</v>
      </c>
      <c r="J1879" s="6" t="str">
        <f>"LA BELTED SKIRT (BROWN)"</f>
        <v>LA BELTED SKIRT (BROWN)</v>
      </c>
      <c r="K1879" s="6">
        <v>0</v>
      </c>
      <c r="L1879" s="6">
        <v>0</v>
      </c>
      <c r="M1879" s="6">
        <v>0</v>
      </c>
      <c r="N1879" s="6" t="str">
        <f>""</f>
        <v/>
      </c>
      <c r="O1879" s="6">
        <v>25772</v>
      </c>
      <c r="P1879" s="6" t="s">
        <v>7865</v>
      </c>
      <c r="R1879" s="6" t="s">
        <v>2119</v>
      </c>
      <c r="S1879" s="6" t="s">
        <v>7866</v>
      </c>
      <c r="T1879" s="6">
        <v>0</v>
      </c>
      <c r="U1879" s="6">
        <v>0</v>
      </c>
      <c r="V1879" s="6">
        <v>0</v>
      </c>
      <c r="W1879" s="6">
        <v>0</v>
      </c>
      <c r="X1879" s="6" t="s">
        <v>169</v>
      </c>
      <c r="Z1879" s="6" t="s">
        <v>170</v>
      </c>
      <c r="AA1879" s="6" t="s">
        <v>171</v>
      </c>
      <c r="AB1879" s="6">
        <v>0</v>
      </c>
      <c r="AC1879" s="6" t="str">
        <f>""</f>
        <v/>
      </c>
      <c r="AS1879" s="6">
        <v>0</v>
      </c>
      <c r="AT1879" s="6">
        <v>0</v>
      </c>
    </row>
    <row r="1880" spans="2:46">
      <c r="B1880" s="6" t="s">
        <v>7698</v>
      </c>
      <c r="D1880" s="6" t="s">
        <v>7120</v>
      </c>
      <c r="F1880" s="6" t="s">
        <v>7867</v>
      </c>
      <c r="G1880" s="6" t="str">
        <f>"3174332103395208"</f>
        <v>3174332103395208</v>
      </c>
      <c r="H1880" s="6">
        <v>3174332103395200</v>
      </c>
      <c r="I1880" s="6" t="s">
        <v>7868</v>
      </c>
      <c r="J1880" s="6" t="str">
        <f>"LA MERMAID SKIRT (GRAY)"</f>
        <v>LA MERMAID SKIRT (GRAY)</v>
      </c>
      <c r="K1880" s="6">
        <v>0</v>
      </c>
      <c r="L1880" s="6">
        <v>0</v>
      </c>
      <c r="M1880" s="6">
        <v>0</v>
      </c>
      <c r="N1880" s="6" t="str">
        <f>""</f>
        <v/>
      </c>
      <c r="O1880" s="6">
        <v>25770</v>
      </c>
      <c r="P1880" s="6" t="s">
        <v>7869</v>
      </c>
      <c r="R1880" s="6" t="s">
        <v>2364</v>
      </c>
      <c r="S1880" s="6" t="s">
        <v>7870</v>
      </c>
      <c r="T1880" s="6">
        <v>0</v>
      </c>
      <c r="U1880" s="6">
        <v>0</v>
      </c>
      <c r="V1880" s="6">
        <v>0</v>
      </c>
      <c r="W1880" s="6">
        <v>0</v>
      </c>
      <c r="X1880" s="6" t="s">
        <v>169</v>
      </c>
      <c r="Z1880" s="6" t="s">
        <v>170</v>
      </c>
      <c r="AA1880" s="6" t="s">
        <v>171</v>
      </c>
      <c r="AB1880" s="6">
        <v>0</v>
      </c>
      <c r="AC1880" s="6" t="str">
        <f>""</f>
        <v/>
      </c>
      <c r="AS1880" s="6">
        <v>0</v>
      </c>
      <c r="AT1880" s="6">
        <v>0</v>
      </c>
    </row>
    <row r="1881" spans="2:46">
      <c r="B1881" s="6" t="s">
        <v>7698</v>
      </c>
      <c r="D1881" s="6" t="s">
        <v>7120</v>
      </c>
      <c r="F1881" s="6" t="s">
        <v>7871</v>
      </c>
      <c r="G1881" s="6" t="str">
        <f>"3174332103345208"</f>
        <v>3174332103345208</v>
      </c>
      <c r="H1881" s="6">
        <v>3174332103345200</v>
      </c>
      <c r="I1881" s="6" t="s">
        <v>7872</v>
      </c>
      <c r="J1881" s="6" t="str">
        <f>"LA MERMAID SKIRT (GREEN)"</f>
        <v>LA MERMAID SKIRT (GREEN)</v>
      </c>
      <c r="K1881" s="6">
        <v>0</v>
      </c>
      <c r="L1881" s="6">
        <v>0</v>
      </c>
      <c r="M1881" s="6">
        <v>0</v>
      </c>
      <c r="N1881" s="6" t="str">
        <f>""</f>
        <v/>
      </c>
      <c r="O1881" s="6">
        <v>25768</v>
      </c>
      <c r="P1881" s="6" t="s">
        <v>7873</v>
      </c>
      <c r="R1881" s="6" t="s">
        <v>2512</v>
      </c>
      <c r="S1881" s="6" t="s">
        <v>7874</v>
      </c>
      <c r="T1881" s="6">
        <v>0</v>
      </c>
      <c r="U1881" s="6">
        <v>0</v>
      </c>
      <c r="V1881" s="6">
        <v>0</v>
      </c>
      <c r="W1881" s="6">
        <v>0</v>
      </c>
      <c r="X1881" s="6" t="s">
        <v>169</v>
      </c>
      <c r="Z1881" s="6" t="s">
        <v>170</v>
      </c>
      <c r="AA1881" s="6" t="s">
        <v>171</v>
      </c>
      <c r="AB1881" s="6">
        <v>0</v>
      </c>
      <c r="AC1881" s="6" t="str">
        <f>""</f>
        <v/>
      </c>
      <c r="AS1881" s="6">
        <v>0</v>
      </c>
      <c r="AT1881" s="6">
        <v>0</v>
      </c>
    </row>
    <row r="1882" spans="2:46">
      <c r="B1882" s="6" t="s">
        <v>7698</v>
      </c>
      <c r="D1882" s="6" t="s">
        <v>7120</v>
      </c>
      <c r="F1882" s="6" t="s">
        <v>7875</v>
      </c>
      <c r="G1882" s="6" t="str">
        <f>"3174212101501208"</f>
        <v>3174212101501208</v>
      </c>
      <c r="H1882" s="6">
        <v>3174212101501200</v>
      </c>
      <c r="I1882" s="6" t="s">
        <v>7876</v>
      </c>
      <c r="J1882" s="6" t="str">
        <f>"LA VELVET SHIRT (PINK)"</f>
        <v>LA VELVET SHIRT (PINK)</v>
      </c>
      <c r="K1882" s="6">
        <v>0</v>
      </c>
      <c r="L1882" s="6">
        <v>0</v>
      </c>
      <c r="M1882" s="6">
        <v>0</v>
      </c>
      <c r="N1882" s="6" t="str">
        <f>""</f>
        <v/>
      </c>
      <c r="O1882" s="6">
        <v>25766</v>
      </c>
      <c r="P1882" s="6" t="s">
        <v>7877</v>
      </c>
      <c r="R1882" s="6" t="s">
        <v>2446</v>
      </c>
      <c r="S1882" s="6" t="s">
        <v>7878</v>
      </c>
      <c r="T1882" s="6">
        <v>0</v>
      </c>
      <c r="U1882" s="6">
        <v>0</v>
      </c>
      <c r="V1882" s="6">
        <v>0</v>
      </c>
      <c r="W1882" s="6">
        <v>0</v>
      </c>
      <c r="X1882" s="6" t="s">
        <v>169</v>
      </c>
      <c r="Z1882" s="6" t="s">
        <v>170</v>
      </c>
      <c r="AA1882" s="6" t="s">
        <v>171</v>
      </c>
      <c r="AB1882" s="6">
        <v>0</v>
      </c>
      <c r="AC1882" s="6" t="str">
        <f>""</f>
        <v/>
      </c>
      <c r="AS1882" s="6">
        <v>0</v>
      </c>
      <c r="AT1882" s="6">
        <v>0</v>
      </c>
    </row>
    <row r="1883" spans="2:46">
      <c r="B1883" s="6" t="s">
        <v>7698</v>
      </c>
      <c r="D1883" s="6" t="s">
        <v>7120</v>
      </c>
      <c r="F1883" s="6" t="s">
        <v>7879</v>
      </c>
      <c r="G1883" s="6" t="str">
        <f>"3174212101599208"</f>
        <v>3174212101599208</v>
      </c>
      <c r="H1883" s="6">
        <v>3174212101599200</v>
      </c>
      <c r="I1883" s="6" t="s">
        <v>7880</v>
      </c>
      <c r="J1883" s="6" t="str">
        <f>"LA VELVET SHIRT (BLACK)"</f>
        <v>LA VELVET SHIRT (BLACK)</v>
      </c>
      <c r="K1883" s="6">
        <v>0</v>
      </c>
      <c r="L1883" s="6">
        <v>0</v>
      </c>
      <c r="M1883" s="6">
        <v>0</v>
      </c>
      <c r="N1883" s="6" t="str">
        <f>""</f>
        <v/>
      </c>
      <c r="O1883" s="6">
        <v>25764</v>
      </c>
      <c r="P1883" s="6" t="s">
        <v>7881</v>
      </c>
      <c r="R1883" s="6" t="s">
        <v>2106</v>
      </c>
      <c r="S1883" s="6" t="s">
        <v>7882</v>
      </c>
      <c r="T1883" s="6">
        <v>0</v>
      </c>
      <c r="U1883" s="6">
        <v>0</v>
      </c>
      <c r="V1883" s="6">
        <v>0</v>
      </c>
      <c r="W1883" s="6">
        <v>0</v>
      </c>
      <c r="X1883" s="6" t="s">
        <v>169</v>
      </c>
      <c r="Z1883" s="6" t="s">
        <v>170</v>
      </c>
      <c r="AA1883" s="6" t="s">
        <v>171</v>
      </c>
      <c r="AB1883" s="6">
        <v>0</v>
      </c>
      <c r="AC1883" s="6" t="str">
        <f>""</f>
        <v/>
      </c>
      <c r="AS1883" s="6">
        <v>0</v>
      </c>
      <c r="AT1883" s="6">
        <v>0</v>
      </c>
    </row>
    <row r="1884" spans="2:46">
      <c r="B1884" s="6" t="s">
        <v>7698</v>
      </c>
      <c r="D1884" s="6" t="s">
        <v>7120</v>
      </c>
      <c r="F1884" s="6" t="s">
        <v>7883</v>
      </c>
      <c r="G1884" s="6" t="str">
        <f>"3174212101406208"</f>
        <v>3174212101406208</v>
      </c>
      <c r="H1884" s="6">
        <v>3174212101406200</v>
      </c>
      <c r="I1884" s="6" t="s">
        <v>7884</v>
      </c>
      <c r="J1884" s="6" t="str">
        <f>"LA BALLOON SLEEVE SHIRT (WINE)"</f>
        <v>LA BALLOON SLEEVE SHIRT (WINE)</v>
      </c>
      <c r="K1884" s="6">
        <v>0</v>
      </c>
      <c r="L1884" s="6">
        <v>0</v>
      </c>
      <c r="M1884" s="6">
        <v>0</v>
      </c>
      <c r="N1884" s="6" t="str">
        <f>""</f>
        <v/>
      </c>
      <c r="O1884" s="6">
        <v>25762</v>
      </c>
      <c r="P1884" s="6" t="s">
        <v>7885</v>
      </c>
      <c r="R1884" s="6" t="s">
        <v>3721</v>
      </c>
      <c r="S1884" s="6" t="s">
        <v>7886</v>
      </c>
      <c r="T1884" s="6">
        <v>0</v>
      </c>
      <c r="U1884" s="6">
        <v>0</v>
      </c>
      <c r="V1884" s="6">
        <v>0</v>
      </c>
      <c r="W1884" s="6">
        <v>0</v>
      </c>
      <c r="X1884" s="6" t="s">
        <v>169</v>
      </c>
      <c r="Z1884" s="6" t="s">
        <v>170</v>
      </c>
      <c r="AA1884" s="6" t="s">
        <v>171</v>
      </c>
      <c r="AB1884" s="6">
        <v>0</v>
      </c>
      <c r="AC1884" s="6" t="str">
        <f>""</f>
        <v/>
      </c>
      <c r="AS1884" s="6">
        <v>0</v>
      </c>
      <c r="AT1884" s="6">
        <v>0</v>
      </c>
    </row>
    <row r="1885" spans="2:46">
      <c r="B1885" s="6" t="s">
        <v>7698</v>
      </c>
      <c r="D1885" s="6" t="s">
        <v>7120</v>
      </c>
      <c r="F1885" s="6" t="s">
        <v>7887</v>
      </c>
      <c r="G1885" s="6" t="str">
        <f>"3174212101485208"</f>
        <v>3174212101485208</v>
      </c>
      <c r="H1885" s="6">
        <v>3174212101485200</v>
      </c>
      <c r="I1885" s="6" t="s">
        <v>7888</v>
      </c>
      <c r="J1885" s="6" t="str">
        <f>"LA BALLOON SLEEVE SHIRT (KHAKI)"</f>
        <v>LA BALLOON SLEEVE SHIRT (KHAKI)</v>
      </c>
      <c r="K1885" s="6">
        <v>0</v>
      </c>
      <c r="L1885" s="6">
        <v>0</v>
      </c>
      <c r="M1885" s="6">
        <v>0</v>
      </c>
      <c r="N1885" s="6" t="str">
        <f>""</f>
        <v/>
      </c>
      <c r="O1885" s="6">
        <v>25760</v>
      </c>
      <c r="P1885" s="6" t="s">
        <v>7889</v>
      </c>
      <c r="R1885" s="6" t="s">
        <v>3576</v>
      </c>
      <c r="S1885" s="6" t="s">
        <v>7890</v>
      </c>
      <c r="T1885" s="6">
        <v>0</v>
      </c>
      <c r="U1885" s="6">
        <v>0</v>
      </c>
      <c r="V1885" s="6">
        <v>0</v>
      </c>
      <c r="W1885" s="6">
        <v>0</v>
      </c>
      <c r="X1885" s="6" t="s">
        <v>169</v>
      </c>
      <c r="Z1885" s="6" t="s">
        <v>170</v>
      </c>
      <c r="AA1885" s="6" t="s">
        <v>171</v>
      </c>
      <c r="AB1885" s="6">
        <v>0</v>
      </c>
      <c r="AC1885" s="6" t="str">
        <f>""</f>
        <v/>
      </c>
      <c r="AS1885" s="6">
        <v>0</v>
      </c>
      <c r="AT1885" s="6">
        <v>0</v>
      </c>
    </row>
    <row r="1886" spans="2:46">
      <c r="B1886" s="6" t="s">
        <v>7698</v>
      </c>
      <c r="D1886" s="6" t="s">
        <v>7120</v>
      </c>
      <c r="F1886" s="6" t="s">
        <v>7891</v>
      </c>
      <c r="G1886" s="6" t="str">
        <f>"3174322100925320"</f>
        <v>3174322100925320</v>
      </c>
      <c r="H1886" s="6">
        <v>3174322100925320</v>
      </c>
      <c r="I1886" s="6" t="s">
        <v>7892</v>
      </c>
      <c r="J1886" s="6" t="str">
        <f>"LA WIDE CROPPED PANTS (BLUE)"</f>
        <v>LA WIDE CROPPED PANTS (BLUE)</v>
      </c>
      <c r="K1886" s="6">
        <v>0</v>
      </c>
      <c r="L1886" s="6">
        <v>0</v>
      </c>
      <c r="M1886" s="6">
        <v>0</v>
      </c>
      <c r="N1886" s="6" t="str">
        <f>""</f>
        <v/>
      </c>
      <c r="O1886" s="6">
        <v>25758</v>
      </c>
      <c r="P1886" s="6" t="s">
        <v>7893</v>
      </c>
      <c r="R1886" s="6" t="s">
        <v>2175</v>
      </c>
      <c r="S1886" s="6" t="s">
        <v>7894</v>
      </c>
      <c r="T1886" s="6">
        <v>0</v>
      </c>
      <c r="U1886" s="6">
        <v>0</v>
      </c>
      <c r="V1886" s="6">
        <v>0</v>
      </c>
      <c r="W1886" s="6">
        <v>0</v>
      </c>
      <c r="X1886" s="6" t="s">
        <v>169</v>
      </c>
      <c r="Z1886" s="6" t="s">
        <v>170</v>
      </c>
      <c r="AA1886" s="6" t="s">
        <v>171</v>
      </c>
      <c r="AB1886" s="6">
        <v>0</v>
      </c>
      <c r="AC1886" s="6" t="str">
        <f>""</f>
        <v/>
      </c>
      <c r="AS1886" s="6">
        <v>0</v>
      </c>
      <c r="AT1886" s="6">
        <v>0</v>
      </c>
    </row>
    <row r="1887" spans="2:46">
      <c r="B1887" s="6" t="s">
        <v>7698</v>
      </c>
      <c r="D1887" s="6" t="s">
        <v>7120</v>
      </c>
      <c r="F1887" s="6" t="s">
        <v>7895</v>
      </c>
      <c r="G1887" s="6" t="str">
        <f>"3174312101095320"</f>
        <v>3174312101095320</v>
      </c>
      <c r="H1887" s="6">
        <v>3174312101095320</v>
      </c>
      <c r="I1887" s="6" t="s">
        <v>7896</v>
      </c>
      <c r="J1887" s="6" t="str">
        <f>"LA TU SLACKS (GRAY)"</f>
        <v>LA TU SLACKS (GRAY)</v>
      </c>
      <c r="K1887" s="6">
        <v>0</v>
      </c>
      <c r="L1887" s="6">
        <v>0</v>
      </c>
      <c r="M1887" s="6">
        <v>0</v>
      </c>
      <c r="N1887" s="6" t="str">
        <f>""</f>
        <v/>
      </c>
      <c r="O1887" s="6">
        <v>25756</v>
      </c>
      <c r="P1887" s="6" t="s">
        <v>7897</v>
      </c>
      <c r="R1887" s="6" t="s">
        <v>2364</v>
      </c>
      <c r="S1887" s="6" t="s">
        <v>7898</v>
      </c>
      <c r="T1887" s="6">
        <v>0</v>
      </c>
      <c r="U1887" s="6">
        <v>0</v>
      </c>
      <c r="V1887" s="6">
        <v>0</v>
      </c>
      <c r="W1887" s="6">
        <v>0</v>
      </c>
      <c r="X1887" s="6" t="s">
        <v>169</v>
      </c>
      <c r="Z1887" s="6" t="s">
        <v>170</v>
      </c>
      <c r="AA1887" s="6" t="s">
        <v>171</v>
      </c>
      <c r="AB1887" s="6">
        <v>0</v>
      </c>
      <c r="AC1887" s="6" t="str">
        <f>""</f>
        <v/>
      </c>
      <c r="AS1887" s="6">
        <v>0</v>
      </c>
      <c r="AT1887" s="6">
        <v>0</v>
      </c>
    </row>
    <row r="1888" spans="2:46">
      <c r="B1888" s="6" t="s">
        <v>7698</v>
      </c>
      <c r="D1888" s="6" t="s">
        <v>7120</v>
      </c>
      <c r="F1888" s="6" t="s">
        <v>7899</v>
      </c>
      <c r="G1888" s="6" t="str">
        <f>"3174312101075320"</f>
        <v>3174312101075320</v>
      </c>
      <c r="H1888" s="6">
        <v>3174312101075320</v>
      </c>
      <c r="I1888" s="6" t="s">
        <v>7900</v>
      </c>
      <c r="J1888" s="6" t="str">
        <f>"LA TU SLACKS (BROWN)"</f>
        <v>LA TU SLACKS (BROWN)</v>
      </c>
      <c r="K1888" s="6">
        <v>0</v>
      </c>
      <c r="L1888" s="6">
        <v>0</v>
      </c>
      <c r="M1888" s="6">
        <v>0</v>
      </c>
      <c r="N1888" s="6" t="str">
        <f>""</f>
        <v/>
      </c>
      <c r="O1888" s="6">
        <v>25754</v>
      </c>
      <c r="P1888" s="6" t="s">
        <v>7901</v>
      </c>
      <c r="R1888" s="6" t="s">
        <v>2119</v>
      </c>
      <c r="S1888" s="6" t="s">
        <v>7902</v>
      </c>
      <c r="T1888" s="6">
        <v>0</v>
      </c>
      <c r="U1888" s="6">
        <v>0</v>
      </c>
      <c r="V1888" s="6">
        <v>0</v>
      </c>
      <c r="W1888" s="6">
        <v>0</v>
      </c>
      <c r="X1888" s="6" t="s">
        <v>169</v>
      </c>
      <c r="Z1888" s="6" t="s">
        <v>170</v>
      </c>
      <c r="AA1888" s="6" t="s">
        <v>171</v>
      </c>
      <c r="AB1888" s="6">
        <v>0</v>
      </c>
      <c r="AC1888" s="6" t="str">
        <f>""</f>
        <v/>
      </c>
      <c r="AS1888" s="6">
        <v>0</v>
      </c>
      <c r="AT1888" s="6">
        <v>0</v>
      </c>
    </row>
    <row r="1889" spans="2:46">
      <c r="B1889" s="6" t="s">
        <v>7698</v>
      </c>
      <c r="D1889" s="6" t="s">
        <v>7120</v>
      </c>
      <c r="F1889" s="6" t="s">
        <v>7903</v>
      </c>
      <c r="G1889" s="6" t="str">
        <f>"3174312100962320"</f>
        <v>3174312100962320</v>
      </c>
      <c r="H1889" s="6">
        <v>3174312100962320</v>
      </c>
      <c r="I1889" s="6" t="s">
        <v>7904</v>
      </c>
      <c r="J1889" s="6" t="str">
        <f>"LA CORDUROY SLACKS (ORANGE)"</f>
        <v>LA CORDUROY SLACKS (ORANGE)</v>
      </c>
      <c r="K1889" s="6">
        <v>0</v>
      </c>
      <c r="L1889" s="6">
        <v>0</v>
      </c>
      <c r="M1889" s="6">
        <v>0</v>
      </c>
      <c r="N1889" s="6" t="str">
        <f>""</f>
        <v/>
      </c>
      <c r="O1889" s="6">
        <v>25752</v>
      </c>
      <c r="P1889" s="6" t="s">
        <v>7905</v>
      </c>
      <c r="R1889" s="6" t="s">
        <v>2898</v>
      </c>
      <c r="S1889" s="6" t="s">
        <v>7906</v>
      </c>
      <c r="T1889" s="6">
        <v>0</v>
      </c>
      <c r="U1889" s="6">
        <v>0</v>
      </c>
      <c r="V1889" s="6">
        <v>0</v>
      </c>
      <c r="W1889" s="6">
        <v>0</v>
      </c>
      <c r="X1889" s="6" t="s">
        <v>169</v>
      </c>
      <c r="Z1889" s="6" t="s">
        <v>170</v>
      </c>
      <c r="AA1889" s="6" t="s">
        <v>171</v>
      </c>
      <c r="AB1889" s="6">
        <v>0</v>
      </c>
      <c r="AC1889" s="6" t="str">
        <f>""</f>
        <v/>
      </c>
      <c r="AS1889" s="6">
        <v>0</v>
      </c>
      <c r="AT1889" s="6">
        <v>0</v>
      </c>
    </row>
    <row r="1890" spans="2:46">
      <c r="B1890" s="6" t="s">
        <v>7698</v>
      </c>
      <c r="D1890" s="6" t="s">
        <v>7120</v>
      </c>
      <c r="F1890" s="6" t="s">
        <v>7907</v>
      </c>
      <c r="G1890" s="6" t="str">
        <f>"3174312100999320"</f>
        <v>3174312100999320</v>
      </c>
      <c r="H1890" s="6">
        <v>3174312100999320</v>
      </c>
      <c r="I1890" s="6" t="s">
        <v>7908</v>
      </c>
      <c r="J1890" s="6" t="str">
        <f>"LA CORDUROY SLACKS (BLACK)"</f>
        <v>LA CORDUROY SLACKS (BLACK)</v>
      </c>
      <c r="K1890" s="6">
        <v>0</v>
      </c>
      <c r="L1890" s="6">
        <v>0</v>
      </c>
      <c r="M1890" s="6">
        <v>0</v>
      </c>
      <c r="N1890" s="6" t="str">
        <f>""</f>
        <v/>
      </c>
      <c r="O1890" s="6">
        <v>25750</v>
      </c>
      <c r="P1890" s="6" t="s">
        <v>7909</v>
      </c>
      <c r="R1890" s="6" t="s">
        <v>2106</v>
      </c>
      <c r="S1890" s="6" t="s">
        <v>7910</v>
      </c>
      <c r="T1890" s="6">
        <v>0</v>
      </c>
      <c r="U1890" s="6">
        <v>0</v>
      </c>
      <c r="V1890" s="6">
        <v>0</v>
      </c>
      <c r="W1890" s="6">
        <v>0</v>
      </c>
      <c r="X1890" s="6" t="s">
        <v>169</v>
      </c>
      <c r="Z1890" s="6" t="s">
        <v>170</v>
      </c>
      <c r="AA1890" s="6" t="s">
        <v>171</v>
      </c>
      <c r="AB1890" s="6">
        <v>0</v>
      </c>
      <c r="AC1890" s="6" t="str">
        <f>""</f>
        <v/>
      </c>
      <c r="AS1890" s="6">
        <v>0</v>
      </c>
      <c r="AT1890" s="6">
        <v>0</v>
      </c>
    </row>
    <row r="1891" spans="2:46">
      <c r="B1891" s="6" t="s">
        <v>7698</v>
      </c>
      <c r="D1891" s="6" t="s">
        <v>7120</v>
      </c>
      <c r="F1891" s="6" t="s">
        <v>7911</v>
      </c>
      <c r="G1891" s="6" t="str">
        <f>"3174312100899320"</f>
        <v>3174312100899320</v>
      </c>
      <c r="H1891" s="6">
        <v>3174312100899320</v>
      </c>
      <c r="I1891" s="6" t="s">
        <v>7912</v>
      </c>
      <c r="J1891" s="6" t="str">
        <f>"LA FLARE SLACKS (BLACK)"</f>
        <v>LA FLARE SLACKS (BLACK)</v>
      </c>
      <c r="K1891" s="6">
        <v>0</v>
      </c>
      <c r="L1891" s="6">
        <v>0</v>
      </c>
      <c r="M1891" s="6">
        <v>0</v>
      </c>
      <c r="N1891" s="6" t="str">
        <f>""</f>
        <v/>
      </c>
      <c r="O1891" s="6">
        <v>25748</v>
      </c>
      <c r="P1891" s="6" t="s">
        <v>7913</v>
      </c>
      <c r="R1891" s="6" t="s">
        <v>2106</v>
      </c>
      <c r="S1891" s="6" t="s">
        <v>7914</v>
      </c>
      <c r="T1891" s="6">
        <v>0</v>
      </c>
      <c r="U1891" s="6">
        <v>0</v>
      </c>
      <c r="V1891" s="6">
        <v>0</v>
      </c>
      <c r="W1891" s="6">
        <v>0</v>
      </c>
      <c r="X1891" s="6" t="s">
        <v>169</v>
      </c>
      <c r="Z1891" s="6" t="s">
        <v>170</v>
      </c>
      <c r="AA1891" s="6" t="s">
        <v>171</v>
      </c>
      <c r="AB1891" s="6">
        <v>0</v>
      </c>
      <c r="AC1891" s="6" t="str">
        <f>""</f>
        <v/>
      </c>
      <c r="AS1891" s="6">
        <v>0</v>
      </c>
      <c r="AT1891" s="6">
        <v>0</v>
      </c>
    </row>
    <row r="1892" spans="2:46">
      <c r="B1892" s="6" t="s">
        <v>7698</v>
      </c>
      <c r="D1892" s="6" t="s">
        <v>7120</v>
      </c>
      <c r="F1892" s="6" t="s">
        <v>7915</v>
      </c>
      <c r="G1892" s="6" t="str">
        <f>"3174312100874320"</f>
        <v>3174312100874320</v>
      </c>
      <c r="H1892" s="6">
        <v>3174312100874320</v>
      </c>
      <c r="I1892" s="6" t="s">
        <v>7916</v>
      </c>
      <c r="J1892" s="6" t="str">
        <f>"LA FLARE SLACKS (BEIGE)"</f>
        <v>LA FLARE SLACKS (BEIGE)</v>
      </c>
      <c r="K1892" s="6">
        <v>0</v>
      </c>
      <c r="L1892" s="6">
        <v>0</v>
      </c>
      <c r="M1892" s="6">
        <v>0</v>
      </c>
      <c r="N1892" s="6" t="str">
        <f>""</f>
        <v/>
      </c>
      <c r="O1892" s="6">
        <v>25746</v>
      </c>
      <c r="P1892" s="6" t="s">
        <v>7917</v>
      </c>
      <c r="R1892" s="6" t="s">
        <v>2102</v>
      </c>
      <c r="S1892" s="6" t="s">
        <v>7918</v>
      </c>
      <c r="T1892" s="6">
        <v>0</v>
      </c>
      <c r="U1892" s="6">
        <v>0</v>
      </c>
      <c r="V1892" s="6">
        <v>0</v>
      </c>
      <c r="W1892" s="6">
        <v>0</v>
      </c>
      <c r="X1892" s="6" t="s">
        <v>169</v>
      </c>
      <c r="Z1892" s="6" t="s">
        <v>170</v>
      </c>
      <c r="AA1892" s="6" t="s">
        <v>171</v>
      </c>
      <c r="AB1892" s="6">
        <v>0</v>
      </c>
      <c r="AC1892" s="6" t="str">
        <f>""</f>
        <v/>
      </c>
      <c r="AS1892" s="6">
        <v>0</v>
      </c>
      <c r="AT1892" s="6">
        <v>0</v>
      </c>
    </row>
    <row r="1893" spans="2:46">
      <c r="B1893" s="6" t="s">
        <v>7698</v>
      </c>
      <c r="D1893" s="6" t="s">
        <v>7120</v>
      </c>
      <c r="F1893" s="6" t="s">
        <v>7919</v>
      </c>
      <c r="G1893" s="6" t="str">
        <f>"3174252102930208"</f>
        <v>3174252102930208</v>
      </c>
      <c r="H1893" s="6">
        <v>3174252102930200</v>
      </c>
      <c r="I1893" s="6" t="s">
        <v>7920</v>
      </c>
      <c r="J1893" s="6" t="str">
        <f>"LA RING OPS (NAVY)"</f>
        <v>LA RING OPS (NAVY)</v>
      </c>
      <c r="K1893" s="6">
        <v>0</v>
      </c>
      <c r="L1893" s="6">
        <v>0</v>
      </c>
      <c r="M1893" s="6">
        <v>0</v>
      </c>
      <c r="N1893" s="6" t="str">
        <f>""</f>
        <v/>
      </c>
      <c r="O1893" s="6">
        <v>25744</v>
      </c>
      <c r="P1893" s="6" t="s">
        <v>7921</v>
      </c>
      <c r="R1893" s="6" t="s">
        <v>2111</v>
      </c>
      <c r="S1893" s="6" t="s">
        <v>7922</v>
      </c>
      <c r="T1893" s="6">
        <v>0</v>
      </c>
      <c r="U1893" s="6">
        <v>0</v>
      </c>
      <c r="V1893" s="6">
        <v>0</v>
      </c>
      <c r="W1893" s="6">
        <v>0</v>
      </c>
      <c r="X1893" s="6" t="s">
        <v>169</v>
      </c>
      <c r="Z1893" s="6" t="s">
        <v>170</v>
      </c>
      <c r="AA1893" s="6" t="s">
        <v>171</v>
      </c>
      <c r="AB1893" s="6">
        <v>0</v>
      </c>
      <c r="AC1893" s="6" t="str">
        <f>""</f>
        <v/>
      </c>
      <c r="AS1893" s="6">
        <v>0</v>
      </c>
      <c r="AT1893" s="6">
        <v>0</v>
      </c>
    </row>
    <row r="1894" spans="2:46">
      <c r="B1894" s="6" t="s">
        <v>7698</v>
      </c>
      <c r="D1894" s="6" t="s">
        <v>7120</v>
      </c>
      <c r="F1894" s="6" t="s">
        <v>7923</v>
      </c>
      <c r="G1894" s="6" t="str">
        <f>"3174252102985208"</f>
        <v>3174252102985208</v>
      </c>
      <c r="H1894" s="6">
        <v>3174252102985200</v>
      </c>
      <c r="I1894" s="6" t="s">
        <v>7924</v>
      </c>
      <c r="J1894" s="6" t="str">
        <f>"LA RING OPS (KHAKI)"</f>
        <v>LA RING OPS (KHAKI)</v>
      </c>
      <c r="K1894" s="6">
        <v>0</v>
      </c>
      <c r="L1894" s="6">
        <v>0</v>
      </c>
      <c r="M1894" s="6">
        <v>0</v>
      </c>
      <c r="N1894" s="6" t="str">
        <f>""</f>
        <v/>
      </c>
      <c r="O1894" s="6">
        <v>25742</v>
      </c>
      <c r="P1894" s="6" t="s">
        <v>7925</v>
      </c>
      <c r="R1894" s="6" t="s">
        <v>3576</v>
      </c>
      <c r="S1894" s="6" t="s">
        <v>7926</v>
      </c>
      <c r="T1894" s="6">
        <v>0</v>
      </c>
      <c r="U1894" s="6">
        <v>0</v>
      </c>
      <c r="V1894" s="6">
        <v>0</v>
      </c>
      <c r="W1894" s="6">
        <v>0</v>
      </c>
      <c r="X1894" s="6" t="s">
        <v>169</v>
      </c>
      <c r="Z1894" s="6" t="s">
        <v>170</v>
      </c>
      <c r="AA1894" s="6" t="s">
        <v>171</v>
      </c>
      <c r="AB1894" s="6">
        <v>0</v>
      </c>
      <c r="AC1894" s="6" t="str">
        <f>""</f>
        <v/>
      </c>
      <c r="AS1894" s="6">
        <v>0</v>
      </c>
      <c r="AT1894" s="6">
        <v>0</v>
      </c>
    </row>
    <row r="1895" spans="2:46">
      <c r="B1895" s="6" t="s">
        <v>7698</v>
      </c>
      <c r="D1895" s="6" t="s">
        <v>7120</v>
      </c>
      <c r="F1895" s="6" t="s">
        <v>7927</v>
      </c>
      <c r="G1895" s="6" t="str">
        <f>"3174252102861208"</f>
        <v>3174252102861208</v>
      </c>
      <c r="H1895" s="6">
        <v>3174252102861200</v>
      </c>
      <c r="I1895" s="6" t="s">
        <v>7928</v>
      </c>
      <c r="J1895" s="6" t="str">
        <f>"LA V-NECK OPS (RED)"</f>
        <v>LA V-NECK OPS (RED)</v>
      </c>
      <c r="K1895" s="6">
        <v>0</v>
      </c>
      <c r="L1895" s="6">
        <v>0</v>
      </c>
      <c r="M1895" s="6">
        <v>0</v>
      </c>
      <c r="N1895" s="6" t="str">
        <f>""</f>
        <v/>
      </c>
      <c r="O1895" s="6">
        <v>25740</v>
      </c>
      <c r="P1895" s="6" t="s">
        <v>7929</v>
      </c>
      <c r="R1895" s="6" t="s">
        <v>2309</v>
      </c>
      <c r="S1895" s="6" t="s">
        <v>7930</v>
      </c>
      <c r="T1895" s="6">
        <v>0</v>
      </c>
      <c r="U1895" s="6">
        <v>0</v>
      </c>
      <c r="V1895" s="6">
        <v>0</v>
      </c>
      <c r="W1895" s="6">
        <v>0</v>
      </c>
      <c r="X1895" s="6" t="s">
        <v>169</v>
      </c>
      <c r="Z1895" s="6" t="s">
        <v>170</v>
      </c>
      <c r="AA1895" s="6" t="s">
        <v>171</v>
      </c>
      <c r="AB1895" s="6">
        <v>0</v>
      </c>
      <c r="AC1895" s="6" t="str">
        <f>""</f>
        <v/>
      </c>
      <c r="AS1895" s="6">
        <v>0</v>
      </c>
      <c r="AT1895" s="6">
        <v>0</v>
      </c>
    </row>
    <row r="1896" spans="2:46">
      <c r="B1896" s="6" t="s">
        <v>7698</v>
      </c>
      <c r="D1896" s="6" t="s">
        <v>7120</v>
      </c>
      <c r="F1896" s="6" t="s">
        <v>7931</v>
      </c>
      <c r="G1896" s="6" t="str">
        <f>"3174252102899208"</f>
        <v>3174252102899208</v>
      </c>
      <c r="H1896" s="6">
        <v>3174252102899200</v>
      </c>
      <c r="I1896" s="6" t="s">
        <v>7932</v>
      </c>
      <c r="J1896" s="6" t="str">
        <f>"LA V-NECK OPS (BLACK)"</f>
        <v>LA V-NECK OPS (BLACK)</v>
      </c>
      <c r="K1896" s="6">
        <v>0</v>
      </c>
      <c r="L1896" s="6">
        <v>0</v>
      </c>
      <c r="M1896" s="6">
        <v>0</v>
      </c>
      <c r="N1896" s="6" t="str">
        <f>""</f>
        <v/>
      </c>
      <c r="O1896" s="6">
        <v>25738</v>
      </c>
      <c r="P1896" s="6" t="s">
        <v>7933</v>
      </c>
      <c r="R1896" s="6" t="s">
        <v>2106</v>
      </c>
      <c r="S1896" s="6" t="s">
        <v>7934</v>
      </c>
      <c r="T1896" s="6">
        <v>0</v>
      </c>
      <c r="U1896" s="6">
        <v>0</v>
      </c>
      <c r="V1896" s="6">
        <v>0</v>
      </c>
      <c r="W1896" s="6">
        <v>0</v>
      </c>
      <c r="X1896" s="6" t="s">
        <v>169</v>
      </c>
      <c r="Z1896" s="6" t="s">
        <v>170</v>
      </c>
      <c r="AA1896" s="6" t="s">
        <v>171</v>
      </c>
      <c r="AB1896" s="6">
        <v>0</v>
      </c>
      <c r="AC1896" s="6" t="str">
        <f>""</f>
        <v/>
      </c>
      <c r="AS1896" s="6">
        <v>0</v>
      </c>
      <c r="AT1896" s="6">
        <v>0</v>
      </c>
    </row>
    <row r="1897" spans="2:46">
      <c r="B1897" s="6" t="s">
        <v>7698</v>
      </c>
      <c r="D1897" s="6" t="s">
        <v>7120</v>
      </c>
      <c r="F1897" s="6" t="s">
        <v>7935</v>
      </c>
      <c r="G1897" s="6" t="str">
        <f>"3174132101585208"</f>
        <v>3174132101585208</v>
      </c>
      <c r="H1897" s="6">
        <v>3174132101585200</v>
      </c>
      <c r="I1897" s="6" t="s">
        <v>7936</v>
      </c>
      <c r="J1897" s="6" t="str">
        <f>"LA FUR JACKET (KHAKI)"</f>
        <v>LA FUR JACKET (KHAKI)</v>
      </c>
      <c r="K1897" s="6">
        <v>0</v>
      </c>
      <c r="L1897" s="6">
        <v>0</v>
      </c>
      <c r="M1897" s="6">
        <v>0</v>
      </c>
      <c r="N1897" s="6" t="str">
        <f>""</f>
        <v/>
      </c>
      <c r="O1897" s="6">
        <v>25736</v>
      </c>
      <c r="P1897" s="6" t="s">
        <v>7937</v>
      </c>
      <c r="R1897" s="6" t="s">
        <v>3576</v>
      </c>
      <c r="S1897" s="6" t="s">
        <v>7938</v>
      </c>
      <c r="T1897" s="6">
        <v>0</v>
      </c>
      <c r="U1897" s="6">
        <v>0</v>
      </c>
      <c r="V1897" s="6">
        <v>0</v>
      </c>
      <c r="W1897" s="6">
        <v>0</v>
      </c>
      <c r="X1897" s="6" t="s">
        <v>169</v>
      </c>
      <c r="Z1897" s="6" t="s">
        <v>170</v>
      </c>
      <c r="AA1897" s="6" t="s">
        <v>171</v>
      </c>
      <c r="AB1897" s="6">
        <v>0</v>
      </c>
      <c r="AC1897" s="6" t="str">
        <f>""</f>
        <v/>
      </c>
      <c r="AS1897" s="6">
        <v>0</v>
      </c>
      <c r="AT1897" s="6">
        <v>0</v>
      </c>
    </row>
    <row r="1898" spans="2:46">
      <c r="B1898" s="6" t="s">
        <v>7698</v>
      </c>
      <c r="D1898" s="6" t="s">
        <v>7120</v>
      </c>
      <c r="F1898" s="6" t="s">
        <v>7939</v>
      </c>
      <c r="G1898" s="6" t="str">
        <f>"3174132101574208"</f>
        <v>3174132101574208</v>
      </c>
      <c r="H1898" s="6">
        <v>3174132101574200</v>
      </c>
      <c r="I1898" s="6" t="s">
        <v>7940</v>
      </c>
      <c r="J1898" s="6" t="str">
        <f>"LA FUR JACKET (BEIGE)"</f>
        <v>LA FUR JACKET (BEIGE)</v>
      </c>
      <c r="K1898" s="6">
        <v>0</v>
      </c>
      <c r="L1898" s="6">
        <v>0</v>
      </c>
      <c r="M1898" s="6">
        <v>0</v>
      </c>
      <c r="N1898" s="6" t="str">
        <f>""</f>
        <v/>
      </c>
      <c r="O1898" s="6">
        <v>25734</v>
      </c>
      <c r="P1898" s="6" t="s">
        <v>7941</v>
      </c>
      <c r="R1898" s="6" t="s">
        <v>2102</v>
      </c>
      <c r="S1898" s="6" t="s">
        <v>7942</v>
      </c>
      <c r="T1898" s="6">
        <v>0</v>
      </c>
      <c r="U1898" s="6">
        <v>0</v>
      </c>
      <c r="V1898" s="6">
        <v>0</v>
      </c>
      <c r="W1898" s="6">
        <v>0</v>
      </c>
      <c r="X1898" s="6" t="s">
        <v>169</v>
      </c>
      <c r="Z1898" s="6" t="s">
        <v>170</v>
      </c>
      <c r="AA1898" s="6" t="s">
        <v>171</v>
      </c>
      <c r="AB1898" s="6">
        <v>0</v>
      </c>
      <c r="AC1898" s="6" t="str">
        <f>""</f>
        <v/>
      </c>
      <c r="AS1898" s="6">
        <v>0</v>
      </c>
      <c r="AT1898" s="6">
        <v>0</v>
      </c>
    </row>
    <row r="1899" spans="2:46">
      <c r="B1899" s="6" t="s">
        <v>7698</v>
      </c>
      <c r="D1899" s="6" t="s">
        <v>7120</v>
      </c>
      <c r="F1899" s="6" t="s">
        <v>7943</v>
      </c>
      <c r="G1899" s="6" t="str">
        <f>"3174112109830208"</f>
        <v>3174112109830208</v>
      </c>
      <c r="H1899" s="6">
        <v>3174112109830200</v>
      </c>
      <c r="I1899" s="6" t="s">
        <v>7944</v>
      </c>
      <c r="J1899" s="6" t="str">
        <f>"LA DOUBLE COAT (NAVY)"</f>
        <v>LA DOUBLE COAT (NAVY)</v>
      </c>
      <c r="K1899" s="6">
        <v>0</v>
      </c>
      <c r="L1899" s="6">
        <v>0</v>
      </c>
      <c r="M1899" s="6">
        <v>0</v>
      </c>
      <c r="N1899" s="6" t="str">
        <f>""</f>
        <v/>
      </c>
      <c r="O1899" s="6">
        <v>25732</v>
      </c>
      <c r="P1899" s="6" t="s">
        <v>7945</v>
      </c>
      <c r="R1899" s="6" t="s">
        <v>2111</v>
      </c>
      <c r="S1899" s="6" t="s">
        <v>7946</v>
      </c>
      <c r="T1899" s="6">
        <v>0</v>
      </c>
      <c r="U1899" s="6">
        <v>0</v>
      </c>
      <c r="V1899" s="6">
        <v>0</v>
      </c>
      <c r="W1899" s="6">
        <v>0</v>
      </c>
      <c r="X1899" s="6" t="s">
        <v>169</v>
      </c>
      <c r="Z1899" s="6" t="s">
        <v>170</v>
      </c>
      <c r="AA1899" s="6" t="s">
        <v>171</v>
      </c>
      <c r="AB1899" s="6">
        <v>0</v>
      </c>
      <c r="AC1899" s="6" t="str">
        <f>""</f>
        <v/>
      </c>
      <c r="AS1899" s="6">
        <v>0</v>
      </c>
      <c r="AT1899" s="6">
        <v>0</v>
      </c>
    </row>
    <row r="1900" spans="2:46">
      <c r="B1900" s="6" t="s">
        <v>7698</v>
      </c>
      <c r="D1900" s="6" t="s">
        <v>7120</v>
      </c>
      <c r="F1900" s="6" t="s">
        <v>7947</v>
      </c>
      <c r="G1900" s="6" t="str">
        <f>"3174112109775208"</f>
        <v>3174112109775208</v>
      </c>
      <c r="H1900" s="6">
        <v>3174112109775200</v>
      </c>
      <c r="I1900" s="6" t="s">
        <v>7948</v>
      </c>
      <c r="J1900" s="6" t="str">
        <f>"LA DOUBLE COAT (BROWN)"</f>
        <v>LA DOUBLE COAT (BROWN)</v>
      </c>
      <c r="K1900" s="6">
        <v>0</v>
      </c>
      <c r="L1900" s="6">
        <v>0</v>
      </c>
      <c r="M1900" s="6">
        <v>0</v>
      </c>
      <c r="N1900" s="6" t="str">
        <f>""</f>
        <v/>
      </c>
      <c r="O1900" s="6">
        <v>25730</v>
      </c>
      <c r="P1900" s="6" t="s">
        <v>7949</v>
      </c>
      <c r="R1900" s="6" t="s">
        <v>2119</v>
      </c>
      <c r="S1900" s="6" t="s">
        <v>7950</v>
      </c>
      <c r="T1900" s="6">
        <v>0</v>
      </c>
      <c r="U1900" s="6">
        <v>0</v>
      </c>
      <c r="V1900" s="6">
        <v>0</v>
      </c>
      <c r="W1900" s="6">
        <v>0</v>
      </c>
      <c r="X1900" s="6" t="s">
        <v>169</v>
      </c>
      <c r="Z1900" s="6" t="s">
        <v>170</v>
      </c>
      <c r="AA1900" s="6" t="s">
        <v>171</v>
      </c>
      <c r="AB1900" s="6">
        <v>0</v>
      </c>
      <c r="AC1900" s="6" t="str">
        <f>""</f>
        <v/>
      </c>
      <c r="AS1900" s="6">
        <v>0</v>
      </c>
      <c r="AT1900" s="6">
        <v>0</v>
      </c>
    </row>
    <row r="1901" spans="2:46">
      <c r="B1901" s="6" t="s">
        <v>7698</v>
      </c>
      <c r="D1901" s="6" t="s">
        <v>7120</v>
      </c>
      <c r="F1901" s="6" t="s">
        <v>7951</v>
      </c>
      <c r="G1901" s="6" t="str">
        <f>"3174112109601208"</f>
        <v>3174112109601208</v>
      </c>
      <c r="H1901" s="6">
        <v>3174112109601200</v>
      </c>
      <c r="I1901" s="6" t="s">
        <v>7952</v>
      </c>
      <c r="J1901" s="6" t="str">
        <f>"LA BUTTON COAT (PINK)"</f>
        <v>LA BUTTON COAT (PINK)</v>
      </c>
      <c r="K1901" s="6">
        <v>0</v>
      </c>
      <c r="L1901" s="6">
        <v>0</v>
      </c>
      <c r="M1901" s="6">
        <v>0</v>
      </c>
      <c r="N1901" s="6" t="str">
        <f>""</f>
        <v/>
      </c>
      <c r="O1901" s="6">
        <v>25728</v>
      </c>
      <c r="P1901" s="6" t="s">
        <v>7953</v>
      </c>
      <c r="R1901" s="6" t="s">
        <v>2446</v>
      </c>
      <c r="S1901" s="6" t="s">
        <v>7954</v>
      </c>
      <c r="T1901" s="6">
        <v>0</v>
      </c>
      <c r="U1901" s="6">
        <v>0</v>
      </c>
      <c r="V1901" s="6">
        <v>0</v>
      </c>
      <c r="W1901" s="6">
        <v>0</v>
      </c>
      <c r="X1901" s="6" t="s">
        <v>169</v>
      </c>
      <c r="Z1901" s="6" t="s">
        <v>170</v>
      </c>
      <c r="AA1901" s="6" t="s">
        <v>171</v>
      </c>
      <c r="AB1901" s="6">
        <v>0</v>
      </c>
      <c r="AC1901" s="6" t="str">
        <f>""</f>
        <v/>
      </c>
      <c r="AS1901" s="6">
        <v>0</v>
      </c>
      <c r="AT1901" s="6">
        <v>0</v>
      </c>
    </row>
    <row r="1902" spans="2:46">
      <c r="B1902" s="6" t="s">
        <v>7698</v>
      </c>
      <c r="D1902" s="6" t="s">
        <v>7120</v>
      </c>
      <c r="F1902" s="6" t="s">
        <v>7955</v>
      </c>
      <c r="G1902" s="6" t="str">
        <f>"3174112109675208"</f>
        <v>3174112109675208</v>
      </c>
      <c r="H1902" s="6">
        <v>3174112109675200</v>
      </c>
      <c r="I1902" s="6" t="s">
        <v>7956</v>
      </c>
      <c r="J1902" s="6" t="str">
        <f>"LA BUTTON COAT (BROWN)"</f>
        <v>LA BUTTON COAT (BROWN)</v>
      </c>
      <c r="K1902" s="6">
        <v>0</v>
      </c>
      <c r="L1902" s="6">
        <v>0</v>
      </c>
      <c r="M1902" s="6">
        <v>0</v>
      </c>
      <c r="N1902" s="6" t="str">
        <f>""</f>
        <v/>
      </c>
      <c r="O1902" s="6">
        <v>25726</v>
      </c>
      <c r="P1902" s="6" t="s">
        <v>7957</v>
      </c>
      <c r="R1902" s="6" t="s">
        <v>2119</v>
      </c>
      <c r="S1902" s="6" t="s">
        <v>7958</v>
      </c>
      <c r="T1902" s="6">
        <v>0</v>
      </c>
      <c r="U1902" s="6">
        <v>0</v>
      </c>
      <c r="V1902" s="6">
        <v>0</v>
      </c>
      <c r="W1902" s="6">
        <v>0</v>
      </c>
      <c r="X1902" s="6" t="s">
        <v>169</v>
      </c>
      <c r="Z1902" s="6" t="s">
        <v>170</v>
      </c>
      <c r="AA1902" s="6" t="s">
        <v>171</v>
      </c>
      <c r="AB1902" s="6">
        <v>0</v>
      </c>
      <c r="AC1902" s="6" t="str">
        <f>""</f>
        <v/>
      </c>
      <c r="AS1902" s="6">
        <v>0</v>
      </c>
      <c r="AT1902" s="6">
        <v>0</v>
      </c>
    </row>
    <row r="1903" spans="2:46">
      <c r="B1903" s="6" t="s">
        <v>7698</v>
      </c>
      <c r="D1903" s="6" t="s">
        <v>7120</v>
      </c>
      <c r="F1903" s="6" t="s">
        <v>7959</v>
      </c>
      <c r="G1903" s="6" t="str">
        <f>"3174112109501208"</f>
        <v>3174112109501208</v>
      </c>
      <c r="H1903" s="6">
        <v>3174112109501200</v>
      </c>
      <c r="I1903" s="6" t="s">
        <v>7960</v>
      </c>
      <c r="J1903" s="6" t="str">
        <f>"LA SINGLE COAT (PINK)"</f>
        <v>LA SINGLE COAT (PINK)</v>
      </c>
      <c r="K1903" s="6">
        <v>0</v>
      </c>
      <c r="L1903" s="6">
        <v>0</v>
      </c>
      <c r="M1903" s="6">
        <v>0</v>
      </c>
      <c r="N1903" s="6" t="str">
        <f>""</f>
        <v/>
      </c>
      <c r="O1903" s="6">
        <v>25724</v>
      </c>
      <c r="P1903" s="6" t="s">
        <v>7961</v>
      </c>
      <c r="R1903" s="6" t="s">
        <v>2446</v>
      </c>
      <c r="S1903" s="6" t="s">
        <v>7962</v>
      </c>
      <c r="T1903" s="6">
        <v>0</v>
      </c>
      <c r="U1903" s="6">
        <v>0</v>
      </c>
      <c r="V1903" s="6">
        <v>0</v>
      </c>
      <c r="W1903" s="6">
        <v>0</v>
      </c>
      <c r="X1903" s="6" t="s">
        <v>169</v>
      </c>
      <c r="Z1903" s="6" t="s">
        <v>170</v>
      </c>
      <c r="AA1903" s="6" t="s">
        <v>171</v>
      </c>
      <c r="AB1903" s="6">
        <v>0</v>
      </c>
      <c r="AC1903" s="6" t="str">
        <f>""</f>
        <v/>
      </c>
      <c r="AS1903" s="6">
        <v>0</v>
      </c>
      <c r="AT1903" s="6">
        <v>0</v>
      </c>
    </row>
    <row r="1904" spans="2:46">
      <c r="B1904" s="6" t="s">
        <v>7698</v>
      </c>
      <c r="D1904" s="6" t="s">
        <v>7120</v>
      </c>
      <c r="F1904" s="6" t="s">
        <v>7963</v>
      </c>
      <c r="G1904" s="6" t="str">
        <f>"3174112109569208"</f>
        <v>3174112109569208</v>
      </c>
      <c r="H1904" s="6">
        <v>3174112109569200</v>
      </c>
      <c r="I1904" s="6" t="s">
        <v>7964</v>
      </c>
      <c r="J1904" s="6" t="str">
        <f>"LA SINGLE COAT (IVORY)"</f>
        <v>LA SINGLE COAT (IVORY)</v>
      </c>
      <c r="K1904" s="6">
        <v>0</v>
      </c>
      <c r="L1904" s="6">
        <v>0</v>
      </c>
      <c r="M1904" s="6">
        <v>0</v>
      </c>
      <c r="N1904" s="6" t="str">
        <f>""</f>
        <v/>
      </c>
      <c r="O1904" s="6">
        <v>25722</v>
      </c>
      <c r="P1904" s="6" t="s">
        <v>7965</v>
      </c>
      <c r="R1904" s="6" t="s">
        <v>2356</v>
      </c>
      <c r="S1904" s="6" t="s">
        <v>7966</v>
      </c>
      <c r="T1904" s="6">
        <v>0</v>
      </c>
      <c r="U1904" s="6">
        <v>0</v>
      </c>
      <c r="V1904" s="6">
        <v>0</v>
      </c>
      <c r="W1904" s="6">
        <v>0</v>
      </c>
      <c r="X1904" s="6" t="s">
        <v>169</v>
      </c>
      <c r="Z1904" s="6" t="s">
        <v>170</v>
      </c>
      <c r="AA1904" s="6" t="s">
        <v>171</v>
      </c>
      <c r="AB1904" s="6">
        <v>0</v>
      </c>
      <c r="AC1904" s="6" t="str">
        <f>""</f>
        <v/>
      </c>
      <c r="AS1904" s="6">
        <v>0</v>
      </c>
      <c r="AT1904" s="6">
        <v>0</v>
      </c>
    </row>
    <row r="1905" spans="2:46">
      <c r="B1905" s="6" t="s">
        <v>7698</v>
      </c>
      <c r="D1905" s="6" t="s">
        <v>7120</v>
      </c>
      <c r="F1905" s="6" t="s">
        <v>7967</v>
      </c>
      <c r="G1905" s="6" t="str">
        <f>"3174112109299208"</f>
        <v>3174112109299208</v>
      </c>
      <c r="H1905" s="6">
        <v>3174112109299200</v>
      </c>
      <c r="I1905" s="6" t="s">
        <v>7968</v>
      </c>
      <c r="J1905" s="6" t="str">
        <f>"LA LONG OVER COAT (BLACK)"</f>
        <v>LA LONG OVER COAT (BLACK)</v>
      </c>
      <c r="K1905" s="6">
        <v>0</v>
      </c>
      <c r="L1905" s="6">
        <v>0</v>
      </c>
      <c r="M1905" s="6">
        <v>0</v>
      </c>
      <c r="N1905" s="6" t="str">
        <f>""</f>
        <v/>
      </c>
      <c r="O1905" s="6">
        <v>25720</v>
      </c>
      <c r="P1905" s="6" t="s">
        <v>7969</v>
      </c>
      <c r="R1905" s="6" t="s">
        <v>2106</v>
      </c>
      <c r="S1905" s="6" t="s">
        <v>7970</v>
      </c>
      <c r="T1905" s="6">
        <v>0</v>
      </c>
      <c r="U1905" s="6">
        <v>0</v>
      </c>
      <c r="V1905" s="6">
        <v>0</v>
      </c>
      <c r="W1905" s="6">
        <v>0</v>
      </c>
      <c r="X1905" s="6" t="s">
        <v>169</v>
      </c>
      <c r="Z1905" s="6" t="s">
        <v>170</v>
      </c>
      <c r="AA1905" s="6" t="s">
        <v>171</v>
      </c>
      <c r="AB1905" s="6">
        <v>0</v>
      </c>
      <c r="AC1905" s="6" t="str">
        <f>""</f>
        <v/>
      </c>
      <c r="AS1905" s="6">
        <v>0</v>
      </c>
      <c r="AT1905" s="6">
        <v>0</v>
      </c>
    </row>
    <row r="1906" spans="2:46">
      <c r="B1906" s="6" t="s">
        <v>7698</v>
      </c>
      <c r="D1906" s="6" t="s">
        <v>7120</v>
      </c>
      <c r="F1906" s="6" t="s">
        <v>7971</v>
      </c>
      <c r="G1906" s="6" t="str">
        <f>"3174112109199208"</f>
        <v>3174112109199208</v>
      </c>
      <c r="H1906" s="6">
        <v>3174112109199200</v>
      </c>
      <c r="I1906" s="6" t="s">
        <v>7972</v>
      </c>
      <c r="J1906" s="6" t="str">
        <f>"LA SHORT OVER COAT (BLACK)"</f>
        <v>LA SHORT OVER COAT (BLACK)</v>
      </c>
      <c r="K1906" s="6">
        <v>0</v>
      </c>
      <c r="L1906" s="6">
        <v>0</v>
      </c>
      <c r="M1906" s="6">
        <v>0</v>
      </c>
      <c r="N1906" s="6" t="str">
        <f>""</f>
        <v/>
      </c>
      <c r="O1906" s="6">
        <v>25718</v>
      </c>
      <c r="P1906" s="6" t="s">
        <v>7973</v>
      </c>
      <c r="R1906" s="6" t="s">
        <v>2106</v>
      </c>
      <c r="S1906" s="6" t="s">
        <v>7974</v>
      </c>
      <c r="T1906" s="6">
        <v>0</v>
      </c>
      <c r="U1906" s="6">
        <v>0</v>
      </c>
      <c r="V1906" s="6">
        <v>0</v>
      </c>
      <c r="W1906" s="6">
        <v>0</v>
      </c>
      <c r="X1906" s="6" t="s">
        <v>169</v>
      </c>
      <c r="Z1906" s="6" t="s">
        <v>170</v>
      </c>
      <c r="AA1906" s="6" t="s">
        <v>171</v>
      </c>
      <c r="AB1906" s="6">
        <v>0</v>
      </c>
      <c r="AC1906" s="6" t="str">
        <f>""</f>
        <v/>
      </c>
      <c r="AS1906" s="6">
        <v>0</v>
      </c>
      <c r="AT1906" s="6">
        <v>0</v>
      </c>
    </row>
    <row r="1907" spans="2:46">
      <c r="B1907" s="6" t="s">
        <v>7698</v>
      </c>
      <c r="D1907" s="6" t="s">
        <v>7120</v>
      </c>
      <c r="F1907" s="6" t="s">
        <v>7975</v>
      </c>
      <c r="G1907" s="6" t="str">
        <f>"3177112111191208"</f>
        <v>3177112111191208</v>
      </c>
      <c r="H1907" s="6">
        <v>3177112111191200</v>
      </c>
      <c r="I1907" s="6" t="s">
        <v>7976</v>
      </c>
      <c r="J1907" s="6" t="str">
        <f>"LA SHORT OVER COAT (WHITE)"</f>
        <v>LA SHORT OVER COAT (WHITE)</v>
      </c>
      <c r="K1907" s="6">
        <v>0</v>
      </c>
      <c r="L1907" s="6">
        <v>0</v>
      </c>
      <c r="M1907" s="6">
        <v>0</v>
      </c>
      <c r="N1907" s="6" t="str">
        <f>""</f>
        <v/>
      </c>
      <c r="O1907" s="6">
        <v>25716</v>
      </c>
      <c r="P1907" s="6" t="s">
        <v>7977</v>
      </c>
      <c r="R1907" s="6" t="s">
        <v>2167</v>
      </c>
      <c r="S1907" s="6" t="s">
        <v>7978</v>
      </c>
      <c r="T1907" s="6">
        <v>0</v>
      </c>
      <c r="U1907" s="6">
        <v>0</v>
      </c>
      <c r="V1907" s="6">
        <v>0</v>
      </c>
      <c r="W1907" s="6">
        <v>0</v>
      </c>
      <c r="X1907" s="6" t="s">
        <v>169</v>
      </c>
      <c r="Z1907" s="6" t="s">
        <v>170</v>
      </c>
      <c r="AA1907" s="6" t="s">
        <v>171</v>
      </c>
      <c r="AB1907" s="6">
        <v>0</v>
      </c>
      <c r="AC1907" s="6" t="str">
        <f>""</f>
        <v/>
      </c>
      <c r="AS1907" s="6">
        <v>0</v>
      </c>
      <c r="AT1907" s="6">
        <v>0</v>
      </c>
    </row>
    <row r="1908" spans="2:46">
      <c r="B1908" s="6" t="s">
        <v>7698</v>
      </c>
      <c r="D1908" s="6" t="s">
        <v>7120</v>
      </c>
      <c r="F1908" s="6" t="s">
        <v>7979</v>
      </c>
      <c r="G1908" s="6" t="str">
        <f>"3177112109895208"</f>
        <v>3177112109895208</v>
      </c>
      <c r="H1908" s="6">
        <v>3177112109895200</v>
      </c>
      <c r="I1908" s="6" t="s">
        <v>7980</v>
      </c>
      <c r="J1908" s="6" t="str">
        <f>"L SINGLE HANDMADE COAT (GREY)"</f>
        <v>L SINGLE HANDMADE COAT (GREY)</v>
      </c>
      <c r="K1908" s="6">
        <v>0</v>
      </c>
      <c r="L1908" s="6">
        <v>0</v>
      </c>
      <c r="M1908" s="6">
        <v>0</v>
      </c>
      <c r="N1908" s="6" t="str">
        <f>""</f>
        <v/>
      </c>
      <c r="O1908" s="6">
        <v>25714</v>
      </c>
      <c r="P1908" s="6" t="s">
        <v>7981</v>
      </c>
      <c r="R1908" s="6" t="s">
        <v>2187</v>
      </c>
      <c r="S1908" s="6" t="s">
        <v>7982</v>
      </c>
      <c r="T1908" s="6">
        <v>0</v>
      </c>
      <c r="U1908" s="6">
        <v>0</v>
      </c>
      <c r="V1908" s="6">
        <v>0</v>
      </c>
      <c r="W1908" s="6">
        <v>0</v>
      </c>
      <c r="X1908" s="6" t="s">
        <v>169</v>
      </c>
      <c r="Z1908" s="6" t="s">
        <v>170</v>
      </c>
      <c r="AA1908" s="6" t="s">
        <v>171</v>
      </c>
      <c r="AB1908" s="6">
        <v>0</v>
      </c>
      <c r="AC1908" s="6" t="str">
        <f>""</f>
        <v/>
      </c>
      <c r="AS1908" s="6">
        <v>0</v>
      </c>
      <c r="AT1908" s="6">
        <v>0</v>
      </c>
    </row>
    <row r="1909" spans="2:46">
      <c r="B1909" s="6" t="s">
        <v>7698</v>
      </c>
      <c r="D1909" s="6" t="s">
        <v>7120</v>
      </c>
      <c r="F1909" s="6" t="s">
        <v>7983</v>
      </c>
      <c r="G1909" s="6" t="str">
        <f>"3177112109899208"</f>
        <v>3177112109899208</v>
      </c>
      <c r="H1909" s="6">
        <v>3177112109899200</v>
      </c>
      <c r="I1909" s="6" t="s">
        <v>7984</v>
      </c>
      <c r="J1909" s="6" t="str">
        <f>"L SINGLE HANDMADE COAT (BLACK)"</f>
        <v>L SINGLE HANDMADE COAT (BLACK)</v>
      </c>
      <c r="K1909" s="6">
        <v>0</v>
      </c>
      <c r="L1909" s="6">
        <v>0</v>
      </c>
      <c r="M1909" s="6">
        <v>0</v>
      </c>
      <c r="N1909" s="6" t="str">
        <f>""</f>
        <v/>
      </c>
      <c r="O1909" s="6">
        <v>25712</v>
      </c>
      <c r="P1909" s="6" t="s">
        <v>7985</v>
      </c>
      <c r="R1909" s="6" t="s">
        <v>2106</v>
      </c>
      <c r="S1909" s="6" t="s">
        <v>7986</v>
      </c>
      <c r="T1909" s="6">
        <v>0</v>
      </c>
      <c r="U1909" s="6">
        <v>0</v>
      </c>
      <c r="V1909" s="6">
        <v>0</v>
      </c>
      <c r="W1909" s="6">
        <v>0</v>
      </c>
      <c r="X1909" s="6" t="s">
        <v>169</v>
      </c>
      <c r="Z1909" s="6" t="s">
        <v>170</v>
      </c>
      <c r="AA1909" s="6" t="s">
        <v>171</v>
      </c>
      <c r="AB1909" s="6">
        <v>0</v>
      </c>
      <c r="AC1909" s="6" t="str">
        <f>""</f>
        <v/>
      </c>
      <c r="AS1909" s="6">
        <v>0</v>
      </c>
      <c r="AT1909" s="6">
        <v>0</v>
      </c>
    </row>
    <row r="1910" spans="2:46">
      <c r="B1910" s="6" t="s">
        <v>7698</v>
      </c>
      <c r="D1910" s="6" t="s">
        <v>7120</v>
      </c>
      <c r="F1910" s="6" t="s">
        <v>7987</v>
      </c>
      <c r="G1910" s="6" t="str">
        <f>"3177112109730208"</f>
        <v>3177112109730208</v>
      </c>
      <c r="H1910" s="6">
        <v>3177112109730200</v>
      </c>
      <c r="I1910" s="6" t="s">
        <v>7988</v>
      </c>
      <c r="J1910" s="6" t="str">
        <f>"L S HANDMADE COAT (NAVY)"</f>
        <v>L S HANDMADE COAT (NAVY)</v>
      </c>
      <c r="K1910" s="6">
        <v>0</v>
      </c>
      <c r="L1910" s="6">
        <v>0</v>
      </c>
      <c r="M1910" s="6">
        <v>0</v>
      </c>
      <c r="N1910" s="6" t="str">
        <f>""</f>
        <v/>
      </c>
      <c r="O1910" s="6">
        <v>25710</v>
      </c>
      <c r="P1910" s="6" t="s">
        <v>7989</v>
      </c>
      <c r="R1910" s="6" t="s">
        <v>2111</v>
      </c>
      <c r="S1910" s="6" t="s">
        <v>7990</v>
      </c>
      <c r="T1910" s="6">
        <v>0</v>
      </c>
      <c r="U1910" s="6">
        <v>0</v>
      </c>
      <c r="V1910" s="6">
        <v>0</v>
      </c>
      <c r="W1910" s="6">
        <v>0</v>
      </c>
      <c r="X1910" s="6" t="s">
        <v>169</v>
      </c>
      <c r="Z1910" s="6" t="s">
        <v>170</v>
      </c>
      <c r="AA1910" s="6" t="s">
        <v>171</v>
      </c>
      <c r="AB1910" s="6">
        <v>0</v>
      </c>
      <c r="AC1910" s="6" t="str">
        <f>""</f>
        <v/>
      </c>
      <c r="AS1910" s="6">
        <v>0</v>
      </c>
      <c r="AT1910" s="6">
        <v>0</v>
      </c>
    </row>
    <row r="1911" spans="2:46">
      <c r="B1911" s="6" t="s">
        <v>7698</v>
      </c>
      <c r="D1911" s="6" t="s">
        <v>7120</v>
      </c>
      <c r="F1911" s="6" t="s">
        <v>7991</v>
      </c>
      <c r="G1911" s="6" t="str">
        <f>"3177112109775208"</f>
        <v>3177112109775208</v>
      </c>
      <c r="H1911" s="6">
        <v>3177112109775200</v>
      </c>
      <c r="I1911" s="6" t="s">
        <v>7992</v>
      </c>
      <c r="J1911" s="6" t="str">
        <f>"L S HANDMADE COAT (BROWN)"</f>
        <v>L S HANDMADE COAT (BROWN)</v>
      </c>
      <c r="K1911" s="6">
        <v>0</v>
      </c>
      <c r="L1911" s="6">
        <v>0</v>
      </c>
      <c r="M1911" s="6">
        <v>0</v>
      </c>
      <c r="N1911" s="6" t="str">
        <f>""</f>
        <v/>
      </c>
      <c r="O1911" s="6">
        <v>25708</v>
      </c>
      <c r="P1911" s="6" t="s">
        <v>7993</v>
      </c>
      <c r="R1911" s="6" t="s">
        <v>2119</v>
      </c>
      <c r="S1911" s="6" t="s">
        <v>7994</v>
      </c>
      <c r="T1911" s="6">
        <v>0</v>
      </c>
      <c r="U1911" s="6">
        <v>0</v>
      </c>
      <c r="V1911" s="6">
        <v>0</v>
      </c>
      <c r="W1911" s="6">
        <v>0</v>
      </c>
      <c r="X1911" s="6" t="s">
        <v>169</v>
      </c>
      <c r="Z1911" s="6" t="s">
        <v>170</v>
      </c>
      <c r="AA1911" s="6" t="s">
        <v>171</v>
      </c>
      <c r="AB1911" s="6">
        <v>0</v>
      </c>
      <c r="AC1911" s="6" t="str">
        <f>""</f>
        <v/>
      </c>
      <c r="AS1911" s="6">
        <v>0</v>
      </c>
      <c r="AT1911" s="6">
        <v>0</v>
      </c>
    </row>
    <row r="1912" spans="2:46">
      <c r="B1912" s="6" t="s">
        <v>7698</v>
      </c>
      <c r="D1912" s="6" t="s">
        <v>7120</v>
      </c>
      <c r="F1912" s="6" t="s">
        <v>7995</v>
      </c>
      <c r="G1912" s="6" t="str">
        <f>"3164132100491208"</f>
        <v>3164132100491208</v>
      </c>
      <c r="H1912" s="6">
        <v>3164132100491200</v>
      </c>
      <c r="I1912" s="6" t="s">
        <v>7996</v>
      </c>
      <c r="J1912" s="6" t="str">
        <f>"L SHORT MUSTANG (WHITE)"</f>
        <v>L SHORT MUSTANG (WHITE)</v>
      </c>
      <c r="K1912" s="6">
        <v>0</v>
      </c>
      <c r="L1912" s="6">
        <v>0</v>
      </c>
      <c r="M1912" s="6">
        <v>0</v>
      </c>
      <c r="N1912" s="6" t="str">
        <f>""</f>
        <v/>
      </c>
      <c r="O1912" s="6">
        <v>25706</v>
      </c>
      <c r="P1912" s="6" t="s">
        <v>7997</v>
      </c>
      <c r="R1912" s="6" t="s">
        <v>2167</v>
      </c>
      <c r="S1912" s="6" t="s">
        <v>7998</v>
      </c>
      <c r="T1912" s="6">
        <v>0</v>
      </c>
      <c r="U1912" s="6">
        <v>0</v>
      </c>
      <c r="V1912" s="6">
        <v>0</v>
      </c>
      <c r="W1912" s="6">
        <v>0</v>
      </c>
      <c r="X1912" s="6" t="s">
        <v>169</v>
      </c>
      <c r="Z1912" s="6" t="s">
        <v>170</v>
      </c>
      <c r="AA1912" s="6" t="s">
        <v>171</v>
      </c>
      <c r="AB1912" s="6">
        <v>0</v>
      </c>
      <c r="AC1912" s="6" t="str">
        <f>""</f>
        <v/>
      </c>
      <c r="AS1912" s="6">
        <v>0</v>
      </c>
      <c r="AT1912" s="6">
        <v>0</v>
      </c>
    </row>
    <row r="1913" spans="2:46">
      <c r="B1913" s="6" t="s">
        <v>7698</v>
      </c>
      <c r="D1913" s="6" t="s">
        <v>7120</v>
      </c>
      <c r="F1913" s="6" t="s">
        <v>7999</v>
      </c>
      <c r="G1913" s="6" t="str">
        <f>"3164132100430208"</f>
        <v>3164132100430208</v>
      </c>
      <c r="H1913" s="6">
        <v>3164132100430200</v>
      </c>
      <c r="I1913" s="6" t="s">
        <v>8000</v>
      </c>
      <c r="J1913" s="6" t="str">
        <f>"L SHORT MUSTANG (NAVY)"</f>
        <v>L SHORT MUSTANG (NAVY)</v>
      </c>
      <c r="K1913" s="6">
        <v>0</v>
      </c>
      <c r="L1913" s="6">
        <v>0</v>
      </c>
      <c r="M1913" s="6">
        <v>0</v>
      </c>
      <c r="N1913" s="6" t="str">
        <f>""</f>
        <v/>
      </c>
      <c r="O1913" s="6">
        <v>25704</v>
      </c>
      <c r="P1913" s="6" t="s">
        <v>8001</v>
      </c>
      <c r="R1913" s="6" t="s">
        <v>2111</v>
      </c>
      <c r="S1913" s="6" t="s">
        <v>8002</v>
      </c>
      <c r="T1913" s="6">
        <v>0</v>
      </c>
      <c r="U1913" s="6">
        <v>0</v>
      </c>
      <c r="V1913" s="6">
        <v>0</v>
      </c>
      <c r="W1913" s="6">
        <v>0</v>
      </c>
      <c r="X1913" s="6" t="s">
        <v>169</v>
      </c>
      <c r="Z1913" s="6" t="s">
        <v>170</v>
      </c>
      <c r="AA1913" s="6" t="s">
        <v>171</v>
      </c>
      <c r="AB1913" s="6">
        <v>0</v>
      </c>
      <c r="AC1913" s="6" t="str">
        <f>""</f>
        <v/>
      </c>
      <c r="AS1913" s="6">
        <v>0</v>
      </c>
      <c r="AT1913" s="6">
        <v>0</v>
      </c>
    </row>
    <row r="1914" spans="2:46">
      <c r="B1914" s="6" t="s">
        <v>7698</v>
      </c>
      <c r="D1914" s="6" t="s">
        <v>7120</v>
      </c>
      <c r="F1914" s="6" t="s">
        <v>8003</v>
      </c>
      <c r="G1914" s="6" t="str">
        <f>"3164132100499208"</f>
        <v>3164132100499208</v>
      </c>
      <c r="H1914" s="6">
        <v>3164132100499200</v>
      </c>
      <c r="I1914" s="6" t="s">
        <v>8004</v>
      </c>
      <c r="J1914" s="6" t="str">
        <f>"L SHORT MUSTANG (BLACK)"</f>
        <v>L SHORT MUSTANG (BLACK)</v>
      </c>
      <c r="K1914" s="6">
        <v>0</v>
      </c>
      <c r="L1914" s="6">
        <v>0</v>
      </c>
      <c r="M1914" s="6">
        <v>0</v>
      </c>
      <c r="N1914" s="6" t="str">
        <f>""</f>
        <v/>
      </c>
      <c r="O1914" s="6">
        <v>25702</v>
      </c>
      <c r="P1914" s="6" t="s">
        <v>8005</v>
      </c>
      <c r="R1914" s="6" t="s">
        <v>2106</v>
      </c>
      <c r="S1914" s="6" t="s">
        <v>8006</v>
      </c>
      <c r="T1914" s="6">
        <v>0</v>
      </c>
      <c r="U1914" s="6">
        <v>0</v>
      </c>
      <c r="V1914" s="6">
        <v>0</v>
      </c>
      <c r="W1914" s="6">
        <v>0</v>
      </c>
      <c r="X1914" s="6" t="s">
        <v>169</v>
      </c>
      <c r="Z1914" s="6" t="s">
        <v>170</v>
      </c>
      <c r="AA1914" s="6" t="s">
        <v>171</v>
      </c>
      <c r="AB1914" s="6">
        <v>0</v>
      </c>
      <c r="AC1914" s="6" t="str">
        <f>""</f>
        <v/>
      </c>
      <c r="AS1914" s="6">
        <v>0</v>
      </c>
      <c r="AT1914" s="6">
        <v>0</v>
      </c>
    </row>
    <row r="1915" spans="2:46">
      <c r="B1915" s="6" t="s">
        <v>7698</v>
      </c>
      <c r="D1915" s="6" t="s">
        <v>7120</v>
      </c>
      <c r="F1915" s="6" t="s">
        <v>8007</v>
      </c>
      <c r="G1915" s="6" t="str">
        <f>"3164112103085208"</f>
        <v>3164112103085208</v>
      </c>
      <c r="H1915" s="6">
        <v>3164112103085200</v>
      </c>
      <c r="I1915" s="6" t="s">
        <v>8008</v>
      </c>
      <c r="J1915" s="6" t="str">
        <f>"L LONG MUSTANG COAT (KHAKI)"</f>
        <v>L LONG MUSTANG COAT (KHAKI)</v>
      </c>
      <c r="K1915" s="6">
        <v>0</v>
      </c>
      <c r="L1915" s="6">
        <v>0</v>
      </c>
      <c r="M1915" s="6">
        <v>0</v>
      </c>
      <c r="N1915" s="6" t="str">
        <f>""</f>
        <v/>
      </c>
      <c r="O1915" s="6">
        <v>25700</v>
      </c>
      <c r="P1915" s="6" t="s">
        <v>8009</v>
      </c>
      <c r="R1915" s="6" t="s">
        <v>3576</v>
      </c>
      <c r="S1915" s="6" t="s">
        <v>8010</v>
      </c>
      <c r="T1915" s="6">
        <v>0</v>
      </c>
      <c r="U1915" s="6">
        <v>0</v>
      </c>
      <c r="V1915" s="6">
        <v>0</v>
      </c>
      <c r="W1915" s="6">
        <v>0</v>
      </c>
      <c r="X1915" s="6" t="s">
        <v>169</v>
      </c>
      <c r="Z1915" s="6" t="s">
        <v>170</v>
      </c>
      <c r="AA1915" s="6" t="s">
        <v>171</v>
      </c>
      <c r="AB1915" s="6">
        <v>0</v>
      </c>
      <c r="AC1915" s="6" t="str">
        <f>""</f>
        <v/>
      </c>
      <c r="AS1915" s="6">
        <v>0</v>
      </c>
      <c r="AT1915" s="6">
        <v>0</v>
      </c>
    </row>
    <row r="1916" spans="2:46">
      <c r="B1916" s="6" t="s">
        <v>7698</v>
      </c>
      <c r="D1916" s="6" t="s">
        <v>7120</v>
      </c>
      <c r="F1916" s="6" t="s">
        <v>8011</v>
      </c>
      <c r="G1916" s="6" t="str">
        <f>"3164112103099208"</f>
        <v>3164112103099208</v>
      </c>
      <c r="H1916" s="6">
        <v>3164112103099200</v>
      </c>
      <c r="I1916" s="6" t="s">
        <v>8012</v>
      </c>
      <c r="J1916" s="6" t="str">
        <f>"L LONG MUSTANG COAT (BLACK)"</f>
        <v>L LONG MUSTANG COAT (BLACK)</v>
      </c>
      <c r="K1916" s="6">
        <v>0</v>
      </c>
      <c r="L1916" s="6">
        <v>0</v>
      </c>
      <c r="M1916" s="6">
        <v>0</v>
      </c>
      <c r="N1916" s="6" t="str">
        <f>""</f>
        <v/>
      </c>
      <c r="O1916" s="6">
        <v>25698</v>
      </c>
      <c r="P1916" s="6" t="s">
        <v>8013</v>
      </c>
      <c r="R1916" s="6" t="s">
        <v>2106</v>
      </c>
      <c r="S1916" s="6" t="s">
        <v>8014</v>
      </c>
      <c r="T1916" s="6">
        <v>0</v>
      </c>
      <c r="U1916" s="6">
        <v>0</v>
      </c>
      <c r="V1916" s="6">
        <v>0</v>
      </c>
      <c r="W1916" s="6">
        <v>0</v>
      </c>
      <c r="X1916" s="6" t="s">
        <v>169</v>
      </c>
      <c r="Z1916" s="6" t="s">
        <v>170</v>
      </c>
      <c r="AA1916" s="6" t="s">
        <v>171</v>
      </c>
      <c r="AB1916" s="6">
        <v>0</v>
      </c>
      <c r="AC1916" s="6" t="str">
        <f>""</f>
        <v/>
      </c>
      <c r="AS1916" s="6">
        <v>0</v>
      </c>
      <c r="AT1916" s="6">
        <v>0</v>
      </c>
    </row>
    <row r="1917" spans="2:46">
      <c r="B1917" s="6" t="s">
        <v>7698</v>
      </c>
      <c r="D1917" s="6" t="s">
        <v>7120</v>
      </c>
      <c r="F1917" s="6" t="s">
        <v>8015</v>
      </c>
      <c r="G1917" s="6" t="str">
        <f>"LSLONGRIDERBK"</f>
        <v>LSLONGRIDERBK</v>
      </c>
      <c r="H1917" s="6" t="s">
        <v>8016</v>
      </c>
      <c r="I1917" s="6" t="s">
        <v>8017</v>
      </c>
      <c r="J1917" s="6" t="str">
        <f>"LS LONG RIDER BK"</f>
        <v>LS LONG RIDER BK</v>
      </c>
      <c r="K1917" s="6">
        <v>0</v>
      </c>
      <c r="L1917" s="6">
        <v>0</v>
      </c>
      <c r="M1917" s="6">
        <v>0</v>
      </c>
      <c r="N1917" s="6" t="str">
        <f>""</f>
        <v/>
      </c>
      <c r="O1917" s="6">
        <v>25696</v>
      </c>
      <c r="P1917" s="6" t="s">
        <v>8016</v>
      </c>
      <c r="R1917" s="6" t="s">
        <v>1511</v>
      </c>
      <c r="S1917" s="6" t="s">
        <v>8018</v>
      </c>
      <c r="T1917" s="6">
        <v>0</v>
      </c>
      <c r="U1917" s="6">
        <v>0</v>
      </c>
      <c r="V1917" s="6">
        <v>0</v>
      </c>
      <c r="W1917" s="6">
        <v>0</v>
      </c>
      <c r="X1917" s="6" t="s">
        <v>169</v>
      </c>
      <c r="Z1917" s="6" t="s">
        <v>170</v>
      </c>
      <c r="AA1917" s="6" t="s">
        <v>171</v>
      </c>
      <c r="AB1917" s="6">
        <v>0</v>
      </c>
      <c r="AC1917" s="6" t="str">
        <f>""</f>
        <v/>
      </c>
      <c r="AS1917" s="6">
        <v>0</v>
      </c>
      <c r="AT1917" s="6">
        <v>0</v>
      </c>
    </row>
    <row r="1918" spans="2:46">
      <c r="B1918" s="6" t="s">
        <v>7698</v>
      </c>
      <c r="D1918" s="6" t="s">
        <v>7120</v>
      </c>
      <c r="F1918" s="6" t="s">
        <v>8019</v>
      </c>
      <c r="G1918" s="6" t="str">
        <f>"3171132100399208"</f>
        <v>3171132100399208</v>
      </c>
      <c r="I1918" s="6" t="s">
        <v>8020</v>
      </c>
      <c r="J1918" s="6" t="str">
        <f>"LS SHORT RIDER BK"</f>
        <v>LS SHORT RIDER BK</v>
      </c>
      <c r="K1918" s="6">
        <v>0</v>
      </c>
      <c r="L1918" s="6">
        <v>0</v>
      </c>
      <c r="M1918" s="6">
        <v>0</v>
      </c>
      <c r="N1918" s="6" t="str">
        <f>""</f>
        <v/>
      </c>
      <c r="O1918" s="6">
        <v>25694</v>
      </c>
      <c r="P1918" s="6" t="s">
        <v>8021</v>
      </c>
      <c r="R1918" s="6" t="s">
        <v>8022</v>
      </c>
      <c r="S1918" s="6" t="s">
        <v>8023</v>
      </c>
      <c r="T1918" s="6">
        <v>2</v>
      </c>
      <c r="U1918" s="6">
        <v>0</v>
      </c>
      <c r="V1918" s="6">
        <v>0</v>
      </c>
      <c r="W1918" s="6">
        <v>0</v>
      </c>
      <c r="X1918" s="6" t="s">
        <v>169</v>
      </c>
      <c r="Z1918" s="6" t="s">
        <v>170</v>
      </c>
      <c r="AA1918" s="6" t="s">
        <v>171</v>
      </c>
      <c r="AB1918" s="6">
        <v>0</v>
      </c>
      <c r="AC1918" s="6" t="str">
        <f>"KEY-059"</f>
        <v>KEY-059</v>
      </c>
      <c r="AQ1918" s="6" t="str">
        <f>""</f>
        <v/>
      </c>
      <c r="AR1918" s="6" t="s">
        <v>1567</v>
      </c>
      <c r="AS1918" s="6">
        <v>0</v>
      </c>
      <c r="AT1918" s="6">
        <v>2</v>
      </c>
    </row>
    <row r="1919" spans="2:46">
      <c r="B1919" s="6" t="s">
        <v>7698</v>
      </c>
      <c r="D1919" s="6" t="s">
        <v>7120</v>
      </c>
      <c r="F1919" s="6" t="s">
        <v>8024</v>
      </c>
      <c r="G1919" s="6" t="str">
        <f>"3173222103799208"</f>
        <v>3173222103799208</v>
      </c>
      <c r="H1919" s="6">
        <v>3173222103799200</v>
      </c>
      <c r="I1919" s="6" t="s">
        <v>8025</v>
      </c>
      <c r="J1919" s="6" t="str">
        <f>"LE OFF SHOULDER (BLACK)"</f>
        <v>LE OFF SHOULDER (BLACK)</v>
      </c>
      <c r="K1919" s="6">
        <v>0</v>
      </c>
      <c r="L1919" s="6">
        <v>0</v>
      </c>
      <c r="M1919" s="6">
        <v>0</v>
      </c>
      <c r="N1919" s="6" t="str">
        <f>""</f>
        <v/>
      </c>
      <c r="O1919" s="6">
        <v>25692</v>
      </c>
      <c r="P1919" s="6" t="s">
        <v>8026</v>
      </c>
      <c r="R1919" s="6" t="s">
        <v>2106</v>
      </c>
      <c r="S1919" s="6" t="s">
        <v>8027</v>
      </c>
      <c r="T1919" s="6">
        <v>0</v>
      </c>
      <c r="U1919" s="6">
        <v>0</v>
      </c>
      <c r="V1919" s="6">
        <v>0</v>
      </c>
      <c r="W1919" s="6">
        <v>0</v>
      </c>
      <c r="X1919" s="6" t="s">
        <v>169</v>
      </c>
      <c r="Z1919" s="6" t="s">
        <v>170</v>
      </c>
      <c r="AA1919" s="6" t="s">
        <v>171</v>
      </c>
      <c r="AB1919" s="6">
        <v>0</v>
      </c>
      <c r="AC1919" s="6" t="str">
        <f>""</f>
        <v/>
      </c>
      <c r="AS1919" s="6">
        <v>0</v>
      </c>
      <c r="AT1919" s="6">
        <v>0</v>
      </c>
    </row>
    <row r="1920" spans="2:46">
      <c r="B1920" s="6" t="s">
        <v>7698</v>
      </c>
      <c r="D1920" s="6" t="s">
        <v>7120</v>
      </c>
      <c r="F1920" s="6" t="s">
        <v>8028</v>
      </c>
      <c r="G1920" s="6" t="str">
        <f>"3173222103769208"</f>
        <v>3173222103769208</v>
      </c>
      <c r="H1920" s="6">
        <v>3173222103769200</v>
      </c>
      <c r="I1920" s="6" t="s">
        <v>8029</v>
      </c>
      <c r="J1920" s="6" t="str">
        <f>"LE OFF SHOULDER (IVORY)"</f>
        <v>LE OFF SHOULDER (IVORY)</v>
      </c>
      <c r="K1920" s="6">
        <v>0</v>
      </c>
      <c r="L1920" s="6">
        <v>0</v>
      </c>
      <c r="M1920" s="6">
        <v>0</v>
      </c>
      <c r="N1920" s="6" t="str">
        <f>""</f>
        <v/>
      </c>
      <c r="O1920" s="6">
        <v>25690</v>
      </c>
      <c r="P1920" s="6" t="s">
        <v>8030</v>
      </c>
      <c r="R1920" s="6" t="s">
        <v>2356</v>
      </c>
      <c r="S1920" s="6" t="s">
        <v>8031</v>
      </c>
      <c r="T1920" s="6">
        <v>0</v>
      </c>
      <c r="U1920" s="6">
        <v>0</v>
      </c>
      <c r="V1920" s="6">
        <v>0</v>
      </c>
      <c r="W1920" s="6">
        <v>0</v>
      </c>
      <c r="X1920" s="6" t="s">
        <v>169</v>
      </c>
      <c r="Z1920" s="6" t="s">
        <v>170</v>
      </c>
      <c r="AA1920" s="6" t="s">
        <v>171</v>
      </c>
      <c r="AB1920" s="6">
        <v>0</v>
      </c>
      <c r="AC1920" s="6" t="str">
        <f>""</f>
        <v/>
      </c>
      <c r="AS1920" s="6">
        <v>0</v>
      </c>
      <c r="AT1920" s="6">
        <v>0</v>
      </c>
    </row>
    <row r="1921" spans="2:46">
      <c r="B1921" s="6" t="s">
        <v>7698</v>
      </c>
      <c r="D1921" s="6" t="s">
        <v>7120</v>
      </c>
      <c r="F1921" s="6" t="s">
        <v>8032</v>
      </c>
      <c r="G1921" s="6" t="str">
        <f>"3173222104395208"</f>
        <v>3173222104395208</v>
      </c>
      <c r="H1921" s="6">
        <v>3173222104395200</v>
      </c>
      <c r="I1921" s="6" t="s">
        <v>8033</v>
      </c>
      <c r="J1921" s="6" t="str">
        <f>"LE VELVET SLEEVELESS (GRAY)"</f>
        <v>LE VELVET SLEEVELESS (GRAY)</v>
      </c>
      <c r="K1921" s="6">
        <v>0</v>
      </c>
      <c r="L1921" s="6">
        <v>0</v>
      </c>
      <c r="M1921" s="6">
        <v>0</v>
      </c>
      <c r="N1921" s="6" t="str">
        <f>""</f>
        <v/>
      </c>
      <c r="O1921" s="6">
        <v>25688</v>
      </c>
      <c r="P1921" s="6" t="s">
        <v>8034</v>
      </c>
      <c r="R1921" s="6" t="s">
        <v>2187</v>
      </c>
      <c r="S1921" s="6" t="s">
        <v>8035</v>
      </c>
      <c r="T1921" s="6">
        <v>0</v>
      </c>
      <c r="U1921" s="6">
        <v>0</v>
      </c>
      <c r="V1921" s="6">
        <v>0</v>
      </c>
      <c r="W1921" s="6">
        <v>0</v>
      </c>
      <c r="X1921" s="6" t="s">
        <v>169</v>
      </c>
      <c r="Z1921" s="6" t="s">
        <v>170</v>
      </c>
      <c r="AA1921" s="6" t="s">
        <v>171</v>
      </c>
      <c r="AB1921" s="6">
        <v>0</v>
      </c>
      <c r="AC1921" s="6" t="str">
        <f>""</f>
        <v/>
      </c>
      <c r="AS1921" s="6">
        <v>0</v>
      </c>
      <c r="AT1921" s="6">
        <v>0</v>
      </c>
    </row>
    <row r="1922" spans="2:46">
      <c r="B1922" s="6" t="s">
        <v>7698</v>
      </c>
      <c r="D1922" s="6" t="s">
        <v>7120</v>
      </c>
      <c r="F1922" s="6" t="s">
        <v>8036</v>
      </c>
      <c r="G1922" s="6" t="str">
        <f>"3173222104399208"</f>
        <v>3173222104399208</v>
      </c>
      <c r="H1922" s="6">
        <v>3173222104399200</v>
      </c>
      <c r="I1922" s="6" t="s">
        <v>8037</v>
      </c>
      <c r="J1922" s="6" t="str">
        <f>"LE VELVET SLEEVELESS (BLACK)"</f>
        <v>LE VELVET SLEEVELESS (BLACK)</v>
      </c>
      <c r="K1922" s="6">
        <v>0</v>
      </c>
      <c r="L1922" s="6">
        <v>0</v>
      </c>
      <c r="M1922" s="6">
        <v>0</v>
      </c>
      <c r="N1922" s="6" t="str">
        <f>""</f>
        <v/>
      </c>
      <c r="O1922" s="6">
        <v>25686</v>
      </c>
      <c r="P1922" s="6" t="s">
        <v>8038</v>
      </c>
      <c r="R1922" s="6" t="s">
        <v>2106</v>
      </c>
      <c r="S1922" s="6" t="s">
        <v>8039</v>
      </c>
      <c r="T1922" s="6">
        <v>0</v>
      </c>
      <c r="U1922" s="6">
        <v>0</v>
      </c>
      <c r="V1922" s="6">
        <v>0</v>
      </c>
      <c r="W1922" s="6">
        <v>0</v>
      </c>
      <c r="X1922" s="6" t="s">
        <v>169</v>
      </c>
      <c r="Z1922" s="6" t="s">
        <v>170</v>
      </c>
      <c r="AA1922" s="6" t="s">
        <v>171</v>
      </c>
      <c r="AB1922" s="6">
        <v>0</v>
      </c>
      <c r="AC1922" s="6" t="str">
        <f>""</f>
        <v/>
      </c>
      <c r="AS1922" s="6">
        <v>0</v>
      </c>
      <c r="AT1922" s="6">
        <v>0</v>
      </c>
    </row>
    <row r="1923" spans="2:46">
      <c r="B1923" s="6" t="s">
        <v>7698</v>
      </c>
      <c r="D1923" s="6" t="s">
        <v>7120</v>
      </c>
      <c r="F1923" s="6" t="s">
        <v>8040</v>
      </c>
      <c r="G1923" s="6" t="str">
        <f>"3173222103306208"</f>
        <v>3173222103306208</v>
      </c>
      <c r="H1923" s="6">
        <v>3173222103306200</v>
      </c>
      <c r="I1923" s="6" t="s">
        <v>8041</v>
      </c>
      <c r="J1923" s="6" t="str">
        <f>"LE BOAT NECK T-SHIRT (WINE)"</f>
        <v>LE BOAT NECK T-SHIRT (WINE)</v>
      </c>
      <c r="K1923" s="6">
        <v>0</v>
      </c>
      <c r="L1923" s="6">
        <v>0</v>
      </c>
      <c r="M1923" s="6">
        <v>0</v>
      </c>
      <c r="N1923" s="6" t="str">
        <f>""</f>
        <v/>
      </c>
      <c r="O1923" s="6">
        <v>25684</v>
      </c>
      <c r="P1923" s="6" t="s">
        <v>8042</v>
      </c>
      <c r="R1923" s="6" t="s">
        <v>3721</v>
      </c>
      <c r="S1923" s="6" t="s">
        <v>8043</v>
      </c>
      <c r="T1923" s="6">
        <v>0</v>
      </c>
      <c r="U1923" s="6">
        <v>0</v>
      </c>
      <c r="V1923" s="6">
        <v>0</v>
      </c>
      <c r="W1923" s="6">
        <v>0</v>
      </c>
      <c r="X1923" s="6" t="s">
        <v>169</v>
      </c>
      <c r="Z1923" s="6" t="s">
        <v>170</v>
      </c>
      <c r="AA1923" s="6" t="s">
        <v>171</v>
      </c>
      <c r="AB1923" s="6">
        <v>0</v>
      </c>
      <c r="AC1923" s="6" t="str">
        <f>""</f>
        <v/>
      </c>
      <c r="AS1923" s="6">
        <v>0</v>
      </c>
      <c r="AT1923" s="6">
        <v>0</v>
      </c>
    </row>
    <row r="1924" spans="2:46">
      <c r="B1924" s="6" t="s">
        <v>7698</v>
      </c>
      <c r="D1924" s="6" t="s">
        <v>7120</v>
      </c>
      <c r="F1924" s="6" t="s">
        <v>8044</v>
      </c>
      <c r="G1924" s="6" t="str">
        <f>"3173222103361208"</f>
        <v>3173222103361208</v>
      </c>
      <c r="H1924" s="6">
        <v>3173222103361200</v>
      </c>
      <c r="I1924" s="6" t="s">
        <v>8045</v>
      </c>
      <c r="J1924" s="6" t="str">
        <f>"LE BOAT NECK T-SHIRT (RED)"</f>
        <v>LE BOAT NECK T-SHIRT (RED)</v>
      </c>
      <c r="K1924" s="6">
        <v>0</v>
      </c>
      <c r="L1924" s="6">
        <v>0</v>
      </c>
      <c r="M1924" s="6">
        <v>0</v>
      </c>
      <c r="N1924" s="6" t="str">
        <f>""</f>
        <v/>
      </c>
      <c r="O1924" s="6">
        <v>25682</v>
      </c>
      <c r="P1924" s="6" t="s">
        <v>8046</v>
      </c>
      <c r="R1924" s="6" t="s">
        <v>2309</v>
      </c>
      <c r="S1924" s="6" t="s">
        <v>8047</v>
      </c>
      <c r="T1924" s="6">
        <v>0</v>
      </c>
      <c r="U1924" s="6">
        <v>0</v>
      </c>
      <c r="V1924" s="6">
        <v>0</v>
      </c>
      <c r="W1924" s="6">
        <v>0</v>
      </c>
      <c r="X1924" s="6" t="s">
        <v>169</v>
      </c>
      <c r="Z1924" s="6" t="s">
        <v>170</v>
      </c>
      <c r="AA1924" s="6" t="s">
        <v>171</v>
      </c>
      <c r="AB1924" s="6">
        <v>0</v>
      </c>
      <c r="AC1924" s="6" t="str">
        <f>""</f>
        <v/>
      </c>
      <c r="AS1924" s="6">
        <v>0</v>
      </c>
      <c r="AT1924" s="6">
        <v>0</v>
      </c>
    </row>
    <row r="1925" spans="2:46">
      <c r="B1925" s="6" t="s">
        <v>7698</v>
      </c>
      <c r="D1925" s="6" t="s">
        <v>7120</v>
      </c>
      <c r="F1925" s="6" t="s">
        <v>8048</v>
      </c>
      <c r="G1925" s="6" t="str">
        <f>"3173222103491208"</f>
        <v>3173222103491208</v>
      </c>
      <c r="H1925" s="6">
        <v>3173222103491200</v>
      </c>
      <c r="I1925" s="6" t="s">
        <v>8049</v>
      </c>
      <c r="J1925" s="6" t="str">
        <f>"LE AMOUR T-SHIRT (WHITE)"</f>
        <v>LE AMOUR T-SHIRT (WHITE)</v>
      </c>
      <c r="K1925" s="6">
        <v>0</v>
      </c>
      <c r="L1925" s="6">
        <v>0</v>
      </c>
      <c r="M1925" s="6">
        <v>0</v>
      </c>
      <c r="N1925" s="6" t="str">
        <f>""</f>
        <v/>
      </c>
      <c r="O1925" s="6">
        <v>25680</v>
      </c>
      <c r="P1925" s="6" t="s">
        <v>8050</v>
      </c>
      <c r="R1925" s="6" t="s">
        <v>2167</v>
      </c>
      <c r="S1925" s="6" t="s">
        <v>8051</v>
      </c>
      <c r="T1925" s="6">
        <v>0</v>
      </c>
      <c r="U1925" s="6">
        <v>0</v>
      </c>
      <c r="V1925" s="6">
        <v>0</v>
      </c>
      <c r="W1925" s="6">
        <v>0</v>
      </c>
      <c r="X1925" s="6" t="s">
        <v>169</v>
      </c>
      <c r="Z1925" s="6" t="s">
        <v>170</v>
      </c>
      <c r="AA1925" s="6" t="s">
        <v>171</v>
      </c>
      <c r="AB1925" s="6">
        <v>0</v>
      </c>
      <c r="AC1925" s="6" t="str">
        <f>""</f>
        <v/>
      </c>
      <c r="AS1925" s="6">
        <v>0</v>
      </c>
      <c r="AT1925" s="6">
        <v>0</v>
      </c>
    </row>
    <row r="1926" spans="2:46">
      <c r="B1926" s="6" t="s">
        <v>7698</v>
      </c>
      <c r="D1926" s="6" t="s">
        <v>7120</v>
      </c>
      <c r="F1926" s="6" t="s">
        <v>8052</v>
      </c>
      <c r="G1926" s="6" t="str">
        <f>"3173222103474208"</f>
        <v>3173222103474208</v>
      </c>
      <c r="H1926" s="6">
        <v>3173222103474200</v>
      </c>
      <c r="I1926" s="6" t="s">
        <v>8053</v>
      </c>
      <c r="J1926" s="6" t="str">
        <f>"LE AMOUR T-SHIRT (BEIGE)"</f>
        <v>LE AMOUR T-SHIRT (BEIGE)</v>
      </c>
      <c r="K1926" s="6">
        <v>0</v>
      </c>
      <c r="L1926" s="6">
        <v>0</v>
      </c>
      <c r="M1926" s="6">
        <v>0</v>
      </c>
      <c r="N1926" s="6" t="str">
        <f>""</f>
        <v/>
      </c>
      <c r="O1926" s="6">
        <v>25678</v>
      </c>
      <c r="P1926" s="6" t="s">
        <v>8054</v>
      </c>
      <c r="R1926" s="6" t="s">
        <v>2102</v>
      </c>
      <c r="S1926" s="6" t="s">
        <v>8055</v>
      </c>
      <c r="T1926" s="6">
        <v>0</v>
      </c>
      <c r="U1926" s="6">
        <v>0</v>
      </c>
      <c r="V1926" s="6">
        <v>0</v>
      </c>
      <c r="W1926" s="6">
        <v>0</v>
      </c>
      <c r="X1926" s="6" t="s">
        <v>169</v>
      </c>
      <c r="Z1926" s="6" t="s">
        <v>170</v>
      </c>
      <c r="AA1926" s="6" t="s">
        <v>171</v>
      </c>
      <c r="AB1926" s="6">
        <v>0</v>
      </c>
      <c r="AC1926" s="6" t="str">
        <f>""</f>
        <v/>
      </c>
      <c r="AS1926" s="6">
        <v>0</v>
      </c>
      <c r="AT1926" s="6">
        <v>0</v>
      </c>
    </row>
    <row r="1927" spans="2:46">
      <c r="B1927" s="6" t="s">
        <v>7698</v>
      </c>
      <c r="D1927" s="6" t="s">
        <v>7120</v>
      </c>
      <c r="F1927" s="6" t="s">
        <v>8056</v>
      </c>
      <c r="G1927" s="6" t="str">
        <f>"3173222103591208"</f>
        <v>3173222103591208</v>
      </c>
      <c r="H1927" s="6">
        <v>3173222103591200</v>
      </c>
      <c r="I1927" s="6" t="s">
        <v>8057</v>
      </c>
      <c r="J1927" s="6" t="str">
        <f>"LE COLLAR T-SHIRT (WHITE)"</f>
        <v>LE COLLAR T-SHIRT (WHITE)</v>
      </c>
      <c r="K1927" s="6">
        <v>0</v>
      </c>
      <c r="L1927" s="6">
        <v>0</v>
      </c>
      <c r="M1927" s="6">
        <v>0</v>
      </c>
      <c r="N1927" s="6" t="str">
        <f>""</f>
        <v/>
      </c>
      <c r="O1927" s="6">
        <v>25676</v>
      </c>
      <c r="P1927" s="6" t="s">
        <v>8058</v>
      </c>
      <c r="R1927" s="6" t="s">
        <v>2167</v>
      </c>
      <c r="S1927" s="6" t="s">
        <v>8059</v>
      </c>
      <c r="T1927" s="6">
        <v>0</v>
      </c>
      <c r="U1927" s="6">
        <v>0</v>
      </c>
      <c r="V1927" s="6">
        <v>0</v>
      </c>
      <c r="W1927" s="6">
        <v>0</v>
      </c>
      <c r="X1927" s="6" t="s">
        <v>169</v>
      </c>
      <c r="Z1927" s="6" t="s">
        <v>170</v>
      </c>
      <c r="AA1927" s="6" t="s">
        <v>171</v>
      </c>
      <c r="AB1927" s="6">
        <v>0</v>
      </c>
      <c r="AC1927" s="6" t="str">
        <f>""</f>
        <v/>
      </c>
      <c r="AS1927" s="6">
        <v>0</v>
      </c>
      <c r="AT1927" s="6">
        <v>0</v>
      </c>
    </row>
    <row r="1928" spans="2:46">
      <c r="B1928" s="6" t="s">
        <v>7698</v>
      </c>
      <c r="D1928" s="6" t="s">
        <v>7120</v>
      </c>
      <c r="F1928" s="6" t="s">
        <v>8060</v>
      </c>
      <c r="G1928" s="6" t="str">
        <f>"3173222103599208"</f>
        <v>3173222103599208</v>
      </c>
      <c r="H1928" s="6">
        <v>3173222103599200</v>
      </c>
      <c r="I1928" s="6" t="s">
        <v>8061</v>
      </c>
      <c r="J1928" s="6" t="str">
        <f>"LE COLLAR T-SHIRT (BLACK)"</f>
        <v>LE COLLAR T-SHIRT (BLACK)</v>
      </c>
      <c r="K1928" s="6">
        <v>0</v>
      </c>
      <c r="L1928" s="6">
        <v>0</v>
      </c>
      <c r="M1928" s="6">
        <v>0</v>
      </c>
      <c r="N1928" s="6" t="str">
        <f>""</f>
        <v/>
      </c>
      <c r="O1928" s="6">
        <v>25674</v>
      </c>
      <c r="P1928" s="6" t="s">
        <v>8062</v>
      </c>
      <c r="R1928" s="6" t="s">
        <v>2106</v>
      </c>
      <c r="S1928" s="6" t="s">
        <v>8063</v>
      </c>
      <c r="T1928" s="6">
        <v>0</v>
      </c>
      <c r="U1928" s="6">
        <v>0</v>
      </c>
      <c r="V1928" s="6">
        <v>0</v>
      </c>
      <c r="W1928" s="6">
        <v>0</v>
      </c>
      <c r="X1928" s="6" t="s">
        <v>169</v>
      </c>
      <c r="Z1928" s="6" t="s">
        <v>170</v>
      </c>
      <c r="AA1928" s="6" t="s">
        <v>171</v>
      </c>
      <c r="AB1928" s="6">
        <v>0</v>
      </c>
      <c r="AC1928" s="6" t="str">
        <f>""</f>
        <v/>
      </c>
      <c r="AS1928" s="6">
        <v>0</v>
      </c>
      <c r="AT1928" s="6">
        <v>0</v>
      </c>
    </row>
    <row r="1929" spans="2:46">
      <c r="B1929" s="6" t="s">
        <v>7698</v>
      </c>
      <c r="D1929" s="6" t="s">
        <v>7120</v>
      </c>
      <c r="F1929" s="6" t="s">
        <v>8064</v>
      </c>
      <c r="G1929" s="6" t="str">
        <f>"3173222103574208"</f>
        <v>3173222103574208</v>
      </c>
      <c r="H1929" s="6">
        <v>3173222103574200</v>
      </c>
      <c r="I1929" s="6" t="s">
        <v>8065</v>
      </c>
      <c r="J1929" s="6" t="str">
        <f>"LE COLLAR T-SHIRT (BEIGE)"</f>
        <v>LE COLLAR T-SHIRT (BEIGE)</v>
      </c>
      <c r="K1929" s="6">
        <v>0</v>
      </c>
      <c r="L1929" s="6">
        <v>0</v>
      </c>
      <c r="M1929" s="6">
        <v>0</v>
      </c>
      <c r="N1929" s="6" t="str">
        <f>""</f>
        <v/>
      </c>
      <c r="O1929" s="6">
        <v>25672</v>
      </c>
      <c r="P1929" s="6" t="s">
        <v>8066</v>
      </c>
      <c r="R1929" s="6" t="s">
        <v>2102</v>
      </c>
      <c r="S1929" s="6" t="s">
        <v>8067</v>
      </c>
      <c r="T1929" s="6">
        <v>0</v>
      </c>
      <c r="U1929" s="6">
        <v>0</v>
      </c>
      <c r="V1929" s="6">
        <v>0</v>
      </c>
      <c r="W1929" s="6">
        <v>0</v>
      </c>
      <c r="X1929" s="6" t="s">
        <v>169</v>
      </c>
      <c r="Z1929" s="6" t="s">
        <v>170</v>
      </c>
      <c r="AA1929" s="6" t="s">
        <v>171</v>
      </c>
      <c r="AB1929" s="6">
        <v>0</v>
      </c>
      <c r="AC1929" s="6" t="str">
        <f>""</f>
        <v/>
      </c>
      <c r="AS1929" s="6">
        <v>0</v>
      </c>
      <c r="AT1929" s="6">
        <v>0</v>
      </c>
    </row>
    <row r="1930" spans="2:46">
      <c r="B1930" s="6" t="s">
        <v>7698</v>
      </c>
      <c r="D1930" s="6" t="s">
        <v>7120</v>
      </c>
      <c r="F1930" s="6" t="s">
        <v>8068</v>
      </c>
      <c r="G1930" s="6" t="str">
        <f>"3173232100462208"</f>
        <v>3173232100462208</v>
      </c>
      <c r="H1930" s="6">
        <v>3173232100462200</v>
      </c>
      <c r="I1930" s="6" t="s">
        <v>8069</v>
      </c>
      <c r="J1930" s="6" t="str">
        <f>"LE CORDU SWEATSHIRT (ORANGE)"</f>
        <v>LE CORDU SWEATSHIRT (ORANGE)</v>
      </c>
      <c r="K1930" s="6">
        <v>0</v>
      </c>
      <c r="L1930" s="6">
        <v>0</v>
      </c>
      <c r="M1930" s="6">
        <v>0</v>
      </c>
      <c r="N1930" s="6" t="str">
        <f>""</f>
        <v/>
      </c>
      <c r="O1930" s="6">
        <v>25670</v>
      </c>
      <c r="P1930" s="6" t="s">
        <v>8070</v>
      </c>
      <c r="R1930" s="6" t="s">
        <v>2898</v>
      </c>
      <c r="S1930" s="6" t="s">
        <v>8071</v>
      </c>
      <c r="T1930" s="6">
        <v>0</v>
      </c>
      <c r="U1930" s="6">
        <v>0</v>
      </c>
      <c r="V1930" s="6">
        <v>0</v>
      </c>
      <c r="W1930" s="6">
        <v>0</v>
      </c>
      <c r="X1930" s="6" t="s">
        <v>169</v>
      </c>
      <c r="Z1930" s="6" t="s">
        <v>170</v>
      </c>
      <c r="AA1930" s="6" t="s">
        <v>171</v>
      </c>
      <c r="AB1930" s="6">
        <v>0</v>
      </c>
      <c r="AC1930" s="6" t="str">
        <f>""</f>
        <v/>
      </c>
      <c r="AS1930" s="6">
        <v>0</v>
      </c>
      <c r="AT1930" s="6">
        <v>0</v>
      </c>
    </row>
    <row r="1931" spans="2:46">
      <c r="B1931" s="6" t="s">
        <v>7698</v>
      </c>
      <c r="D1931" s="6" t="s">
        <v>7120</v>
      </c>
      <c r="F1931" s="6" t="s">
        <v>8072</v>
      </c>
      <c r="G1931" s="6" t="str">
        <f>"3173232100469208"</f>
        <v>3173232100469208</v>
      </c>
      <c r="H1931" s="6">
        <v>3173232100469200</v>
      </c>
      <c r="I1931" s="6" t="s">
        <v>8073</v>
      </c>
      <c r="J1931" s="6" t="str">
        <f>"LE CORDU SWEATSHIRT (IVORY)"</f>
        <v>LE CORDU SWEATSHIRT (IVORY)</v>
      </c>
      <c r="K1931" s="6">
        <v>0</v>
      </c>
      <c r="L1931" s="6">
        <v>0</v>
      </c>
      <c r="M1931" s="6">
        <v>0</v>
      </c>
      <c r="N1931" s="6" t="str">
        <f>""</f>
        <v/>
      </c>
      <c r="O1931" s="6">
        <v>25668</v>
      </c>
      <c r="P1931" s="6" t="s">
        <v>8074</v>
      </c>
      <c r="R1931" s="6" t="s">
        <v>2356</v>
      </c>
      <c r="S1931" s="6" t="s">
        <v>8075</v>
      </c>
      <c r="T1931" s="6">
        <v>0</v>
      </c>
      <c r="U1931" s="6">
        <v>0</v>
      </c>
      <c r="V1931" s="6">
        <v>0</v>
      </c>
      <c r="W1931" s="6">
        <v>0</v>
      </c>
      <c r="X1931" s="6" t="s">
        <v>169</v>
      </c>
      <c r="Z1931" s="6" t="s">
        <v>170</v>
      </c>
      <c r="AA1931" s="6" t="s">
        <v>171</v>
      </c>
      <c r="AB1931" s="6">
        <v>0</v>
      </c>
      <c r="AC1931" s="6" t="str">
        <f>""</f>
        <v/>
      </c>
      <c r="AS1931" s="6">
        <v>0</v>
      </c>
      <c r="AT1931" s="6">
        <v>0</v>
      </c>
    </row>
    <row r="1932" spans="2:46">
      <c r="B1932" s="6" t="s">
        <v>7698</v>
      </c>
      <c r="D1932" s="6" t="s">
        <v>7120</v>
      </c>
      <c r="F1932" s="6" t="s">
        <v>8076</v>
      </c>
      <c r="G1932" s="6" t="str">
        <f>"3173232100499208"</f>
        <v>3173232100499208</v>
      </c>
      <c r="H1932" s="6">
        <v>3173232100499200</v>
      </c>
      <c r="I1932" s="6" t="s">
        <v>8077</v>
      </c>
      <c r="J1932" s="6" t="str">
        <f>"LE CORDU SWEATSHIRT (BLACK)"</f>
        <v>LE CORDU SWEATSHIRT (BLACK)</v>
      </c>
      <c r="K1932" s="6">
        <v>0</v>
      </c>
      <c r="L1932" s="6">
        <v>0</v>
      </c>
      <c r="M1932" s="6">
        <v>0</v>
      </c>
      <c r="N1932" s="6" t="str">
        <f>""</f>
        <v/>
      </c>
      <c r="O1932" s="6">
        <v>25666</v>
      </c>
      <c r="P1932" s="6" t="s">
        <v>8078</v>
      </c>
      <c r="R1932" s="6" t="s">
        <v>2106</v>
      </c>
      <c r="S1932" s="6" t="s">
        <v>8079</v>
      </c>
      <c r="T1932" s="6">
        <v>0</v>
      </c>
      <c r="U1932" s="6">
        <v>0</v>
      </c>
      <c r="V1932" s="6">
        <v>0</v>
      </c>
      <c r="W1932" s="6">
        <v>0</v>
      </c>
      <c r="X1932" s="6" t="s">
        <v>169</v>
      </c>
      <c r="Z1932" s="6" t="s">
        <v>170</v>
      </c>
      <c r="AA1932" s="6" t="s">
        <v>171</v>
      </c>
      <c r="AB1932" s="6">
        <v>0</v>
      </c>
      <c r="AC1932" s="6" t="str">
        <f>""</f>
        <v/>
      </c>
      <c r="AS1932" s="6">
        <v>0</v>
      </c>
      <c r="AT1932" s="6">
        <v>0</v>
      </c>
    </row>
    <row r="1933" spans="2:46">
      <c r="B1933" s="6" t="s">
        <v>7698</v>
      </c>
      <c r="D1933" s="6" t="s">
        <v>7120</v>
      </c>
      <c r="F1933" s="6" t="s">
        <v>8080</v>
      </c>
      <c r="G1933" s="6" t="str">
        <f>"3173232100530208"</f>
        <v>3173232100530208</v>
      </c>
      <c r="H1933" s="6">
        <v>3173232100530200</v>
      </c>
      <c r="I1933" s="6" t="s">
        <v>8081</v>
      </c>
      <c r="J1933" s="6" t="str">
        <f>"LE COUPLE SWEATSHIRT (NAVY)"</f>
        <v>LE COUPLE SWEATSHIRT (NAVY)</v>
      </c>
      <c r="K1933" s="6">
        <v>0</v>
      </c>
      <c r="L1933" s="6">
        <v>0</v>
      </c>
      <c r="M1933" s="6">
        <v>0</v>
      </c>
      <c r="N1933" s="6" t="str">
        <f>""</f>
        <v/>
      </c>
      <c r="O1933" s="6">
        <v>25664</v>
      </c>
      <c r="P1933" s="6" t="s">
        <v>8082</v>
      </c>
      <c r="R1933" s="6" t="s">
        <v>2111</v>
      </c>
      <c r="S1933" s="6" t="s">
        <v>8083</v>
      </c>
      <c r="T1933" s="6">
        <v>0</v>
      </c>
      <c r="U1933" s="6">
        <v>0</v>
      </c>
      <c r="V1933" s="6">
        <v>0</v>
      </c>
      <c r="W1933" s="6">
        <v>0</v>
      </c>
      <c r="X1933" s="6" t="s">
        <v>169</v>
      </c>
      <c r="Z1933" s="6" t="s">
        <v>170</v>
      </c>
      <c r="AA1933" s="6" t="s">
        <v>171</v>
      </c>
      <c r="AB1933" s="6">
        <v>0</v>
      </c>
      <c r="AC1933" s="6" t="str">
        <f>""</f>
        <v/>
      </c>
      <c r="AS1933" s="6">
        <v>0</v>
      </c>
      <c r="AT1933" s="6">
        <v>0</v>
      </c>
    </row>
    <row r="1934" spans="2:46">
      <c r="B1934" s="6" t="s">
        <v>7698</v>
      </c>
      <c r="D1934" s="6" t="s">
        <v>7120</v>
      </c>
      <c r="F1934" s="6" t="s">
        <v>8084</v>
      </c>
      <c r="G1934" s="6" t="str">
        <f>"3173232100595208"</f>
        <v>3173232100595208</v>
      </c>
      <c r="H1934" s="6">
        <v>3173232100595200</v>
      </c>
      <c r="I1934" s="6" t="s">
        <v>8085</v>
      </c>
      <c r="J1934" s="6" t="str">
        <f>"LE COUPLE SWEATSHIRT (GRAY)"</f>
        <v>LE COUPLE SWEATSHIRT (GRAY)</v>
      </c>
      <c r="K1934" s="6">
        <v>0</v>
      </c>
      <c r="L1934" s="6">
        <v>0</v>
      </c>
      <c r="M1934" s="6">
        <v>0</v>
      </c>
      <c r="N1934" s="6" t="str">
        <f>""</f>
        <v/>
      </c>
      <c r="O1934" s="6">
        <v>25662</v>
      </c>
      <c r="P1934" s="6" t="s">
        <v>8086</v>
      </c>
      <c r="R1934" s="6" t="s">
        <v>2187</v>
      </c>
      <c r="S1934" s="6" t="s">
        <v>8087</v>
      </c>
      <c r="T1934" s="6">
        <v>0</v>
      </c>
      <c r="U1934" s="6">
        <v>0</v>
      </c>
      <c r="V1934" s="6">
        <v>0</v>
      </c>
      <c r="W1934" s="6">
        <v>0</v>
      </c>
      <c r="X1934" s="6" t="s">
        <v>169</v>
      </c>
      <c r="Z1934" s="6" t="s">
        <v>170</v>
      </c>
      <c r="AA1934" s="6" t="s">
        <v>171</v>
      </c>
      <c r="AB1934" s="6">
        <v>0</v>
      </c>
      <c r="AC1934" s="6" t="str">
        <f>""</f>
        <v/>
      </c>
      <c r="AS1934" s="6">
        <v>0</v>
      </c>
      <c r="AT1934" s="6">
        <v>0</v>
      </c>
    </row>
    <row r="1935" spans="2:46">
      <c r="B1935" s="6" t="s">
        <v>7698</v>
      </c>
      <c r="D1935" s="6" t="s">
        <v>7120</v>
      </c>
      <c r="F1935" s="6" t="s">
        <v>8088</v>
      </c>
      <c r="G1935" s="6" t="str">
        <f>"3173232100574208"</f>
        <v>3173232100574208</v>
      </c>
      <c r="H1935" s="6">
        <v>3173232100574200</v>
      </c>
      <c r="I1935" s="6" t="s">
        <v>8089</v>
      </c>
      <c r="J1935" s="6" t="str">
        <f>"LE COUPLE SWEATSHIRT (BEIGE)"</f>
        <v>LE COUPLE SWEATSHIRT (BEIGE)</v>
      </c>
      <c r="K1935" s="6">
        <v>0</v>
      </c>
      <c r="L1935" s="6">
        <v>0</v>
      </c>
      <c r="M1935" s="6">
        <v>0</v>
      </c>
      <c r="N1935" s="6" t="str">
        <f>""</f>
        <v/>
      </c>
      <c r="O1935" s="6">
        <v>25660</v>
      </c>
      <c r="P1935" s="6" t="s">
        <v>8090</v>
      </c>
      <c r="R1935" s="6" t="s">
        <v>2102</v>
      </c>
      <c r="S1935" s="6" t="s">
        <v>8091</v>
      </c>
      <c r="T1935" s="6">
        <v>0</v>
      </c>
      <c r="U1935" s="6">
        <v>0</v>
      </c>
      <c r="V1935" s="6">
        <v>0</v>
      </c>
      <c r="W1935" s="6">
        <v>0</v>
      </c>
      <c r="X1935" s="6" t="s">
        <v>169</v>
      </c>
      <c r="Z1935" s="6" t="s">
        <v>170</v>
      </c>
      <c r="AA1935" s="6" t="s">
        <v>171</v>
      </c>
      <c r="AB1935" s="6">
        <v>0</v>
      </c>
      <c r="AC1935" s="6" t="str">
        <f>""</f>
        <v/>
      </c>
      <c r="AS1935" s="6">
        <v>0</v>
      </c>
      <c r="AT1935" s="6">
        <v>0</v>
      </c>
    </row>
    <row r="1936" spans="2:46">
      <c r="B1936" s="6" t="s">
        <v>7698</v>
      </c>
      <c r="D1936" s="6" t="s">
        <v>7120</v>
      </c>
      <c r="F1936" s="6" t="s">
        <v>8092</v>
      </c>
      <c r="G1936" s="6" t="str">
        <f>"3173222103669208"</f>
        <v>3173222103669208</v>
      </c>
      <c r="H1936" s="6">
        <v>3173222103669200</v>
      </c>
      <c r="I1936" s="6" t="s">
        <v>8093</v>
      </c>
      <c r="J1936" s="6" t="str">
        <f>"LE HIGH NECK T-SHIRT (IVORY)"</f>
        <v>LE HIGH NECK T-SHIRT (IVORY)</v>
      </c>
      <c r="K1936" s="6">
        <v>0</v>
      </c>
      <c r="L1936" s="6">
        <v>0</v>
      </c>
      <c r="M1936" s="6">
        <v>0</v>
      </c>
      <c r="N1936" s="6" t="str">
        <f>""</f>
        <v/>
      </c>
      <c r="O1936" s="6">
        <v>25658</v>
      </c>
      <c r="P1936" s="6" t="s">
        <v>8094</v>
      </c>
      <c r="R1936" s="6" t="s">
        <v>2356</v>
      </c>
      <c r="S1936" s="6" t="s">
        <v>8095</v>
      </c>
      <c r="T1936" s="6">
        <v>0</v>
      </c>
      <c r="U1936" s="6">
        <v>0</v>
      </c>
      <c r="V1936" s="6">
        <v>0</v>
      </c>
      <c r="W1936" s="6">
        <v>0</v>
      </c>
      <c r="X1936" s="6" t="s">
        <v>169</v>
      </c>
      <c r="Z1936" s="6" t="s">
        <v>170</v>
      </c>
      <c r="AA1936" s="6" t="s">
        <v>171</v>
      </c>
      <c r="AB1936" s="6">
        <v>0</v>
      </c>
      <c r="AC1936" s="6" t="str">
        <f>""</f>
        <v/>
      </c>
      <c r="AS1936" s="6">
        <v>0</v>
      </c>
      <c r="AT1936" s="6">
        <v>0</v>
      </c>
    </row>
    <row r="1937" spans="2:46">
      <c r="B1937" s="6" t="s">
        <v>7698</v>
      </c>
      <c r="D1937" s="6" t="s">
        <v>7120</v>
      </c>
      <c r="F1937" s="6" t="s">
        <v>8096</v>
      </c>
      <c r="G1937" s="6" t="str">
        <f>"3173222103699208"</f>
        <v>3173222103699208</v>
      </c>
      <c r="H1937" s="6">
        <v>3173222103699200</v>
      </c>
      <c r="I1937" s="6" t="s">
        <v>8097</v>
      </c>
      <c r="J1937" s="6" t="str">
        <f>"LE HIGH NECK T-SHIRT (BLACK)"</f>
        <v>LE HIGH NECK T-SHIRT (BLACK)</v>
      </c>
      <c r="K1937" s="6">
        <v>0</v>
      </c>
      <c r="L1937" s="6">
        <v>0</v>
      </c>
      <c r="M1937" s="6">
        <v>0</v>
      </c>
      <c r="N1937" s="6" t="str">
        <f>""</f>
        <v/>
      </c>
      <c r="O1937" s="6">
        <v>25656</v>
      </c>
      <c r="P1937" s="6" t="s">
        <v>8098</v>
      </c>
      <c r="R1937" s="6" t="s">
        <v>2106</v>
      </c>
      <c r="S1937" s="6" t="s">
        <v>8099</v>
      </c>
      <c r="T1937" s="6">
        <v>0</v>
      </c>
      <c r="U1937" s="6">
        <v>0</v>
      </c>
      <c r="V1937" s="6">
        <v>0</v>
      </c>
      <c r="W1937" s="6">
        <v>0</v>
      </c>
      <c r="X1937" s="6" t="s">
        <v>169</v>
      </c>
      <c r="Z1937" s="6" t="s">
        <v>170</v>
      </c>
      <c r="AA1937" s="6" t="s">
        <v>171</v>
      </c>
      <c r="AB1937" s="6">
        <v>0</v>
      </c>
      <c r="AC1937" s="6" t="str">
        <f>""</f>
        <v/>
      </c>
      <c r="AS1937" s="6">
        <v>0</v>
      </c>
      <c r="AT1937" s="6">
        <v>0</v>
      </c>
    </row>
    <row r="1938" spans="2:46">
      <c r="B1938" s="6" t="s">
        <v>7698</v>
      </c>
      <c r="D1938" s="6" t="s">
        <v>7120</v>
      </c>
      <c r="F1938" s="6" t="s">
        <v>8100</v>
      </c>
      <c r="G1938" s="6" t="str">
        <f>"3173222103674208"</f>
        <v>3173222103674208</v>
      </c>
      <c r="H1938" s="6">
        <v>3173222103674200</v>
      </c>
      <c r="I1938" s="6" t="s">
        <v>8101</v>
      </c>
      <c r="J1938" s="6" t="str">
        <f>"LE HIGH NECK T-SHIRT (BEIGE)"</f>
        <v>LE HIGH NECK T-SHIRT (BEIGE)</v>
      </c>
      <c r="K1938" s="6">
        <v>0</v>
      </c>
      <c r="L1938" s="6">
        <v>0</v>
      </c>
      <c r="M1938" s="6">
        <v>0</v>
      </c>
      <c r="N1938" s="6" t="str">
        <f>""</f>
        <v/>
      </c>
      <c r="O1938" s="6">
        <v>25654</v>
      </c>
      <c r="P1938" s="6" t="s">
        <v>8102</v>
      </c>
      <c r="R1938" s="6" t="s">
        <v>2102</v>
      </c>
      <c r="S1938" s="6" t="s">
        <v>8103</v>
      </c>
      <c r="T1938" s="6">
        <v>0</v>
      </c>
      <c r="U1938" s="6">
        <v>0</v>
      </c>
      <c r="V1938" s="6">
        <v>0</v>
      </c>
      <c r="W1938" s="6">
        <v>0</v>
      </c>
      <c r="X1938" s="6" t="s">
        <v>169</v>
      </c>
      <c r="Z1938" s="6" t="s">
        <v>170</v>
      </c>
      <c r="AA1938" s="6" t="s">
        <v>171</v>
      </c>
      <c r="AB1938" s="6">
        <v>0</v>
      </c>
      <c r="AC1938" s="6" t="str">
        <f>""</f>
        <v/>
      </c>
      <c r="AS1938" s="6">
        <v>0</v>
      </c>
      <c r="AT1938" s="6">
        <v>0</v>
      </c>
    </row>
    <row r="1939" spans="2:46">
      <c r="B1939" s="6" t="s">
        <v>7698</v>
      </c>
      <c r="D1939" s="6" t="s">
        <v>7120</v>
      </c>
      <c r="F1939" s="6" t="s">
        <v>8104</v>
      </c>
      <c r="G1939" s="6" t="str">
        <f>"3173222103891208"</f>
        <v>3173222103891208</v>
      </c>
      <c r="H1939" s="6">
        <v>3173222103891200</v>
      </c>
      <c r="I1939" s="6" t="s">
        <v>8105</v>
      </c>
      <c r="J1939" s="6" t="str">
        <f>"LE POMME T-SHIRT (WHITE)"</f>
        <v>LE POMME T-SHIRT (WHITE)</v>
      </c>
      <c r="K1939" s="6">
        <v>0</v>
      </c>
      <c r="L1939" s="6">
        <v>0</v>
      </c>
      <c r="M1939" s="6">
        <v>0</v>
      </c>
      <c r="N1939" s="6" t="str">
        <f>""</f>
        <v/>
      </c>
      <c r="O1939" s="6">
        <v>25652</v>
      </c>
      <c r="P1939" s="6" t="s">
        <v>8106</v>
      </c>
      <c r="R1939" s="6" t="s">
        <v>2167</v>
      </c>
      <c r="S1939" s="6" t="s">
        <v>8107</v>
      </c>
      <c r="T1939" s="6">
        <v>0</v>
      </c>
      <c r="U1939" s="6">
        <v>0</v>
      </c>
      <c r="V1939" s="6">
        <v>0</v>
      </c>
      <c r="W1939" s="6">
        <v>0</v>
      </c>
      <c r="X1939" s="6" t="s">
        <v>169</v>
      </c>
      <c r="Z1939" s="6" t="s">
        <v>170</v>
      </c>
      <c r="AA1939" s="6" t="s">
        <v>171</v>
      </c>
      <c r="AB1939" s="6">
        <v>0</v>
      </c>
      <c r="AC1939" s="6" t="str">
        <f>""</f>
        <v/>
      </c>
      <c r="AS1939" s="6">
        <v>0</v>
      </c>
      <c r="AT1939" s="6">
        <v>0</v>
      </c>
    </row>
    <row r="1940" spans="2:46">
      <c r="B1940" s="6" t="s">
        <v>7698</v>
      </c>
      <c r="D1940" s="6" t="s">
        <v>7120</v>
      </c>
      <c r="F1940" s="6" t="s">
        <v>8108</v>
      </c>
      <c r="G1940" s="6" t="str">
        <f>"3173222103861208"</f>
        <v>3173222103861208</v>
      </c>
      <c r="H1940" s="6">
        <v>3173222103861200</v>
      </c>
      <c r="I1940" s="6" t="s">
        <v>8109</v>
      </c>
      <c r="J1940" s="6" t="str">
        <f>"LE POMME T-SHIRT (RED)"</f>
        <v>LE POMME T-SHIRT (RED)</v>
      </c>
      <c r="K1940" s="6">
        <v>0</v>
      </c>
      <c r="L1940" s="6">
        <v>0</v>
      </c>
      <c r="M1940" s="6">
        <v>0</v>
      </c>
      <c r="N1940" s="6" t="str">
        <f>""</f>
        <v/>
      </c>
      <c r="O1940" s="6">
        <v>25650</v>
      </c>
      <c r="P1940" s="6" t="s">
        <v>8110</v>
      </c>
      <c r="R1940" s="6" t="s">
        <v>2309</v>
      </c>
      <c r="S1940" s="6" t="s">
        <v>8111</v>
      </c>
      <c r="T1940" s="6">
        <v>0</v>
      </c>
      <c r="U1940" s="6">
        <v>0</v>
      </c>
      <c r="V1940" s="6">
        <v>0</v>
      </c>
      <c r="W1940" s="6">
        <v>0</v>
      </c>
      <c r="X1940" s="6" t="s">
        <v>169</v>
      </c>
      <c r="Z1940" s="6" t="s">
        <v>170</v>
      </c>
      <c r="AA1940" s="6" t="s">
        <v>171</v>
      </c>
      <c r="AB1940" s="6">
        <v>0</v>
      </c>
      <c r="AC1940" s="6" t="str">
        <f>""</f>
        <v/>
      </c>
      <c r="AS1940" s="6">
        <v>0</v>
      </c>
      <c r="AT1940" s="6">
        <v>0</v>
      </c>
    </row>
    <row r="1941" spans="2:46">
      <c r="B1941" s="6" t="s">
        <v>7698</v>
      </c>
      <c r="D1941" s="6" t="s">
        <v>7120</v>
      </c>
      <c r="F1941" s="6" t="s">
        <v>8112</v>
      </c>
      <c r="G1941" s="6" t="str">
        <f>"3173222103991208"</f>
        <v>3173222103991208</v>
      </c>
      <c r="H1941" s="6">
        <v>3173222103991200</v>
      </c>
      <c r="I1941" s="6" t="s">
        <v>8113</v>
      </c>
      <c r="J1941" s="6" t="str">
        <f>"LE TU T-SHIRT (WHITE)"</f>
        <v>LE TU T-SHIRT (WHITE)</v>
      </c>
      <c r="K1941" s="6">
        <v>0</v>
      </c>
      <c r="L1941" s="6">
        <v>0</v>
      </c>
      <c r="M1941" s="6">
        <v>0</v>
      </c>
      <c r="N1941" s="6" t="str">
        <f>""</f>
        <v/>
      </c>
      <c r="O1941" s="6">
        <v>25648</v>
      </c>
      <c r="P1941" s="6" t="s">
        <v>8114</v>
      </c>
      <c r="R1941" s="6" t="s">
        <v>2167</v>
      </c>
      <c r="S1941" s="6" t="s">
        <v>8115</v>
      </c>
      <c r="T1941" s="6">
        <v>0</v>
      </c>
      <c r="U1941" s="6">
        <v>0</v>
      </c>
      <c r="V1941" s="6">
        <v>0</v>
      </c>
      <c r="W1941" s="6">
        <v>0</v>
      </c>
      <c r="X1941" s="6" t="s">
        <v>169</v>
      </c>
      <c r="Z1941" s="6" t="s">
        <v>170</v>
      </c>
      <c r="AA1941" s="6" t="s">
        <v>171</v>
      </c>
      <c r="AB1941" s="6">
        <v>0</v>
      </c>
      <c r="AC1941" s="6" t="str">
        <f>""</f>
        <v/>
      </c>
      <c r="AS1941" s="6">
        <v>0</v>
      </c>
      <c r="AT1941" s="6">
        <v>0</v>
      </c>
    </row>
    <row r="1942" spans="2:46">
      <c r="B1942" s="6" t="s">
        <v>7698</v>
      </c>
      <c r="D1942" s="6" t="s">
        <v>7120</v>
      </c>
      <c r="F1942" s="6" t="s">
        <v>8116</v>
      </c>
      <c r="G1942" s="6" t="str">
        <f>"3173222103998208"</f>
        <v>3173222103998208</v>
      </c>
      <c r="H1942" s="6">
        <v>3173222103998200</v>
      </c>
      <c r="I1942" s="6" t="s">
        <v>8117</v>
      </c>
      <c r="J1942" s="6" t="str">
        <f>"LE TU T-SHIRT (CHARCOAL)"</f>
        <v>LE TU T-SHIRT (CHARCOAL)</v>
      </c>
      <c r="K1942" s="6">
        <v>0</v>
      </c>
      <c r="L1942" s="6">
        <v>0</v>
      </c>
      <c r="M1942" s="6">
        <v>0</v>
      </c>
      <c r="N1942" s="6" t="str">
        <f>""</f>
        <v/>
      </c>
      <c r="O1942" s="6">
        <v>25646</v>
      </c>
      <c r="P1942" s="6" t="s">
        <v>8118</v>
      </c>
      <c r="R1942" s="6" t="s">
        <v>2595</v>
      </c>
      <c r="S1942" s="6" t="s">
        <v>8119</v>
      </c>
      <c r="T1942" s="6">
        <v>0</v>
      </c>
      <c r="U1942" s="6">
        <v>0</v>
      </c>
      <c r="V1942" s="6">
        <v>0</v>
      </c>
      <c r="W1942" s="6">
        <v>0</v>
      </c>
      <c r="X1942" s="6" t="s">
        <v>169</v>
      </c>
      <c r="Z1942" s="6" t="s">
        <v>170</v>
      </c>
      <c r="AA1942" s="6" t="s">
        <v>171</v>
      </c>
      <c r="AB1942" s="6">
        <v>0</v>
      </c>
      <c r="AC1942" s="6" t="str">
        <f>""</f>
        <v/>
      </c>
      <c r="AS1942" s="6">
        <v>0</v>
      </c>
      <c r="AT1942" s="6">
        <v>0</v>
      </c>
    </row>
    <row r="1943" spans="2:46">
      <c r="B1943" s="6" t="s">
        <v>7698</v>
      </c>
      <c r="D1943" s="6" t="s">
        <v>7120</v>
      </c>
      <c r="F1943" s="6" t="s">
        <v>8120</v>
      </c>
      <c r="G1943" s="6" t="str">
        <f>"3173222103999208"</f>
        <v>3173222103999208</v>
      </c>
      <c r="H1943" s="6">
        <v>3173222103999200</v>
      </c>
      <c r="I1943" s="6" t="s">
        <v>8121</v>
      </c>
      <c r="J1943" s="6" t="str">
        <f>"LE TU T-SHIRT (BLACK)"</f>
        <v>LE TU T-SHIRT (BLACK)</v>
      </c>
      <c r="K1943" s="6">
        <v>0</v>
      </c>
      <c r="L1943" s="6">
        <v>0</v>
      </c>
      <c r="M1943" s="6">
        <v>0</v>
      </c>
      <c r="N1943" s="6" t="str">
        <f>""</f>
        <v/>
      </c>
      <c r="O1943" s="6">
        <v>25644</v>
      </c>
      <c r="P1943" s="6" t="s">
        <v>8122</v>
      </c>
      <c r="R1943" s="6" t="s">
        <v>2106</v>
      </c>
      <c r="S1943" s="6" t="s">
        <v>8123</v>
      </c>
      <c r="T1943" s="6">
        <v>0</v>
      </c>
      <c r="U1943" s="6">
        <v>0</v>
      </c>
      <c r="V1943" s="6">
        <v>0</v>
      </c>
      <c r="W1943" s="6">
        <v>0</v>
      </c>
      <c r="X1943" s="6" t="s">
        <v>169</v>
      </c>
      <c r="Z1943" s="6" t="s">
        <v>170</v>
      </c>
      <c r="AA1943" s="6" t="s">
        <v>171</v>
      </c>
      <c r="AB1943" s="6">
        <v>0</v>
      </c>
      <c r="AC1943" s="6" t="str">
        <f>""</f>
        <v/>
      </c>
      <c r="AS1943" s="6">
        <v>0</v>
      </c>
      <c r="AT1943" s="6">
        <v>0</v>
      </c>
    </row>
    <row r="1944" spans="2:46">
      <c r="B1944" s="6" t="s">
        <v>7698</v>
      </c>
      <c r="D1944" s="6" t="s">
        <v>7120</v>
      </c>
      <c r="F1944" s="6" t="s">
        <v>8124</v>
      </c>
      <c r="G1944" s="6" t="str">
        <f>"3173232100630208"</f>
        <v>3173232100630208</v>
      </c>
      <c r="H1944" s="6">
        <v>3173232100630200</v>
      </c>
      <c r="I1944" s="6" t="s">
        <v>8125</v>
      </c>
      <c r="J1944" s="6" t="str">
        <f>"LE V NECK MTM (NAVY)"</f>
        <v>LE V NECK MTM (NAVY)</v>
      </c>
      <c r="K1944" s="6">
        <v>0</v>
      </c>
      <c r="L1944" s="6">
        <v>0</v>
      </c>
      <c r="M1944" s="6">
        <v>0</v>
      </c>
      <c r="N1944" s="6" t="str">
        <f>""</f>
        <v/>
      </c>
      <c r="O1944" s="6">
        <v>25642</v>
      </c>
      <c r="P1944" s="6" t="s">
        <v>8126</v>
      </c>
      <c r="R1944" s="6" t="s">
        <v>2111</v>
      </c>
      <c r="S1944" s="6" t="s">
        <v>8127</v>
      </c>
      <c r="T1944" s="6">
        <v>0</v>
      </c>
      <c r="U1944" s="6">
        <v>0</v>
      </c>
      <c r="V1944" s="6">
        <v>0</v>
      </c>
      <c r="W1944" s="6">
        <v>0</v>
      </c>
      <c r="X1944" s="6" t="s">
        <v>169</v>
      </c>
      <c r="Z1944" s="6" t="s">
        <v>170</v>
      </c>
      <c r="AA1944" s="6" t="s">
        <v>171</v>
      </c>
      <c r="AB1944" s="6">
        <v>0</v>
      </c>
      <c r="AC1944" s="6" t="str">
        <f>""</f>
        <v/>
      </c>
      <c r="AS1944" s="6">
        <v>0</v>
      </c>
      <c r="AT1944" s="6">
        <v>0</v>
      </c>
    </row>
    <row r="1945" spans="2:46">
      <c r="B1945" s="6" t="s">
        <v>7698</v>
      </c>
      <c r="D1945" s="6" t="s">
        <v>7120</v>
      </c>
      <c r="F1945" s="6" t="s">
        <v>8128</v>
      </c>
      <c r="G1945" s="6" t="str">
        <f>"3173232100674208"</f>
        <v>3173232100674208</v>
      </c>
      <c r="H1945" s="6">
        <v>3173232100674200</v>
      </c>
      <c r="I1945" s="6" t="s">
        <v>8129</v>
      </c>
      <c r="J1945" s="6" t="str">
        <f>"LE V NECK MTM (BEIGE)"</f>
        <v>LE V NECK MTM (BEIGE)</v>
      </c>
      <c r="K1945" s="6">
        <v>0</v>
      </c>
      <c r="L1945" s="6">
        <v>0</v>
      </c>
      <c r="M1945" s="6">
        <v>0</v>
      </c>
      <c r="N1945" s="6" t="str">
        <f>""</f>
        <v/>
      </c>
      <c r="O1945" s="6">
        <v>25640</v>
      </c>
      <c r="P1945" s="6" t="s">
        <v>8130</v>
      </c>
      <c r="R1945" s="6" t="s">
        <v>2102</v>
      </c>
      <c r="S1945" s="6" t="s">
        <v>8131</v>
      </c>
      <c r="T1945" s="6">
        <v>0</v>
      </c>
      <c r="U1945" s="6">
        <v>0</v>
      </c>
      <c r="V1945" s="6">
        <v>0</v>
      </c>
      <c r="W1945" s="6">
        <v>0</v>
      </c>
      <c r="X1945" s="6" t="s">
        <v>169</v>
      </c>
      <c r="Z1945" s="6" t="s">
        <v>170</v>
      </c>
      <c r="AA1945" s="6" t="s">
        <v>171</v>
      </c>
      <c r="AB1945" s="6">
        <v>0</v>
      </c>
      <c r="AC1945" s="6" t="str">
        <f>""</f>
        <v/>
      </c>
      <c r="AS1945" s="6">
        <v>0</v>
      </c>
      <c r="AT1945" s="6">
        <v>0</v>
      </c>
    </row>
    <row r="1946" spans="2:46">
      <c r="B1946" s="6" t="s">
        <v>7698</v>
      </c>
      <c r="D1946" s="6" t="s">
        <v>7120</v>
      </c>
      <c r="F1946" s="6" t="s">
        <v>8132</v>
      </c>
      <c r="G1946" s="6" t="str">
        <f>"3173332100730320"</f>
        <v>3173332100730320</v>
      </c>
      <c r="H1946" s="6">
        <v>3173332100730320</v>
      </c>
      <c r="I1946" s="6" t="s">
        <v>8133</v>
      </c>
      <c r="J1946" s="6" t="str">
        <f>"LE WRAP SKIRT (NAVY)"</f>
        <v>LE WRAP SKIRT (NAVY)</v>
      </c>
      <c r="K1946" s="6">
        <v>0</v>
      </c>
      <c r="L1946" s="6">
        <v>0</v>
      </c>
      <c r="M1946" s="6">
        <v>0</v>
      </c>
      <c r="N1946" s="6" t="str">
        <f>""</f>
        <v/>
      </c>
      <c r="O1946" s="6">
        <v>25638</v>
      </c>
      <c r="P1946" s="6" t="s">
        <v>8134</v>
      </c>
      <c r="R1946" s="6" t="s">
        <v>2111</v>
      </c>
      <c r="S1946" s="6" t="s">
        <v>8135</v>
      </c>
      <c r="T1946" s="6">
        <v>0</v>
      </c>
      <c r="U1946" s="6">
        <v>0</v>
      </c>
      <c r="V1946" s="6">
        <v>0</v>
      </c>
      <c r="W1946" s="6">
        <v>0</v>
      </c>
      <c r="X1946" s="6" t="s">
        <v>169</v>
      </c>
      <c r="Z1946" s="6" t="s">
        <v>170</v>
      </c>
      <c r="AA1946" s="6" t="s">
        <v>171</v>
      </c>
      <c r="AB1946" s="6">
        <v>0</v>
      </c>
      <c r="AC1946" s="6" t="str">
        <f>""</f>
        <v/>
      </c>
      <c r="AS1946" s="6">
        <v>0</v>
      </c>
      <c r="AT1946" s="6">
        <v>0</v>
      </c>
    </row>
    <row r="1947" spans="2:46">
      <c r="B1947" s="6" t="s">
        <v>7698</v>
      </c>
      <c r="D1947" s="6" t="s">
        <v>7120</v>
      </c>
      <c r="F1947" s="6" t="s">
        <v>8136</v>
      </c>
      <c r="G1947" s="6" t="str">
        <f>"3173332100775320"</f>
        <v>3173332100775320</v>
      </c>
      <c r="H1947" s="6">
        <v>3173332100775320</v>
      </c>
      <c r="I1947" s="6" t="s">
        <v>8137</v>
      </c>
      <c r="J1947" s="6" t="str">
        <f>"LE WRAP SKIRT (BROWN)"</f>
        <v>LE WRAP SKIRT (BROWN)</v>
      </c>
      <c r="K1947" s="6">
        <v>0</v>
      </c>
      <c r="L1947" s="6">
        <v>0</v>
      </c>
      <c r="M1947" s="6">
        <v>0</v>
      </c>
      <c r="N1947" s="6" t="str">
        <f>""</f>
        <v/>
      </c>
      <c r="O1947" s="6">
        <v>25636</v>
      </c>
      <c r="P1947" s="6" t="s">
        <v>8138</v>
      </c>
      <c r="R1947" s="6" t="s">
        <v>2119</v>
      </c>
      <c r="S1947" s="6" t="s">
        <v>8139</v>
      </c>
      <c r="T1947" s="6">
        <v>0</v>
      </c>
      <c r="U1947" s="6">
        <v>0</v>
      </c>
      <c r="V1947" s="6">
        <v>0</v>
      </c>
      <c r="W1947" s="6">
        <v>0</v>
      </c>
      <c r="X1947" s="6" t="s">
        <v>169</v>
      </c>
      <c r="Z1947" s="6" t="s">
        <v>170</v>
      </c>
      <c r="AA1947" s="6" t="s">
        <v>171</v>
      </c>
      <c r="AB1947" s="6">
        <v>0</v>
      </c>
      <c r="AC1947" s="6" t="str">
        <f>""</f>
        <v/>
      </c>
      <c r="AS1947" s="6">
        <v>0</v>
      </c>
      <c r="AT1947" s="6">
        <v>0</v>
      </c>
    </row>
    <row r="1948" spans="2:46">
      <c r="B1948" s="6" t="s">
        <v>7698</v>
      </c>
      <c r="D1948" s="6" t="s">
        <v>7120</v>
      </c>
      <c r="F1948" s="6" t="s">
        <v>8140</v>
      </c>
      <c r="G1948" s="6" t="str">
        <f>"3173332100595320"</f>
        <v>3173332100595320</v>
      </c>
      <c r="H1948" s="6">
        <v>3173332100595320</v>
      </c>
      <c r="I1948" s="6" t="s">
        <v>8141</v>
      </c>
      <c r="J1948" s="6" t="str">
        <f>"LE LONG SKIRT (GRAY)"</f>
        <v>LE LONG SKIRT (GRAY)</v>
      </c>
      <c r="K1948" s="6">
        <v>0</v>
      </c>
      <c r="L1948" s="6">
        <v>0</v>
      </c>
      <c r="M1948" s="6">
        <v>0</v>
      </c>
      <c r="N1948" s="6" t="str">
        <f>""</f>
        <v/>
      </c>
      <c r="O1948" s="6">
        <v>25634</v>
      </c>
      <c r="P1948" s="6" t="s">
        <v>8142</v>
      </c>
      <c r="R1948" s="6" t="s">
        <v>2187</v>
      </c>
      <c r="S1948" s="6" t="s">
        <v>8143</v>
      </c>
      <c r="T1948" s="6">
        <v>0</v>
      </c>
      <c r="U1948" s="6">
        <v>0</v>
      </c>
      <c r="V1948" s="6">
        <v>0</v>
      </c>
      <c r="W1948" s="6">
        <v>0</v>
      </c>
      <c r="X1948" s="6" t="s">
        <v>169</v>
      </c>
      <c r="Z1948" s="6" t="s">
        <v>170</v>
      </c>
      <c r="AA1948" s="6" t="s">
        <v>171</v>
      </c>
      <c r="AB1948" s="6">
        <v>0</v>
      </c>
      <c r="AC1948" s="6" t="str">
        <f>""</f>
        <v/>
      </c>
      <c r="AS1948" s="6">
        <v>0</v>
      </c>
      <c r="AT1948" s="6">
        <v>0</v>
      </c>
    </row>
    <row r="1949" spans="2:46">
      <c r="B1949" s="6" t="s">
        <v>7698</v>
      </c>
      <c r="D1949" s="6" t="s">
        <v>7120</v>
      </c>
      <c r="F1949" s="6" t="s">
        <v>8144</v>
      </c>
      <c r="G1949" s="6" t="str">
        <f>"3173332100599320"</f>
        <v>3173332100599320</v>
      </c>
      <c r="H1949" s="6">
        <v>3173332100599320</v>
      </c>
      <c r="I1949" s="6" t="s">
        <v>8145</v>
      </c>
      <c r="J1949" s="6" t="str">
        <f>"LE LONG SKIRT (BLACK)"</f>
        <v>LE LONG SKIRT (BLACK)</v>
      </c>
      <c r="K1949" s="6">
        <v>0</v>
      </c>
      <c r="L1949" s="6">
        <v>0</v>
      </c>
      <c r="M1949" s="6">
        <v>0</v>
      </c>
      <c r="N1949" s="6" t="str">
        <f>""</f>
        <v/>
      </c>
      <c r="O1949" s="6">
        <v>25632</v>
      </c>
      <c r="P1949" s="6" t="s">
        <v>8146</v>
      </c>
      <c r="R1949" s="6" t="s">
        <v>2106</v>
      </c>
      <c r="S1949" s="6" t="s">
        <v>8147</v>
      </c>
      <c r="T1949" s="6">
        <v>0</v>
      </c>
      <c r="U1949" s="6">
        <v>0</v>
      </c>
      <c r="V1949" s="6">
        <v>0</v>
      </c>
      <c r="W1949" s="6">
        <v>0</v>
      </c>
      <c r="X1949" s="6" t="s">
        <v>169</v>
      </c>
      <c r="Z1949" s="6" t="s">
        <v>170</v>
      </c>
      <c r="AA1949" s="6" t="s">
        <v>171</v>
      </c>
      <c r="AB1949" s="6">
        <v>0</v>
      </c>
      <c r="AC1949" s="6" t="str">
        <f>""</f>
        <v/>
      </c>
      <c r="AS1949" s="6">
        <v>0</v>
      </c>
      <c r="AT1949" s="6">
        <v>0</v>
      </c>
    </row>
    <row r="1950" spans="2:46">
      <c r="B1950" s="6" t="s">
        <v>7698</v>
      </c>
      <c r="D1950" s="6" t="s">
        <v>7120</v>
      </c>
      <c r="F1950" s="6" t="s">
        <v>8148</v>
      </c>
      <c r="G1950" s="6" t="str">
        <f>"3173332100330320"</f>
        <v>3173332100330320</v>
      </c>
      <c r="H1950" s="6">
        <v>3173332100330320</v>
      </c>
      <c r="I1950" s="6" t="s">
        <v>8149</v>
      </c>
      <c r="J1950" s="6" t="str">
        <f>"LE MINI SKIRT (NAVY)"</f>
        <v>LE MINI SKIRT (NAVY)</v>
      </c>
      <c r="K1950" s="6">
        <v>0</v>
      </c>
      <c r="L1950" s="6">
        <v>0</v>
      </c>
      <c r="M1950" s="6">
        <v>0</v>
      </c>
      <c r="N1950" s="6" t="str">
        <f>""</f>
        <v/>
      </c>
      <c r="O1950" s="6">
        <v>25630</v>
      </c>
      <c r="P1950" s="6" t="s">
        <v>8150</v>
      </c>
      <c r="R1950" s="6" t="s">
        <v>2111</v>
      </c>
      <c r="S1950" s="6" t="s">
        <v>8151</v>
      </c>
      <c r="T1950" s="6">
        <v>0</v>
      </c>
      <c r="U1950" s="6">
        <v>0</v>
      </c>
      <c r="V1950" s="6">
        <v>0</v>
      </c>
      <c r="W1950" s="6">
        <v>0</v>
      </c>
      <c r="X1950" s="6" t="s">
        <v>169</v>
      </c>
      <c r="Z1950" s="6" t="s">
        <v>170</v>
      </c>
      <c r="AA1950" s="6" t="s">
        <v>171</v>
      </c>
      <c r="AB1950" s="6">
        <v>0</v>
      </c>
      <c r="AC1950" s="6" t="str">
        <f>""</f>
        <v/>
      </c>
      <c r="AS1950" s="6">
        <v>0</v>
      </c>
      <c r="AT1950" s="6">
        <v>0</v>
      </c>
    </row>
    <row r="1951" spans="2:46">
      <c r="B1951" s="6" t="s">
        <v>7698</v>
      </c>
      <c r="D1951" s="6" t="s">
        <v>7120</v>
      </c>
      <c r="F1951" s="6" t="s">
        <v>8152</v>
      </c>
      <c r="G1951" s="6" t="str">
        <f>"3173332100374320"</f>
        <v>3173332100374320</v>
      </c>
      <c r="H1951" s="6">
        <v>3173332100374320</v>
      </c>
      <c r="I1951" s="6" t="s">
        <v>8153</v>
      </c>
      <c r="J1951" s="6" t="str">
        <f>"LE MINI SKIRT (BEIGE)"</f>
        <v>LE MINI SKIRT (BEIGE)</v>
      </c>
      <c r="K1951" s="6">
        <v>0</v>
      </c>
      <c r="L1951" s="6">
        <v>0</v>
      </c>
      <c r="M1951" s="6">
        <v>0</v>
      </c>
      <c r="N1951" s="6" t="str">
        <f>""</f>
        <v/>
      </c>
      <c r="O1951" s="6">
        <v>25628</v>
      </c>
      <c r="P1951" s="6" t="s">
        <v>8154</v>
      </c>
      <c r="R1951" s="6" t="s">
        <v>2102</v>
      </c>
      <c r="S1951" s="6" t="s">
        <v>8155</v>
      </c>
      <c r="T1951" s="6">
        <v>0</v>
      </c>
      <c r="U1951" s="6">
        <v>0</v>
      </c>
      <c r="V1951" s="6">
        <v>0</v>
      </c>
      <c r="W1951" s="6">
        <v>0</v>
      </c>
      <c r="X1951" s="6" t="s">
        <v>169</v>
      </c>
      <c r="Z1951" s="6" t="s">
        <v>170</v>
      </c>
      <c r="AA1951" s="6" t="s">
        <v>171</v>
      </c>
      <c r="AB1951" s="6">
        <v>0</v>
      </c>
      <c r="AC1951" s="6" t="str">
        <f>""</f>
        <v/>
      </c>
      <c r="AS1951" s="6">
        <v>0</v>
      </c>
      <c r="AT1951" s="6">
        <v>0</v>
      </c>
    </row>
    <row r="1952" spans="2:46">
      <c r="B1952" s="6" t="s">
        <v>7698</v>
      </c>
      <c r="D1952" s="6" t="s">
        <v>7120</v>
      </c>
      <c r="F1952" s="6" t="s">
        <v>8156</v>
      </c>
      <c r="G1952" s="6" t="str">
        <f>"3173212101691208"</f>
        <v>3173212101691208</v>
      </c>
      <c r="H1952" s="6">
        <v>3173212101691200</v>
      </c>
      <c r="I1952" s="6" t="s">
        <v>8157</v>
      </c>
      <c r="J1952" s="6" t="str">
        <f>"LE OVER CUFFS SHIRT (WHITE)"</f>
        <v>LE OVER CUFFS SHIRT (WHITE)</v>
      </c>
      <c r="K1952" s="6">
        <v>0</v>
      </c>
      <c r="L1952" s="6">
        <v>0</v>
      </c>
      <c r="M1952" s="6">
        <v>0</v>
      </c>
      <c r="N1952" s="6" t="str">
        <f>""</f>
        <v/>
      </c>
      <c r="O1952" s="6">
        <v>25626</v>
      </c>
      <c r="P1952" s="6" t="s">
        <v>8158</v>
      </c>
      <c r="R1952" s="6" t="s">
        <v>2167</v>
      </c>
      <c r="S1952" s="6" t="s">
        <v>8159</v>
      </c>
      <c r="T1952" s="6">
        <v>0</v>
      </c>
      <c r="U1952" s="6">
        <v>0</v>
      </c>
      <c r="V1952" s="6">
        <v>0</v>
      </c>
      <c r="W1952" s="6">
        <v>0</v>
      </c>
      <c r="X1952" s="6" t="s">
        <v>169</v>
      </c>
      <c r="Z1952" s="6" t="s">
        <v>170</v>
      </c>
      <c r="AA1952" s="6" t="s">
        <v>171</v>
      </c>
      <c r="AB1952" s="6">
        <v>0</v>
      </c>
      <c r="AC1952" s="6" t="str">
        <f>""</f>
        <v/>
      </c>
      <c r="AS1952" s="6">
        <v>0</v>
      </c>
      <c r="AT1952" s="6">
        <v>0</v>
      </c>
    </row>
    <row r="1953" spans="2:46">
      <c r="B1953" s="6" t="s">
        <v>7698</v>
      </c>
      <c r="D1953" s="6" t="s">
        <v>7120</v>
      </c>
      <c r="F1953" s="6" t="s">
        <v>8160</v>
      </c>
      <c r="G1953" s="6" t="str">
        <f>"3173212101674208"</f>
        <v>3173212101674208</v>
      </c>
      <c r="H1953" s="6">
        <v>3173212101674200</v>
      </c>
      <c r="I1953" s="6" t="s">
        <v>8161</v>
      </c>
      <c r="J1953" s="6" t="str">
        <f>"LE OVER CUFFS SHIRT (BEIGE)"</f>
        <v>LE OVER CUFFS SHIRT (BEIGE)</v>
      </c>
      <c r="K1953" s="6">
        <v>0</v>
      </c>
      <c r="L1953" s="6">
        <v>0</v>
      </c>
      <c r="M1953" s="6">
        <v>0</v>
      </c>
      <c r="N1953" s="6" t="str">
        <f>""</f>
        <v/>
      </c>
      <c r="O1953" s="6">
        <v>25624</v>
      </c>
      <c r="P1953" s="6" t="s">
        <v>8162</v>
      </c>
      <c r="R1953" s="6" t="s">
        <v>2102</v>
      </c>
      <c r="S1953" s="6" t="s">
        <v>8163</v>
      </c>
      <c r="T1953" s="6">
        <v>0</v>
      </c>
      <c r="U1953" s="6">
        <v>0</v>
      </c>
      <c r="V1953" s="6">
        <v>0</v>
      </c>
      <c r="W1953" s="6">
        <v>0</v>
      </c>
      <c r="X1953" s="6" t="s">
        <v>169</v>
      </c>
      <c r="Z1953" s="6" t="s">
        <v>170</v>
      </c>
      <c r="AA1953" s="6" t="s">
        <v>171</v>
      </c>
      <c r="AB1953" s="6">
        <v>0</v>
      </c>
      <c r="AC1953" s="6" t="str">
        <f>""</f>
        <v/>
      </c>
      <c r="AS1953" s="6">
        <v>0</v>
      </c>
      <c r="AT1953" s="6">
        <v>0</v>
      </c>
    </row>
    <row r="1954" spans="2:46">
      <c r="B1954" s="6" t="s">
        <v>7698</v>
      </c>
      <c r="D1954" s="6" t="s">
        <v>7120</v>
      </c>
      <c r="F1954" s="6" t="s">
        <v>8164</v>
      </c>
      <c r="G1954" s="6" t="str">
        <f>"3173242100985208"</f>
        <v>3173242100985208</v>
      </c>
      <c r="I1954" s="6" t="s">
        <v>8165</v>
      </c>
      <c r="J1954" s="6" t="str">
        <f>"LE WRAP BLOUSE (KHAKI)"</f>
        <v>LE WRAP BLOUSE (KHAKI)</v>
      </c>
      <c r="K1954" s="6">
        <v>0</v>
      </c>
      <c r="L1954" s="6">
        <v>0</v>
      </c>
      <c r="M1954" s="6">
        <v>0</v>
      </c>
      <c r="N1954" s="6" t="str">
        <f>""</f>
        <v/>
      </c>
      <c r="O1954" s="6">
        <v>25622</v>
      </c>
      <c r="P1954" s="6" t="s">
        <v>8166</v>
      </c>
      <c r="R1954" s="6" t="s">
        <v>3576</v>
      </c>
      <c r="S1954" s="6" t="s">
        <v>8167</v>
      </c>
      <c r="T1954" s="6">
        <v>1</v>
      </c>
      <c r="U1954" s="6">
        <v>0</v>
      </c>
      <c r="V1954" s="6">
        <v>0</v>
      </c>
      <c r="W1954" s="6">
        <v>0</v>
      </c>
      <c r="X1954" s="6" t="s">
        <v>169</v>
      </c>
      <c r="Z1954" s="6" t="s">
        <v>170</v>
      </c>
      <c r="AA1954" s="6" t="s">
        <v>171</v>
      </c>
      <c r="AB1954" s="6">
        <v>0</v>
      </c>
      <c r="AC1954" s="6" t="str">
        <f>"KEY-066"</f>
        <v>KEY-066</v>
      </c>
      <c r="AQ1954" s="6" t="str">
        <f>""</f>
        <v/>
      </c>
      <c r="AR1954" s="6" t="s">
        <v>1567</v>
      </c>
      <c r="AS1954" s="6">
        <v>0</v>
      </c>
      <c r="AT1954" s="6">
        <v>1</v>
      </c>
    </row>
    <row r="1955" spans="2:46">
      <c r="B1955" s="6" t="s">
        <v>7698</v>
      </c>
      <c r="D1955" s="6" t="s">
        <v>7120</v>
      </c>
      <c r="F1955" s="6" t="s">
        <v>8168</v>
      </c>
      <c r="G1955" s="6" t="str">
        <f>"3173242100999208"</f>
        <v>3173242100999208</v>
      </c>
      <c r="H1955" s="6">
        <v>3173242100999200</v>
      </c>
      <c r="I1955" s="6" t="s">
        <v>8169</v>
      </c>
      <c r="J1955" s="6" t="str">
        <f>"LE WRAP BLOUSE (BLACK)"</f>
        <v>LE WRAP BLOUSE (BLACK)</v>
      </c>
      <c r="K1955" s="6">
        <v>0</v>
      </c>
      <c r="L1955" s="6">
        <v>0</v>
      </c>
      <c r="M1955" s="6">
        <v>0</v>
      </c>
      <c r="N1955" s="6" t="str">
        <f>""</f>
        <v/>
      </c>
      <c r="O1955" s="6">
        <v>25620</v>
      </c>
      <c r="P1955" s="6" t="s">
        <v>8170</v>
      </c>
      <c r="R1955" s="6" t="s">
        <v>2106</v>
      </c>
      <c r="S1955" s="6" t="s">
        <v>8171</v>
      </c>
      <c r="T1955" s="6">
        <v>0</v>
      </c>
      <c r="U1955" s="6">
        <v>0</v>
      </c>
      <c r="V1955" s="6">
        <v>0</v>
      </c>
      <c r="W1955" s="6">
        <v>0</v>
      </c>
      <c r="X1955" s="6" t="s">
        <v>169</v>
      </c>
      <c r="Z1955" s="6" t="s">
        <v>170</v>
      </c>
      <c r="AA1955" s="6" t="s">
        <v>171</v>
      </c>
      <c r="AB1955" s="6">
        <v>0</v>
      </c>
      <c r="AC1955" s="6" t="str">
        <f>""</f>
        <v/>
      </c>
      <c r="AS1955" s="6">
        <v>0</v>
      </c>
      <c r="AT1955" s="6">
        <v>0</v>
      </c>
    </row>
    <row r="1956" spans="2:46">
      <c r="B1956" s="6" t="s">
        <v>7698</v>
      </c>
      <c r="D1956" s="6" t="s">
        <v>7120</v>
      </c>
      <c r="F1956" s="6" t="s">
        <v>8172</v>
      </c>
      <c r="G1956" s="6" t="str">
        <f>"3173212101462208"</f>
        <v>3173212101462208</v>
      </c>
      <c r="H1956" s="6">
        <v>3173212101462200</v>
      </c>
      <c r="I1956" s="6" t="s">
        <v>8173</v>
      </c>
      <c r="J1956" s="6" t="str">
        <f>"LE OPEN COLLAR SHIRT (ORANGE)"</f>
        <v>LE OPEN COLLAR SHIRT (ORANGE)</v>
      </c>
      <c r="K1956" s="6">
        <v>0</v>
      </c>
      <c r="L1956" s="6">
        <v>0</v>
      </c>
      <c r="M1956" s="6">
        <v>0</v>
      </c>
      <c r="N1956" s="6" t="str">
        <f>""</f>
        <v/>
      </c>
      <c r="O1956" s="6">
        <v>25618</v>
      </c>
      <c r="P1956" s="6" t="s">
        <v>8174</v>
      </c>
      <c r="R1956" s="6" t="s">
        <v>2898</v>
      </c>
      <c r="S1956" s="6" t="s">
        <v>8175</v>
      </c>
      <c r="T1956" s="6">
        <v>0</v>
      </c>
      <c r="U1956" s="6">
        <v>0</v>
      </c>
      <c r="V1956" s="6">
        <v>0</v>
      </c>
      <c r="W1956" s="6">
        <v>0</v>
      </c>
      <c r="X1956" s="6" t="s">
        <v>169</v>
      </c>
      <c r="Z1956" s="6" t="s">
        <v>170</v>
      </c>
      <c r="AA1956" s="6" t="s">
        <v>171</v>
      </c>
      <c r="AB1956" s="6">
        <v>0</v>
      </c>
      <c r="AC1956" s="6" t="str">
        <f>""</f>
        <v/>
      </c>
      <c r="AS1956" s="6">
        <v>0</v>
      </c>
      <c r="AT1956" s="6">
        <v>0</v>
      </c>
    </row>
    <row r="1957" spans="2:46">
      <c r="B1957" s="6" t="s">
        <v>7698</v>
      </c>
      <c r="D1957" s="6" t="s">
        <v>7120</v>
      </c>
      <c r="F1957" s="6" t="s">
        <v>8176</v>
      </c>
      <c r="G1957" s="6" t="str">
        <f>"3173212101430208"</f>
        <v>3173212101430208</v>
      </c>
      <c r="H1957" s="6">
        <v>3173212101430200</v>
      </c>
      <c r="I1957" s="6" t="s">
        <v>8177</v>
      </c>
      <c r="J1957" s="6" t="str">
        <f>"LE OPEN COLLAR SHIRT (NAVY)"</f>
        <v>LE OPEN COLLAR SHIRT (NAVY)</v>
      </c>
      <c r="K1957" s="6">
        <v>0</v>
      </c>
      <c r="L1957" s="6">
        <v>0</v>
      </c>
      <c r="M1957" s="6">
        <v>0</v>
      </c>
      <c r="N1957" s="6" t="str">
        <f>""</f>
        <v/>
      </c>
      <c r="O1957" s="6">
        <v>25616</v>
      </c>
      <c r="P1957" s="6" t="s">
        <v>8178</v>
      </c>
      <c r="R1957" s="6" t="s">
        <v>2111</v>
      </c>
      <c r="S1957" s="6" t="s">
        <v>8179</v>
      </c>
      <c r="T1957" s="6">
        <v>0</v>
      </c>
      <c r="U1957" s="6">
        <v>0</v>
      </c>
      <c r="V1957" s="6">
        <v>0</v>
      </c>
      <c r="W1957" s="6">
        <v>0</v>
      </c>
      <c r="X1957" s="6" t="s">
        <v>169</v>
      </c>
      <c r="Z1957" s="6" t="s">
        <v>170</v>
      </c>
      <c r="AA1957" s="6" t="s">
        <v>171</v>
      </c>
      <c r="AB1957" s="6">
        <v>0</v>
      </c>
      <c r="AC1957" s="6" t="str">
        <f>""</f>
        <v/>
      </c>
      <c r="AS1957" s="6">
        <v>0</v>
      </c>
      <c r="AT1957" s="6">
        <v>0</v>
      </c>
    </row>
    <row r="1958" spans="2:46">
      <c r="B1958" s="6" t="s">
        <v>7698</v>
      </c>
      <c r="D1958" s="6" t="s">
        <v>7120</v>
      </c>
      <c r="F1958" s="6" t="s">
        <v>8180</v>
      </c>
      <c r="G1958" s="6" t="str">
        <f>"3173242100806208"</f>
        <v>3173242100806208</v>
      </c>
      <c r="H1958" s="6">
        <v>3173242100806200</v>
      </c>
      <c r="I1958" s="6" t="s">
        <v>8181</v>
      </c>
      <c r="J1958" s="6" t="str">
        <f>"LE RIBBON BLOUSE (WINE)"</f>
        <v>LE RIBBON BLOUSE (WINE)</v>
      </c>
      <c r="K1958" s="6">
        <v>0</v>
      </c>
      <c r="L1958" s="6">
        <v>0</v>
      </c>
      <c r="M1958" s="6">
        <v>0</v>
      </c>
      <c r="N1958" s="6" t="str">
        <f>""</f>
        <v/>
      </c>
      <c r="O1958" s="6">
        <v>25614</v>
      </c>
      <c r="P1958" s="6" t="s">
        <v>8182</v>
      </c>
      <c r="R1958" s="6" t="s">
        <v>3721</v>
      </c>
      <c r="S1958" s="6" t="s">
        <v>8183</v>
      </c>
      <c r="T1958" s="6">
        <v>0</v>
      </c>
      <c r="U1958" s="6">
        <v>0</v>
      </c>
      <c r="V1958" s="6">
        <v>0</v>
      </c>
      <c r="W1958" s="6">
        <v>0</v>
      </c>
      <c r="X1958" s="6" t="s">
        <v>169</v>
      </c>
      <c r="Z1958" s="6" t="s">
        <v>170</v>
      </c>
      <c r="AA1958" s="6" t="s">
        <v>171</v>
      </c>
      <c r="AB1958" s="6">
        <v>0</v>
      </c>
      <c r="AC1958" s="6" t="str">
        <f>""</f>
        <v/>
      </c>
      <c r="AS1958" s="6">
        <v>0</v>
      </c>
      <c r="AT1958" s="6">
        <v>0</v>
      </c>
    </row>
    <row r="1959" spans="2:46">
      <c r="B1959" s="6" t="s">
        <v>7698</v>
      </c>
      <c r="D1959" s="6" t="s">
        <v>7120</v>
      </c>
      <c r="F1959" s="6" t="s">
        <v>8184</v>
      </c>
      <c r="G1959" s="6" t="str">
        <f>"3173242100851208"</f>
        <v>3173242100851208</v>
      </c>
      <c r="H1959" s="6">
        <v>3173242100851200</v>
      </c>
      <c r="I1959" s="6" t="s">
        <v>8185</v>
      </c>
      <c r="J1959" s="6" t="str">
        <f>"LE RIBBON BLOUSE (BLUE-GREEN)"</f>
        <v>LE RIBBON BLOUSE (BLUE-GREEN)</v>
      </c>
      <c r="K1959" s="6">
        <v>0</v>
      </c>
      <c r="L1959" s="6">
        <v>0</v>
      </c>
      <c r="M1959" s="6">
        <v>0</v>
      </c>
      <c r="N1959" s="6" t="str">
        <f>""</f>
        <v/>
      </c>
      <c r="O1959" s="6">
        <v>25612</v>
      </c>
      <c r="P1959" s="6" t="s">
        <v>8186</v>
      </c>
      <c r="R1959" s="6" t="s">
        <v>8187</v>
      </c>
      <c r="S1959" s="6" t="s">
        <v>8188</v>
      </c>
      <c r="T1959" s="6">
        <v>0</v>
      </c>
      <c r="U1959" s="6">
        <v>0</v>
      </c>
      <c r="V1959" s="6">
        <v>0</v>
      </c>
      <c r="W1959" s="6">
        <v>0</v>
      </c>
      <c r="X1959" s="6" t="s">
        <v>169</v>
      </c>
      <c r="Z1959" s="6" t="s">
        <v>170</v>
      </c>
      <c r="AA1959" s="6" t="s">
        <v>171</v>
      </c>
      <c r="AB1959" s="6">
        <v>0</v>
      </c>
      <c r="AC1959" s="6" t="str">
        <f>""</f>
        <v/>
      </c>
      <c r="AS1959" s="6">
        <v>0</v>
      </c>
      <c r="AT1959" s="6">
        <v>0</v>
      </c>
    </row>
    <row r="1960" spans="2:46">
      <c r="B1960" s="6" t="s">
        <v>7698</v>
      </c>
      <c r="D1960" s="6" t="s">
        <v>8189</v>
      </c>
      <c r="F1960" s="6" t="s">
        <v>8190</v>
      </c>
      <c r="G1960" s="6" t="str">
        <f>"3173212101391208"</f>
        <v>3173212101391208</v>
      </c>
      <c r="H1960" s="6">
        <v>3173212101391200</v>
      </c>
      <c r="I1960" s="6" t="s">
        <v>8191</v>
      </c>
      <c r="J1960" s="6" t="str">
        <f>"LE OVERSIZED SHIRT (WHITE)"</f>
        <v>LE OVERSIZED SHIRT (WHITE)</v>
      </c>
      <c r="K1960" s="6">
        <v>0</v>
      </c>
      <c r="L1960" s="6">
        <v>0</v>
      </c>
      <c r="M1960" s="6">
        <v>0</v>
      </c>
      <c r="N1960" s="6" t="str">
        <f>""</f>
        <v/>
      </c>
      <c r="O1960" s="6">
        <v>25610</v>
      </c>
      <c r="P1960" s="6" t="s">
        <v>8192</v>
      </c>
      <c r="R1960" s="6" t="s">
        <v>2167</v>
      </c>
      <c r="S1960" s="6" t="s">
        <v>8193</v>
      </c>
      <c r="T1960" s="6">
        <v>0</v>
      </c>
      <c r="U1960" s="6">
        <v>0</v>
      </c>
      <c r="V1960" s="6">
        <v>0</v>
      </c>
      <c r="W1960" s="6">
        <v>0</v>
      </c>
      <c r="X1960" s="6" t="s">
        <v>169</v>
      </c>
      <c r="Z1960" s="6" t="s">
        <v>170</v>
      </c>
      <c r="AA1960" s="6" t="s">
        <v>171</v>
      </c>
      <c r="AB1960" s="6">
        <v>0</v>
      </c>
      <c r="AC1960" s="6" t="str">
        <f>""</f>
        <v/>
      </c>
      <c r="AS1960" s="6">
        <v>0</v>
      </c>
      <c r="AT1960" s="6">
        <v>0</v>
      </c>
    </row>
    <row r="1961" spans="2:46">
      <c r="B1961" s="6" t="s">
        <v>7698</v>
      </c>
      <c r="D1961" s="6" t="s">
        <v>8189</v>
      </c>
      <c r="F1961" s="6" t="s">
        <v>8194</v>
      </c>
      <c r="G1961" s="6" t="str">
        <f>"3173212101323208"</f>
        <v>3173212101323208</v>
      </c>
      <c r="H1961" s="6">
        <v>3173212101323200</v>
      </c>
      <c r="I1961" s="6" t="s">
        <v>8195</v>
      </c>
      <c r="J1961" s="6" t="str">
        <f>"LE OVERSIZED SHIRT (SKY BLUE)"</f>
        <v>LE OVERSIZED SHIRT (SKY BLUE)</v>
      </c>
      <c r="K1961" s="6">
        <v>0</v>
      </c>
      <c r="L1961" s="6">
        <v>0</v>
      </c>
      <c r="M1961" s="6">
        <v>0</v>
      </c>
      <c r="N1961" s="6" t="str">
        <f>""</f>
        <v/>
      </c>
      <c r="O1961" s="6">
        <v>25608</v>
      </c>
      <c r="P1961" s="6" t="s">
        <v>8196</v>
      </c>
      <c r="R1961" s="6" t="s">
        <v>2335</v>
      </c>
      <c r="S1961" s="6" t="s">
        <v>8197</v>
      </c>
      <c r="T1961" s="6">
        <v>0</v>
      </c>
      <c r="U1961" s="6">
        <v>0</v>
      </c>
      <c r="V1961" s="6">
        <v>0</v>
      </c>
      <c r="W1961" s="6">
        <v>0</v>
      </c>
      <c r="X1961" s="6" t="s">
        <v>169</v>
      </c>
      <c r="Z1961" s="6" t="s">
        <v>170</v>
      </c>
      <c r="AA1961" s="6" t="s">
        <v>171</v>
      </c>
      <c r="AB1961" s="6">
        <v>0</v>
      </c>
      <c r="AC1961" s="6" t="str">
        <f>""</f>
        <v/>
      </c>
      <c r="AS1961" s="6">
        <v>0</v>
      </c>
      <c r="AT1961" s="6">
        <v>0</v>
      </c>
    </row>
    <row r="1962" spans="2:46">
      <c r="B1962" s="6" t="s">
        <v>7698</v>
      </c>
      <c r="D1962" s="6" t="s">
        <v>8189</v>
      </c>
      <c r="F1962" s="6" t="s">
        <v>8198</v>
      </c>
      <c r="G1962" s="6" t="str">
        <f>"3173322100125320"</f>
        <v>3173322100125320</v>
      </c>
      <c r="H1962" s="6">
        <v>3173322100125320</v>
      </c>
      <c r="I1962" s="6" t="s">
        <v>8199</v>
      </c>
      <c r="J1962" s="6" t="str">
        <f>"LE STRAIGHT PANTS (BLUE)"</f>
        <v>LE STRAIGHT PANTS (BLUE)</v>
      </c>
      <c r="K1962" s="6">
        <v>0</v>
      </c>
      <c r="L1962" s="6">
        <v>0</v>
      </c>
      <c r="M1962" s="6">
        <v>0</v>
      </c>
      <c r="N1962" s="6" t="str">
        <f>""</f>
        <v/>
      </c>
      <c r="O1962" s="6">
        <v>25606</v>
      </c>
      <c r="P1962" s="6" t="s">
        <v>8200</v>
      </c>
      <c r="R1962" s="6" t="s">
        <v>2175</v>
      </c>
      <c r="S1962" s="6" t="s">
        <v>8201</v>
      </c>
      <c r="T1962" s="6">
        <v>0</v>
      </c>
      <c r="U1962" s="6">
        <v>0</v>
      </c>
      <c r="V1962" s="6">
        <v>0</v>
      </c>
      <c r="W1962" s="6">
        <v>0</v>
      </c>
      <c r="X1962" s="6" t="s">
        <v>169</v>
      </c>
      <c r="Z1962" s="6" t="s">
        <v>170</v>
      </c>
      <c r="AA1962" s="6" t="s">
        <v>171</v>
      </c>
      <c r="AB1962" s="6">
        <v>0</v>
      </c>
      <c r="AC1962" s="6" t="str">
        <f>""</f>
        <v/>
      </c>
      <c r="AS1962" s="6">
        <v>0</v>
      </c>
      <c r="AT1962" s="6">
        <v>0</v>
      </c>
    </row>
    <row r="1963" spans="2:46">
      <c r="B1963" s="6" t="s">
        <v>7698</v>
      </c>
      <c r="D1963" s="6" t="s">
        <v>8189</v>
      </c>
      <c r="F1963" s="6" t="s">
        <v>8202</v>
      </c>
      <c r="G1963" s="6" t="str">
        <f>"3173312100369320"</f>
        <v>3173312100369320</v>
      </c>
      <c r="H1963" s="6">
        <v>3173312100369320</v>
      </c>
      <c r="I1963" s="6" t="s">
        <v>8203</v>
      </c>
      <c r="J1963" s="6" t="str">
        <f>"LE CROPPED PANTS (IVORY)"</f>
        <v>LE CROPPED PANTS (IVORY)</v>
      </c>
      <c r="K1963" s="6">
        <v>0</v>
      </c>
      <c r="L1963" s="6">
        <v>0</v>
      </c>
      <c r="M1963" s="6">
        <v>0</v>
      </c>
      <c r="N1963" s="6" t="str">
        <f>""</f>
        <v/>
      </c>
      <c r="O1963" s="6">
        <v>25604</v>
      </c>
      <c r="P1963" s="6" t="s">
        <v>8204</v>
      </c>
      <c r="R1963" s="6" t="s">
        <v>2356</v>
      </c>
      <c r="S1963" s="6" t="s">
        <v>8205</v>
      </c>
      <c r="T1963" s="6">
        <v>0</v>
      </c>
      <c r="U1963" s="6">
        <v>0</v>
      </c>
      <c r="V1963" s="6">
        <v>0</v>
      </c>
      <c r="W1963" s="6">
        <v>0</v>
      </c>
      <c r="X1963" s="6" t="s">
        <v>169</v>
      </c>
      <c r="Z1963" s="6" t="s">
        <v>170</v>
      </c>
      <c r="AA1963" s="6" t="s">
        <v>171</v>
      </c>
      <c r="AB1963" s="6">
        <v>0</v>
      </c>
      <c r="AC1963" s="6" t="str">
        <f>""</f>
        <v/>
      </c>
      <c r="AS1963" s="6">
        <v>0</v>
      </c>
      <c r="AT1963" s="6">
        <v>0</v>
      </c>
    </row>
    <row r="1964" spans="2:46">
      <c r="B1964" s="6" t="s">
        <v>7698</v>
      </c>
      <c r="D1964" s="6" t="s">
        <v>8189</v>
      </c>
      <c r="F1964" s="6" t="s">
        <v>8206</v>
      </c>
      <c r="G1964" s="6" t="str">
        <f>"3173312100399320"</f>
        <v>3173312100399320</v>
      </c>
      <c r="H1964" s="6">
        <v>3173312100399320</v>
      </c>
      <c r="I1964" s="6" t="s">
        <v>8207</v>
      </c>
      <c r="J1964" s="6" t="str">
        <f>"LE CROPPED PANTS (BLACK)"</f>
        <v>LE CROPPED PANTS (BLACK)</v>
      </c>
      <c r="K1964" s="6">
        <v>0</v>
      </c>
      <c r="L1964" s="6">
        <v>0</v>
      </c>
      <c r="M1964" s="6">
        <v>0</v>
      </c>
      <c r="N1964" s="6" t="str">
        <f>""</f>
        <v/>
      </c>
      <c r="O1964" s="6">
        <v>25602</v>
      </c>
      <c r="P1964" s="6" t="s">
        <v>8208</v>
      </c>
      <c r="R1964" s="6" t="s">
        <v>2106</v>
      </c>
      <c r="S1964" s="6" t="s">
        <v>8209</v>
      </c>
      <c r="T1964" s="6">
        <v>0</v>
      </c>
      <c r="U1964" s="6">
        <v>0</v>
      </c>
      <c r="V1964" s="6">
        <v>0</v>
      </c>
      <c r="W1964" s="6">
        <v>0</v>
      </c>
      <c r="X1964" s="6" t="s">
        <v>169</v>
      </c>
      <c r="Z1964" s="6" t="s">
        <v>170</v>
      </c>
      <c r="AA1964" s="6" t="s">
        <v>171</v>
      </c>
      <c r="AB1964" s="6">
        <v>0</v>
      </c>
      <c r="AC1964" s="6" t="str">
        <f>""</f>
        <v/>
      </c>
      <c r="AS1964" s="6">
        <v>0</v>
      </c>
      <c r="AT1964" s="6">
        <v>0</v>
      </c>
    </row>
    <row r="1965" spans="2:46">
      <c r="B1965" s="6" t="s">
        <v>7698</v>
      </c>
      <c r="D1965" s="6" t="s">
        <v>8189</v>
      </c>
      <c r="F1965" s="6" t="s">
        <v>8210</v>
      </c>
      <c r="G1965" s="6" t="str">
        <f>"3173312100230320"</f>
        <v>3173312100230320</v>
      </c>
      <c r="H1965" s="6">
        <v>3173312100230320</v>
      </c>
      <c r="I1965" s="6" t="s">
        <v>8211</v>
      </c>
      <c r="J1965" s="6" t="str">
        <f>"LE LONG SLACKS (NAVY)"</f>
        <v>LE LONG SLACKS (NAVY)</v>
      </c>
      <c r="K1965" s="6">
        <v>0</v>
      </c>
      <c r="L1965" s="6">
        <v>0</v>
      </c>
      <c r="M1965" s="6">
        <v>0</v>
      </c>
      <c r="N1965" s="6" t="str">
        <f>""</f>
        <v/>
      </c>
      <c r="O1965" s="6">
        <v>25600</v>
      </c>
      <c r="P1965" s="6" t="s">
        <v>8212</v>
      </c>
      <c r="R1965" s="6" t="s">
        <v>2111</v>
      </c>
      <c r="S1965" s="6" t="s">
        <v>8213</v>
      </c>
      <c r="T1965" s="6">
        <v>0</v>
      </c>
      <c r="U1965" s="6">
        <v>0</v>
      </c>
      <c r="V1965" s="6">
        <v>0</v>
      </c>
      <c r="W1965" s="6">
        <v>0</v>
      </c>
      <c r="X1965" s="6" t="s">
        <v>169</v>
      </c>
      <c r="Z1965" s="6" t="s">
        <v>170</v>
      </c>
      <c r="AA1965" s="6" t="s">
        <v>171</v>
      </c>
      <c r="AB1965" s="6">
        <v>0</v>
      </c>
      <c r="AC1965" s="6" t="str">
        <f>""</f>
        <v/>
      </c>
      <c r="AS1965" s="6">
        <v>0</v>
      </c>
      <c r="AT1965" s="6">
        <v>0</v>
      </c>
    </row>
    <row r="1966" spans="2:46">
      <c r="B1966" s="6" t="s">
        <v>7698</v>
      </c>
      <c r="D1966" s="6" t="s">
        <v>8189</v>
      </c>
      <c r="F1966" s="6" t="s">
        <v>8214</v>
      </c>
      <c r="G1966" s="6" t="str">
        <f>"3173312100299320"</f>
        <v>3173312100299320</v>
      </c>
      <c r="H1966" s="6">
        <v>3173312100299320</v>
      </c>
      <c r="I1966" s="6" t="s">
        <v>8215</v>
      </c>
      <c r="J1966" s="6" t="str">
        <f>"LE LONG SLACKS (BLACK)"</f>
        <v>LE LONG SLACKS (BLACK)</v>
      </c>
      <c r="K1966" s="6">
        <v>0</v>
      </c>
      <c r="L1966" s="6">
        <v>0</v>
      </c>
      <c r="M1966" s="6">
        <v>0</v>
      </c>
      <c r="N1966" s="6" t="str">
        <f>""</f>
        <v/>
      </c>
      <c r="O1966" s="6">
        <v>25598</v>
      </c>
      <c r="P1966" s="6" t="s">
        <v>8216</v>
      </c>
      <c r="R1966" s="6" t="s">
        <v>2106</v>
      </c>
      <c r="S1966" s="6" t="s">
        <v>8217</v>
      </c>
      <c r="T1966" s="6">
        <v>0</v>
      </c>
      <c r="U1966" s="6">
        <v>0</v>
      </c>
      <c r="V1966" s="6">
        <v>0</v>
      </c>
      <c r="W1966" s="6">
        <v>0</v>
      </c>
      <c r="X1966" s="6" t="s">
        <v>169</v>
      </c>
      <c r="Z1966" s="6" t="s">
        <v>170</v>
      </c>
      <c r="AA1966" s="6" t="s">
        <v>171</v>
      </c>
      <c r="AB1966" s="6">
        <v>0</v>
      </c>
      <c r="AC1966" s="6" t="str">
        <f>""</f>
        <v/>
      </c>
      <c r="AS1966" s="6">
        <v>0</v>
      </c>
      <c r="AT1966" s="6">
        <v>0</v>
      </c>
    </row>
    <row r="1967" spans="2:46">
      <c r="B1967" s="6" t="s">
        <v>7698</v>
      </c>
      <c r="D1967" s="6" t="s">
        <v>8189</v>
      </c>
      <c r="F1967" s="6" t="s">
        <v>8218</v>
      </c>
      <c r="G1967" s="6" t="str">
        <f>"3173252101130208"</f>
        <v>3173252101130208</v>
      </c>
      <c r="H1967" s="6">
        <v>3173252101130200</v>
      </c>
      <c r="I1967" s="6" t="s">
        <v>8219</v>
      </c>
      <c r="J1967" s="6" t="str">
        <f>"LE ZIP UP OPS (NAVY)"</f>
        <v>LE ZIP UP OPS (NAVY)</v>
      </c>
      <c r="K1967" s="6">
        <v>0</v>
      </c>
      <c r="L1967" s="6">
        <v>0</v>
      </c>
      <c r="M1967" s="6">
        <v>0</v>
      </c>
      <c r="N1967" s="6" t="str">
        <f>""</f>
        <v/>
      </c>
      <c r="O1967" s="6">
        <v>25596</v>
      </c>
      <c r="P1967" s="6" t="s">
        <v>8220</v>
      </c>
      <c r="R1967" s="6" t="s">
        <v>2111</v>
      </c>
      <c r="S1967" s="6" t="s">
        <v>8221</v>
      </c>
      <c r="T1967" s="6">
        <v>0</v>
      </c>
      <c r="U1967" s="6">
        <v>0</v>
      </c>
      <c r="V1967" s="6">
        <v>0</v>
      </c>
      <c r="W1967" s="6">
        <v>0</v>
      </c>
      <c r="X1967" s="6" t="s">
        <v>169</v>
      </c>
      <c r="Z1967" s="6" t="s">
        <v>170</v>
      </c>
      <c r="AA1967" s="6" t="s">
        <v>171</v>
      </c>
      <c r="AB1967" s="6">
        <v>0</v>
      </c>
      <c r="AC1967" s="6" t="str">
        <f>""</f>
        <v/>
      </c>
      <c r="AS1967" s="6">
        <v>0</v>
      </c>
      <c r="AT1967" s="6">
        <v>0</v>
      </c>
    </row>
    <row r="1968" spans="2:46">
      <c r="B1968" s="6" t="s">
        <v>7698</v>
      </c>
      <c r="D1968" s="6" t="s">
        <v>8189</v>
      </c>
      <c r="F1968" s="6" t="s">
        <v>8222</v>
      </c>
      <c r="G1968" s="6" t="str">
        <f>"3173252101185208"</f>
        <v>3173252101185208</v>
      </c>
      <c r="H1968" s="6">
        <v>3173252101185200</v>
      </c>
      <c r="I1968" s="6" t="s">
        <v>8223</v>
      </c>
      <c r="J1968" s="6" t="str">
        <f>"LE ZIP UP OPS (BEIGE)"</f>
        <v>LE ZIP UP OPS (BEIGE)</v>
      </c>
      <c r="K1968" s="6">
        <v>0</v>
      </c>
      <c r="L1968" s="6">
        <v>0</v>
      </c>
      <c r="M1968" s="6">
        <v>0</v>
      </c>
      <c r="N1968" s="6" t="str">
        <f>""</f>
        <v/>
      </c>
      <c r="O1968" s="6">
        <v>25594</v>
      </c>
      <c r="P1968" s="6" t="s">
        <v>8224</v>
      </c>
      <c r="R1968" s="6" t="s">
        <v>2102</v>
      </c>
      <c r="S1968" s="6" t="s">
        <v>8225</v>
      </c>
      <c r="T1968" s="6">
        <v>0</v>
      </c>
      <c r="U1968" s="6">
        <v>0</v>
      </c>
      <c r="V1968" s="6">
        <v>0</v>
      </c>
      <c r="W1968" s="6">
        <v>0</v>
      </c>
      <c r="X1968" s="6" t="s">
        <v>169</v>
      </c>
      <c r="Z1968" s="6" t="s">
        <v>170</v>
      </c>
      <c r="AA1968" s="6" t="s">
        <v>171</v>
      </c>
      <c r="AB1968" s="6">
        <v>0</v>
      </c>
      <c r="AC1968" s="6" t="str">
        <f>""</f>
        <v/>
      </c>
      <c r="AS1968" s="6">
        <v>0</v>
      </c>
      <c r="AT1968" s="6">
        <v>0</v>
      </c>
    </row>
    <row r="1969" spans="2:46">
      <c r="B1969" s="6" t="s">
        <v>7698</v>
      </c>
      <c r="D1969" s="6" t="s">
        <v>8189</v>
      </c>
      <c r="F1969" s="6" t="s">
        <v>8226</v>
      </c>
      <c r="G1969" s="6" t="str">
        <f>"3173252100830208"</f>
        <v>3173252100830208</v>
      </c>
      <c r="H1969" s="6">
        <v>3173252100830200</v>
      </c>
      <c r="I1969" s="6" t="s">
        <v>8227</v>
      </c>
      <c r="J1969" s="6" t="str">
        <f>"LE LONG OPS (NAVY)"</f>
        <v>LE LONG OPS (NAVY)</v>
      </c>
      <c r="K1969" s="6">
        <v>0</v>
      </c>
      <c r="L1969" s="6">
        <v>0</v>
      </c>
      <c r="M1969" s="6">
        <v>0</v>
      </c>
      <c r="N1969" s="6" t="str">
        <f>""</f>
        <v/>
      </c>
      <c r="O1969" s="6">
        <v>25592</v>
      </c>
      <c r="P1969" s="6" t="s">
        <v>8228</v>
      </c>
      <c r="R1969" s="6" t="s">
        <v>2111</v>
      </c>
      <c r="S1969" s="6" t="s">
        <v>8229</v>
      </c>
      <c r="T1969" s="6">
        <v>0</v>
      </c>
      <c r="U1969" s="6">
        <v>0</v>
      </c>
      <c r="V1969" s="6">
        <v>0</v>
      </c>
      <c r="W1969" s="6">
        <v>0</v>
      </c>
      <c r="X1969" s="6" t="s">
        <v>169</v>
      </c>
      <c r="Z1969" s="6" t="s">
        <v>170</v>
      </c>
      <c r="AA1969" s="6" t="s">
        <v>171</v>
      </c>
      <c r="AB1969" s="6">
        <v>0</v>
      </c>
      <c r="AC1969" s="6" t="str">
        <f>""</f>
        <v/>
      </c>
      <c r="AS1969" s="6">
        <v>0</v>
      </c>
      <c r="AT1969" s="6">
        <v>0</v>
      </c>
    </row>
    <row r="1970" spans="2:46">
      <c r="B1970" s="6" t="s">
        <v>7698</v>
      </c>
      <c r="D1970" s="6" t="s">
        <v>8189</v>
      </c>
      <c r="F1970" s="6" t="s">
        <v>8230</v>
      </c>
      <c r="G1970" s="6" t="str">
        <f>"3173252100874208"</f>
        <v>3173252100874208</v>
      </c>
      <c r="H1970" s="6">
        <v>3173252100874200</v>
      </c>
      <c r="I1970" s="6" t="s">
        <v>8231</v>
      </c>
      <c r="J1970" s="6" t="str">
        <f>"LE LONG OPS (BEIGE)"</f>
        <v>LE LONG OPS (BEIGE)</v>
      </c>
      <c r="K1970" s="6">
        <v>0</v>
      </c>
      <c r="L1970" s="6">
        <v>0</v>
      </c>
      <c r="M1970" s="6">
        <v>0</v>
      </c>
      <c r="N1970" s="6" t="str">
        <f>""</f>
        <v/>
      </c>
      <c r="O1970" s="6">
        <v>25590</v>
      </c>
      <c r="P1970" s="6" t="s">
        <v>8232</v>
      </c>
      <c r="R1970" s="6" t="s">
        <v>2102</v>
      </c>
      <c r="S1970" s="6" t="s">
        <v>8233</v>
      </c>
      <c r="T1970" s="6">
        <v>0</v>
      </c>
      <c r="U1970" s="6">
        <v>0</v>
      </c>
      <c r="V1970" s="6">
        <v>0</v>
      </c>
      <c r="W1970" s="6">
        <v>0</v>
      </c>
      <c r="X1970" s="6" t="s">
        <v>169</v>
      </c>
      <c r="Z1970" s="6" t="s">
        <v>170</v>
      </c>
      <c r="AA1970" s="6" t="s">
        <v>171</v>
      </c>
      <c r="AB1970" s="6">
        <v>0</v>
      </c>
      <c r="AC1970" s="6" t="str">
        <f>""</f>
        <v/>
      </c>
      <c r="AS1970" s="6">
        <v>0</v>
      </c>
      <c r="AT1970" s="6">
        <v>0</v>
      </c>
    </row>
    <row r="1971" spans="2:46">
      <c r="B1971" s="6" t="s">
        <v>7698</v>
      </c>
      <c r="D1971" s="6" t="s">
        <v>8189</v>
      </c>
      <c r="F1971" s="6" t="s">
        <v>8234</v>
      </c>
      <c r="G1971" s="6" t="str">
        <f>"3173252100675208"</f>
        <v>3173252100675208</v>
      </c>
      <c r="H1971" s="6">
        <v>3173252100675200</v>
      </c>
      <c r="I1971" s="6" t="s">
        <v>8235</v>
      </c>
      <c r="J1971" s="6" t="str">
        <f>"LE KNOT JUMPSUIT (BROWN)"</f>
        <v>LE KNOT JUMPSUIT (BROWN)</v>
      </c>
      <c r="K1971" s="6">
        <v>0</v>
      </c>
      <c r="L1971" s="6">
        <v>0</v>
      </c>
      <c r="M1971" s="6">
        <v>0</v>
      </c>
      <c r="N1971" s="6" t="str">
        <f>""</f>
        <v/>
      </c>
      <c r="O1971" s="6">
        <v>25588</v>
      </c>
      <c r="P1971" s="6" t="s">
        <v>8236</v>
      </c>
      <c r="R1971" s="6" t="s">
        <v>2119</v>
      </c>
      <c r="S1971" s="6" t="s">
        <v>8237</v>
      </c>
      <c r="T1971" s="6">
        <v>0</v>
      </c>
      <c r="U1971" s="6">
        <v>0</v>
      </c>
      <c r="V1971" s="6">
        <v>0</v>
      </c>
      <c r="W1971" s="6">
        <v>0</v>
      </c>
      <c r="X1971" s="6" t="s">
        <v>169</v>
      </c>
      <c r="Z1971" s="6" t="s">
        <v>170</v>
      </c>
      <c r="AA1971" s="6" t="s">
        <v>171</v>
      </c>
      <c r="AB1971" s="6">
        <v>0</v>
      </c>
      <c r="AC1971" s="6" t="str">
        <f>""</f>
        <v/>
      </c>
      <c r="AS1971" s="6">
        <v>0</v>
      </c>
      <c r="AT1971" s="6">
        <v>0</v>
      </c>
    </row>
    <row r="1972" spans="2:46">
      <c r="B1972" s="6" t="s">
        <v>7698</v>
      </c>
      <c r="D1972" s="6" t="s">
        <v>8189</v>
      </c>
      <c r="F1972" s="6" t="s">
        <v>8238</v>
      </c>
      <c r="G1972" s="6" t="str">
        <f>"3173252100699208"</f>
        <v>3173252100699208</v>
      </c>
      <c r="H1972" s="6">
        <v>3173252100699200</v>
      </c>
      <c r="I1972" s="6" t="s">
        <v>8239</v>
      </c>
      <c r="J1972" s="6" t="str">
        <f>"LE KNOT JUMPSUIT (BLACK)"</f>
        <v>LE KNOT JUMPSUIT (BLACK)</v>
      </c>
      <c r="K1972" s="6">
        <v>0</v>
      </c>
      <c r="L1972" s="6">
        <v>0</v>
      </c>
      <c r="M1972" s="6">
        <v>0</v>
      </c>
      <c r="N1972" s="6" t="str">
        <f>""</f>
        <v/>
      </c>
      <c r="O1972" s="6">
        <v>25586</v>
      </c>
      <c r="P1972" s="6" t="s">
        <v>8240</v>
      </c>
      <c r="R1972" s="6" t="s">
        <v>2106</v>
      </c>
      <c r="S1972" s="6" t="s">
        <v>8241</v>
      </c>
      <c r="T1972" s="6">
        <v>0</v>
      </c>
      <c r="U1972" s="6">
        <v>0</v>
      </c>
      <c r="V1972" s="6">
        <v>0</v>
      </c>
      <c r="W1972" s="6">
        <v>0</v>
      </c>
      <c r="X1972" s="6" t="s">
        <v>169</v>
      </c>
      <c r="Z1972" s="6" t="s">
        <v>170</v>
      </c>
      <c r="AA1972" s="6" t="s">
        <v>171</v>
      </c>
      <c r="AB1972" s="6">
        <v>0</v>
      </c>
      <c r="AC1972" s="6" t="str">
        <f>""</f>
        <v/>
      </c>
      <c r="AS1972" s="6">
        <v>0</v>
      </c>
      <c r="AT1972" s="6">
        <v>0</v>
      </c>
    </row>
    <row r="1973" spans="2:46">
      <c r="B1973" s="6" t="s">
        <v>7698</v>
      </c>
      <c r="D1973" s="6" t="s">
        <v>8189</v>
      </c>
      <c r="F1973" s="6" t="s">
        <v>8242</v>
      </c>
      <c r="G1973" s="6" t="str">
        <f>"3173252100901208"</f>
        <v>3173252100901208</v>
      </c>
      <c r="H1973" s="6">
        <v>3173252100901200</v>
      </c>
      <c r="I1973" s="6" t="s">
        <v>8243</v>
      </c>
      <c r="J1973" s="6" t="str">
        <f>"LE MOCK NECK OPS (PINK)"</f>
        <v>LE MOCK NECK OPS (PINK)</v>
      </c>
      <c r="K1973" s="6">
        <v>0</v>
      </c>
      <c r="L1973" s="6">
        <v>0</v>
      </c>
      <c r="M1973" s="6">
        <v>0</v>
      </c>
      <c r="N1973" s="6" t="str">
        <f>""</f>
        <v/>
      </c>
      <c r="O1973" s="6">
        <v>25584</v>
      </c>
      <c r="P1973" s="6" t="s">
        <v>8244</v>
      </c>
      <c r="R1973" s="6" t="s">
        <v>2446</v>
      </c>
      <c r="S1973" s="6" t="s">
        <v>8245</v>
      </c>
      <c r="T1973" s="6">
        <v>0</v>
      </c>
      <c r="U1973" s="6">
        <v>0</v>
      </c>
      <c r="V1973" s="6">
        <v>0</v>
      </c>
      <c r="W1973" s="6">
        <v>0</v>
      </c>
      <c r="X1973" s="6" t="s">
        <v>169</v>
      </c>
      <c r="Z1973" s="6" t="s">
        <v>170</v>
      </c>
      <c r="AA1973" s="6" t="s">
        <v>171</v>
      </c>
      <c r="AB1973" s="6">
        <v>0</v>
      </c>
      <c r="AC1973" s="6" t="str">
        <f>""</f>
        <v/>
      </c>
      <c r="AS1973" s="6">
        <v>0</v>
      </c>
      <c r="AT1973" s="6">
        <v>0</v>
      </c>
    </row>
    <row r="1974" spans="2:46">
      <c r="B1974" s="6" t="s">
        <v>7698</v>
      </c>
      <c r="D1974" s="6" t="s">
        <v>8189</v>
      </c>
      <c r="F1974" s="6" t="s">
        <v>8246</v>
      </c>
      <c r="G1974" s="6" t="str">
        <f>"3173252100930208"</f>
        <v>3173252100930208</v>
      </c>
      <c r="H1974" s="6">
        <v>3173252100930200</v>
      </c>
      <c r="I1974" s="6" t="s">
        <v>8247</v>
      </c>
      <c r="J1974" s="6" t="str">
        <f>"LE MOCK NECK OPS (NAVY)"</f>
        <v>LE MOCK NECK OPS (NAVY)</v>
      </c>
      <c r="K1974" s="6">
        <v>0</v>
      </c>
      <c r="L1974" s="6">
        <v>0</v>
      </c>
      <c r="M1974" s="6">
        <v>0</v>
      </c>
      <c r="N1974" s="6" t="str">
        <f>""</f>
        <v/>
      </c>
      <c r="O1974" s="6">
        <v>25582</v>
      </c>
      <c r="P1974" s="6" t="s">
        <v>8248</v>
      </c>
      <c r="R1974" s="6" t="s">
        <v>2111</v>
      </c>
      <c r="S1974" s="6" t="s">
        <v>8249</v>
      </c>
      <c r="T1974" s="6">
        <v>0</v>
      </c>
      <c r="U1974" s="6">
        <v>0</v>
      </c>
      <c r="V1974" s="6">
        <v>0</v>
      </c>
      <c r="W1974" s="6">
        <v>0</v>
      </c>
      <c r="X1974" s="6" t="s">
        <v>169</v>
      </c>
      <c r="Z1974" s="6" t="s">
        <v>170</v>
      </c>
      <c r="AA1974" s="6" t="s">
        <v>171</v>
      </c>
      <c r="AB1974" s="6">
        <v>0</v>
      </c>
      <c r="AC1974" s="6" t="str">
        <f>""</f>
        <v/>
      </c>
      <c r="AS1974" s="6">
        <v>0</v>
      </c>
      <c r="AT1974" s="6">
        <v>0</v>
      </c>
    </row>
    <row r="1975" spans="2:46">
      <c r="B1975" s="6" t="s">
        <v>7698</v>
      </c>
      <c r="D1975" s="6" t="s">
        <v>8189</v>
      </c>
      <c r="F1975" s="6" t="s">
        <v>8250</v>
      </c>
      <c r="G1975" s="6" t="str">
        <f>"3173252101099208"</f>
        <v>3173252101099208</v>
      </c>
      <c r="H1975" s="6">
        <v>3173252101099200</v>
      </c>
      <c r="I1975" s="6" t="s">
        <v>8251</v>
      </c>
      <c r="J1975" s="6" t="str">
        <f>"LE WAPPEN OPS (BLACK)"</f>
        <v>LE WAPPEN OPS (BLACK)</v>
      </c>
      <c r="K1975" s="6">
        <v>0</v>
      </c>
      <c r="L1975" s="6">
        <v>0</v>
      </c>
      <c r="M1975" s="6">
        <v>0</v>
      </c>
      <c r="N1975" s="6" t="str">
        <f>""</f>
        <v/>
      </c>
      <c r="O1975" s="6">
        <v>25580</v>
      </c>
      <c r="P1975" s="6" t="s">
        <v>8252</v>
      </c>
      <c r="R1975" s="6" t="s">
        <v>2106</v>
      </c>
      <c r="S1975" s="6" t="s">
        <v>8253</v>
      </c>
      <c r="T1975" s="6">
        <v>0</v>
      </c>
      <c r="U1975" s="6">
        <v>0</v>
      </c>
      <c r="V1975" s="6">
        <v>0</v>
      </c>
      <c r="W1975" s="6">
        <v>0</v>
      </c>
      <c r="X1975" s="6" t="s">
        <v>169</v>
      </c>
      <c r="Z1975" s="6" t="s">
        <v>170</v>
      </c>
      <c r="AA1975" s="6" t="s">
        <v>171</v>
      </c>
      <c r="AB1975" s="6">
        <v>0</v>
      </c>
      <c r="AC1975" s="6" t="str">
        <f>""</f>
        <v/>
      </c>
      <c r="AS1975" s="6">
        <v>0</v>
      </c>
      <c r="AT1975" s="6">
        <v>0</v>
      </c>
    </row>
    <row r="1976" spans="2:46">
      <c r="B1976" s="6" t="s">
        <v>7698</v>
      </c>
      <c r="D1976" s="6" t="s">
        <v>8189</v>
      </c>
      <c r="F1976" s="6" t="s">
        <v>8254</v>
      </c>
      <c r="G1976" s="6" t="str">
        <f>"3173252101074208"</f>
        <v>3173252101074208</v>
      </c>
      <c r="H1976" s="6">
        <v>3173252101074200</v>
      </c>
      <c r="I1976" s="6" t="s">
        <v>8255</v>
      </c>
      <c r="J1976" s="6" t="str">
        <f>"LE WAPPEN OPS (BEIGE)"</f>
        <v>LE WAPPEN OPS (BEIGE)</v>
      </c>
      <c r="K1976" s="6">
        <v>0</v>
      </c>
      <c r="L1976" s="6">
        <v>0</v>
      </c>
      <c r="M1976" s="6">
        <v>0</v>
      </c>
      <c r="N1976" s="6" t="str">
        <f>""</f>
        <v/>
      </c>
      <c r="O1976" s="6">
        <v>25578</v>
      </c>
      <c r="P1976" s="6" t="s">
        <v>8256</v>
      </c>
      <c r="R1976" s="6" t="s">
        <v>2102</v>
      </c>
      <c r="S1976" s="6" t="s">
        <v>8257</v>
      </c>
      <c r="T1976" s="6">
        <v>0</v>
      </c>
      <c r="U1976" s="6">
        <v>0</v>
      </c>
      <c r="V1976" s="6">
        <v>0</v>
      </c>
      <c r="W1976" s="6">
        <v>0</v>
      </c>
      <c r="X1976" s="6" t="s">
        <v>169</v>
      </c>
      <c r="Z1976" s="6" t="s">
        <v>170</v>
      </c>
      <c r="AA1976" s="6" t="s">
        <v>171</v>
      </c>
      <c r="AB1976" s="6">
        <v>0</v>
      </c>
      <c r="AC1976" s="6" t="str">
        <f>""</f>
        <v/>
      </c>
      <c r="AS1976" s="6">
        <v>0</v>
      </c>
      <c r="AT1976" s="6">
        <v>0</v>
      </c>
    </row>
    <row r="1977" spans="2:46">
      <c r="B1977" s="6" t="s">
        <v>7698</v>
      </c>
      <c r="D1977" s="6" t="s">
        <v>8189</v>
      </c>
      <c r="F1977" s="6" t="s">
        <v>8258</v>
      </c>
      <c r="G1977" s="6" t="str">
        <f>"3173232100306208"</f>
        <v>3173232100306208</v>
      </c>
      <c r="H1977" s="6">
        <v>3173232100306200</v>
      </c>
      <c r="I1977" s="6" t="s">
        <v>8259</v>
      </c>
      <c r="J1977" s="6" t="str">
        <f>"LE CARDIGAN (WINE)"</f>
        <v>LE CARDIGAN (WINE)</v>
      </c>
      <c r="K1977" s="6">
        <v>0</v>
      </c>
      <c r="L1977" s="6">
        <v>0</v>
      </c>
      <c r="M1977" s="6">
        <v>0</v>
      </c>
      <c r="N1977" s="6" t="str">
        <f>""</f>
        <v/>
      </c>
      <c r="O1977" s="6">
        <v>25576</v>
      </c>
      <c r="P1977" s="6" t="s">
        <v>8260</v>
      </c>
      <c r="R1977" s="6" t="s">
        <v>3721</v>
      </c>
      <c r="S1977" s="6" t="s">
        <v>8261</v>
      </c>
      <c r="T1977" s="6">
        <v>0</v>
      </c>
      <c r="U1977" s="6">
        <v>0</v>
      </c>
      <c r="V1977" s="6">
        <v>0</v>
      </c>
      <c r="W1977" s="6">
        <v>0</v>
      </c>
      <c r="X1977" s="6" t="s">
        <v>169</v>
      </c>
      <c r="Z1977" s="6" t="s">
        <v>170</v>
      </c>
      <c r="AA1977" s="6" t="s">
        <v>171</v>
      </c>
      <c r="AB1977" s="6">
        <v>0</v>
      </c>
      <c r="AC1977" s="6" t="str">
        <f>""</f>
        <v/>
      </c>
      <c r="AS1977" s="6">
        <v>0</v>
      </c>
      <c r="AT1977" s="6">
        <v>0</v>
      </c>
    </row>
    <row r="1978" spans="2:46">
      <c r="B1978" s="6" t="s">
        <v>7698</v>
      </c>
      <c r="D1978" s="6" t="s">
        <v>8189</v>
      </c>
      <c r="F1978" s="6" t="s">
        <v>8262</v>
      </c>
      <c r="G1978" s="6" t="str">
        <f>"3173232100330208"</f>
        <v>3173232100330208</v>
      </c>
      <c r="H1978" s="6">
        <v>3173232100330200</v>
      </c>
      <c r="I1978" s="6" t="s">
        <v>8263</v>
      </c>
      <c r="J1978" s="6" t="str">
        <f>"LE CARDIGAN (NAVY)"</f>
        <v>LE CARDIGAN (NAVY)</v>
      </c>
      <c r="K1978" s="6">
        <v>0</v>
      </c>
      <c r="L1978" s="6">
        <v>0</v>
      </c>
      <c r="M1978" s="6">
        <v>0</v>
      </c>
      <c r="N1978" s="6" t="str">
        <f>""</f>
        <v/>
      </c>
      <c r="O1978" s="6">
        <v>25574</v>
      </c>
      <c r="P1978" s="6" t="s">
        <v>8264</v>
      </c>
      <c r="R1978" s="6" t="s">
        <v>2111</v>
      </c>
      <c r="S1978" s="6" t="s">
        <v>8265</v>
      </c>
      <c r="T1978" s="6">
        <v>0</v>
      </c>
      <c r="U1978" s="6">
        <v>0</v>
      </c>
      <c r="V1978" s="6">
        <v>0</v>
      </c>
      <c r="W1978" s="6">
        <v>0</v>
      </c>
      <c r="X1978" s="6" t="s">
        <v>169</v>
      </c>
      <c r="Z1978" s="6" t="s">
        <v>170</v>
      </c>
      <c r="AA1978" s="6" t="s">
        <v>171</v>
      </c>
      <c r="AB1978" s="6">
        <v>0</v>
      </c>
      <c r="AC1978" s="6" t="str">
        <f>""</f>
        <v/>
      </c>
      <c r="AS1978" s="6">
        <v>0</v>
      </c>
      <c r="AT1978" s="6">
        <v>0</v>
      </c>
    </row>
    <row r="1979" spans="2:46">
      <c r="B1979" s="6" t="s">
        <v>7698</v>
      </c>
      <c r="D1979" s="6" t="s">
        <v>8189</v>
      </c>
      <c r="F1979" s="6" t="s">
        <v>8266</v>
      </c>
      <c r="G1979" s="6" t="str">
        <f>"3173132101099208"</f>
        <v>3173132101099208</v>
      </c>
      <c r="H1979" s="6">
        <v>3173132101099200</v>
      </c>
      <c r="I1979" s="6" t="s">
        <v>8267</v>
      </c>
      <c r="J1979" s="6" t="str">
        <f>"L ESSENTIAL ZIP RIDER (LAMBSKIN) (BLACK)"</f>
        <v>L ESSENTIAL ZIP RIDER (LAMBSKIN) (BLACK)</v>
      </c>
      <c r="K1979" s="6">
        <v>0</v>
      </c>
      <c r="L1979" s="6">
        <v>0</v>
      </c>
      <c r="M1979" s="6">
        <v>0</v>
      </c>
      <c r="N1979" s="6" t="str">
        <f>""</f>
        <v/>
      </c>
      <c r="O1979" s="6">
        <v>25572</v>
      </c>
      <c r="P1979" s="6" t="s">
        <v>8268</v>
      </c>
      <c r="R1979" s="6" t="s">
        <v>2106</v>
      </c>
      <c r="S1979" s="6" t="s">
        <v>8269</v>
      </c>
      <c r="T1979" s="6">
        <v>0</v>
      </c>
      <c r="U1979" s="6">
        <v>0</v>
      </c>
      <c r="V1979" s="6">
        <v>0</v>
      </c>
      <c r="W1979" s="6">
        <v>0</v>
      </c>
      <c r="X1979" s="6" t="s">
        <v>169</v>
      </c>
      <c r="Z1979" s="6" t="s">
        <v>170</v>
      </c>
      <c r="AA1979" s="6" t="s">
        <v>171</v>
      </c>
      <c r="AB1979" s="6">
        <v>0</v>
      </c>
      <c r="AC1979" s="6" t="str">
        <f>""</f>
        <v/>
      </c>
      <c r="AS1979" s="6">
        <v>0</v>
      </c>
      <c r="AT1979" s="6">
        <v>0</v>
      </c>
    </row>
    <row r="1980" spans="2:46">
      <c r="B1980" s="6" t="s">
        <v>7698</v>
      </c>
      <c r="D1980" s="6" t="s">
        <v>8189</v>
      </c>
      <c r="F1980" s="6" t="s">
        <v>8270</v>
      </c>
      <c r="G1980" s="6" t="str">
        <f>"3173132100999208"</f>
        <v>3173132100999208</v>
      </c>
      <c r="H1980" s="6">
        <v>3173132100999200</v>
      </c>
      <c r="I1980" s="6" t="s">
        <v>8271</v>
      </c>
      <c r="J1980" s="6" t="str">
        <f>"L ESSENTIAL ZIP RIDER (COWHIDE) (BLACK)"</f>
        <v>L ESSENTIAL ZIP RIDER (COWHIDE) (BLACK)</v>
      </c>
      <c r="K1980" s="6">
        <v>0</v>
      </c>
      <c r="L1980" s="6">
        <v>0</v>
      </c>
      <c r="M1980" s="6">
        <v>0</v>
      </c>
      <c r="N1980" s="6" t="str">
        <f>""</f>
        <v/>
      </c>
      <c r="O1980" s="6">
        <v>25570</v>
      </c>
      <c r="P1980" s="6" t="s">
        <v>8272</v>
      </c>
      <c r="R1980" s="6" t="s">
        <v>2106</v>
      </c>
      <c r="S1980" s="6" t="s">
        <v>8273</v>
      </c>
      <c r="T1980" s="6">
        <v>0</v>
      </c>
      <c r="U1980" s="6">
        <v>0</v>
      </c>
      <c r="V1980" s="6">
        <v>0</v>
      </c>
      <c r="W1980" s="6">
        <v>0</v>
      </c>
      <c r="X1980" s="6" t="s">
        <v>169</v>
      </c>
      <c r="Z1980" s="6" t="s">
        <v>170</v>
      </c>
      <c r="AA1980" s="6" t="s">
        <v>171</v>
      </c>
      <c r="AB1980" s="6">
        <v>0</v>
      </c>
      <c r="AC1980" s="6" t="str">
        <f>""</f>
        <v/>
      </c>
      <c r="AS1980" s="6">
        <v>0</v>
      </c>
      <c r="AT1980" s="6">
        <v>0</v>
      </c>
    </row>
    <row r="1981" spans="2:46">
      <c r="B1981" s="6" t="s">
        <v>7698</v>
      </c>
      <c r="D1981" s="6" t="s">
        <v>8189</v>
      </c>
      <c r="F1981" s="6" t="s">
        <v>8274</v>
      </c>
      <c r="G1981" s="6" t="str">
        <f>"3173112100199208"</f>
        <v>3173112100199208</v>
      </c>
      <c r="H1981" s="6">
        <v>3173112100199200</v>
      </c>
      <c r="I1981" s="6" t="s">
        <v>8275</v>
      </c>
      <c r="J1981" s="6" t="str">
        <f>"LE OVER TRENCH COAT (BLACK)"</f>
        <v>LE OVER TRENCH COAT (BLACK)</v>
      </c>
      <c r="K1981" s="6">
        <v>0</v>
      </c>
      <c r="L1981" s="6">
        <v>0</v>
      </c>
      <c r="M1981" s="6">
        <v>0</v>
      </c>
      <c r="N1981" s="6" t="str">
        <f>""</f>
        <v/>
      </c>
      <c r="O1981" s="6">
        <v>25568</v>
      </c>
      <c r="P1981" s="6" t="s">
        <v>8276</v>
      </c>
      <c r="R1981" s="6" t="s">
        <v>2106</v>
      </c>
      <c r="S1981" s="6" t="s">
        <v>8277</v>
      </c>
      <c r="T1981" s="6">
        <v>0</v>
      </c>
      <c r="U1981" s="6">
        <v>0</v>
      </c>
      <c r="V1981" s="6">
        <v>0</v>
      </c>
      <c r="W1981" s="6">
        <v>0</v>
      </c>
      <c r="X1981" s="6" t="s">
        <v>169</v>
      </c>
      <c r="Z1981" s="6" t="s">
        <v>170</v>
      </c>
      <c r="AA1981" s="6" t="s">
        <v>171</v>
      </c>
      <c r="AB1981" s="6">
        <v>0</v>
      </c>
      <c r="AC1981" s="6" t="str">
        <f>""</f>
        <v/>
      </c>
      <c r="AS1981" s="6">
        <v>0</v>
      </c>
      <c r="AT1981" s="6">
        <v>0</v>
      </c>
    </row>
    <row r="1982" spans="2:46">
      <c r="B1982" s="6" t="s">
        <v>7698</v>
      </c>
      <c r="D1982" s="6" t="s">
        <v>8189</v>
      </c>
      <c r="F1982" s="6" t="s">
        <v>8278</v>
      </c>
      <c r="G1982" s="6" t="str">
        <f>"3173112100174208"</f>
        <v>3173112100174208</v>
      </c>
      <c r="H1982" s="6">
        <v>3173112100174200</v>
      </c>
      <c r="I1982" s="6" t="s">
        <v>8279</v>
      </c>
      <c r="J1982" s="6" t="str">
        <f>"LE OVER TRENCH COAT (BEIGE)"</f>
        <v>LE OVER TRENCH COAT (BEIGE)</v>
      </c>
      <c r="K1982" s="6">
        <v>0</v>
      </c>
      <c r="L1982" s="6">
        <v>0</v>
      </c>
      <c r="M1982" s="6">
        <v>0</v>
      </c>
      <c r="N1982" s="6" t="str">
        <f>""</f>
        <v/>
      </c>
      <c r="O1982" s="6">
        <v>25566</v>
      </c>
      <c r="P1982" s="6" t="s">
        <v>8280</v>
      </c>
      <c r="R1982" s="6" t="s">
        <v>2102</v>
      </c>
      <c r="S1982" s="6" t="s">
        <v>8281</v>
      </c>
      <c r="T1982" s="6">
        <v>0</v>
      </c>
      <c r="U1982" s="6">
        <v>0</v>
      </c>
      <c r="V1982" s="6">
        <v>0</v>
      </c>
      <c r="W1982" s="6">
        <v>0</v>
      </c>
      <c r="X1982" s="6" t="s">
        <v>169</v>
      </c>
      <c r="Z1982" s="6" t="s">
        <v>170</v>
      </c>
      <c r="AA1982" s="6" t="s">
        <v>171</v>
      </c>
      <c r="AB1982" s="6">
        <v>0</v>
      </c>
      <c r="AC1982" s="6" t="str">
        <f>""</f>
        <v/>
      </c>
      <c r="AS1982" s="6">
        <v>0</v>
      </c>
      <c r="AT1982" s="6">
        <v>0</v>
      </c>
    </row>
    <row r="1983" spans="2:46">
      <c r="B1983" s="6" t="s">
        <v>7698</v>
      </c>
      <c r="D1983" s="6" t="s">
        <v>8189</v>
      </c>
      <c r="F1983" s="6" t="s">
        <v>8282</v>
      </c>
      <c r="G1983" s="6" t="str">
        <f>"3176112102006208"</f>
        <v>3176112102006208</v>
      </c>
      <c r="H1983" s="6">
        <v>3176112102006200</v>
      </c>
      <c r="I1983" s="6" t="s">
        <v>8283</v>
      </c>
      <c r="J1983" s="6" t="str">
        <f>"LP OVER TRENCH COAT (WINE)"</f>
        <v>LP OVER TRENCH COAT (WINE)</v>
      </c>
      <c r="K1983" s="6">
        <v>0</v>
      </c>
      <c r="L1983" s="6">
        <v>0</v>
      </c>
      <c r="M1983" s="6">
        <v>0</v>
      </c>
      <c r="N1983" s="6" t="str">
        <f>""</f>
        <v/>
      </c>
      <c r="O1983" s="6">
        <v>25564</v>
      </c>
      <c r="P1983" s="6" t="s">
        <v>8284</v>
      </c>
      <c r="R1983" s="6" t="s">
        <v>3721</v>
      </c>
      <c r="S1983" s="6" t="s">
        <v>8285</v>
      </c>
      <c r="T1983" s="6">
        <v>0</v>
      </c>
      <c r="U1983" s="6">
        <v>0</v>
      </c>
      <c r="V1983" s="6">
        <v>0</v>
      </c>
      <c r="W1983" s="6">
        <v>0</v>
      </c>
      <c r="X1983" s="6" t="s">
        <v>169</v>
      </c>
      <c r="Z1983" s="6" t="s">
        <v>170</v>
      </c>
      <c r="AA1983" s="6" t="s">
        <v>171</v>
      </c>
      <c r="AB1983" s="6">
        <v>0</v>
      </c>
      <c r="AC1983" s="6" t="str">
        <f>""</f>
        <v/>
      </c>
      <c r="AS1983" s="6">
        <v>0</v>
      </c>
      <c r="AT1983" s="6">
        <v>0</v>
      </c>
    </row>
    <row r="1984" spans="2:46">
      <c r="B1984" s="6" t="s">
        <v>7698</v>
      </c>
      <c r="D1984" s="6" t="s">
        <v>8189</v>
      </c>
      <c r="F1984" s="6" t="s">
        <v>8286</v>
      </c>
      <c r="G1984" s="6" t="str">
        <f>"3173132100630208"</f>
        <v>3173132100630208</v>
      </c>
      <c r="H1984" s="6">
        <v>3173132100630200</v>
      </c>
      <c r="I1984" s="6" t="s">
        <v>8287</v>
      </c>
      <c r="J1984" s="6" t="str">
        <f>"LE JACKET (NAVY)"</f>
        <v>LE JACKET (NAVY)</v>
      </c>
      <c r="K1984" s="6">
        <v>0</v>
      </c>
      <c r="L1984" s="6">
        <v>0</v>
      </c>
      <c r="M1984" s="6">
        <v>0</v>
      </c>
      <c r="N1984" s="6" t="str">
        <f>""</f>
        <v/>
      </c>
      <c r="O1984" s="6">
        <v>25562</v>
      </c>
      <c r="P1984" s="6" t="s">
        <v>8288</v>
      </c>
      <c r="R1984" s="6" t="s">
        <v>2111</v>
      </c>
      <c r="S1984" s="6" t="s">
        <v>8289</v>
      </c>
      <c r="T1984" s="6">
        <v>0</v>
      </c>
      <c r="U1984" s="6">
        <v>0</v>
      </c>
      <c r="V1984" s="6">
        <v>0</v>
      </c>
      <c r="W1984" s="6">
        <v>0</v>
      </c>
      <c r="X1984" s="6" t="s">
        <v>169</v>
      </c>
      <c r="Z1984" s="6" t="s">
        <v>170</v>
      </c>
      <c r="AA1984" s="6" t="s">
        <v>171</v>
      </c>
      <c r="AB1984" s="6">
        <v>0</v>
      </c>
      <c r="AC1984" s="6" t="str">
        <f>""</f>
        <v/>
      </c>
      <c r="AS1984" s="6">
        <v>0</v>
      </c>
      <c r="AT1984" s="6">
        <v>0</v>
      </c>
    </row>
    <row r="1985" spans="2:46">
      <c r="B1985" s="6" t="s">
        <v>7698</v>
      </c>
      <c r="D1985" s="6" t="s">
        <v>8189</v>
      </c>
      <c r="F1985" s="6" t="s">
        <v>8290</v>
      </c>
      <c r="G1985" s="6" t="str">
        <f>"3173132100674208"</f>
        <v>3173132100674208</v>
      </c>
      <c r="H1985" s="6">
        <v>3173132100674200</v>
      </c>
      <c r="I1985" s="6" t="s">
        <v>8291</v>
      </c>
      <c r="J1985" s="6" t="str">
        <f>"LE JACKET (BEIGE)"</f>
        <v>LE JACKET (BEIGE)</v>
      </c>
      <c r="K1985" s="6">
        <v>0</v>
      </c>
      <c r="L1985" s="6">
        <v>0</v>
      </c>
      <c r="M1985" s="6">
        <v>0</v>
      </c>
      <c r="N1985" s="6" t="str">
        <f>""</f>
        <v/>
      </c>
      <c r="O1985" s="6">
        <v>25560</v>
      </c>
      <c r="P1985" s="6" t="s">
        <v>8292</v>
      </c>
      <c r="R1985" s="6" t="s">
        <v>2102</v>
      </c>
      <c r="S1985" s="6" t="s">
        <v>8293</v>
      </c>
      <c r="T1985" s="6">
        <v>0</v>
      </c>
      <c r="U1985" s="6">
        <v>0</v>
      </c>
      <c r="V1985" s="6">
        <v>0</v>
      </c>
      <c r="W1985" s="6">
        <v>0</v>
      </c>
      <c r="X1985" s="6" t="s">
        <v>169</v>
      </c>
      <c r="Z1985" s="6" t="s">
        <v>170</v>
      </c>
      <c r="AA1985" s="6" t="s">
        <v>171</v>
      </c>
      <c r="AB1985" s="6">
        <v>0</v>
      </c>
      <c r="AC1985" s="6" t="str">
        <f>""</f>
        <v/>
      </c>
      <c r="AS1985" s="6">
        <v>0</v>
      </c>
      <c r="AT1985" s="6">
        <v>0</v>
      </c>
    </row>
    <row r="1986" spans="2:46">
      <c r="B1986" s="6" t="s">
        <v>7698</v>
      </c>
      <c r="D1986" s="6" t="s">
        <v>8189</v>
      </c>
      <c r="F1986" s="6" t="s">
        <v>8294</v>
      </c>
      <c r="G1986" s="6" t="str">
        <f>"3173122100199208"</f>
        <v>3173122100199208</v>
      </c>
      <c r="H1986" s="6">
        <v>3173122100199200</v>
      </c>
      <c r="I1986" s="6" t="s">
        <v>8295</v>
      </c>
      <c r="J1986" s="6" t="str">
        <f>"LE CORDU MA-1 (BLACK)"</f>
        <v>LE CORDU MA-1 (BLACK)</v>
      </c>
      <c r="K1986" s="6">
        <v>0</v>
      </c>
      <c r="L1986" s="6">
        <v>0</v>
      </c>
      <c r="M1986" s="6">
        <v>0</v>
      </c>
      <c r="N1986" s="6" t="str">
        <f>""</f>
        <v/>
      </c>
      <c r="O1986" s="6">
        <v>25558</v>
      </c>
      <c r="P1986" s="6" t="s">
        <v>8296</v>
      </c>
      <c r="R1986" s="6" t="s">
        <v>2106</v>
      </c>
      <c r="S1986" s="6" t="s">
        <v>8297</v>
      </c>
      <c r="T1986" s="6">
        <v>0</v>
      </c>
      <c r="U1986" s="6">
        <v>0</v>
      </c>
      <c r="V1986" s="6">
        <v>0</v>
      </c>
      <c r="W1986" s="6">
        <v>0</v>
      </c>
      <c r="X1986" s="6" t="s">
        <v>169</v>
      </c>
      <c r="Z1986" s="6" t="s">
        <v>170</v>
      </c>
      <c r="AA1986" s="6" t="s">
        <v>171</v>
      </c>
      <c r="AB1986" s="6">
        <v>0</v>
      </c>
      <c r="AC1986" s="6" t="str">
        <f>""</f>
        <v/>
      </c>
      <c r="AS1986" s="6">
        <v>0</v>
      </c>
      <c r="AT1986" s="6">
        <v>0</v>
      </c>
    </row>
    <row r="1987" spans="2:46">
      <c r="B1987" s="6" t="s">
        <v>7698</v>
      </c>
      <c r="D1987" s="6" t="s">
        <v>8189</v>
      </c>
      <c r="F1987" s="6" t="s">
        <v>8298</v>
      </c>
      <c r="G1987" s="6" t="str">
        <f>"3173122100169208"</f>
        <v>3173122100169208</v>
      </c>
      <c r="H1987" s="6">
        <v>3173122100169200</v>
      </c>
      <c r="I1987" s="6" t="s">
        <v>8299</v>
      </c>
      <c r="J1987" s="6" t="str">
        <f>"LE CORDU MA-1 (BEIGE)"</f>
        <v>LE CORDU MA-1 (BEIGE)</v>
      </c>
      <c r="K1987" s="6">
        <v>0</v>
      </c>
      <c r="L1987" s="6">
        <v>0</v>
      </c>
      <c r="M1987" s="6">
        <v>0</v>
      </c>
      <c r="N1987" s="6" t="str">
        <f>""</f>
        <v/>
      </c>
      <c r="O1987" s="6">
        <v>25556</v>
      </c>
      <c r="P1987" s="6" t="s">
        <v>8300</v>
      </c>
      <c r="R1987" s="6" t="s">
        <v>2102</v>
      </c>
      <c r="S1987" s="6" t="s">
        <v>8301</v>
      </c>
      <c r="T1987" s="6">
        <v>0</v>
      </c>
      <c r="U1987" s="6">
        <v>0</v>
      </c>
      <c r="V1987" s="6">
        <v>0</v>
      </c>
      <c r="W1987" s="6">
        <v>0</v>
      </c>
      <c r="X1987" s="6" t="s">
        <v>169</v>
      </c>
      <c r="Z1987" s="6" t="s">
        <v>170</v>
      </c>
      <c r="AA1987" s="6" t="s">
        <v>171</v>
      </c>
      <c r="AB1987" s="6">
        <v>0</v>
      </c>
      <c r="AC1987" s="6" t="str">
        <f>""</f>
        <v/>
      </c>
      <c r="AS1987" s="6">
        <v>0</v>
      </c>
      <c r="AT1987" s="6">
        <v>0</v>
      </c>
    </row>
    <row r="1988" spans="2:46">
      <c r="B1988" s="6" t="s">
        <v>7698</v>
      </c>
      <c r="D1988" s="6" t="s">
        <v>8189</v>
      </c>
      <c r="F1988" s="6" t="s">
        <v>8302</v>
      </c>
      <c r="G1988" s="6" t="str">
        <f>"3157112107074208"</f>
        <v>3157112107074208</v>
      </c>
      <c r="H1988" s="6">
        <v>3157112107074200</v>
      </c>
      <c r="I1988" s="6" t="s">
        <v>8303</v>
      </c>
      <c r="J1988" s="6" t="str">
        <f>"LP OVER TRENCH COAT(BEIGE)"</f>
        <v>LP OVER TRENCH COAT(BEIGE)</v>
      </c>
      <c r="K1988" s="6">
        <v>0</v>
      </c>
      <c r="L1988" s="6">
        <v>0</v>
      </c>
      <c r="M1988" s="6">
        <v>0</v>
      </c>
      <c r="N1988" s="6" t="str">
        <f>""</f>
        <v/>
      </c>
      <c r="O1988" s="6">
        <v>25554</v>
      </c>
      <c r="P1988" s="6" t="s">
        <v>8304</v>
      </c>
      <c r="R1988" s="6" t="s">
        <v>6875</v>
      </c>
      <c r="S1988" s="6" t="s">
        <v>8305</v>
      </c>
      <c r="T1988" s="6">
        <v>0</v>
      </c>
      <c r="U1988" s="6">
        <v>0</v>
      </c>
      <c r="V1988" s="6">
        <v>0</v>
      </c>
      <c r="W1988" s="6">
        <v>0</v>
      </c>
      <c r="X1988" s="6" t="s">
        <v>169</v>
      </c>
      <c r="Z1988" s="6" t="s">
        <v>170</v>
      </c>
      <c r="AA1988" s="6" t="s">
        <v>171</v>
      </c>
      <c r="AB1988" s="6">
        <v>0</v>
      </c>
      <c r="AC1988" s="6" t="str">
        <f>""</f>
        <v/>
      </c>
      <c r="AS1988" s="6">
        <v>0</v>
      </c>
      <c r="AT1988" s="6">
        <v>0</v>
      </c>
    </row>
    <row r="1989" spans="2:46">
      <c r="B1989" s="6" t="s">
        <v>7698</v>
      </c>
      <c r="D1989" s="6" t="s">
        <v>8189</v>
      </c>
      <c r="F1989" s="6" t="s">
        <v>8306</v>
      </c>
      <c r="G1989" s="6" t="str">
        <f>"3172222120861208"</f>
        <v>3172222120861208</v>
      </c>
      <c r="H1989" s="6">
        <v>3172222120861200</v>
      </c>
      <c r="I1989" s="6" t="s">
        <v>8307</v>
      </c>
      <c r="J1989" s="6" t="str">
        <f>"[LARTIGENT]LB GLITTER SLEEVELESS(RED)"</f>
        <v>[LARTIGENT]LB GLITTER SLEEVELESS(RED)</v>
      </c>
      <c r="K1989" s="6">
        <v>0</v>
      </c>
      <c r="L1989" s="6">
        <v>0</v>
      </c>
      <c r="M1989" s="6">
        <v>0</v>
      </c>
      <c r="N1989" s="6" t="str">
        <f>""</f>
        <v/>
      </c>
      <c r="O1989" s="6">
        <v>25552</v>
      </c>
      <c r="P1989" s="6" t="s">
        <v>8308</v>
      </c>
      <c r="R1989" s="6" t="s">
        <v>2309</v>
      </c>
      <c r="S1989" s="6" t="s">
        <v>8309</v>
      </c>
      <c r="T1989" s="6">
        <v>0</v>
      </c>
      <c r="U1989" s="6">
        <v>0</v>
      </c>
      <c r="V1989" s="6">
        <v>0</v>
      </c>
      <c r="W1989" s="6">
        <v>0</v>
      </c>
      <c r="X1989" s="6" t="s">
        <v>169</v>
      </c>
      <c r="Z1989" s="6" t="s">
        <v>170</v>
      </c>
      <c r="AA1989" s="6" t="s">
        <v>171</v>
      </c>
      <c r="AB1989" s="6">
        <v>0</v>
      </c>
      <c r="AC1989" s="6" t="str">
        <f>""</f>
        <v/>
      </c>
      <c r="AS1989" s="6">
        <v>0</v>
      </c>
      <c r="AT1989" s="6">
        <v>0</v>
      </c>
    </row>
    <row r="1990" spans="2:46">
      <c r="B1990" s="6" t="s">
        <v>7698</v>
      </c>
      <c r="D1990" s="6" t="s">
        <v>8189</v>
      </c>
      <c r="F1990" s="6" t="s">
        <v>8310</v>
      </c>
      <c r="G1990" s="6" t="str">
        <f>"3172222120899208"</f>
        <v>3172222120899208</v>
      </c>
      <c r="H1990" s="6">
        <v>3172222120899200</v>
      </c>
      <c r="I1990" s="6" t="s">
        <v>8311</v>
      </c>
      <c r="J1990" s="6" t="str">
        <f>"[LARTIGENT]LB GLITTER SLEEVELESS(BLACK)"</f>
        <v>[LARTIGENT]LB GLITTER SLEEVELESS(BLACK)</v>
      </c>
      <c r="K1990" s="6">
        <v>0</v>
      </c>
      <c r="L1990" s="6">
        <v>0</v>
      </c>
      <c r="M1990" s="6">
        <v>0</v>
      </c>
      <c r="N1990" s="6" t="str">
        <f>""</f>
        <v/>
      </c>
      <c r="O1990" s="6">
        <v>25550</v>
      </c>
      <c r="P1990" s="6" t="s">
        <v>8312</v>
      </c>
      <c r="R1990" s="6" t="s">
        <v>2106</v>
      </c>
      <c r="S1990" s="6" t="s">
        <v>8313</v>
      </c>
      <c r="T1990" s="6">
        <v>0</v>
      </c>
      <c r="U1990" s="6">
        <v>0</v>
      </c>
      <c r="V1990" s="6">
        <v>0</v>
      </c>
      <c r="W1990" s="6">
        <v>0</v>
      </c>
      <c r="X1990" s="6" t="s">
        <v>169</v>
      </c>
      <c r="Z1990" s="6" t="s">
        <v>170</v>
      </c>
      <c r="AA1990" s="6" t="s">
        <v>171</v>
      </c>
      <c r="AB1990" s="6">
        <v>0</v>
      </c>
      <c r="AC1990" s="6" t="str">
        <f>""</f>
        <v/>
      </c>
      <c r="AS1990" s="6">
        <v>0</v>
      </c>
      <c r="AT1990" s="6">
        <v>0</v>
      </c>
    </row>
    <row r="1991" spans="2:46">
      <c r="B1991" s="6" t="s">
        <v>7698</v>
      </c>
      <c r="D1991" s="6" t="s">
        <v>8189</v>
      </c>
      <c r="F1991" s="6" t="s">
        <v>8314</v>
      </c>
      <c r="G1991" s="6" t="str">
        <f>"3172222120499208"</f>
        <v>3172222120499208</v>
      </c>
      <c r="H1991" s="6">
        <v>3172222120499200</v>
      </c>
      <c r="I1991" s="6" t="s">
        <v>8315</v>
      </c>
      <c r="J1991" s="6" t="str">
        <f>"[LARTIGENT]LB SHOULDER TOP(BLACK)"</f>
        <v>[LARTIGENT]LB SHOULDER TOP(BLACK)</v>
      </c>
      <c r="K1991" s="6">
        <v>0</v>
      </c>
      <c r="L1991" s="6">
        <v>0</v>
      </c>
      <c r="M1991" s="6">
        <v>0</v>
      </c>
      <c r="N1991" s="6" t="str">
        <f>""</f>
        <v/>
      </c>
      <c r="O1991" s="6">
        <v>25548</v>
      </c>
      <c r="P1991" s="6" t="s">
        <v>8316</v>
      </c>
      <c r="R1991" s="6" t="s">
        <v>2106</v>
      </c>
      <c r="S1991" s="6" t="s">
        <v>8317</v>
      </c>
      <c r="T1991" s="6">
        <v>0</v>
      </c>
      <c r="U1991" s="6">
        <v>0</v>
      </c>
      <c r="V1991" s="6">
        <v>0</v>
      </c>
      <c r="W1991" s="6">
        <v>0</v>
      </c>
      <c r="X1991" s="6" t="s">
        <v>169</v>
      </c>
      <c r="Z1991" s="6" t="s">
        <v>170</v>
      </c>
      <c r="AA1991" s="6" t="s">
        <v>171</v>
      </c>
      <c r="AB1991" s="6">
        <v>0</v>
      </c>
      <c r="AC1991" s="6" t="str">
        <f>""</f>
        <v/>
      </c>
      <c r="AS1991" s="6">
        <v>0</v>
      </c>
      <c r="AT1991" s="6">
        <v>0</v>
      </c>
    </row>
    <row r="1992" spans="2:46">
      <c r="B1992" s="6" t="s">
        <v>7698</v>
      </c>
      <c r="D1992" s="6" t="s">
        <v>8189</v>
      </c>
      <c r="F1992" s="6" t="s">
        <v>8318</v>
      </c>
      <c r="G1992" s="6" t="str">
        <f>"3172222120793208"</f>
        <v>3172222120793208</v>
      </c>
      <c r="I1992" s="6" t="s">
        <v>8319</v>
      </c>
      <c r="J1992" s="6" t="str">
        <f>"[LARTIGENT]LB GLITTER T-SHIRT(SILVER)"</f>
        <v>[LARTIGENT]LB GLITTER T-SHIRT(SILVER)</v>
      </c>
      <c r="K1992" s="6">
        <v>0</v>
      </c>
      <c r="L1992" s="6">
        <v>0</v>
      </c>
      <c r="M1992" s="6">
        <v>0</v>
      </c>
      <c r="N1992" s="6" t="str">
        <f>""</f>
        <v/>
      </c>
      <c r="O1992" s="6">
        <v>25546</v>
      </c>
      <c r="P1992" s="6" t="s">
        <v>8320</v>
      </c>
      <c r="R1992" s="6" t="s">
        <v>8321</v>
      </c>
      <c r="S1992" s="6" t="s">
        <v>8322</v>
      </c>
      <c r="T1992" s="6">
        <v>1</v>
      </c>
      <c r="U1992" s="6">
        <v>0</v>
      </c>
      <c r="V1992" s="6">
        <v>0</v>
      </c>
      <c r="W1992" s="6">
        <v>0</v>
      </c>
      <c r="X1992" s="6" t="s">
        <v>169</v>
      </c>
      <c r="Z1992" s="6" t="s">
        <v>170</v>
      </c>
      <c r="AA1992" s="6" t="s">
        <v>171</v>
      </c>
      <c r="AB1992" s="6">
        <v>0</v>
      </c>
      <c r="AC1992" s="6" t="str">
        <f>"KEY-013"</f>
        <v>KEY-013</v>
      </c>
      <c r="AQ1992" s="6" t="str">
        <f>""</f>
        <v/>
      </c>
      <c r="AR1992" s="6" t="s">
        <v>1584</v>
      </c>
      <c r="AS1992" s="6">
        <v>0</v>
      </c>
      <c r="AT1992" s="6">
        <v>1</v>
      </c>
    </row>
    <row r="1993" spans="2:46">
      <c r="B1993" s="6" t="s">
        <v>7698</v>
      </c>
      <c r="D1993" s="6" t="s">
        <v>8189</v>
      </c>
      <c r="F1993" s="6" t="s">
        <v>8323</v>
      </c>
      <c r="G1993" s="6" t="str">
        <f>"3172222120792208"</f>
        <v>3172222120792208</v>
      </c>
      <c r="I1993" s="6" t="s">
        <v>8324</v>
      </c>
      <c r="J1993" s="6" t="str">
        <f>"[LARTIGENT]LB GLITTER T-SHIRT(GOLD)"</f>
        <v>[LARTIGENT]LB GLITTER T-SHIRT(GOLD)</v>
      </c>
      <c r="K1993" s="6">
        <v>0</v>
      </c>
      <c r="L1993" s="6">
        <v>0</v>
      </c>
      <c r="M1993" s="6">
        <v>0</v>
      </c>
      <c r="N1993" s="6" t="str">
        <f>""</f>
        <v/>
      </c>
      <c r="O1993" s="6">
        <v>25544</v>
      </c>
      <c r="P1993" s="6" t="s">
        <v>8325</v>
      </c>
      <c r="R1993" s="6" t="s">
        <v>8326</v>
      </c>
      <c r="S1993" s="6" t="s">
        <v>8327</v>
      </c>
      <c r="T1993" s="6">
        <v>2</v>
      </c>
      <c r="U1993" s="6">
        <v>0</v>
      </c>
      <c r="V1993" s="6">
        <v>0</v>
      </c>
      <c r="W1993" s="6">
        <v>0</v>
      </c>
      <c r="X1993" s="6" t="s">
        <v>169</v>
      </c>
      <c r="Z1993" s="6" t="s">
        <v>170</v>
      </c>
      <c r="AA1993" s="6" t="s">
        <v>171</v>
      </c>
      <c r="AB1993" s="6">
        <v>0</v>
      </c>
      <c r="AC1993" s="6" t="str">
        <f>"KEY-037"</f>
        <v>KEY-037</v>
      </c>
      <c r="AQ1993" s="6" t="str">
        <f>""</f>
        <v/>
      </c>
      <c r="AR1993" s="6" t="s">
        <v>1567</v>
      </c>
      <c r="AS1993" s="6">
        <v>0</v>
      </c>
      <c r="AT1993" s="6">
        <v>2</v>
      </c>
    </row>
    <row r="1994" spans="2:46">
      <c r="B1994" s="6" t="s">
        <v>7698</v>
      </c>
      <c r="D1994" s="6" t="s">
        <v>8189</v>
      </c>
      <c r="F1994" s="6" t="s">
        <v>8328</v>
      </c>
      <c r="G1994" s="6" t="str">
        <f>"3172222120691208"</f>
        <v>3172222120691208</v>
      </c>
      <c r="H1994" s="6">
        <v>3172222120691200</v>
      </c>
      <c r="I1994" s="6" t="s">
        <v>8329</v>
      </c>
      <c r="J1994" s="6" t="str">
        <f>"[LARTIGENT]LB VDQS T-SHIRT(WHITE)"</f>
        <v>[LARTIGENT]LB VDQS T-SHIRT(WHITE)</v>
      </c>
      <c r="K1994" s="6">
        <v>0</v>
      </c>
      <c r="L1994" s="6">
        <v>0</v>
      </c>
      <c r="M1994" s="6">
        <v>0</v>
      </c>
      <c r="N1994" s="6" t="str">
        <f>""</f>
        <v/>
      </c>
      <c r="O1994" s="6">
        <v>25542</v>
      </c>
      <c r="P1994" s="6" t="s">
        <v>8330</v>
      </c>
      <c r="R1994" s="6" t="s">
        <v>2167</v>
      </c>
      <c r="S1994" s="6" t="s">
        <v>8331</v>
      </c>
      <c r="T1994" s="6">
        <v>0</v>
      </c>
      <c r="U1994" s="6">
        <v>0</v>
      </c>
      <c r="V1994" s="6">
        <v>0</v>
      </c>
      <c r="W1994" s="6">
        <v>0</v>
      </c>
      <c r="X1994" s="6" t="s">
        <v>169</v>
      </c>
      <c r="Z1994" s="6" t="s">
        <v>170</v>
      </c>
      <c r="AA1994" s="6" t="s">
        <v>171</v>
      </c>
      <c r="AB1994" s="6">
        <v>0</v>
      </c>
      <c r="AC1994" s="6" t="str">
        <f>""</f>
        <v/>
      </c>
      <c r="AS1994" s="6">
        <v>0</v>
      </c>
      <c r="AT1994" s="6">
        <v>0</v>
      </c>
    </row>
    <row r="1995" spans="2:46">
      <c r="B1995" s="6" t="s">
        <v>7698</v>
      </c>
      <c r="D1995" s="6" t="s">
        <v>8189</v>
      </c>
      <c r="F1995" s="6" t="s">
        <v>8332</v>
      </c>
      <c r="G1995" s="6" t="str">
        <f>"3172222120699208"</f>
        <v>3172222120699208</v>
      </c>
      <c r="H1995" s="6">
        <v>3172222120699200</v>
      </c>
      <c r="I1995" s="6" t="s">
        <v>8333</v>
      </c>
      <c r="J1995" s="6" t="str">
        <f>"[LARTIGENT]LB VDQS T-SHIRT(BLACK)"</f>
        <v>[LARTIGENT]LB VDQS T-SHIRT(BLACK)</v>
      </c>
      <c r="K1995" s="6">
        <v>0</v>
      </c>
      <c r="L1995" s="6">
        <v>0</v>
      </c>
      <c r="M1995" s="6">
        <v>0</v>
      </c>
      <c r="N1995" s="6" t="str">
        <f>""</f>
        <v/>
      </c>
      <c r="O1995" s="6">
        <v>25540</v>
      </c>
      <c r="P1995" s="6" t="s">
        <v>8334</v>
      </c>
      <c r="R1995" s="6" t="s">
        <v>2106</v>
      </c>
      <c r="S1995" s="6" t="s">
        <v>8335</v>
      </c>
      <c r="T1995" s="6">
        <v>0</v>
      </c>
      <c r="U1995" s="6">
        <v>0</v>
      </c>
      <c r="V1995" s="6">
        <v>0</v>
      </c>
      <c r="W1995" s="6">
        <v>0</v>
      </c>
      <c r="X1995" s="6" t="s">
        <v>169</v>
      </c>
      <c r="Z1995" s="6" t="s">
        <v>170</v>
      </c>
      <c r="AA1995" s="6" t="s">
        <v>171</v>
      </c>
      <c r="AB1995" s="6">
        <v>0</v>
      </c>
      <c r="AC1995" s="6" t="str">
        <f>""</f>
        <v/>
      </c>
      <c r="AS1995" s="6">
        <v>0</v>
      </c>
      <c r="AT1995" s="6">
        <v>0</v>
      </c>
    </row>
    <row r="1996" spans="2:46">
      <c r="B1996" s="6" t="s">
        <v>7698</v>
      </c>
      <c r="D1996" s="6" t="s">
        <v>8189</v>
      </c>
      <c r="F1996" s="6" t="s">
        <v>8336</v>
      </c>
      <c r="G1996" s="6" t="str">
        <f>"3172222120591208"</f>
        <v>3172222120591208</v>
      </c>
      <c r="H1996" s="6">
        <v>3172222120591200</v>
      </c>
      <c r="I1996" s="6" t="s">
        <v>8337</v>
      </c>
      <c r="J1996" s="6" t="str">
        <f>"[LARTIGENT]LB AEQ T-SHIRT(WHITE)"</f>
        <v>[LARTIGENT]LB AEQ T-SHIRT(WHITE)</v>
      </c>
      <c r="K1996" s="6">
        <v>0</v>
      </c>
      <c r="L1996" s="6">
        <v>0</v>
      </c>
      <c r="M1996" s="6">
        <v>0</v>
      </c>
      <c r="N1996" s="6" t="str">
        <f>""</f>
        <v/>
      </c>
      <c r="O1996" s="6">
        <v>25538</v>
      </c>
      <c r="P1996" s="6" t="s">
        <v>8338</v>
      </c>
      <c r="R1996" s="6" t="s">
        <v>2167</v>
      </c>
      <c r="S1996" s="6" t="s">
        <v>8339</v>
      </c>
      <c r="T1996" s="6">
        <v>0</v>
      </c>
      <c r="U1996" s="6">
        <v>0</v>
      </c>
      <c r="V1996" s="6">
        <v>0</v>
      </c>
      <c r="W1996" s="6">
        <v>0</v>
      </c>
      <c r="X1996" s="6" t="s">
        <v>169</v>
      </c>
      <c r="Z1996" s="6" t="s">
        <v>170</v>
      </c>
      <c r="AA1996" s="6" t="s">
        <v>171</v>
      </c>
      <c r="AB1996" s="6">
        <v>0</v>
      </c>
      <c r="AC1996" s="6" t="str">
        <f>""</f>
        <v/>
      </c>
      <c r="AS1996" s="6">
        <v>0</v>
      </c>
      <c r="AT1996" s="6">
        <v>0</v>
      </c>
    </row>
    <row r="1997" spans="2:46">
      <c r="B1997" s="6" t="s">
        <v>7698</v>
      </c>
      <c r="D1997" s="6" t="s">
        <v>8189</v>
      </c>
      <c r="F1997" s="6" t="s">
        <v>8340</v>
      </c>
      <c r="G1997" s="6" t="str">
        <f>"3172222120561208"</f>
        <v>3172222120561208</v>
      </c>
      <c r="H1997" s="6">
        <v>3172222120561200</v>
      </c>
      <c r="I1997" s="6" t="s">
        <v>8341</v>
      </c>
      <c r="J1997" s="6" t="str">
        <f>"[LARTIGENT]LB AEQ T-SHIRT(RED)"</f>
        <v>[LARTIGENT]LB AEQ T-SHIRT(RED)</v>
      </c>
      <c r="K1997" s="6">
        <v>0</v>
      </c>
      <c r="L1997" s="6">
        <v>0</v>
      </c>
      <c r="M1997" s="6">
        <v>0</v>
      </c>
      <c r="N1997" s="6" t="str">
        <f>""</f>
        <v/>
      </c>
      <c r="O1997" s="6">
        <v>25536</v>
      </c>
      <c r="P1997" s="6" t="s">
        <v>8342</v>
      </c>
      <c r="R1997" s="6" t="s">
        <v>2309</v>
      </c>
      <c r="S1997" s="6" t="s">
        <v>8343</v>
      </c>
      <c r="T1997" s="6">
        <v>0</v>
      </c>
      <c r="U1997" s="6">
        <v>0</v>
      </c>
      <c r="V1997" s="6">
        <v>0</v>
      </c>
      <c r="W1997" s="6">
        <v>0</v>
      </c>
      <c r="X1997" s="6" t="s">
        <v>169</v>
      </c>
      <c r="Z1997" s="6" t="s">
        <v>170</v>
      </c>
      <c r="AA1997" s="6" t="s">
        <v>171</v>
      </c>
      <c r="AB1997" s="6">
        <v>0</v>
      </c>
      <c r="AC1997" s="6" t="str">
        <f>""</f>
        <v/>
      </c>
      <c r="AS1997" s="6">
        <v>0</v>
      </c>
      <c r="AT1997" s="6">
        <v>0</v>
      </c>
    </row>
    <row r="1998" spans="2:46">
      <c r="B1998" s="6" t="s">
        <v>7698</v>
      </c>
      <c r="D1998" s="6" t="s">
        <v>8189</v>
      </c>
      <c r="F1998" s="6" t="s">
        <v>8344</v>
      </c>
      <c r="G1998" s="6" t="str">
        <f>"3172222120574208"</f>
        <v>3172222120574208</v>
      </c>
      <c r="H1998" s="6">
        <v>3172222120574200</v>
      </c>
      <c r="I1998" s="6" t="s">
        <v>8345</v>
      </c>
      <c r="J1998" s="6" t="str">
        <f>"[LARTIGENT]LB AEQ T-SHIRT(BEIGE)"</f>
        <v>[LARTIGENT]LB AEQ T-SHIRT(BEIGE)</v>
      </c>
      <c r="K1998" s="6">
        <v>0</v>
      </c>
      <c r="L1998" s="6">
        <v>0</v>
      </c>
      <c r="M1998" s="6">
        <v>0</v>
      </c>
      <c r="N1998" s="6" t="str">
        <f>""</f>
        <v/>
      </c>
      <c r="O1998" s="6">
        <v>25534</v>
      </c>
      <c r="P1998" s="6" t="s">
        <v>8346</v>
      </c>
      <c r="R1998" s="6" t="s">
        <v>2102</v>
      </c>
      <c r="S1998" s="6" t="s">
        <v>8347</v>
      </c>
      <c r="T1998" s="6">
        <v>0</v>
      </c>
      <c r="U1998" s="6">
        <v>0</v>
      </c>
      <c r="V1998" s="6">
        <v>0</v>
      </c>
      <c r="W1998" s="6">
        <v>0</v>
      </c>
      <c r="X1998" s="6" t="s">
        <v>169</v>
      </c>
      <c r="Z1998" s="6" t="s">
        <v>170</v>
      </c>
      <c r="AA1998" s="6" t="s">
        <v>171</v>
      </c>
      <c r="AB1998" s="6">
        <v>0</v>
      </c>
      <c r="AC1998" s="6" t="str">
        <f>""</f>
        <v/>
      </c>
      <c r="AS1998" s="6">
        <v>0</v>
      </c>
      <c r="AT1998" s="6">
        <v>0</v>
      </c>
    </row>
    <row r="1999" spans="2:46">
      <c r="B1999" s="6" t="s">
        <v>7698</v>
      </c>
      <c r="D1999" s="6" t="s">
        <v>8189</v>
      </c>
      <c r="F1999" s="6" t="s">
        <v>8348</v>
      </c>
      <c r="G1999" s="6" t="str">
        <f>"3172222120199208"</f>
        <v>3172222120199208</v>
      </c>
      <c r="H1999" s="6">
        <v>3172222120199200</v>
      </c>
      <c r="I1999" s="6" t="s">
        <v>8349</v>
      </c>
      <c r="J1999" s="6" t="str">
        <f>"[LARTIGENT]LB RiVAGE T-SHIRT(RED)"</f>
        <v>[LARTIGENT]LB RiVAGE T-SHIRT(RED)</v>
      </c>
      <c r="K1999" s="6">
        <v>0</v>
      </c>
      <c r="L1999" s="6">
        <v>0</v>
      </c>
      <c r="M1999" s="6">
        <v>0</v>
      </c>
      <c r="N1999" s="6" t="str">
        <f>""</f>
        <v/>
      </c>
      <c r="O1999" s="6">
        <v>25532</v>
      </c>
      <c r="P1999" s="6" t="s">
        <v>8350</v>
      </c>
      <c r="R1999" s="6" t="s">
        <v>2309</v>
      </c>
      <c r="S1999" s="6" t="s">
        <v>8351</v>
      </c>
      <c r="T1999" s="6">
        <v>0</v>
      </c>
      <c r="U1999" s="6">
        <v>0</v>
      </c>
      <c r="V1999" s="6">
        <v>0</v>
      </c>
      <c r="W1999" s="6">
        <v>0</v>
      </c>
      <c r="X1999" s="6" t="s">
        <v>169</v>
      </c>
      <c r="Z1999" s="6" t="s">
        <v>170</v>
      </c>
      <c r="AA1999" s="6" t="s">
        <v>171</v>
      </c>
      <c r="AB1999" s="6">
        <v>0</v>
      </c>
      <c r="AC1999" s="6" t="str">
        <f>""</f>
        <v/>
      </c>
      <c r="AS1999" s="6">
        <v>0</v>
      </c>
      <c r="AT1999" s="6">
        <v>0</v>
      </c>
    </row>
    <row r="2000" spans="2:46">
      <c r="B2000" s="6" t="s">
        <v>7698</v>
      </c>
      <c r="D2000" s="6" t="s">
        <v>8189</v>
      </c>
      <c r="F2000" s="6" t="s">
        <v>8352</v>
      </c>
      <c r="G2000" s="6" t="str">
        <f>"3172222120191208"</f>
        <v>3172222120191208</v>
      </c>
      <c r="H2000" s="6">
        <v>3172222120191200</v>
      </c>
      <c r="I2000" s="6" t="s">
        <v>8353</v>
      </c>
      <c r="J2000" s="6" t="str">
        <f>"[LARTIGENT]LB RiVAGE T-SHIRT(BEIGE)"</f>
        <v>[LARTIGENT]LB RiVAGE T-SHIRT(BEIGE)</v>
      </c>
      <c r="K2000" s="6">
        <v>0</v>
      </c>
      <c r="L2000" s="6">
        <v>0</v>
      </c>
      <c r="M2000" s="6">
        <v>0</v>
      </c>
      <c r="N2000" s="6" t="str">
        <f>""</f>
        <v/>
      </c>
      <c r="O2000" s="6">
        <v>25530</v>
      </c>
      <c r="P2000" s="6" t="s">
        <v>8354</v>
      </c>
      <c r="R2000" s="6" t="s">
        <v>2102</v>
      </c>
      <c r="S2000" s="6" t="s">
        <v>8355</v>
      </c>
      <c r="T2000" s="6">
        <v>0</v>
      </c>
      <c r="U2000" s="6">
        <v>0</v>
      </c>
      <c r="V2000" s="6">
        <v>0</v>
      </c>
      <c r="W2000" s="6">
        <v>0</v>
      </c>
      <c r="X2000" s="6" t="s">
        <v>169</v>
      </c>
      <c r="Z2000" s="6" t="s">
        <v>170</v>
      </c>
      <c r="AA2000" s="6" t="s">
        <v>171</v>
      </c>
      <c r="AB2000" s="6">
        <v>0</v>
      </c>
      <c r="AC2000" s="6" t="str">
        <f>""</f>
        <v/>
      </c>
      <c r="AS2000" s="6">
        <v>0</v>
      </c>
      <c r="AT2000" s="6">
        <v>0</v>
      </c>
    </row>
    <row r="2001" spans="2:46">
      <c r="B2001" s="6" t="s">
        <v>7698</v>
      </c>
      <c r="D2001" s="6" t="s">
        <v>8189</v>
      </c>
      <c r="F2001" s="6" t="s">
        <v>8356</v>
      </c>
      <c r="G2001" s="6" t="str">
        <f>"3172222120091208"</f>
        <v>3172222120091208</v>
      </c>
      <c r="H2001" s="6">
        <v>3172222120091200</v>
      </c>
      <c r="I2001" s="6" t="s">
        <v>8357</v>
      </c>
      <c r="J2001" s="6" t="str">
        <f>"[LARTIGENT]LB BASIC T-SHIRT(WHITE)"</f>
        <v>[LARTIGENT]LB BASIC T-SHIRT(WHITE)</v>
      </c>
      <c r="K2001" s="6">
        <v>0</v>
      </c>
      <c r="L2001" s="6">
        <v>0</v>
      </c>
      <c r="M2001" s="6">
        <v>0</v>
      </c>
      <c r="N2001" s="6" t="str">
        <f>""</f>
        <v/>
      </c>
      <c r="O2001" s="6">
        <v>25528</v>
      </c>
      <c r="P2001" s="6" t="s">
        <v>8358</v>
      </c>
      <c r="R2001" s="6" t="s">
        <v>2167</v>
      </c>
      <c r="S2001" s="6" t="s">
        <v>8359</v>
      </c>
      <c r="T2001" s="6">
        <v>0</v>
      </c>
      <c r="U2001" s="6">
        <v>0</v>
      </c>
      <c r="V2001" s="6">
        <v>0</v>
      </c>
      <c r="W2001" s="6">
        <v>0</v>
      </c>
      <c r="X2001" s="6" t="s">
        <v>169</v>
      </c>
      <c r="Z2001" s="6" t="s">
        <v>170</v>
      </c>
      <c r="AA2001" s="6" t="s">
        <v>171</v>
      </c>
      <c r="AB2001" s="6">
        <v>0</v>
      </c>
      <c r="AC2001" s="6" t="str">
        <f>""</f>
        <v/>
      </c>
      <c r="AS2001" s="6">
        <v>0</v>
      </c>
      <c r="AT2001" s="6">
        <v>0</v>
      </c>
    </row>
    <row r="2002" spans="2:46">
      <c r="B2002" s="6" t="s">
        <v>7698</v>
      </c>
      <c r="D2002" s="6" t="s">
        <v>8189</v>
      </c>
      <c r="F2002" s="6" t="s">
        <v>8360</v>
      </c>
      <c r="G2002" s="6" t="str">
        <f>"3172222120099208"</f>
        <v>3172222120099208</v>
      </c>
      <c r="H2002" s="6">
        <v>3172222120099200</v>
      </c>
      <c r="I2002" s="6" t="s">
        <v>8361</v>
      </c>
      <c r="J2002" s="6" t="str">
        <f>"[LARTIGENT]LB BASIC T-SHIRT(BLACK)"</f>
        <v>[LARTIGENT]LB BASIC T-SHIRT(BLACK)</v>
      </c>
      <c r="K2002" s="6">
        <v>0</v>
      </c>
      <c r="L2002" s="6">
        <v>0</v>
      </c>
      <c r="M2002" s="6">
        <v>0</v>
      </c>
      <c r="N2002" s="6" t="str">
        <f>""</f>
        <v/>
      </c>
      <c r="O2002" s="6">
        <v>25526</v>
      </c>
      <c r="P2002" s="6" t="s">
        <v>8362</v>
      </c>
      <c r="R2002" s="6" t="s">
        <v>2106</v>
      </c>
      <c r="S2002" s="6" t="s">
        <v>8363</v>
      </c>
      <c r="T2002" s="6">
        <v>0</v>
      </c>
      <c r="U2002" s="6">
        <v>0</v>
      </c>
      <c r="V2002" s="6">
        <v>0</v>
      </c>
      <c r="W2002" s="6">
        <v>0</v>
      </c>
      <c r="X2002" s="6" t="s">
        <v>169</v>
      </c>
      <c r="Z2002" s="6" t="s">
        <v>170</v>
      </c>
      <c r="AA2002" s="6" t="s">
        <v>171</v>
      </c>
      <c r="AB2002" s="6">
        <v>0</v>
      </c>
      <c r="AC2002" s="6" t="str">
        <f>""</f>
        <v/>
      </c>
      <c r="AS2002" s="6">
        <v>0</v>
      </c>
      <c r="AT2002" s="6">
        <v>0</v>
      </c>
    </row>
    <row r="2003" spans="2:46">
      <c r="B2003" s="6" t="s">
        <v>7698</v>
      </c>
      <c r="D2003" s="6" t="s">
        <v>8189</v>
      </c>
      <c r="F2003" s="6" t="s">
        <v>8364</v>
      </c>
      <c r="G2003" s="6" t="str">
        <f>"3172212104491208"</f>
        <v>3172212104491208</v>
      </c>
      <c r="I2003" s="6" t="s">
        <v>8365</v>
      </c>
      <c r="J2003" s="6" t="str">
        <f>"[LARTIGENT]LB SET SHIRT(WHITE)"</f>
        <v>[LARTIGENT]LB SET SHIRT(WHITE)</v>
      </c>
      <c r="K2003" s="6">
        <v>0</v>
      </c>
      <c r="L2003" s="6">
        <v>0</v>
      </c>
      <c r="M2003" s="6">
        <v>0</v>
      </c>
      <c r="N2003" s="6" t="str">
        <f>""</f>
        <v/>
      </c>
      <c r="O2003" s="6">
        <v>25524</v>
      </c>
      <c r="P2003" s="6" t="s">
        <v>8366</v>
      </c>
      <c r="R2003" s="6" t="s">
        <v>2167</v>
      </c>
      <c r="S2003" s="6" t="s">
        <v>8367</v>
      </c>
      <c r="T2003" s="6">
        <v>2</v>
      </c>
      <c r="U2003" s="6">
        <v>0</v>
      </c>
      <c r="V2003" s="6">
        <v>0</v>
      </c>
      <c r="W2003" s="6">
        <v>0</v>
      </c>
      <c r="X2003" s="6" t="s">
        <v>169</v>
      </c>
      <c r="Z2003" s="6" t="s">
        <v>170</v>
      </c>
      <c r="AA2003" s="6" t="s">
        <v>171</v>
      </c>
      <c r="AB2003" s="6">
        <v>0</v>
      </c>
      <c r="AC2003" s="6" t="str">
        <f>"KEY-037"</f>
        <v>KEY-037</v>
      </c>
      <c r="AQ2003" s="6" t="str">
        <f>""</f>
        <v/>
      </c>
      <c r="AR2003" s="6" t="s">
        <v>1567</v>
      </c>
      <c r="AS2003" s="6">
        <v>0</v>
      </c>
      <c r="AT2003" s="6">
        <v>2</v>
      </c>
    </row>
    <row r="2004" spans="2:46">
      <c r="B2004" s="6" t="s">
        <v>7698</v>
      </c>
      <c r="D2004" s="6" t="s">
        <v>8189</v>
      </c>
      <c r="F2004" s="6" t="s">
        <v>8368</v>
      </c>
      <c r="G2004" s="6" t="str">
        <f>"3172212104425208"</f>
        <v>3172212104425208</v>
      </c>
      <c r="H2004" s="6">
        <v>3172212104425200</v>
      </c>
      <c r="I2004" s="6" t="s">
        <v>8369</v>
      </c>
      <c r="J2004" s="6" t="str">
        <f>"[LARTIGENT]LB SET SHIRT(BLUE)"</f>
        <v>[LARTIGENT]LB SET SHIRT(BLUE)</v>
      </c>
      <c r="K2004" s="6">
        <v>0</v>
      </c>
      <c r="L2004" s="6">
        <v>0</v>
      </c>
      <c r="M2004" s="6">
        <v>0</v>
      </c>
      <c r="N2004" s="6" t="str">
        <f>""</f>
        <v/>
      </c>
      <c r="O2004" s="6">
        <v>25522</v>
      </c>
      <c r="P2004" s="6" t="s">
        <v>8370</v>
      </c>
      <c r="R2004" s="6" t="s">
        <v>2175</v>
      </c>
      <c r="S2004" s="6" t="s">
        <v>8371</v>
      </c>
      <c r="T2004" s="6">
        <v>0</v>
      </c>
      <c r="U2004" s="6">
        <v>0</v>
      </c>
      <c r="V2004" s="6">
        <v>0</v>
      </c>
      <c r="W2004" s="6">
        <v>0</v>
      </c>
      <c r="X2004" s="6" t="s">
        <v>169</v>
      </c>
      <c r="Z2004" s="6" t="s">
        <v>170</v>
      </c>
      <c r="AA2004" s="6" t="s">
        <v>171</v>
      </c>
      <c r="AB2004" s="6">
        <v>0</v>
      </c>
      <c r="AC2004" s="6" t="str">
        <f>""</f>
        <v/>
      </c>
      <c r="AS2004" s="6">
        <v>0</v>
      </c>
      <c r="AT2004" s="6">
        <v>0</v>
      </c>
    </row>
    <row r="2005" spans="2:46">
      <c r="B2005" s="6" t="s">
        <v>7698</v>
      </c>
      <c r="D2005" s="6" t="s">
        <v>8189</v>
      </c>
      <c r="F2005" s="6" t="s">
        <v>8372</v>
      </c>
      <c r="G2005" s="6" t="str">
        <f>"3172212104474208"</f>
        <v>3172212104474208</v>
      </c>
      <c r="I2005" s="6" t="s">
        <v>8373</v>
      </c>
      <c r="J2005" s="6" t="str">
        <f>"[LARTIGENT]LB SET SHIRT(BEIGE)"</f>
        <v>[LARTIGENT]LB SET SHIRT(BEIGE)</v>
      </c>
      <c r="K2005" s="6">
        <v>0</v>
      </c>
      <c r="L2005" s="6">
        <v>0</v>
      </c>
      <c r="M2005" s="6">
        <v>0</v>
      </c>
      <c r="N2005" s="6" t="str">
        <f>""</f>
        <v/>
      </c>
      <c r="O2005" s="6">
        <v>25520</v>
      </c>
      <c r="P2005" s="6" t="s">
        <v>8374</v>
      </c>
      <c r="R2005" s="6" t="s">
        <v>2102</v>
      </c>
      <c r="S2005" s="6" t="s">
        <v>8375</v>
      </c>
      <c r="T2005" s="6">
        <v>0</v>
      </c>
      <c r="U2005" s="6">
        <v>0</v>
      </c>
      <c r="V2005" s="6">
        <v>0</v>
      </c>
      <c r="W2005" s="6">
        <v>0</v>
      </c>
      <c r="X2005" s="6" t="s">
        <v>169</v>
      </c>
      <c r="Z2005" s="6" t="s">
        <v>170</v>
      </c>
      <c r="AA2005" s="6" t="s">
        <v>171</v>
      </c>
      <c r="AB2005" s="6">
        <v>0</v>
      </c>
      <c r="AC2005" s="6" t="str">
        <f>"KEY-037"</f>
        <v>KEY-037</v>
      </c>
      <c r="AQ2005" s="6" t="str">
        <f>""</f>
        <v/>
      </c>
      <c r="AR2005" s="6" t="s">
        <v>1567</v>
      </c>
      <c r="AS2005" s="6">
        <v>0</v>
      </c>
      <c r="AT2005" s="6">
        <v>0</v>
      </c>
    </row>
    <row r="2006" spans="2:46">
      <c r="B2006" s="6" t="s">
        <v>7698</v>
      </c>
      <c r="D2006" s="6" t="s">
        <v>8189</v>
      </c>
      <c r="F2006" s="6" t="s">
        <v>8376</v>
      </c>
      <c r="G2006" s="6" t="str">
        <f>"3172212103791208"</f>
        <v>3172212103791208</v>
      </c>
      <c r="I2006" s="6" t="s">
        <v>8377</v>
      </c>
      <c r="J2006" s="6" t="str">
        <f>"[LARTIGENT]LB BELTED SHIRT(WHITE)"</f>
        <v>[LARTIGENT]LB BELTED SHIRT(WHITE)</v>
      </c>
      <c r="K2006" s="6">
        <v>0</v>
      </c>
      <c r="L2006" s="6">
        <v>0</v>
      </c>
      <c r="M2006" s="6">
        <v>0</v>
      </c>
      <c r="N2006" s="6" t="str">
        <f>""</f>
        <v/>
      </c>
      <c r="O2006" s="6">
        <v>25518</v>
      </c>
      <c r="P2006" s="6" t="s">
        <v>8378</v>
      </c>
      <c r="R2006" s="6" t="s">
        <v>2167</v>
      </c>
      <c r="S2006" s="6" t="s">
        <v>8379</v>
      </c>
      <c r="T2006" s="6">
        <v>1</v>
      </c>
      <c r="U2006" s="6">
        <v>0</v>
      </c>
      <c r="V2006" s="6">
        <v>0</v>
      </c>
      <c r="W2006" s="6">
        <v>0</v>
      </c>
      <c r="X2006" s="6" t="s">
        <v>169</v>
      </c>
      <c r="Z2006" s="6" t="s">
        <v>170</v>
      </c>
      <c r="AA2006" s="6" t="s">
        <v>171</v>
      </c>
      <c r="AB2006" s="6">
        <v>0</v>
      </c>
      <c r="AC2006" s="6" t="str">
        <f>"KEY-037"</f>
        <v>KEY-037</v>
      </c>
      <c r="AQ2006" s="6" t="str">
        <f>""</f>
        <v/>
      </c>
      <c r="AR2006" s="6" t="s">
        <v>1567</v>
      </c>
      <c r="AS2006" s="6">
        <v>0</v>
      </c>
      <c r="AT2006" s="6">
        <v>1</v>
      </c>
    </row>
    <row r="2007" spans="2:46">
      <c r="B2007" s="6" t="s">
        <v>7698</v>
      </c>
      <c r="D2007" s="6" t="s">
        <v>8189</v>
      </c>
      <c r="F2007" s="6" t="s">
        <v>8380</v>
      </c>
      <c r="G2007" s="6" t="str">
        <f>"3172212103725208"</f>
        <v>3172212103725208</v>
      </c>
      <c r="I2007" s="6" t="s">
        <v>8381</v>
      </c>
      <c r="J2007" s="6" t="str">
        <f>"[LARTIGENT]LB BELTED SHIRT(BLUE)"</f>
        <v>[LARTIGENT]LB BELTED SHIRT(BLUE)</v>
      </c>
      <c r="K2007" s="6">
        <v>0</v>
      </c>
      <c r="L2007" s="6">
        <v>0</v>
      </c>
      <c r="M2007" s="6">
        <v>0</v>
      </c>
      <c r="N2007" s="6" t="str">
        <f>""</f>
        <v/>
      </c>
      <c r="O2007" s="6">
        <v>25516</v>
      </c>
      <c r="P2007" s="6" t="s">
        <v>8382</v>
      </c>
      <c r="R2007" s="6" t="s">
        <v>2175</v>
      </c>
      <c r="S2007" s="6" t="s">
        <v>8383</v>
      </c>
      <c r="T2007" s="6">
        <v>2</v>
      </c>
      <c r="U2007" s="6">
        <v>0</v>
      </c>
      <c r="V2007" s="6">
        <v>0</v>
      </c>
      <c r="W2007" s="6">
        <v>0</v>
      </c>
      <c r="X2007" s="6" t="s">
        <v>169</v>
      </c>
      <c r="Z2007" s="6" t="s">
        <v>170</v>
      </c>
      <c r="AA2007" s="6" t="s">
        <v>171</v>
      </c>
      <c r="AB2007" s="6">
        <v>0</v>
      </c>
      <c r="AC2007" s="6" t="str">
        <f>"KEY-037"</f>
        <v>KEY-037</v>
      </c>
      <c r="AQ2007" s="6" t="str">
        <f>""</f>
        <v/>
      </c>
      <c r="AR2007" s="6" t="s">
        <v>1567</v>
      </c>
      <c r="AS2007" s="6">
        <v>0</v>
      </c>
      <c r="AT2007" s="6">
        <v>2</v>
      </c>
    </row>
    <row r="2008" spans="2:46">
      <c r="B2008" s="6" t="s">
        <v>7698</v>
      </c>
      <c r="D2008" s="6" t="s">
        <v>8189</v>
      </c>
      <c r="F2008" s="6" t="s">
        <v>8384</v>
      </c>
      <c r="G2008" s="6" t="str">
        <f>"3172242103230208"</f>
        <v>3172242103230208</v>
      </c>
      <c r="H2008" s="6">
        <v>3172242103230200</v>
      </c>
      <c r="I2008" s="6" t="s">
        <v>8385</v>
      </c>
      <c r="J2008" s="6" t="str">
        <f>"[LARTIGENT]LB TIE BLOUSE(NAVY)"</f>
        <v>[LARTIGENT]LB TIE BLOUSE(NAVY)</v>
      </c>
      <c r="K2008" s="6">
        <v>0</v>
      </c>
      <c r="L2008" s="6">
        <v>0</v>
      </c>
      <c r="M2008" s="6">
        <v>0</v>
      </c>
      <c r="N2008" s="6" t="str">
        <f>""</f>
        <v/>
      </c>
      <c r="O2008" s="6">
        <v>25514</v>
      </c>
      <c r="P2008" s="6" t="s">
        <v>8386</v>
      </c>
      <c r="R2008" s="6" t="s">
        <v>2111</v>
      </c>
      <c r="S2008" s="6" t="s">
        <v>8387</v>
      </c>
      <c r="T2008" s="6">
        <v>0</v>
      </c>
      <c r="U2008" s="6">
        <v>0</v>
      </c>
      <c r="V2008" s="6">
        <v>0</v>
      </c>
      <c r="W2008" s="6">
        <v>0</v>
      </c>
      <c r="X2008" s="6" t="s">
        <v>169</v>
      </c>
      <c r="Z2008" s="6" t="s">
        <v>170</v>
      </c>
      <c r="AA2008" s="6" t="s">
        <v>171</v>
      </c>
      <c r="AB2008" s="6">
        <v>0</v>
      </c>
      <c r="AC2008" s="6" t="str">
        <f>""</f>
        <v/>
      </c>
      <c r="AS2008" s="6">
        <v>0</v>
      </c>
      <c r="AT2008" s="6">
        <v>0</v>
      </c>
    </row>
    <row r="2009" spans="2:46">
      <c r="B2009" s="6" t="s">
        <v>7698</v>
      </c>
      <c r="D2009" s="6" t="s">
        <v>8189</v>
      </c>
      <c r="F2009" s="6" t="s">
        <v>8388</v>
      </c>
      <c r="G2009" s="6" t="str">
        <f>"3172242103269208"</f>
        <v>3172242103269208</v>
      </c>
      <c r="H2009" s="6">
        <v>3172242103269200</v>
      </c>
      <c r="I2009" s="6" t="s">
        <v>8389</v>
      </c>
      <c r="J2009" s="6" t="str">
        <f>"[LARTIGENT]LB TIE BLOUSE(IVORY)"</f>
        <v>[LARTIGENT]LB TIE BLOUSE(IVORY)</v>
      </c>
      <c r="K2009" s="6">
        <v>0</v>
      </c>
      <c r="L2009" s="6">
        <v>0</v>
      </c>
      <c r="M2009" s="6">
        <v>0</v>
      </c>
      <c r="N2009" s="6" t="str">
        <f>""</f>
        <v/>
      </c>
      <c r="O2009" s="6">
        <v>25512</v>
      </c>
      <c r="P2009" s="6" t="s">
        <v>8390</v>
      </c>
      <c r="R2009" s="6" t="s">
        <v>2356</v>
      </c>
      <c r="S2009" s="6" t="s">
        <v>8391</v>
      </c>
      <c r="T2009" s="6">
        <v>0</v>
      </c>
      <c r="U2009" s="6">
        <v>0</v>
      </c>
      <c r="V2009" s="6">
        <v>0</v>
      </c>
      <c r="W2009" s="6">
        <v>0</v>
      </c>
      <c r="X2009" s="6" t="s">
        <v>169</v>
      </c>
      <c r="Z2009" s="6" t="s">
        <v>170</v>
      </c>
      <c r="AA2009" s="6" t="s">
        <v>171</v>
      </c>
      <c r="AB2009" s="6">
        <v>0</v>
      </c>
      <c r="AC2009" s="6" t="str">
        <f>""</f>
        <v/>
      </c>
      <c r="AS2009" s="6">
        <v>0</v>
      </c>
      <c r="AT2009" s="6">
        <v>0</v>
      </c>
    </row>
    <row r="2010" spans="2:46">
      <c r="B2010" s="6" t="s">
        <v>7698</v>
      </c>
      <c r="D2010" s="6" t="s">
        <v>8189</v>
      </c>
      <c r="F2010" s="6" t="s">
        <v>8392</v>
      </c>
      <c r="G2010" s="6" t="str">
        <f>"3172342101991320"</f>
        <v>3172342101991320</v>
      </c>
      <c r="I2010" s="6" t="s">
        <v>8393</v>
      </c>
      <c r="J2010" s="6" t="str">
        <f>"[LARTIGENT]LB SET SHORTS(WHITE)"</f>
        <v>[LARTIGENT]LB SET SHORTS(WHITE)</v>
      </c>
      <c r="K2010" s="6">
        <v>0</v>
      </c>
      <c r="L2010" s="6">
        <v>0</v>
      </c>
      <c r="M2010" s="6">
        <v>0</v>
      </c>
      <c r="N2010" s="6" t="str">
        <f>""</f>
        <v/>
      </c>
      <c r="O2010" s="6">
        <v>25510</v>
      </c>
      <c r="P2010" s="6" t="s">
        <v>8394</v>
      </c>
      <c r="R2010" s="6" t="s">
        <v>2167</v>
      </c>
      <c r="S2010" s="6" t="s">
        <v>8395</v>
      </c>
      <c r="T2010" s="6">
        <v>1</v>
      </c>
      <c r="U2010" s="6">
        <v>0</v>
      </c>
      <c r="V2010" s="6">
        <v>0</v>
      </c>
      <c r="W2010" s="6">
        <v>0</v>
      </c>
      <c r="X2010" s="6" t="s">
        <v>169</v>
      </c>
      <c r="Z2010" s="6" t="s">
        <v>170</v>
      </c>
      <c r="AA2010" s="6" t="s">
        <v>171</v>
      </c>
      <c r="AB2010" s="6">
        <v>0</v>
      </c>
      <c r="AC2010" s="6" t="str">
        <f>"KEY-038"</f>
        <v>KEY-038</v>
      </c>
      <c r="AQ2010" s="6" t="str">
        <f>""</f>
        <v/>
      </c>
      <c r="AR2010" s="6" t="s">
        <v>1567</v>
      </c>
      <c r="AS2010" s="6">
        <v>0</v>
      </c>
      <c r="AT2010" s="6">
        <v>2</v>
      </c>
    </row>
    <row r="2011" spans="2:46">
      <c r="B2011" s="6" t="s">
        <v>7698</v>
      </c>
      <c r="D2011" s="6" t="s">
        <v>8189</v>
      </c>
      <c r="F2011" s="6" t="s">
        <v>8396</v>
      </c>
      <c r="G2011" s="6" t="str">
        <f>"3172342101925320"</f>
        <v>3172342101925320</v>
      </c>
      <c r="H2011" s="6">
        <v>3172342101925320</v>
      </c>
      <c r="I2011" s="6" t="s">
        <v>8397</v>
      </c>
      <c r="J2011" s="6" t="str">
        <f>"[LARTIGENT]LB SET SHORTS(BLUE)"</f>
        <v>[LARTIGENT]LB SET SHORTS(BLUE)</v>
      </c>
      <c r="K2011" s="6">
        <v>0</v>
      </c>
      <c r="L2011" s="6">
        <v>0</v>
      </c>
      <c r="M2011" s="6">
        <v>0</v>
      </c>
      <c r="N2011" s="6" t="str">
        <f>""</f>
        <v/>
      </c>
      <c r="O2011" s="6">
        <v>25508</v>
      </c>
      <c r="P2011" s="6" t="s">
        <v>8398</v>
      </c>
      <c r="R2011" s="6" t="s">
        <v>2175</v>
      </c>
      <c r="S2011" s="6" t="s">
        <v>8399</v>
      </c>
      <c r="T2011" s="6">
        <v>0</v>
      </c>
      <c r="U2011" s="6">
        <v>0</v>
      </c>
      <c r="V2011" s="6">
        <v>0</v>
      </c>
      <c r="W2011" s="6">
        <v>0</v>
      </c>
      <c r="X2011" s="6" t="s">
        <v>169</v>
      </c>
      <c r="Z2011" s="6" t="s">
        <v>170</v>
      </c>
      <c r="AA2011" s="6" t="s">
        <v>171</v>
      </c>
      <c r="AB2011" s="6">
        <v>0</v>
      </c>
      <c r="AC2011" s="6" t="str">
        <f>""</f>
        <v/>
      </c>
      <c r="AS2011" s="6">
        <v>0</v>
      </c>
      <c r="AT2011" s="6">
        <v>0</v>
      </c>
    </row>
    <row r="2012" spans="2:46">
      <c r="B2012" s="6" t="s">
        <v>7698</v>
      </c>
      <c r="D2012" s="6" t="s">
        <v>8189</v>
      </c>
      <c r="F2012" s="6" t="s">
        <v>8400</v>
      </c>
      <c r="G2012" s="6" t="str">
        <f>"3172342101974320"</f>
        <v>3172342101974320</v>
      </c>
      <c r="I2012" s="6" t="s">
        <v>8401</v>
      </c>
      <c r="J2012" s="6" t="str">
        <f>"[LARTIGENT]LB SET SHORTS(BEIGE)"</f>
        <v>[LARTIGENT]LB SET SHORTS(BEIGE)</v>
      </c>
      <c r="K2012" s="6">
        <v>0</v>
      </c>
      <c r="L2012" s="6">
        <v>0</v>
      </c>
      <c r="M2012" s="6">
        <v>0</v>
      </c>
      <c r="N2012" s="6" t="str">
        <f>""</f>
        <v/>
      </c>
      <c r="O2012" s="6">
        <v>25506</v>
      </c>
      <c r="P2012" s="6" t="s">
        <v>8402</v>
      </c>
      <c r="R2012" s="6" t="s">
        <v>2102</v>
      </c>
      <c r="S2012" s="6" t="s">
        <v>8403</v>
      </c>
      <c r="T2012" s="6">
        <v>0</v>
      </c>
      <c r="U2012" s="6">
        <v>0</v>
      </c>
      <c r="V2012" s="6">
        <v>0</v>
      </c>
      <c r="W2012" s="6">
        <v>0</v>
      </c>
      <c r="X2012" s="6" t="s">
        <v>169</v>
      </c>
      <c r="Z2012" s="6" t="s">
        <v>170</v>
      </c>
      <c r="AA2012" s="6" t="s">
        <v>171</v>
      </c>
      <c r="AB2012" s="6">
        <v>0</v>
      </c>
      <c r="AC2012" s="6" t="str">
        <f>"KEY-012"</f>
        <v>KEY-012</v>
      </c>
      <c r="AQ2012" s="6" t="str">
        <f>""</f>
        <v/>
      </c>
      <c r="AR2012" s="6" t="s">
        <v>1584</v>
      </c>
      <c r="AS2012" s="6">
        <v>0</v>
      </c>
      <c r="AT2012" s="6">
        <v>0</v>
      </c>
    </row>
    <row r="2013" spans="2:46">
      <c r="B2013" s="6" t="s">
        <v>7698</v>
      </c>
      <c r="D2013" s="6" t="s">
        <v>8189</v>
      </c>
      <c r="F2013" s="6" t="s">
        <v>8404</v>
      </c>
      <c r="G2013" s="6" t="str">
        <f>"3172342101661308"</f>
        <v>3172342101661308</v>
      </c>
      <c r="H2013" s="6">
        <v>3172342101661300</v>
      </c>
      <c r="I2013" s="6" t="s">
        <v>8405</v>
      </c>
      <c r="J2013" s="6" t="str">
        <f>"[LARTIGENT]LB BELTED SHORTS(RED)"</f>
        <v>[LARTIGENT]LB BELTED SHORTS(RED)</v>
      </c>
      <c r="K2013" s="6">
        <v>0</v>
      </c>
      <c r="L2013" s="6">
        <v>0</v>
      </c>
      <c r="M2013" s="6">
        <v>0</v>
      </c>
      <c r="N2013" s="6" t="str">
        <f>""</f>
        <v/>
      </c>
      <c r="O2013" s="6">
        <v>25504</v>
      </c>
      <c r="P2013" s="6" t="s">
        <v>8406</v>
      </c>
      <c r="R2013" s="6" t="s">
        <v>2309</v>
      </c>
      <c r="S2013" s="6" t="s">
        <v>8407</v>
      </c>
      <c r="T2013" s="6">
        <v>0</v>
      </c>
      <c r="U2013" s="6">
        <v>0</v>
      </c>
      <c r="V2013" s="6">
        <v>0</v>
      </c>
      <c r="W2013" s="6">
        <v>0</v>
      </c>
      <c r="X2013" s="6" t="s">
        <v>169</v>
      </c>
      <c r="Z2013" s="6" t="s">
        <v>170</v>
      </c>
      <c r="AA2013" s="6" t="s">
        <v>171</v>
      </c>
      <c r="AB2013" s="6">
        <v>0</v>
      </c>
      <c r="AC2013" s="6" t="str">
        <f>""</f>
        <v/>
      </c>
      <c r="AS2013" s="6">
        <v>0</v>
      </c>
      <c r="AT2013" s="6">
        <v>0</v>
      </c>
    </row>
    <row r="2014" spans="2:46">
      <c r="B2014" s="6" t="s">
        <v>7698</v>
      </c>
      <c r="D2014" s="6" t="s">
        <v>8189</v>
      </c>
      <c r="F2014" s="6" t="s">
        <v>8408</v>
      </c>
      <c r="G2014" s="6" t="str">
        <f>"3172342101699308"</f>
        <v>3172342101699308</v>
      </c>
      <c r="I2014" s="6" t="s">
        <v>8409</v>
      </c>
      <c r="J2014" s="6" t="str">
        <f>"[LARTIGENT]LB BELTED SHORTS(BLACK)"</f>
        <v>[LARTIGENT]LB BELTED SHORTS(BLACK)</v>
      </c>
      <c r="K2014" s="6">
        <v>0</v>
      </c>
      <c r="L2014" s="6">
        <v>0</v>
      </c>
      <c r="M2014" s="6">
        <v>0</v>
      </c>
      <c r="N2014" s="6" t="str">
        <f>""</f>
        <v/>
      </c>
      <c r="O2014" s="6">
        <v>25502</v>
      </c>
      <c r="P2014" s="6" t="s">
        <v>8410</v>
      </c>
      <c r="R2014" s="6" t="s">
        <v>2106</v>
      </c>
      <c r="S2014" s="6" t="s">
        <v>8411</v>
      </c>
      <c r="T2014" s="6">
        <v>1</v>
      </c>
      <c r="U2014" s="6">
        <v>0</v>
      </c>
      <c r="V2014" s="6">
        <v>0</v>
      </c>
      <c r="W2014" s="6">
        <v>0</v>
      </c>
      <c r="X2014" s="6" t="s">
        <v>169</v>
      </c>
      <c r="Z2014" s="6" t="s">
        <v>170</v>
      </c>
      <c r="AA2014" s="6" t="s">
        <v>171</v>
      </c>
      <c r="AB2014" s="6">
        <v>0</v>
      </c>
      <c r="AC2014" s="6" t="str">
        <f>"KEY-037"</f>
        <v>KEY-037</v>
      </c>
      <c r="AQ2014" s="6" t="str">
        <f>""</f>
        <v/>
      </c>
      <c r="AR2014" s="6" t="s">
        <v>1567</v>
      </c>
      <c r="AS2014" s="6">
        <v>0</v>
      </c>
      <c r="AT2014" s="6">
        <v>1</v>
      </c>
    </row>
    <row r="2015" spans="2:46">
      <c r="B2015" s="6" t="s">
        <v>7698</v>
      </c>
      <c r="D2015" s="6" t="s">
        <v>8189</v>
      </c>
      <c r="F2015" s="6" t="s">
        <v>8412</v>
      </c>
      <c r="G2015" s="6" t="str">
        <f>"3172312102091308"</f>
        <v>3172312102091308</v>
      </c>
      <c r="H2015" s="6">
        <v>3172312102091300</v>
      </c>
      <c r="I2015" s="6" t="s">
        <v>8413</v>
      </c>
      <c r="J2015" s="6" t="str">
        <f>"[LARTIGENT]LB TU SLACKS(WHITE)"</f>
        <v>[LARTIGENT]LB TU SLACKS(WHITE)</v>
      </c>
      <c r="K2015" s="6">
        <v>0</v>
      </c>
      <c r="L2015" s="6">
        <v>0</v>
      </c>
      <c r="M2015" s="6">
        <v>0</v>
      </c>
      <c r="N2015" s="6" t="str">
        <f>""</f>
        <v/>
      </c>
      <c r="O2015" s="6">
        <v>25500</v>
      </c>
      <c r="P2015" s="6" t="s">
        <v>8414</v>
      </c>
      <c r="R2015" s="6" t="s">
        <v>2167</v>
      </c>
      <c r="S2015" s="6" t="s">
        <v>8415</v>
      </c>
      <c r="T2015" s="6">
        <v>0</v>
      </c>
      <c r="U2015" s="6">
        <v>0</v>
      </c>
      <c r="V2015" s="6">
        <v>0</v>
      </c>
      <c r="W2015" s="6">
        <v>0</v>
      </c>
      <c r="X2015" s="6" t="s">
        <v>169</v>
      </c>
      <c r="Z2015" s="6" t="s">
        <v>170</v>
      </c>
      <c r="AA2015" s="6" t="s">
        <v>171</v>
      </c>
      <c r="AB2015" s="6">
        <v>0</v>
      </c>
      <c r="AC2015" s="6" t="str">
        <f>""</f>
        <v/>
      </c>
      <c r="AS2015" s="6">
        <v>0</v>
      </c>
      <c r="AT2015" s="6">
        <v>0</v>
      </c>
    </row>
    <row r="2016" spans="2:46">
      <c r="B2016" s="6" t="s">
        <v>7698</v>
      </c>
      <c r="D2016" s="6" t="s">
        <v>8189</v>
      </c>
      <c r="F2016" s="6" t="s">
        <v>8416</v>
      </c>
      <c r="G2016" s="6" t="str">
        <f>"3172312102099308"</f>
        <v>3172312102099308</v>
      </c>
      <c r="H2016" s="6">
        <v>3172312102099300</v>
      </c>
      <c r="I2016" s="6" t="s">
        <v>8417</v>
      </c>
      <c r="J2016" s="6" t="str">
        <f>"[LARTIGENT]LB TU SLACKS(BLACK)"</f>
        <v>[LARTIGENT]LB TU SLACKS(BLACK)</v>
      </c>
      <c r="K2016" s="6">
        <v>0</v>
      </c>
      <c r="L2016" s="6">
        <v>0</v>
      </c>
      <c r="M2016" s="6">
        <v>0</v>
      </c>
      <c r="N2016" s="6" t="str">
        <f>""</f>
        <v/>
      </c>
      <c r="O2016" s="6">
        <v>25498</v>
      </c>
      <c r="P2016" s="6" t="s">
        <v>8418</v>
      </c>
      <c r="R2016" s="6" t="s">
        <v>2106</v>
      </c>
      <c r="S2016" s="6" t="s">
        <v>8419</v>
      </c>
      <c r="T2016" s="6">
        <v>0</v>
      </c>
      <c r="U2016" s="6">
        <v>0</v>
      </c>
      <c r="V2016" s="6">
        <v>0</v>
      </c>
      <c r="W2016" s="6">
        <v>0</v>
      </c>
      <c r="X2016" s="6" t="s">
        <v>169</v>
      </c>
      <c r="Z2016" s="6" t="s">
        <v>170</v>
      </c>
      <c r="AA2016" s="6" t="s">
        <v>171</v>
      </c>
      <c r="AB2016" s="6">
        <v>0</v>
      </c>
      <c r="AC2016" s="6" t="str">
        <f>""</f>
        <v/>
      </c>
      <c r="AS2016" s="6">
        <v>0</v>
      </c>
      <c r="AT2016" s="6">
        <v>0</v>
      </c>
    </row>
    <row r="2017" spans="2:46">
      <c r="B2017" s="6" t="s">
        <v>7698</v>
      </c>
      <c r="D2017" s="6" t="s">
        <v>8189</v>
      </c>
      <c r="F2017" s="6" t="s">
        <v>8420</v>
      </c>
      <c r="G2017" s="6" t="str">
        <f>"3172322100225308"</f>
        <v>3172322100225308</v>
      </c>
      <c r="H2017" s="6">
        <v>3172322100225300</v>
      </c>
      <c r="I2017" s="6" t="s">
        <v>8421</v>
      </c>
      <c r="J2017" s="6" t="str">
        <f>"[LARTIGENT]LB BOOTS CUT JEANS(BLUE)"</f>
        <v>[LARTIGENT]LB BOOTS CUT JEANS(BLUE)</v>
      </c>
      <c r="K2017" s="6">
        <v>0</v>
      </c>
      <c r="L2017" s="6">
        <v>0</v>
      </c>
      <c r="M2017" s="6">
        <v>0</v>
      </c>
      <c r="N2017" s="6" t="str">
        <f>""</f>
        <v/>
      </c>
      <c r="O2017" s="6">
        <v>25496</v>
      </c>
      <c r="P2017" s="6" t="s">
        <v>8422</v>
      </c>
      <c r="R2017" s="6" t="s">
        <v>2175</v>
      </c>
      <c r="S2017" s="6" t="s">
        <v>8423</v>
      </c>
      <c r="T2017" s="6">
        <v>0</v>
      </c>
      <c r="U2017" s="6">
        <v>0</v>
      </c>
      <c r="V2017" s="6">
        <v>0</v>
      </c>
      <c r="W2017" s="6">
        <v>0</v>
      </c>
      <c r="X2017" s="6" t="s">
        <v>169</v>
      </c>
      <c r="Z2017" s="6" t="s">
        <v>170</v>
      </c>
      <c r="AA2017" s="6" t="s">
        <v>171</v>
      </c>
      <c r="AB2017" s="6">
        <v>0</v>
      </c>
      <c r="AC2017" s="6" t="str">
        <f>""</f>
        <v/>
      </c>
      <c r="AS2017" s="6">
        <v>0</v>
      </c>
      <c r="AT2017" s="6">
        <v>0</v>
      </c>
    </row>
    <row r="2018" spans="2:46">
      <c r="B2018" s="6" t="s">
        <v>7698</v>
      </c>
      <c r="D2018" s="6" t="s">
        <v>8189</v>
      </c>
      <c r="F2018" s="6" t="s">
        <v>8424</v>
      </c>
      <c r="G2018" s="6" t="str">
        <f>"3172252108830208"</f>
        <v>3172252108830208</v>
      </c>
      <c r="I2018" s="6" t="s">
        <v>8425</v>
      </c>
      <c r="J2018" s="6" t="str">
        <f>"[LARTIGENT]LB STRIPE OPS(NAVY)"</f>
        <v>[LARTIGENT]LB STRIPE OPS(NAVY)</v>
      </c>
      <c r="K2018" s="6">
        <v>0</v>
      </c>
      <c r="L2018" s="6">
        <v>0</v>
      </c>
      <c r="M2018" s="6">
        <v>0</v>
      </c>
      <c r="N2018" s="6" t="str">
        <f>""</f>
        <v/>
      </c>
      <c r="O2018" s="6">
        <v>25494</v>
      </c>
      <c r="P2018" s="6" t="s">
        <v>8426</v>
      </c>
      <c r="R2018" s="6" t="s">
        <v>2111</v>
      </c>
      <c r="S2018" s="6" t="s">
        <v>8427</v>
      </c>
      <c r="T2018" s="6">
        <v>0</v>
      </c>
      <c r="U2018" s="6">
        <v>0</v>
      </c>
      <c r="V2018" s="6">
        <v>0</v>
      </c>
      <c r="W2018" s="6">
        <v>0</v>
      </c>
      <c r="X2018" s="6" t="s">
        <v>169</v>
      </c>
      <c r="Z2018" s="6" t="s">
        <v>170</v>
      </c>
      <c r="AA2018" s="6" t="s">
        <v>171</v>
      </c>
      <c r="AB2018" s="6">
        <v>0</v>
      </c>
      <c r="AC2018" s="6" t="str">
        <f>"KEY-066"</f>
        <v>KEY-066</v>
      </c>
      <c r="AQ2018" s="6" t="str">
        <f>""</f>
        <v/>
      </c>
      <c r="AR2018" s="6" t="s">
        <v>1567</v>
      </c>
      <c r="AS2018" s="6">
        <v>0</v>
      </c>
      <c r="AT2018" s="6">
        <v>0</v>
      </c>
    </row>
    <row r="2019" spans="2:46">
      <c r="B2019" s="6" t="s">
        <v>7698</v>
      </c>
      <c r="D2019" s="6" t="s">
        <v>8189</v>
      </c>
      <c r="F2019" s="6" t="s">
        <v>8428</v>
      </c>
      <c r="G2019" s="6" t="str">
        <f>"3172252108930208"</f>
        <v>3172252108930208</v>
      </c>
      <c r="H2019" s="6">
        <v>3172252108930200</v>
      </c>
      <c r="I2019" s="6" t="s">
        <v>8429</v>
      </c>
      <c r="J2019" s="6" t="str">
        <f>"[LARTIGENT]LB RIBBON OPS(NAVY)"</f>
        <v>[LARTIGENT]LB RIBBON OPS(NAVY)</v>
      </c>
      <c r="K2019" s="6">
        <v>0</v>
      </c>
      <c r="L2019" s="6">
        <v>0</v>
      </c>
      <c r="M2019" s="6">
        <v>0</v>
      </c>
      <c r="N2019" s="6" t="str">
        <f>""</f>
        <v/>
      </c>
      <c r="O2019" s="6">
        <v>25492</v>
      </c>
      <c r="P2019" s="6" t="s">
        <v>8430</v>
      </c>
      <c r="R2019" s="6" t="s">
        <v>2106</v>
      </c>
      <c r="S2019" s="6" t="s">
        <v>8431</v>
      </c>
      <c r="T2019" s="6">
        <v>0</v>
      </c>
      <c r="U2019" s="6">
        <v>0</v>
      </c>
      <c r="V2019" s="6">
        <v>0</v>
      </c>
      <c r="W2019" s="6">
        <v>0</v>
      </c>
      <c r="X2019" s="6" t="s">
        <v>169</v>
      </c>
      <c r="Z2019" s="6" t="s">
        <v>170</v>
      </c>
      <c r="AA2019" s="6" t="s">
        <v>171</v>
      </c>
      <c r="AB2019" s="6">
        <v>0</v>
      </c>
      <c r="AC2019" s="6" t="str">
        <f>""</f>
        <v/>
      </c>
      <c r="AS2019" s="6">
        <v>0</v>
      </c>
      <c r="AT2019" s="6">
        <v>0</v>
      </c>
    </row>
    <row r="2020" spans="2:46">
      <c r="B2020" s="6" t="s">
        <v>7698</v>
      </c>
      <c r="D2020" s="6" t="s">
        <v>8189</v>
      </c>
      <c r="F2020" s="6" t="s">
        <v>8432</v>
      </c>
      <c r="G2020" s="6" t="str">
        <f>"3172252108974208"</f>
        <v>3172252108974208</v>
      </c>
      <c r="H2020" s="6">
        <v>3172252108974200</v>
      </c>
      <c r="I2020" s="6" t="s">
        <v>8433</v>
      </c>
      <c r="J2020" s="6" t="str">
        <f>"[LARTIGENT]LB RIBBON OPS(BEIGE)"</f>
        <v>[LARTIGENT]LB RIBBON OPS(BEIGE)</v>
      </c>
      <c r="K2020" s="6">
        <v>0</v>
      </c>
      <c r="L2020" s="6">
        <v>0</v>
      </c>
      <c r="M2020" s="6">
        <v>0</v>
      </c>
      <c r="N2020" s="6" t="str">
        <f>""</f>
        <v/>
      </c>
      <c r="O2020" s="6">
        <v>25490</v>
      </c>
      <c r="P2020" s="6" t="s">
        <v>8434</v>
      </c>
      <c r="R2020" s="6" t="s">
        <v>2102</v>
      </c>
      <c r="S2020" s="6" t="s">
        <v>8435</v>
      </c>
      <c r="T2020" s="6">
        <v>0</v>
      </c>
      <c r="U2020" s="6">
        <v>0</v>
      </c>
      <c r="V2020" s="6">
        <v>0</v>
      </c>
      <c r="W2020" s="6">
        <v>0</v>
      </c>
      <c r="X2020" s="6" t="s">
        <v>169</v>
      </c>
      <c r="Z2020" s="6" t="s">
        <v>170</v>
      </c>
      <c r="AA2020" s="6" t="s">
        <v>171</v>
      </c>
      <c r="AB2020" s="6">
        <v>0</v>
      </c>
      <c r="AC2020" s="6" t="str">
        <f>""</f>
        <v/>
      </c>
      <c r="AS2020" s="6">
        <v>0</v>
      </c>
      <c r="AT2020" s="6">
        <v>0</v>
      </c>
    </row>
    <row r="2021" spans="2:46">
      <c r="B2021" s="6" t="s">
        <v>7698</v>
      </c>
      <c r="D2021" s="6" t="s">
        <v>8189</v>
      </c>
      <c r="F2021" s="6" t="s">
        <v>8436</v>
      </c>
      <c r="G2021" s="6" t="str">
        <f>"3172252108723208"</f>
        <v>3172252108723208</v>
      </c>
      <c r="I2021" s="6" t="s">
        <v>8437</v>
      </c>
      <c r="J2021" s="6" t="str">
        <f>"[LARTIGENT]LB SLIP OPS(SKY BLUE)"</f>
        <v>[LARTIGENT]LB SLIP OPS(SKY BLUE)</v>
      </c>
      <c r="K2021" s="6">
        <v>0</v>
      </c>
      <c r="L2021" s="6">
        <v>0</v>
      </c>
      <c r="M2021" s="6">
        <v>0</v>
      </c>
      <c r="N2021" s="6" t="str">
        <f>""</f>
        <v/>
      </c>
      <c r="O2021" s="6">
        <v>25488</v>
      </c>
      <c r="P2021" s="6" t="s">
        <v>8438</v>
      </c>
      <c r="R2021" s="6" t="s">
        <v>2335</v>
      </c>
      <c r="S2021" s="6" t="s">
        <v>8439</v>
      </c>
      <c r="T2021" s="6">
        <v>2</v>
      </c>
      <c r="U2021" s="6">
        <v>0</v>
      </c>
      <c r="V2021" s="6">
        <v>0</v>
      </c>
      <c r="W2021" s="6">
        <v>0</v>
      </c>
      <c r="X2021" s="6" t="s">
        <v>169</v>
      </c>
      <c r="Z2021" s="6" t="s">
        <v>170</v>
      </c>
      <c r="AA2021" s="6" t="s">
        <v>171</v>
      </c>
      <c r="AB2021" s="6">
        <v>0</v>
      </c>
      <c r="AC2021" s="6" t="str">
        <f>"KEY-037"</f>
        <v>KEY-037</v>
      </c>
      <c r="AQ2021" s="6" t="str">
        <f>""</f>
        <v/>
      </c>
      <c r="AR2021" s="6" t="s">
        <v>1567</v>
      </c>
      <c r="AS2021" s="6">
        <v>0</v>
      </c>
      <c r="AT2021" s="6">
        <v>2</v>
      </c>
    </row>
    <row r="2022" spans="2:46">
      <c r="B2022" s="6" t="s">
        <v>7698</v>
      </c>
      <c r="D2022" s="6" t="s">
        <v>8189</v>
      </c>
      <c r="F2022" s="6" t="s">
        <v>8440</v>
      </c>
      <c r="G2022" s="6" t="str">
        <f>"3172252108799208"</f>
        <v>3172252108799208</v>
      </c>
      <c r="I2022" s="6" t="s">
        <v>8441</v>
      </c>
      <c r="J2022" s="6" t="str">
        <f>"[LARTIGENT]LB SLIP OPS(BLACK)"</f>
        <v>[LARTIGENT]LB SLIP OPS(BLACK)</v>
      </c>
      <c r="K2022" s="6">
        <v>0</v>
      </c>
      <c r="L2022" s="6">
        <v>0</v>
      </c>
      <c r="M2022" s="6">
        <v>0</v>
      </c>
      <c r="N2022" s="6" t="str">
        <f>""</f>
        <v/>
      </c>
      <c r="O2022" s="6">
        <v>25486</v>
      </c>
      <c r="P2022" s="6" t="s">
        <v>8442</v>
      </c>
      <c r="R2022" s="6" t="s">
        <v>2106</v>
      </c>
      <c r="S2022" s="6" t="s">
        <v>8443</v>
      </c>
      <c r="T2022" s="6">
        <v>1</v>
      </c>
      <c r="U2022" s="6">
        <v>0</v>
      </c>
      <c r="V2022" s="6">
        <v>0</v>
      </c>
      <c r="W2022" s="6">
        <v>0</v>
      </c>
      <c r="X2022" s="6" t="s">
        <v>169</v>
      </c>
      <c r="Z2022" s="6" t="s">
        <v>170</v>
      </c>
      <c r="AA2022" s="6" t="s">
        <v>171</v>
      </c>
      <c r="AB2022" s="6">
        <v>0</v>
      </c>
      <c r="AC2022" s="6" t="str">
        <f>"KEY-037"</f>
        <v>KEY-037</v>
      </c>
      <c r="AQ2022" s="6" t="str">
        <f>""</f>
        <v/>
      </c>
      <c r="AR2022" s="6" t="s">
        <v>1567</v>
      </c>
      <c r="AS2022" s="6">
        <v>0</v>
      </c>
      <c r="AT2022" s="6">
        <v>1</v>
      </c>
    </row>
    <row r="2023" spans="2:46">
      <c r="B2023" s="6" t="s">
        <v>7698</v>
      </c>
      <c r="D2023" s="6" t="s">
        <v>8189</v>
      </c>
      <c r="F2023" s="6" t="s">
        <v>8444</v>
      </c>
      <c r="G2023" s="6" t="str">
        <f>"3172252108665208"</f>
        <v>3172252108665208</v>
      </c>
      <c r="H2023" s="6">
        <v>3172252108665200</v>
      </c>
      <c r="I2023" s="6" t="s">
        <v>8445</v>
      </c>
      <c r="J2023" s="6" t="str">
        <f>"[LARTIGENT]LB SHIRT OPS(YELLOW)"</f>
        <v>[LARTIGENT]LB SHIRT OPS(YELLOW)</v>
      </c>
      <c r="K2023" s="6">
        <v>0</v>
      </c>
      <c r="L2023" s="6">
        <v>0</v>
      </c>
      <c r="M2023" s="6">
        <v>0</v>
      </c>
      <c r="N2023" s="6" t="str">
        <f>""</f>
        <v/>
      </c>
      <c r="O2023" s="6">
        <v>25484</v>
      </c>
      <c r="P2023" s="6" t="s">
        <v>8446</v>
      </c>
      <c r="R2023" s="6" t="s">
        <v>2570</v>
      </c>
      <c r="S2023" s="6" t="s">
        <v>8447</v>
      </c>
      <c r="T2023" s="6">
        <v>0</v>
      </c>
      <c r="U2023" s="6">
        <v>0</v>
      </c>
      <c r="V2023" s="6">
        <v>0</v>
      </c>
      <c r="W2023" s="6">
        <v>0</v>
      </c>
      <c r="X2023" s="6" t="s">
        <v>169</v>
      </c>
      <c r="Z2023" s="6" t="s">
        <v>170</v>
      </c>
      <c r="AA2023" s="6" t="s">
        <v>171</v>
      </c>
      <c r="AB2023" s="6">
        <v>0</v>
      </c>
      <c r="AC2023" s="6" t="str">
        <f>""</f>
        <v/>
      </c>
      <c r="AS2023" s="6">
        <v>0</v>
      </c>
      <c r="AT2023" s="6">
        <v>0</v>
      </c>
    </row>
    <row r="2024" spans="2:46">
      <c r="B2024" s="6" t="s">
        <v>7698</v>
      </c>
      <c r="D2024" s="6" t="s">
        <v>8189</v>
      </c>
      <c r="F2024" s="6" t="s">
        <v>8448</v>
      </c>
      <c r="G2024" s="6" t="str">
        <f>"3172252108623208"</f>
        <v>3172252108623208</v>
      </c>
      <c r="I2024" s="6" t="s">
        <v>8449</v>
      </c>
      <c r="J2024" s="6" t="str">
        <f>"[LARTIGENT]LB SHIRT OPS(SKY BLUE)"</f>
        <v>[LARTIGENT]LB SHIRT OPS(SKY BLUE)</v>
      </c>
      <c r="K2024" s="6">
        <v>0</v>
      </c>
      <c r="L2024" s="6">
        <v>0</v>
      </c>
      <c r="M2024" s="6">
        <v>0</v>
      </c>
      <c r="N2024" s="6" t="str">
        <f>""</f>
        <v/>
      </c>
      <c r="O2024" s="6">
        <v>25482</v>
      </c>
      <c r="P2024" s="6" t="s">
        <v>8450</v>
      </c>
      <c r="R2024" s="6" t="s">
        <v>2335</v>
      </c>
      <c r="S2024" s="6" t="s">
        <v>8451</v>
      </c>
      <c r="T2024" s="6">
        <v>2</v>
      </c>
      <c r="U2024" s="6">
        <v>0</v>
      </c>
      <c r="V2024" s="6">
        <v>0</v>
      </c>
      <c r="W2024" s="6">
        <v>0</v>
      </c>
      <c r="X2024" s="6" t="s">
        <v>169</v>
      </c>
      <c r="Z2024" s="6" t="s">
        <v>170</v>
      </c>
      <c r="AA2024" s="6" t="s">
        <v>171</v>
      </c>
      <c r="AB2024" s="6">
        <v>0</v>
      </c>
      <c r="AC2024" s="6" t="str">
        <f>"KEY-013"</f>
        <v>KEY-013</v>
      </c>
      <c r="AQ2024" s="6" t="str">
        <f>""</f>
        <v/>
      </c>
      <c r="AR2024" s="6" t="s">
        <v>1584</v>
      </c>
      <c r="AS2024" s="6">
        <v>0</v>
      </c>
      <c r="AT2024" s="6">
        <v>2</v>
      </c>
    </row>
    <row r="2025" spans="2:46">
      <c r="B2025" s="6" t="s">
        <v>7698</v>
      </c>
      <c r="D2025" s="6" t="s">
        <v>8189</v>
      </c>
      <c r="F2025" s="6" t="s">
        <v>8452</v>
      </c>
      <c r="G2025" s="6" t="str">
        <f>"3172522200230108"</f>
        <v>3172522200230108</v>
      </c>
      <c r="H2025" s="6">
        <v>3172522200230100</v>
      </c>
      <c r="I2025" s="6" t="s">
        <v>8453</v>
      </c>
      <c r="J2025" s="6" t="str">
        <f>"[LARTIGENT]LB PANAMA HAT(NAVY)"</f>
        <v>[LARTIGENT]LB PANAMA HAT(NAVY)</v>
      </c>
      <c r="K2025" s="6">
        <v>0</v>
      </c>
      <c r="L2025" s="6">
        <v>0</v>
      </c>
      <c r="M2025" s="6">
        <v>0</v>
      </c>
      <c r="N2025" s="6" t="str">
        <f>""</f>
        <v/>
      </c>
      <c r="O2025" s="6">
        <v>25480</v>
      </c>
      <c r="P2025" s="6" t="s">
        <v>8454</v>
      </c>
      <c r="R2025" s="6" t="s">
        <v>2111</v>
      </c>
      <c r="S2025" s="6" t="s">
        <v>8455</v>
      </c>
      <c r="T2025" s="6">
        <v>0</v>
      </c>
      <c r="U2025" s="6">
        <v>0</v>
      </c>
      <c r="V2025" s="6">
        <v>0</v>
      </c>
      <c r="W2025" s="6">
        <v>0</v>
      </c>
      <c r="X2025" s="6" t="s">
        <v>169</v>
      </c>
      <c r="Z2025" s="6" t="s">
        <v>170</v>
      </c>
      <c r="AA2025" s="6" t="s">
        <v>171</v>
      </c>
      <c r="AB2025" s="6">
        <v>0</v>
      </c>
      <c r="AC2025" s="6" t="str">
        <f>""</f>
        <v/>
      </c>
      <c r="AS2025" s="6">
        <v>0</v>
      </c>
      <c r="AT2025" s="6">
        <v>0</v>
      </c>
    </row>
    <row r="2026" spans="2:46">
      <c r="B2026" s="6" t="s">
        <v>8456</v>
      </c>
      <c r="D2026" s="6" t="s">
        <v>8189</v>
      </c>
      <c r="F2026" s="6" t="s">
        <v>8457</v>
      </c>
      <c r="G2026" s="6" t="str">
        <f>"KCE1725PTBR"</f>
        <v>KCE1725PTBR</v>
      </c>
      <c r="H2026" s="6" t="s">
        <v>8458</v>
      </c>
      <c r="I2026" s="6" t="s">
        <v>8459</v>
      </c>
      <c r="J2026" s="6" t="str">
        <f>"겨울 와이드 밴딩 팬츠 BROWN/FREE"</f>
        <v>겨울 와이드 밴딩 팬츠 BROWN/FREE</v>
      </c>
      <c r="K2026" s="6">
        <v>0</v>
      </c>
      <c r="L2026" s="6">
        <v>0</v>
      </c>
      <c r="M2026" s="6">
        <v>0</v>
      </c>
      <c r="N2026" s="6" t="str">
        <f>""</f>
        <v/>
      </c>
      <c r="O2026" s="6">
        <v>25478</v>
      </c>
      <c r="P2026" s="6" t="s">
        <v>8458</v>
      </c>
      <c r="R2026" s="6" t="s">
        <v>2119</v>
      </c>
      <c r="S2026" s="6" t="s">
        <v>8460</v>
      </c>
      <c r="T2026" s="6">
        <v>0</v>
      </c>
      <c r="U2026" s="6">
        <v>0</v>
      </c>
      <c r="V2026" s="6">
        <v>0</v>
      </c>
      <c r="W2026" s="6">
        <v>0</v>
      </c>
      <c r="X2026" s="6" t="s">
        <v>169</v>
      </c>
      <c r="Z2026" s="6" t="s">
        <v>170</v>
      </c>
      <c r="AA2026" s="6" t="s">
        <v>171</v>
      </c>
      <c r="AB2026" s="6">
        <v>0</v>
      </c>
      <c r="AC2026" s="6" t="str">
        <f>""</f>
        <v/>
      </c>
      <c r="AS2026" s="6">
        <v>0</v>
      </c>
      <c r="AT2026" s="6">
        <v>0</v>
      </c>
    </row>
    <row r="2027" spans="2:46">
      <c r="B2027" s="6" t="s">
        <v>8456</v>
      </c>
      <c r="D2027" s="6" t="s">
        <v>8189</v>
      </c>
      <c r="F2027" s="6" t="s">
        <v>8461</v>
      </c>
      <c r="G2027" s="6" t="str">
        <f>"KCE1728MPWH"</f>
        <v>KCE1728MPWH</v>
      </c>
      <c r="H2027" s="6" t="s">
        <v>8462</v>
      </c>
      <c r="I2027" s="6" t="s">
        <v>8463</v>
      </c>
      <c r="J2027" s="6" t="str">
        <f>"데일리 숏라인 머플러 WHITE/FREE"</f>
        <v>데일리 숏라인 머플러 WHITE/FREE</v>
      </c>
      <c r="K2027" s="6">
        <v>0</v>
      </c>
      <c r="L2027" s="6">
        <v>0</v>
      </c>
      <c r="M2027" s="6">
        <v>0</v>
      </c>
      <c r="N2027" s="6" t="str">
        <f>""</f>
        <v/>
      </c>
      <c r="O2027" s="6">
        <v>25476</v>
      </c>
      <c r="P2027" s="6" t="s">
        <v>8462</v>
      </c>
      <c r="R2027" s="6" t="s">
        <v>2167</v>
      </c>
      <c r="S2027" s="6" t="s">
        <v>8464</v>
      </c>
      <c r="T2027" s="6">
        <v>0</v>
      </c>
      <c r="U2027" s="6">
        <v>0</v>
      </c>
      <c r="V2027" s="6">
        <v>0</v>
      </c>
      <c r="W2027" s="6">
        <v>0</v>
      </c>
      <c r="X2027" s="6" t="s">
        <v>169</v>
      </c>
      <c r="Z2027" s="6" t="s">
        <v>170</v>
      </c>
      <c r="AA2027" s="6" t="s">
        <v>171</v>
      </c>
      <c r="AB2027" s="6">
        <v>0</v>
      </c>
      <c r="AC2027" s="6" t="str">
        <f>""</f>
        <v/>
      </c>
      <c r="AS2027" s="6">
        <v>0</v>
      </c>
      <c r="AT2027" s="6">
        <v>0</v>
      </c>
    </row>
    <row r="2028" spans="2:46">
      <c r="B2028" s="6" t="s">
        <v>8456</v>
      </c>
      <c r="D2028" s="6" t="s">
        <v>8189</v>
      </c>
      <c r="F2028" s="6" t="s">
        <v>8465</v>
      </c>
      <c r="G2028" s="6" t="str">
        <f>"KCE1728MPPK"</f>
        <v>KCE1728MPPK</v>
      </c>
      <c r="H2028" s="6" t="s">
        <v>8466</v>
      </c>
      <c r="I2028" s="6" t="s">
        <v>8467</v>
      </c>
      <c r="J2028" s="6" t="str">
        <f>"데일리 숏라인 머플러 PINK/FREE"</f>
        <v>데일리 숏라인 머플러 PINK/FREE</v>
      </c>
      <c r="K2028" s="6">
        <v>0</v>
      </c>
      <c r="L2028" s="6">
        <v>0</v>
      </c>
      <c r="M2028" s="6">
        <v>0</v>
      </c>
      <c r="N2028" s="6" t="str">
        <f>""</f>
        <v/>
      </c>
      <c r="O2028" s="6">
        <v>25474</v>
      </c>
      <c r="P2028" s="6" t="s">
        <v>8466</v>
      </c>
      <c r="R2028" s="6" t="s">
        <v>2446</v>
      </c>
      <c r="S2028" s="6" t="s">
        <v>8468</v>
      </c>
      <c r="T2028" s="6">
        <v>0</v>
      </c>
      <c r="U2028" s="6">
        <v>0</v>
      </c>
      <c r="V2028" s="6">
        <v>0</v>
      </c>
      <c r="W2028" s="6">
        <v>0</v>
      </c>
      <c r="X2028" s="6" t="s">
        <v>169</v>
      </c>
      <c r="Z2028" s="6" t="s">
        <v>170</v>
      </c>
      <c r="AA2028" s="6" t="s">
        <v>171</v>
      </c>
      <c r="AB2028" s="6">
        <v>0</v>
      </c>
      <c r="AC2028" s="6" t="str">
        <f>""</f>
        <v/>
      </c>
      <c r="AS2028" s="6">
        <v>0</v>
      </c>
      <c r="AT2028" s="6">
        <v>0</v>
      </c>
    </row>
    <row r="2029" spans="2:46">
      <c r="B2029" s="6" t="s">
        <v>8456</v>
      </c>
      <c r="D2029" s="6" t="s">
        <v>8189</v>
      </c>
      <c r="F2029" s="6" t="s">
        <v>8469</v>
      </c>
      <c r="G2029" s="6" t="str">
        <f>"KCE1728MPGY"</f>
        <v>KCE1728MPGY</v>
      </c>
      <c r="H2029" s="6" t="s">
        <v>8470</v>
      </c>
      <c r="I2029" s="6" t="s">
        <v>8471</v>
      </c>
      <c r="J2029" s="6" t="str">
        <f>"데일리 숏라인 머플러 GRAY/FREE"</f>
        <v>데일리 숏라인 머플러 GRAY/FREE</v>
      </c>
      <c r="K2029" s="6">
        <v>0</v>
      </c>
      <c r="L2029" s="6">
        <v>0</v>
      </c>
      <c r="M2029" s="6">
        <v>0</v>
      </c>
      <c r="N2029" s="6" t="str">
        <f>""</f>
        <v/>
      </c>
      <c r="O2029" s="6">
        <v>25472</v>
      </c>
      <c r="P2029" s="6" t="s">
        <v>8470</v>
      </c>
      <c r="R2029" s="6" t="s">
        <v>2364</v>
      </c>
      <c r="S2029" s="6" t="s">
        <v>8472</v>
      </c>
      <c r="T2029" s="6">
        <v>0</v>
      </c>
      <c r="U2029" s="6">
        <v>0</v>
      </c>
      <c r="V2029" s="6">
        <v>0</v>
      </c>
      <c r="W2029" s="6">
        <v>0</v>
      </c>
      <c r="X2029" s="6" t="s">
        <v>169</v>
      </c>
      <c r="Z2029" s="6" t="s">
        <v>170</v>
      </c>
      <c r="AA2029" s="6" t="s">
        <v>171</v>
      </c>
      <c r="AB2029" s="6">
        <v>0</v>
      </c>
      <c r="AC2029" s="6" t="str">
        <f>""</f>
        <v/>
      </c>
      <c r="AS2029" s="6">
        <v>0</v>
      </c>
      <c r="AT2029" s="6">
        <v>0</v>
      </c>
    </row>
    <row r="2030" spans="2:46">
      <c r="B2030" s="6" t="s">
        <v>8456</v>
      </c>
      <c r="D2030" s="6" t="s">
        <v>8189</v>
      </c>
      <c r="F2030" s="6" t="s">
        <v>8473</v>
      </c>
      <c r="G2030" s="6" t="str">
        <f>"KCE1728MPBR"</f>
        <v>KCE1728MPBR</v>
      </c>
      <c r="H2030" s="6" t="s">
        <v>8474</v>
      </c>
      <c r="I2030" s="6" t="s">
        <v>8475</v>
      </c>
      <c r="J2030" s="6" t="str">
        <f>"데일리 숏라인 머플러 BROWN/FREE"</f>
        <v>데일리 숏라인 머플러 BROWN/FREE</v>
      </c>
      <c r="K2030" s="6">
        <v>0</v>
      </c>
      <c r="L2030" s="6">
        <v>0</v>
      </c>
      <c r="M2030" s="6">
        <v>0</v>
      </c>
      <c r="N2030" s="6" t="str">
        <f>""</f>
        <v/>
      </c>
      <c r="O2030" s="6">
        <v>25470</v>
      </c>
      <c r="P2030" s="6" t="s">
        <v>8474</v>
      </c>
      <c r="R2030" s="6" t="s">
        <v>2119</v>
      </c>
      <c r="S2030" s="6" t="s">
        <v>8476</v>
      </c>
      <c r="T2030" s="6">
        <v>0</v>
      </c>
      <c r="U2030" s="6">
        <v>0</v>
      </c>
      <c r="V2030" s="6">
        <v>0</v>
      </c>
      <c r="W2030" s="6">
        <v>0</v>
      </c>
      <c r="X2030" s="6" t="s">
        <v>169</v>
      </c>
      <c r="Z2030" s="6" t="s">
        <v>170</v>
      </c>
      <c r="AA2030" s="6" t="s">
        <v>171</v>
      </c>
      <c r="AB2030" s="6">
        <v>0</v>
      </c>
      <c r="AC2030" s="6" t="str">
        <f>""</f>
        <v/>
      </c>
      <c r="AS2030" s="6">
        <v>0</v>
      </c>
      <c r="AT2030" s="6">
        <v>0</v>
      </c>
    </row>
    <row r="2031" spans="2:46">
      <c r="B2031" s="6" t="s">
        <v>8456</v>
      </c>
      <c r="D2031" s="6" t="s">
        <v>8189</v>
      </c>
      <c r="F2031" s="6" t="s">
        <v>8477</v>
      </c>
      <c r="G2031" s="6" t="str">
        <f>"KCE1728MPBK"</f>
        <v>KCE1728MPBK</v>
      </c>
      <c r="H2031" s="6" t="s">
        <v>8478</v>
      </c>
      <c r="I2031" s="6" t="s">
        <v>8479</v>
      </c>
      <c r="J2031" s="6" t="str">
        <f>"데일리 숏라인 머플러 BLACK/FREE"</f>
        <v>데일리 숏라인 머플러 BLACK/FREE</v>
      </c>
      <c r="K2031" s="6">
        <v>0</v>
      </c>
      <c r="L2031" s="6">
        <v>0</v>
      </c>
      <c r="M2031" s="6">
        <v>0</v>
      </c>
      <c r="N2031" s="6" t="str">
        <f>""</f>
        <v/>
      </c>
      <c r="O2031" s="6">
        <v>25468</v>
      </c>
      <c r="P2031" s="6" t="s">
        <v>8478</v>
      </c>
      <c r="R2031" s="6" t="s">
        <v>2106</v>
      </c>
      <c r="S2031" s="6" t="s">
        <v>8480</v>
      </c>
      <c r="T2031" s="6">
        <v>0</v>
      </c>
      <c r="U2031" s="6">
        <v>0</v>
      </c>
      <c r="V2031" s="6">
        <v>0</v>
      </c>
      <c r="W2031" s="6">
        <v>0</v>
      </c>
      <c r="X2031" s="6" t="s">
        <v>169</v>
      </c>
      <c r="Z2031" s="6" t="s">
        <v>170</v>
      </c>
      <c r="AA2031" s="6" t="s">
        <v>171</v>
      </c>
      <c r="AB2031" s="6">
        <v>0</v>
      </c>
      <c r="AC2031" s="6" t="str">
        <f>""</f>
        <v/>
      </c>
      <c r="AS2031" s="6">
        <v>0</v>
      </c>
      <c r="AT2031" s="6">
        <v>0</v>
      </c>
    </row>
    <row r="2032" spans="2:46">
      <c r="B2032" s="6" t="s">
        <v>8456</v>
      </c>
      <c r="D2032" s="6" t="s">
        <v>8189</v>
      </c>
      <c r="F2032" s="6" t="s">
        <v>8481</v>
      </c>
      <c r="G2032" s="6" t="str">
        <f>"KCE1727MTBL"</f>
        <v>KCE1727MTBL</v>
      </c>
      <c r="H2032" s="6" t="s">
        <v>8482</v>
      </c>
      <c r="I2032" s="6" t="s">
        <v>8483</v>
      </c>
      <c r="J2032" s="6" t="str">
        <f>"라이드 맨투맨 BLUE/FREE"</f>
        <v>라이드 맨투맨 BLUE/FREE</v>
      </c>
      <c r="K2032" s="6">
        <v>0</v>
      </c>
      <c r="L2032" s="6">
        <v>0</v>
      </c>
      <c r="M2032" s="6">
        <v>0</v>
      </c>
      <c r="N2032" s="6" t="str">
        <f>""</f>
        <v/>
      </c>
      <c r="O2032" s="6">
        <v>25466</v>
      </c>
      <c r="P2032" s="6" t="s">
        <v>8482</v>
      </c>
      <c r="R2032" s="6" t="s">
        <v>2175</v>
      </c>
      <c r="S2032" s="6" t="s">
        <v>8484</v>
      </c>
      <c r="T2032" s="6">
        <v>0</v>
      </c>
      <c r="U2032" s="6">
        <v>0</v>
      </c>
      <c r="V2032" s="6">
        <v>0</v>
      </c>
      <c r="W2032" s="6">
        <v>0</v>
      </c>
      <c r="X2032" s="6" t="s">
        <v>169</v>
      </c>
      <c r="Z2032" s="6" t="s">
        <v>170</v>
      </c>
      <c r="AA2032" s="6" t="s">
        <v>171</v>
      </c>
      <c r="AB2032" s="6">
        <v>0</v>
      </c>
      <c r="AC2032" s="6" t="str">
        <f>""</f>
        <v/>
      </c>
      <c r="AS2032" s="6">
        <v>0</v>
      </c>
      <c r="AT2032" s="6">
        <v>0</v>
      </c>
    </row>
    <row r="2033" spans="2:46">
      <c r="B2033" s="6" t="s">
        <v>8456</v>
      </c>
      <c r="D2033" s="6" t="s">
        <v>8189</v>
      </c>
      <c r="F2033" s="6" t="s">
        <v>8485</v>
      </c>
      <c r="G2033" s="6" t="str">
        <f>"KCE1727MTBR"</f>
        <v>KCE1727MTBR</v>
      </c>
      <c r="H2033" s="6" t="s">
        <v>8486</v>
      </c>
      <c r="I2033" s="6" t="s">
        <v>8487</v>
      </c>
      <c r="J2033" s="6" t="str">
        <f>"라이드 맨투맨 BROWN/FREE"</f>
        <v>라이드 맨투맨 BROWN/FREE</v>
      </c>
      <c r="K2033" s="6">
        <v>0</v>
      </c>
      <c r="L2033" s="6">
        <v>0</v>
      </c>
      <c r="M2033" s="6">
        <v>0</v>
      </c>
      <c r="N2033" s="6" t="str">
        <f>""</f>
        <v/>
      </c>
      <c r="O2033" s="6">
        <v>25464</v>
      </c>
      <c r="P2033" s="6" t="s">
        <v>8486</v>
      </c>
      <c r="R2033" s="6" t="s">
        <v>2119</v>
      </c>
      <c r="S2033" s="6" t="s">
        <v>8488</v>
      </c>
      <c r="T2033" s="6">
        <v>0</v>
      </c>
      <c r="U2033" s="6">
        <v>0</v>
      </c>
      <c r="V2033" s="6">
        <v>0</v>
      </c>
      <c r="W2033" s="6">
        <v>0</v>
      </c>
      <c r="X2033" s="6" t="s">
        <v>169</v>
      </c>
      <c r="Z2033" s="6" t="s">
        <v>170</v>
      </c>
      <c r="AA2033" s="6" t="s">
        <v>171</v>
      </c>
      <c r="AB2033" s="6">
        <v>0</v>
      </c>
      <c r="AC2033" s="6" t="str">
        <f>""</f>
        <v/>
      </c>
      <c r="AS2033" s="6">
        <v>0</v>
      </c>
      <c r="AT2033" s="6">
        <v>0</v>
      </c>
    </row>
    <row r="2034" spans="2:46">
      <c r="B2034" s="6" t="s">
        <v>8456</v>
      </c>
      <c r="D2034" s="6" t="s">
        <v>8189</v>
      </c>
      <c r="F2034" s="6" t="s">
        <v>8489</v>
      </c>
      <c r="G2034" s="6" t="str">
        <f>"KCE1727MTPP"</f>
        <v>KCE1727MTPP</v>
      </c>
      <c r="H2034" s="6" t="s">
        <v>8490</v>
      </c>
      <c r="I2034" s="6" t="s">
        <v>8491</v>
      </c>
      <c r="J2034" s="6" t="str">
        <f>"라이드 맨투맨 PURPLE/FREE"</f>
        <v>라이드 맨투맨 PURPLE/FREE</v>
      </c>
      <c r="K2034" s="6">
        <v>0</v>
      </c>
      <c r="L2034" s="6">
        <v>0</v>
      </c>
      <c r="M2034" s="6">
        <v>0</v>
      </c>
      <c r="N2034" s="6" t="str">
        <f>""</f>
        <v/>
      </c>
      <c r="O2034" s="6">
        <v>25462</v>
      </c>
      <c r="P2034" s="6" t="s">
        <v>8490</v>
      </c>
      <c r="R2034" s="6" t="s">
        <v>2913</v>
      </c>
      <c r="S2034" s="6" t="s">
        <v>8492</v>
      </c>
      <c r="T2034" s="6">
        <v>0</v>
      </c>
      <c r="U2034" s="6">
        <v>0</v>
      </c>
      <c r="V2034" s="6">
        <v>0</v>
      </c>
      <c r="W2034" s="6">
        <v>0</v>
      </c>
      <c r="X2034" s="6" t="s">
        <v>169</v>
      </c>
      <c r="Z2034" s="6" t="s">
        <v>170</v>
      </c>
      <c r="AA2034" s="6" t="s">
        <v>171</v>
      </c>
      <c r="AB2034" s="6">
        <v>0</v>
      </c>
      <c r="AC2034" s="6" t="str">
        <f>""</f>
        <v/>
      </c>
      <c r="AS2034" s="6">
        <v>0</v>
      </c>
      <c r="AT2034" s="6">
        <v>0</v>
      </c>
    </row>
    <row r="2035" spans="2:46">
      <c r="B2035" s="6" t="s">
        <v>8456</v>
      </c>
      <c r="D2035" s="6" t="s">
        <v>8189</v>
      </c>
      <c r="F2035" s="6" t="s">
        <v>8493</v>
      </c>
      <c r="G2035" s="6" t="str">
        <f>"KCE1726KTWH"</f>
        <v>KCE1726KTWH</v>
      </c>
      <c r="H2035" s="6" t="s">
        <v>8494</v>
      </c>
      <c r="I2035" s="6" t="s">
        <v>8495</v>
      </c>
      <c r="J2035" s="6" t="str">
        <f>"소프트 하프텍 니트 WHITE/FREE"</f>
        <v>소프트 하프텍 니트 WHITE/FREE</v>
      </c>
      <c r="K2035" s="6">
        <v>0</v>
      </c>
      <c r="L2035" s="6">
        <v>0</v>
      </c>
      <c r="M2035" s="6">
        <v>0</v>
      </c>
      <c r="N2035" s="6" t="str">
        <f>""</f>
        <v/>
      </c>
      <c r="O2035" s="6">
        <v>25460</v>
      </c>
      <c r="P2035" s="6" t="s">
        <v>8494</v>
      </c>
      <c r="R2035" s="6" t="s">
        <v>2167</v>
      </c>
      <c r="S2035" s="6" t="s">
        <v>8496</v>
      </c>
      <c r="T2035" s="6">
        <v>0</v>
      </c>
      <c r="U2035" s="6">
        <v>0</v>
      </c>
      <c r="V2035" s="6">
        <v>0</v>
      </c>
      <c r="W2035" s="6">
        <v>0</v>
      </c>
      <c r="X2035" s="6" t="s">
        <v>169</v>
      </c>
      <c r="Z2035" s="6" t="s">
        <v>170</v>
      </c>
      <c r="AA2035" s="6" t="s">
        <v>171</v>
      </c>
      <c r="AB2035" s="6">
        <v>0</v>
      </c>
      <c r="AC2035" s="6" t="str">
        <f>""</f>
        <v/>
      </c>
      <c r="AS2035" s="6">
        <v>0</v>
      </c>
      <c r="AT2035" s="6">
        <v>0</v>
      </c>
    </row>
    <row r="2036" spans="2:46">
      <c r="B2036" s="6" t="s">
        <v>8456</v>
      </c>
      <c r="D2036" s="6" t="s">
        <v>8189</v>
      </c>
      <c r="F2036" s="6" t="s">
        <v>8497</v>
      </c>
      <c r="G2036" s="6" t="str">
        <f>"KCE1726KTGY"</f>
        <v>KCE1726KTGY</v>
      </c>
      <c r="H2036" s="6" t="s">
        <v>8498</v>
      </c>
      <c r="I2036" s="6" t="s">
        <v>8499</v>
      </c>
      <c r="J2036" s="6" t="str">
        <f>"소프트 하프텍 니트 GRAY/FREE"</f>
        <v>소프트 하프텍 니트 GRAY/FREE</v>
      </c>
      <c r="K2036" s="6">
        <v>0</v>
      </c>
      <c r="L2036" s="6">
        <v>0</v>
      </c>
      <c r="M2036" s="6">
        <v>0</v>
      </c>
      <c r="N2036" s="6" t="str">
        <f>""</f>
        <v/>
      </c>
      <c r="O2036" s="6">
        <v>25458</v>
      </c>
      <c r="P2036" s="6" t="s">
        <v>8498</v>
      </c>
      <c r="R2036" s="6" t="s">
        <v>2364</v>
      </c>
      <c r="S2036" s="6" t="s">
        <v>8500</v>
      </c>
      <c r="T2036" s="6">
        <v>0</v>
      </c>
      <c r="U2036" s="6">
        <v>0</v>
      </c>
      <c r="V2036" s="6">
        <v>0</v>
      </c>
      <c r="W2036" s="6">
        <v>0</v>
      </c>
      <c r="X2036" s="6" t="s">
        <v>169</v>
      </c>
      <c r="Z2036" s="6" t="s">
        <v>170</v>
      </c>
      <c r="AA2036" s="6" t="s">
        <v>171</v>
      </c>
      <c r="AB2036" s="6">
        <v>0</v>
      </c>
      <c r="AC2036" s="6" t="str">
        <f>""</f>
        <v/>
      </c>
      <c r="AS2036" s="6">
        <v>0</v>
      </c>
      <c r="AT2036" s="6">
        <v>0</v>
      </c>
    </row>
    <row r="2037" spans="2:46">
      <c r="B2037" s="6" t="s">
        <v>8456</v>
      </c>
      <c r="D2037" s="6" t="s">
        <v>8189</v>
      </c>
      <c r="F2037" s="6" t="s">
        <v>8501</v>
      </c>
      <c r="G2037" s="6" t="str">
        <f>"KCE1726KTBR"</f>
        <v>KCE1726KTBR</v>
      </c>
      <c r="H2037" s="6" t="s">
        <v>8502</v>
      </c>
      <c r="I2037" s="6" t="s">
        <v>8503</v>
      </c>
      <c r="J2037" s="6" t="str">
        <f>"소프트 하프텍 니트 BROWN/FREE"</f>
        <v>소프트 하프텍 니트 BROWN/FREE</v>
      </c>
      <c r="K2037" s="6">
        <v>0</v>
      </c>
      <c r="L2037" s="6">
        <v>0</v>
      </c>
      <c r="M2037" s="6">
        <v>0</v>
      </c>
      <c r="N2037" s="6" t="str">
        <f>""</f>
        <v/>
      </c>
      <c r="O2037" s="6">
        <v>25456</v>
      </c>
      <c r="P2037" s="6" t="s">
        <v>8502</v>
      </c>
      <c r="R2037" s="6" t="s">
        <v>2119</v>
      </c>
      <c r="S2037" s="6" t="s">
        <v>8504</v>
      </c>
      <c r="T2037" s="6">
        <v>0</v>
      </c>
      <c r="U2037" s="6">
        <v>0</v>
      </c>
      <c r="V2037" s="6">
        <v>0</v>
      </c>
      <c r="W2037" s="6">
        <v>0</v>
      </c>
      <c r="X2037" s="6" t="s">
        <v>169</v>
      </c>
      <c r="Z2037" s="6" t="s">
        <v>170</v>
      </c>
      <c r="AA2037" s="6" t="s">
        <v>171</v>
      </c>
      <c r="AB2037" s="6">
        <v>0</v>
      </c>
      <c r="AC2037" s="6" t="str">
        <f>""</f>
        <v/>
      </c>
      <c r="AS2037" s="6">
        <v>0</v>
      </c>
      <c r="AT2037" s="6">
        <v>0</v>
      </c>
    </row>
    <row r="2038" spans="2:46">
      <c r="B2038" s="6" t="s">
        <v>8456</v>
      </c>
      <c r="D2038" s="6" t="s">
        <v>8189</v>
      </c>
      <c r="F2038" s="6" t="s">
        <v>8505</v>
      </c>
      <c r="G2038" s="6" t="str">
        <f>"KCE1725PTDB"</f>
        <v>KCE1725PTDB</v>
      </c>
      <c r="H2038" s="6" t="s">
        <v>8506</v>
      </c>
      <c r="I2038" s="6" t="s">
        <v>8507</v>
      </c>
      <c r="J2038" s="6" t="str">
        <f>"겨울 와이드 밴딩 팬츠 DARK BEIGE/FREE"</f>
        <v>겨울 와이드 밴딩 팬츠 DARK BEIGE/FREE</v>
      </c>
      <c r="K2038" s="6">
        <v>0</v>
      </c>
      <c r="L2038" s="6">
        <v>0</v>
      </c>
      <c r="M2038" s="6">
        <v>0</v>
      </c>
      <c r="N2038" s="6" t="str">
        <f>""</f>
        <v/>
      </c>
      <c r="O2038" s="6">
        <v>25454</v>
      </c>
      <c r="P2038" s="6" t="s">
        <v>8506</v>
      </c>
      <c r="R2038" s="6" t="s">
        <v>8508</v>
      </c>
      <c r="S2038" s="6" t="s">
        <v>8509</v>
      </c>
      <c r="T2038" s="6">
        <v>0</v>
      </c>
      <c r="U2038" s="6">
        <v>0</v>
      </c>
      <c r="V2038" s="6">
        <v>0</v>
      </c>
      <c r="W2038" s="6">
        <v>0</v>
      </c>
      <c r="X2038" s="6" t="s">
        <v>169</v>
      </c>
      <c r="Z2038" s="6" t="s">
        <v>170</v>
      </c>
      <c r="AA2038" s="6" t="s">
        <v>171</v>
      </c>
      <c r="AB2038" s="6">
        <v>0</v>
      </c>
      <c r="AC2038" s="6" t="str">
        <f>""</f>
        <v/>
      </c>
      <c r="AS2038" s="6">
        <v>0</v>
      </c>
      <c r="AT2038" s="6">
        <v>0</v>
      </c>
    </row>
    <row r="2039" spans="2:46">
      <c r="B2039" s="6" t="s">
        <v>8456</v>
      </c>
      <c r="D2039" s="6" t="s">
        <v>8189</v>
      </c>
      <c r="F2039" s="6" t="s">
        <v>8510</v>
      </c>
      <c r="G2039" s="6" t="str">
        <f>"KCE1725PTBK"</f>
        <v>KCE1725PTBK</v>
      </c>
      <c r="H2039" s="6" t="s">
        <v>8511</v>
      </c>
      <c r="I2039" s="6" t="s">
        <v>8512</v>
      </c>
      <c r="J2039" s="6" t="str">
        <f>"겨울 와이드 밴딩 팬츠 BLACK/FREE"</f>
        <v>겨울 와이드 밴딩 팬츠 BLACK/FREE</v>
      </c>
      <c r="K2039" s="6">
        <v>0</v>
      </c>
      <c r="L2039" s="6">
        <v>0</v>
      </c>
      <c r="M2039" s="6">
        <v>0</v>
      </c>
      <c r="N2039" s="6" t="str">
        <f>""</f>
        <v/>
      </c>
      <c r="O2039" s="6">
        <v>25452</v>
      </c>
      <c r="P2039" s="6" t="s">
        <v>8511</v>
      </c>
      <c r="R2039" s="6" t="s">
        <v>2106</v>
      </c>
      <c r="S2039" s="6" t="s">
        <v>8513</v>
      </c>
      <c r="T2039" s="6">
        <v>0</v>
      </c>
      <c r="U2039" s="6">
        <v>0</v>
      </c>
      <c r="V2039" s="6">
        <v>0</v>
      </c>
      <c r="W2039" s="6">
        <v>0</v>
      </c>
      <c r="X2039" s="6" t="s">
        <v>169</v>
      </c>
      <c r="Z2039" s="6" t="s">
        <v>170</v>
      </c>
      <c r="AA2039" s="6" t="s">
        <v>171</v>
      </c>
      <c r="AB2039" s="6">
        <v>0</v>
      </c>
      <c r="AC2039" s="6" t="str">
        <f>""</f>
        <v/>
      </c>
      <c r="AS2039" s="6">
        <v>0</v>
      </c>
      <c r="AT2039" s="6">
        <v>0</v>
      </c>
    </row>
    <row r="2040" spans="2:46">
      <c r="B2040" s="6" t="s">
        <v>8456</v>
      </c>
      <c r="D2040" s="6" t="s">
        <v>8189</v>
      </c>
      <c r="F2040" s="6" t="s">
        <v>8514</v>
      </c>
      <c r="G2040" s="6" t="str">
        <f>"KCE1724CTBK"</f>
        <v>KCE1724CTBK</v>
      </c>
      <c r="H2040" s="6" t="s">
        <v>8515</v>
      </c>
      <c r="I2040" s="6" t="s">
        <v>8516</v>
      </c>
      <c r="J2040" s="6" t="str">
        <f>"필쏘굿 롱자켓 BLACK/FREE"</f>
        <v>필쏘굿 롱자켓 BLACK/FREE</v>
      </c>
      <c r="K2040" s="6">
        <v>0</v>
      </c>
      <c r="L2040" s="6">
        <v>0</v>
      </c>
      <c r="M2040" s="6">
        <v>0</v>
      </c>
      <c r="N2040" s="6" t="str">
        <f>""</f>
        <v/>
      </c>
      <c r="O2040" s="6">
        <v>25450</v>
      </c>
      <c r="P2040" s="6" t="s">
        <v>8515</v>
      </c>
      <c r="R2040" s="6" t="s">
        <v>2106</v>
      </c>
      <c r="S2040" s="6" t="s">
        <v>8517</v>
      </c>
      <c r="T2040" s="6">
        <v>0</v>
      </c>
      <c r="U2040" s="6">
        <v>0</v>
      </c>
      <c r="V2040" s="6">
        <v>0</v>
      </c>
      <c r="W2040" s="6">
        <v>0</v>
      </c>
      <c r="X2040" s="6" t="s">
        <v>169</v>
      </c>
      <c r="Z2040" s="6" t="s">
        <v>170</v>
      </c>
      <c r="AA2040" s="6" t="s">
        <v>171</v>
      </c>
      <c r="AB2040" s="6">
        <v>0</v>
      </c>
      <c r="AC2040" s="6" t="str">
        <f>""</f>
        <v/>
      </c>
      <c r="AS2040" s="6">
        <v>0</v>
      </c>
      <c r="AT2040" s="6">
        <v>0</v>
      </c>
    </row>
    <row r="2041" spans="2:46">
      <c r="B2041" s="6" t="s">
        <v>8456</v>
      </c>
      <c r="D2041" s="6" t="s">
        <v>8189</v>
      </c>
      <c r="F2041" s="6" t="s">
        <v>8518</v>
      </c>
      <c r="G2041" s="6" t="str">
        <f>"KCE1724CTBR"</f>
        <v>KCE1724CTBR</v>
      </c>
      <c r="H2041" s="6" t="s">
        <v>8519</v>
      </c>
      <c r="I2041" s="6" t="s">
        <v>8520</v>
      </c>
      <c r="J2041" s="6" t="str">
        <f>"필쏘굿 롱자켓 BROWN/FREE"</f>
        <v>필쏘굿 롱자켓 BROWN/FREE</v>
      </c>
      <c r="K2041" s="6">
        <v>0</v>
      </c>
      <c r="L2041" s="6">
        <v>0</v>
      </c>
      <c r="M2041" s="6">
        <v>0</v>
      </c>
      <c r="N2041" s="6" t="str">
        <f>""</f>
        <v/>
      </c>
      <c r="O2041" s="6">
        <v>25448</v>
      </c>
      <c r="P2041" s="6" t="s">
        <v>8519</v>
      </c>
      <c r="R2041" s="6" t="s">
        <v>2119</v>
      </c>
      <c r="S2041" s="6" t="s">
        <v>8521</v>
      </c>
      <c r="T2041" s="6">
        <v>0</v>
      </c>
      <c r="U2041" s="6">
        <v>0</v>
      </c>
      <c r="V2041" s="6">
        <v>0</v>
      </c>
      <c r="W2041" s="6">
        <v>0</v>
      </c>
      <c r="X2041" s="6" t="s">
        <v>169</v>
      </c>
      <c r="Z2041" s="6" t="s">
        <v>170</v>
      </c>
      <c r="AA2041" s="6" t="s">
        <v>171</v>
      </c>
      <c r="AB2041" s="6">
        <v>0</v>
      </c>
      <c r="AC2041" s="6" t="str">
        <f>""</f>
        <v/>
      </c>
      <c r="AS2041" s="6">
        <v>0</v>
      </c>
      <c r="AT2041" s="6">
        <v>0</v>
      </c>
    </row>
    <row r="2042" spans="2:46">
      <c r="B2042" s="6" t="s">
        <v>8456</v>
      </c>
      <c r="D2042" s="6" t="s">
        <v>8189</v>
      </c>
      <c r="F2042" s="6" t="s">
        <v>8522</v>
      </c>
      <c r="G2042" s="6" t="str">
        <f>"KCE1723KTKH"</f>
        <v>KCE1723KTKH</v>
      </c>
      <c r="H2042" s="6" t="s">
        <v>8523</v>
      </c>
      <c r="I2042" s="6" t="s">
        <v>8524</v>
      </c>
      <c r="J2042" s="6" t="str">
        <f>"슬림핏 터틀넥 KHAKI/FREE"</f>
        <v>슬림핏 터틀넥 KHAKI/FREE</v>
      </c>
      <c r="K2042" s="6">
        <v>0</v>
      </c>
      <c r="L2042" s="6">
        <v>0</v>
      </c>
      <c r="M2042" s="6">
        <v>0</v>
      </c>
      <c r="N2042" s="6" t="str">
        <f>""</f>
        <v/>
      </c>
      <c r="O2042" s="6">
        <v>25446</v>
      </c>
      <c r="P2042" s="6" t="s">
        <v>8523</v>
      </c>
      <c r="R2042" s="6" t="s">
        <v>3576</v>
      </c>
      <c r="S2042" s="6" t="s">
        <v>8525</v>
      </c>
      <c r="T2042" s="6">
        <v>0</v>
      </c>
      <c r="U2042" s="6">
        <v>0</v>
      </c>
      <c r="V2042" s="6">
        <v>0</v>
      </c>
      <c r="W2042" s="6">
        <v>0</v>
      </c>
      <c r="X2042" s="6" t="s">
        <v>169</v>
      </c>
      <c r="Z2042" s="6" t="s">
        <v>170</v>
      </c>
      <c r="AA2042" s="6" t="s">
        <v>171</v>
      </c>
      <c r="AB2042" s="6">
        <v>0</v>
      </c>
      <c r="AC2042" s="6" t="str">
        <f>""</f>
        <v/>
      </c>
      <c r="AS2042" s="6">
        <v>0</v>
      </c>
      <c r="AT2042" s="6">
        <v>0</v>
      </c>
    </row>
    <row r="2043" spans="2:46">
      <c r="B2043" s="6" t="s">
        <v>8456</v>
      </c>
      <c r="D2043" s="6" t="s">
        <v>8189</v>
      </c>
      <c r="F2043" s="6" t="s">
        <v>8526</v>
      </c>
      <c r="G2043" s="6" t="str">
        <f>"KCE1723KTBL"</f>
        <v>KCE1723KTBL</v>
      </c>
      <c r="H2043" s="6" t="s">
        <v>8527</v>
      </c>
      <c r="I2043" s="6" t="s">
        <v>8528</v>
      </c>
      <c r="J2043" s="6" t="str">
        <f>"슬림핏 터틀넥 BLUE/FREE"</f>
        <v>슬림핏 터틀넥 BLUE/FREE</v>
      </c>
      <c r="K2043" s="6">
        <v>0</v>
      </c>
      <c r="L2043" s="6">
        <v>0</v>
      </c>
      <c r="M2043" s="6">
        <v>0</v>
      </c>
      <c r="N2043" s="6" t="str">
        <f>""</f>
        <v/>
      </c>
      <c r="O2043" s="6">
        <v>25444</v>
      </c>
      <c r="P2043" s="6" t="s">
        <v>8527</v>
      </c>
      <c r="R2043" s="6" t="s">
        <v>2175</v>
      </c>
      <c r="S2043" s="6" t="s">
        <v>8529</v>
      </c>
      <c r="T2043" s="6">
        <v>0</v>
      </c>
      <c r="U2043" s="6">
        <v>0</v>
      </c>
      <c r="V2043" s="6">
        <v>0</v>
      </c>
      <c r="W2043" s="6">
        <v>0</v>
      </c>
      <c r="X2043" s="6" t="s">
        <v>169</v>
      </c>
      <c r="Z2043" s="6" t="s">
        <v>170</v>
      </c>
      <c r="AA2043" s="6" t="s">
        <v>171</v>
      </c>
      <c r="AB2043" s="6">
        <v>0</v>
      </c>
      <c r="AC2043" s="6" t="str">
        <f>""</f>
        <v/>
      </c>
      <c r="AS2043" s="6">
        <v>0</v>
      </c>
      <c r="AT2043" s="6">
        <v>0</v>
      </c>
    </row>
    <row r="2044" spans="2:46">
      <c r="B2044" s="6" t="s">
        <v>8456</v>
      </c>
      <c r="D2044" s="6" t="s">
        <v>8189</v>
      </c>
      <c r="F2044" s="6" t="s">
        <v>8530</v>
      </c>
      <c r="G2044" s="6" t="str">
        <f>"KCE1723KTBK"</f>
        <v>KCE1723KTBK</v>
      </c>
      <c r="H2044" s="6" t="s">
        <v>8531</v>
      </c>
      <c r="I2044" s="6" t="s">
        <v>8532</v>
      </c>
      <c r="J2044" s="6" t="str">
        <f>"슬림핏 터틀넥 BLACK/FREE"</f>
        <v>슬림핏 터틀넥 BLACK/FREE</v>
      </c>
      <c r="K2044" s="6">
        <v>0</v>
      </c>
      <c r="L2044" s="6">
        <v>0</v>
      </c>
      <c r="M2044" s="6">
        <v>0</v>
      </c>
      <c r="N2044" s="6" t="str">
        <f>""</f>
        <v/>
      </c>
      <c r="O2044" s="6">
        <v>25442</v>
      </c>
      <c r="P2044" s="6" t="s">
        <v>8531</v>
      </c>
      <c r="R2044" s="6" t="s">
        <v>2106</v>
      </c>
      <c r="S2044" s="6" t="s">
        <v>8533</v>
      </c>
      <c r="T2044" s="6">
        <v>0</v>
      </c>
      <c r="U2044" s="6">
        <v>0</v>
      </c>
      <c r="V2044" s="6">
        <v>0</v>
      </c>
      <c r="W2044" s="6">
        <v>0</v>
      </c>
      <c r="X2044" s="6" t="s">
        <v>169</v>
      </c>
      <c r="Z2044" s="6" t="s">
        <v>170</v>
      </c>
      <c r="AA2044" s="6" t="s">
        <v>171</v>
      </c>
      <c r="AB2044" s="6">
        <v>0</v>
      </c>
      <c r="AC2044" s="6" t="str">
        <f>""</f>
        <v/>
      </c>
      <c r="AS2044" s="6">
        <v>0</v>
      </c>
      <c r="AT2044" s="6">
        <v>0</v>
      </c>
    </row>
    <row r="2045" spans="2:46">
      <c r="B2045" s="6" t="s">
        <v>8456</v>
      </c>
      <c r="D2045" s="6" t="s">
        <v>8189</v>
      </c>
      <c r="F2045" s="6" t="s">
        <v>8534</v>
      </c>
      <c r="G2045" s="6" t="str">
        <f>"KCE1723KTWH"</f>
        <v>KCE1723KTWH</v>
      </c>
      <c r="H2045" s="6" t="s">
        <v>8535</v>
      </c>
      <c r="I2045" s="6" t="s">
        <v>8536</v>
      </c>
      <c r="J2045" s="6" t="str">
        <f>"슬림핏 터틀넥 WHITE/FREE"</f>
        <v>슬림핏 터틀넥 WHITE/FREE</v>
      </c>
      <c r="K2045" s="6">
        <v>0</v>
      </c>
      <c r="L2045" s="6">
        <v>0</v>
      </c>
      <c r="M2045" s="6">
        <v>0</v>
      </c>
      <c r="N2045" s="6" t="str">
        <f>""</f>
        <v/>
      </c>
      <c r="O2045" s="6">
        <v>25440</v>
      </c>
      <c r="P2045" s="6" t="s">
        <v>8535</v>
      </c>
      <c r="R2045" s="6" t="s">
        <v>2167</v>
      </c>
      <c r="S2045" s="6" t="s">
        <v>8537</v>
      </c>
      <c r="T2045" s="6">
        <v>0</v>
      </c>
      <c r="U2045" s="6">
        <v>0</v>
      </c>
      <c r="V2045" s="6">
        <v>0</v>
      </c>
      <c r="W2045" s="6">
        <v>0</v>
      </c>
      <c r="X2045" s="6" t="s">
        <v>169</v>
      </c>
      <c r="Z2045" s="6" t="s">
        <v>170</v>
      </c>
      <c r="AA2045" s="6" t="s">
        <v>171</v>
      </c>
      <c r="AB2045" s="6">
        <v>0</v>
      </c>
      <c r="AC2045" s="6" t="str">
        <f>""</f>
        <v/>
      </c>
      <c r="AS2045" s="6">
        <v>0</v>
      </c>
      <c r="AT2045" s="6">
        <v>0</v>
      </c>
    </row>
    <row r="2046" spans="2:46">
      <c r="B2046" s="6" t="s">
        <v>8456</v>
      </c>
      <c r="D2046" s="6" t="s">
        <v>8189</v>
      </c>
      <c r="F2046" s="6" t="s">
        <v>8538</v>
      </c>
      <c r="G2046" s="6" t="str">
        <f>"KCE1723KTPK"</f>
        <v>KCE1723KTPK</v>
      </c>
      <c r="H2046" s="6" t="s">
        <v>8539</v>
      </c>
      <c r="I2046" s="6" t="s">
        <v>8540</v>
      </c>
      <c r="J2046" s="6" t="str">
        <f>"슬림핏 터틀넥 PINK/FREE"</f>
        <v>슬림핏 터틀넥 PINK/FREE</v>
      </c>
      <c r="K2046" s="6">
        <v>0</v>
      </c>
      <c r="L2046" s="6">
        <v>0</v>
      </c>
      <c r="M2046" s="6">
        <v>0</v>
      </c>
      <c r="N2046" s="6" t="str">
        <f>""</f>
        <v/>
      </c>
      <c r="O2046" s="6">
        <v>25438</v>
      </c>
      <c r="P2046" s="6" t="s">
        <v>8539</v>
      </c>
      <c r="R2046" s="6" t="s">
        <v>2446</v>
      </c>
      <c r="S2046" s="6" t="s">
        <v>8541</v>
      </c>
      <c r="T2046" s="6">
        <v>0</v>
      </c>
      <c r="U2046" s="6">
        <v>0</v>
      </c>
      <c r="V2046" s="6">
        <v>0</v>
      </c>
      <c r="W2046" s="6">
        <v>0</v>
      </c>
      <c r="X2046" s="6" t="s">
        <v>169</v>
      </c>
      <c r="Z2046" s="6" t="s">
        <v>170</v>
      </c>
      <c r="AA2046" s="6" t="s">
        <v>171</v>
      </c>
      <c r="AB2046" s="6">
        <v>0</v>
      </c>
      <c r="AC2046" s="6" t="str">
        <f>""</f>
        <v/>
      </c>
      <c r="AS2046" s="6">
        <v>0</v>
      </c>
      <c r="AT2046" s="6">
        <v>0</v>
      </c>
    </row>
    <row r="2047" spans="2:46">
      <c r="B2047" s="6" t="s">
        <v>8456</v>
      </c>
      <c r="D2047" s="6" t="s">
        <v>8189</v>
      </c>
      <c r="F2047" s="6" t="s">
        <v>8542</v>
      </c>
      <c r="G2047" s="6" t="str">
        <f>"KCE1723KTBG"</f>
        <v>KCE1723KTBG</v>
      </c>
      <c r="H2047" s="6" t="s">
        <v>8543</v>
      </c>
      <c r="I2047" s="6" t="s">
        <v>8544</v>
      </c>
      <c r="J2047" s="6" t="str">
        <f>"슬림핏 터틀넥 BEIGE/FREE"</f>
        <v>슬림핏 터틀넥 BEIGE/FREE</v>
      </c>
      <c r="K2047" s="6">
        <v>0</v>
      </c>
      <c r="L2047" s="6">
        <v>0</v>
      </c>
      <c r="M2047" s="6">
        <v>0</v>
      </c>
      <c r="N2047" s="6" t="str">
        <f>""</f>
        <v/>
      </c>
      <c r="O2047" s="6">
        <v>25436</v>
      </c>
      <c r="P2047" s="6" t="s">
        <v>8543</v>
      </c>
      <c r="R2047" s="6" t="s">
        <v>2102</v>
      </c>
      <c r="S2047" s="6" t="s">
        <v>8545</v>
      </c>
      <c r="T2047" s="6">
        <v>0</v>
      </c>
      <c r="U2047" s="6">
        <v>0</v>
      </c>
      <c r="V2047" s="6">
        <v>0</v>
      </c>
      <c r="W2047" s="6">
        <v>0</v>
      </c>
      <c r="X2047" s="6" t="s">
        <v>169</v>
      </c>
      <c r="Z2047" s="6" t="s">
        <v>170</v>
      </c>
      <c r="AA2047" s="6" t="s">
        <v>171</v>
      </c>
      <c r="AB2047" s="6">
        <v>0</v>
      </c>
      <c r="AC2047" s="6" t="str">
        <f>""</f>
        <v/>
      </c>
      <c r="AS2047" s="6">
        <v>0</v>
      </c>
      <c r="AT2047" s="6">
        <v>0</v>
      </c>
    </row>
    <row r="2048" spans="2:46">
      <c r="B2048" s="6" t="s">
        <v>8456</v>
      </c>
      <c r="D2048" s="6" t="s">
        <v>8189</v>
      </c>
      <c r="F2048" s="6" t="s">
        <v>8546</v>
      </c>
      <c r="G2048" s="6" t="str">
        <f>"KCE1722MSTKH"</f>
        <v>KCE1722MSTKH</v>
      </c>
      <c r="H2048" s="6" t="s">
        <v>8547</v>
      </c>
      <c r="I2048" s="6" t="s">
        <v>8548</v>
      </c>
      <c r="J2048" s="6" t="str">
        <f>"오프닝 무스탕 KHAKI/FREE"</f>
        <v>오프닝 무스탕 KHAKI/FREE</v>
      </c>
      <c r="K2048" s="6">
        <v>0</v>
      </c>
      <c r="L2048" s="6">
        <v>0</v>
      </c>
      <c r="M2048" s="6">
        <v>0</v>
      </c>
      <c r="N2048" s="6" t="str">
        <f>""</f>
        <v/>
      </c>
      <c r="O2048" s="6">
        <v>25434</v>
      </c>
      <c r="P2048" s="6" t="s">
        <v>8547</v>
      </c>
      <c r="R2048" s="6" t="s">
        <v>3576</v>
      </c>
      <c r="S2048" s="6" t="s">
        <v>8549</v>
      </c>
      <c r="T2048" s="6">
        <v>0</v>
      </c>
      <c r="U2048" s="6">
        <v>0</v>
      </c>
      <c r="V2048" s="6">
        <v>0</v>
      </c>
      <c r="W2048" s="6">
        <v>0</v>
      </c>
      <c r="X2048" s="6" t="s">
        <v>169</v>
      </c>
      <c r="Z2048" s="6" t="s">
        <v>170</v>
      </c>
      <c r="AA2048" s="6" t="s">
        <v>171</v>
      </c>
      <c r="AB2048" s="6">
        <v>0</v>
      </c>
      <c r="AC2048" s="6" t="str">
        <f>""</f>
        <v/>
      </c>
      <c r="AS2048" s="6">
        <v>0</v>
      </c>
      <c r="AT2048" s="6">
        <v>0</v>
      </c>
    </row>
    <row r="2049" spans="2:46">
      <c r="B2049" s="6" t="s">
        <v>8456</v>
      </c>
      <c r="D2049" s="6" t="s">
        <v>8189</v>
      </c>
      <c r="F2049" s="6" t="s">
        <v>8550</v>
      </c>
      <c r="G2049" s="6" t="str">
        <f>"KCE1722MSTBK"</f>
        <v>KCE1722MSTBK</v>
      </c>
      <c r="H2049" s="6" t="s">
        <v>8551</v>
      </c>
      <c r="I2049" s="6" t="s">
        <v>8552</v>
      </c>
      <c r="J2049" s="6" t="str">
        <f>"오프닝 무스탕 BLACK/FREE"</f>
        <v>오프닝 무스탕 BLACK/FREE</v>
      </c>
      <c r="K2049" s="6">
        <v>0</v>
      </c>
      <c r="L2049" s="6">
        <v>0</v>
      </c>
      <c r="M2049" s="6">
        <v>0</v>
      </c>
      <c r="N2049" s="6" t="str">
        <f>""</f>
        <v/>
      </c>
      <c r="O2049" s="6">
        <v>25432</v>
      </c>
      <c r="P2049" s="6" t="s">
        <v>8551</v>
      </c>
      <c r="R2049" s="6" t="s">
        <v>2106</v>
      </c>
      <c r="S2049" s="6" t="s">
        <v>8553</v>
      </c>
      <c r="T2049" s="6">
        <v>0</v>
      </c>
      <c r="U2049" s="6">
        <v>0</v>
      </c>
      <c r="V2049" s="6">
        <v>0</v>
      </c>
      <c r="W2049" s="6">
        <v>0</v>
      </c>
      <c r="X2049" s="6" t="s">
        <v>169</v>
      </c>
      <c r="Z2049" s="6" t="s">
        <v>170</v>
      </c>
      <c r="AA2049" s="6" t="s">
        <v>171</v>
      </c>
      <c r="AB2049" s="6">
        <v>0</v>
      </c>
      <c r="AC2049" s="6" t="str">
        <f>""</f>
        <v/>
      </c>
      <c r="AS2049" s="6">
        <v>0</v>
      </c>
      <c r="AT2049" s="6">
        <v>0</v>
      </c>
    </row>
    <row r="2050" spans="2:46">
      <c r="B2050" s="6" t="s">
        <v>8456</v>
      </c>
      <c r="D2050" s="6" t="s">
        <v>8189</v>
      </c>
      <c r="F2050" s="6" t="s">
        <v>8554</v>
      </c>
      <c r="G2050" s="6" t="str">
        <f>"KCE1722MSTBG"</f>
        <v>KCE1722MSTBG</v>
      </c>
      <c r="H2050" s="6" t="s">
        <v>8555</v>
      </c>
      <c r="I2050" s="6" t="s">
        <v>8556</v>
      </c>
      <c r="J2050" s="6" t="str">
        <f>"오프닝 무스탕 BEIGE/FREE"</f>
        <v>오프닝 무스탕 BEIGE/FREE</v>
      </c>
      <c r="K2050" s="6">
        <v>0</v>
      </c>
      <c r="L2050" s="6">
        <v>0</v>
      </c>
      <c r="M2050" s="6">
        <v>0</v>
      </c>
      <c r="N2050" s="6" t="str">
        <f>""</f>
        <v/>
      </c>
      <c r="O2050" s="6">
        <v>25430</v>
      </c>
      <c r="P2050" s="6" t="s">
        <v>8555</v>
      </c>
      <c r="R2050" s="6" t="s">
        <v>2102</v>
      </c>
      <c r="S2050" s="6" t="s">
        <v>8557</v>
      </c>
      <c r="T2050" s="6">
        <v>0</v>
      </c>
      <c r="U2050" s="6">
        <v>0</v>
      </c>
      <c r="V2050" s="6">
        <v>0</v>
      </c>
      <c r="W2050" s="6">
        <v>0</v>
      </c>
      <c r="X2050" s="6" t="s">
        <v>169</v>
      </c>
      <c r="Z2050" s="6" t="s">
        <v>170</v>
      </c>
      <c r="AA2050" s="6" t="s">
        <v>171</v>
      </c>
      <c r="AB2050" s="6">
        <v>0</v>
      </c>
      <c r="AC2050" s="6" t="str">
        <f>""</f>
        <v/>
      </c>
      <c r="AS2050" s="6">
        <v>0</v>
      </c>
      <c r="AT2050" s="6">
        <v>0</v>
      </c>
    </row>
    <row r="2051" spans="2:46">
      <c r="B2051" s="6" t="s">
        <v>8456</v>
      </c>
      <c r="D2051" s="6" t="s">
        <v>8189</v>
      </c>
      <c r="F2051" s="6" t="s">
        <v>8558</v>
      </c>
      <c r="G2051" s="6" t="str">
        <f>"KCE1721PDPKM"</f>
        <v>KCE1721PDPKM</v>
      </c>
      <c r="H2051" s="6" t="s">
        <v>8559</v>
      </c>
      <c r="I2051" s="6" t="s">
        <v>8560</v>
      </c>
      <c r="J2051" s="6" t="str">
        <f>"키클루 완판요정 롱패딩 PINK/M"</f>
        <v>키클루 완판요정 롱패딩 PINK/M</v>
      </c>
      <c r="K2051" s="6">
        <v>0</v>
      </c>
      <c r="L2051" s="6">
        <v>0</v>
      </c>
      <c r="M2051" s="6">
        <v>0</v>
      </c>
      <c r="N2051" s="6" t="str">
        <f>""</f>
        <v/>
      </c>
      <c r="O2051" s="6">
        <v>25428</v>
      </c>
      <c r="P2051" s="6" t="s">
        <v>8559</v>
      </c>
      <c r="R2051" s="6" t="s">
        <v>3708</v>
      </c>
      <c r="S2051" s="6" t="s">
        <v>8561</v>
      </c>
      <c r="T2051" s="6">
        <v>0</v>
      </c>
      <c r="U2051" s="6">
        <v>0</v>
      </c>
      <c r="V2051" s="6">
        <v>0</v>
      </c>
      <c r="W2051" s="6">
        <v>0</v>
      </c>
      <c r="X2051" s="6" t="s">
        <v>169</v>
      </c>
      <c r="Z2051" s="6" t="s">
        <v>170</v>
      </c>
      <c r="AA2051" s="6" t="s">
        <v>171</v>
      </c>
      <c r="AB2051" s="6">
        <v>0</v>
      </c>
      <c r="AC2051" s="6" t="str">
        <f>""</f>
        <v/>
      </c>
      <c r="AS2051" s="6">
        <v>0</v>
      </c>
      <c r="AT2051" s="6">
        <v>0</v>
      </c>
    </row>
    <row r="2052" spans="2:46">
      <c r="B2052" s="6" t="s">
        <v>8456</v>
      </c>
      <c r="D2052" s="6" t="s">
        <v>8189</v>
      </c>
      <c r="F2052" s="6" t="s">
        <v>8562</v>
      </c>
      <c r="G2052" s="6" t="str">
        <f>"KCE1721PDSBM"</f>
        <v>KCE1721PDSBM</v>
      </c>
      <c r="H2052" s="6" t="s">
        <v>8563</v>
      </c>
      <c r="I2052" s="6" t="s">
        <v>8564</v>
      </c>
      <c r="J2052" s="6" t="str">
        <f>"키클루 완판요정 롱패딩 SKY BLUE/M"</f>
        <v>키클루 완판요정 롱패딩 SKY BLUE/M</v>
      </c>
      <c r="K2052" s="6">
        <v>0</v>
      </c>
      <c r="L2052" s="6">
        <v>0</v>
      </c>
      <c r="M2052" s="6">
        <v>0</v>
      </c>
      <c r="N2052" s="6" t="str">
        <f>""</f>
        <v/>
      </c>
      <c r="O2052" s="6">
        <v>25426</v>
      </c>
      <c r="P2052" s="6" t="s">
        <v>8563</v>
      </c>
      <c r="R2052" s="6" t="s">
        <v>8565</v>
      </c>
      <c r="S2052" s="6" t="s">
        <v>8566</v>
      </c>
      <c r="T2052" s="6">
        <v>0</v>
      </c>
      <c r="U2052" s="6">
        <v>0</v>
      </c>
      <c r="V2052" s="6">
        <v>0</v>
      </c>
      <c r="W2052" s="6">
        <v>0</v>
      </c>
      <c r="X2052" s="6" t="s">
        <v>169</v>
      </c>
      <c r="Z2052" s="6" t="s">
        <v>170</v>
      </c>
      <c r="AA2052" s="6" t="s">
        <v>171</v>
      </c>
      <c r="AB2052" s="6">
        <v>0</v>
      </c>
      <c r="AC2052" s="6" t="str">
        <f>""</f>
        <v/>
      </c>
      <c r="AS2052" s="6">
        <v>0</v>
      </c>
      <c r="AT2052" s="6">
        <v>0</v>
      </c>
    </row>
    <row r="2053" spans="2:46">
      <c r="B2053" s="6" t="s">
        <v>8456</v>
      </c>
      <c r="D2053" s="6" t="s">
        <v>8189</v>
      </c>
      <c r="F2053" s="6" t="s">
        <v>8567</v>
      </c>
      <c r="G2053" s="6" t="str">
        <f>"KCE1721PDWHM"</f>
        <v>KCE1721PDWHM</v>
      </c>
      <c r="H2053" s="6" t="s">
        <v>8568</v>
      </c>
      <c r="I2053" s="6" t="s">
        <v>8569</v>
      </c>
      <c r="J2053" s="6" t="str">
        <f>"키클루 완판요정 롱패딩 WHITE/M"</f>
        <v>키클루 완판요정 롱패딩 WHITE/M</v>
      </c>
      <c r="K2053" s="6">
        <v>0</v>
      </c>
      <c r="L2053" s="6">
        <v>0</v>
      </c>
      <c r="M2053" s="6">
        <v>0</v>
      </c>
      <c r="N2053" s="6" t="str">
        <f>""</f>
        <v/>
      </c>
      <c r="O2053" s="6">
        <v>25424</v>
      </c>
      <c r="P2053" s="6" t="s">
        <v>8568</v>
      </c>
      <c r="R2053" s="6" t="s">
        <v>5197</v>
      </c>
      <c r="S2053" s="6" t="s">
        <v>8570</v>
      </c>
      <c r="T2053" s="6">
        <v>0</v>
      </c>
      <c r="U2053" s="6">
        <v>0</v>
      </c>
      <c r="V2053" s="6">
        <v>0</v>
      </c>
      <c r="W2053" s="6">
        <v>0</v>
      </c>
      <c r="X2053" s="6" t="s">
        <v>169</v>
      </c>
      <c r="Z2053" s="6" t="s">
        <v>170</v>
      </c>
      <c r="AA2053" s="6" t="s">
        <v>171</v>
      </c>
      <c r="AB2053" s="6">
        <v>0</v>
      </c>
      <c r="AC2053" s="6" t="str">
        <f>""</f>
        <v/>
      </c>
      <c r="AS2053" s="6">
        <v>0</v>
      </c>
      <c r="AT2053" s="6">
        <v>0</v>
      </c>
    </row>
    <row r="2054" spans="2:46">
      <c r="B2054" s="6" t="s">
        <v>8456</v>
      </c>
      <c r="D2054" s="6" t="s">
        <v>8189</v>
      </c>
      <c r="F2054" s="6" t="s">
        <v>8571</v>
      </c>
      <c r="G2054" s="6" t="str">
        <f>"KCE1721PDBKM"</f>
        <v>KCE1721PDBKM</v>
      </c>
      <c r="H2054" s="6" t="s">
        <v>8572</v>
      </c>
      <c r="I2054" s="6" t="s">
        <v>8573</v>
      </c>
      <c r="J2054" s="6" t="str">
        <f>"키클루 완판요정 롱패딩 BLACK/M"</f>
        <v>키클루 완판요정 롱패딩 BLACK/M</v>
      </c>
      <c r="K2054" s="6">
        <v>0</v>
      </c>
      <c r="L2054" s="6">
        <v>0</v>
      </c>
      <c r="M2054" s="6">
        <v>0</v>
      </c>
      <c r="N2054" s="6" t="str">
        <f>""</f>
        <v/>
      </c>
      <c r="O2054" s="6">
        <v>25422</v>
      </c>
      <c r="P2054" s="6" t="s">
        <v>8572</v>
      </c>
      <c r="R2054" s="6" t="s">
        <v>601</v>
      </c>
      <c r="S2054" s="6" t="s">
        <v>8574</v>
      </c>
      <c r="T2054" s="6">
        <v>0</v>
      </c>
      <c r="U2054" s="6">
        <v>0</v>
      </c>
      <c r="V2054" s="6">
        <v>0</v>
      </c>
      <c r="W2054" s="6">
        <v>0</v>
      </c>
      <c r="X2054" s="6" t="s">
        <v>169</v>
      </c>
      <c r="Z2054" s="6" t="s">
        <v>170</v>
      </c>
      <c r="AA2054" s="6" t="s">
        <v>171</v>
      </c>
      <c r="AB2054" s="6">
        <v>0</v>
      </c>
      <c r="AC2054" s="6" t="str">
        <f>""</f>
        <v/>
      </c>
      <c r="AS2054" s="6">
        <v>0</v>
      </c>
      <c r="AT2054" s="6">
        <v>0</v>
      </c>
    </row>
    <row r="2055" spans="2:46">
      <c r="B2055" s="6" t="s">
        <v>8456</v>
      </c>
      <c r="D2055" s="6" t="s">
        <v>8189</v>
      </c>
      <c r="F2055" s="6" t="s">
        <v>8575</v>
      </c>
      <c r="G2055" s="6" t="str">
        <f>"KCE1720PDPBL"</f>
        <v>KCE1720PDPBL</v>
      </c>
      <c r="H2055" s="6" t="s">
        <v>8576</v>
      </c>
      <c r="I2055" s="6" t="s">
        <v>8577</v>
      </c>
      <c r="J2055" s="6" t="str">
        <f>"오버핏 양면 패딩 PINK+BLUE GREEN/L"</f>
        <v>오버핏 양면 패딩 PINK+BLUE GREEN/L</v>
      </c>
      <c r="K2055" s="6">
        <v>0</v>
      </c>
      <c r="L2055" s="6">
        <v>0</v>
      </c>
      <c r="M2055" s="6">
        <v>0</v>
      </c>
      <c r="N2055" s="6" t="str">
        <f>""</f>
        <v/>
      </c>
      <c r="O2055" s="6">
        <v>25420</v>
      </c>
      <c r="P2055" s="6" t="s">
        <v>8576</v>
      </c>
      <c r="R2055" s="6" t="s">
        <v>8578</v>
      </c>
      <c r="S2055" s="6" t="s">
        <v>8579</v>
      </c>
      <c r="T2055" s="6">
        <v>0</v>
      </c>
      <c r="U2055" s="6">
        <v>0</v>
      </c>
      <c r="V2055" s="6">
        <v>0</v>
      </c>
      <c r="W2055" s="6">
        <v>0</v>
      </c>
      <c r="X2055" s="6" t="s">
        <v>169</v>
      </c>
      <c r="Z2055" s="6" t="s">
        <v>170</v>
      </c>
      <c r="AA2055" s="6" t="s">
        <v>171</v>
      </c>
      <c r="AB2055" s="6">
        <v>0</v>
      </c>
      <c r="AC2055" s="6" t="str">
        <f>""</f>
        <v/>
      </c>
      <c r="AS2055" s="6">
        <v>0</v>
      </c>
      <c r="AT2055" s="6">
        <v>0</v>
      </c>
    </row>
    <row r="2056" spans="2:46">
      <c r="B2056" s="6" t="s">
        <v>8456</v>
      </c>
      <c r="D2056" s="6" t="s">
        <v>8189</v>
      </c>
      <c r="F2056" s="6" t="s">
        <v>8580</v>
      </c>
      <c r="G2056" s="6" t="str">
        <f>"KCE1720PDBOL"</f>
        <v>KCE1720PDBOL</v>
      </c>
      <c r="H2056" s="6" t="s">
        <v>8581</v>
      </c>
      <c r="I2056" s="6" t="s">
        <v>8582</v>
      </c>
      <c r="J2056" s="6" t="str">
        <f>"오버핏 양면 패딩 BLACK+ORANGE/L"</f>
        <v>오버핏 양면 패딩 BLACK+ORANGE/L</v>
      </c>
      <c r="K2056" s="6">
        <v>0</v>
      </c>
      <c r="L2056" s="6">
        <v>0</v>
      </c>
      <c r="M2056" s="6">
        <v>0</v>
      </c>
      <c r="N2056" s="6" t="str">
        <f>""</f>
        <v/>
      </c>
      <c r="O2056" s="6">
        <v>25418</v>
      </c>
      <c r="P2056" s="6" t="s">
        <v>8581</v>
      </c>
      <c r="R2056" s="6" t="s">
        <v>8583</v>
      </c>
      <c r="S2056" s="6" t="s">
        <v>8584</v>
      </c>
      <c r="T2056" s="6">
        <v>0</v>
      </c>
      <c r="U2056" s="6">
        <v>0</v>
      </c>
      <c r="V2056" s="6">
        <v>0</v>
      </c>
      <c r="W2056" s="6">
        <v>0</v>
      </c>
      <c r="X2056" s="6" t="s">
        <v>169</v>
      </c>
      <c r="Z2056" s="6" t="s">
        <v>170</v>
      </c>
      <c r="AA2056" s="6" t="s">
        <v>171</v>
      </c>
      <c r="AB2056" s="6">
        <v>0</v>
      </c>
      <c r="AC2056" s="6" t="str">
        <f>""</f>
        <v/>
      </c>
      <c r="AS2056" s="6">
        <v>0</v>
      </c>
      <c r="AT2056" s="6">
        <v>0</v>
      </c>
    </row>
    <row r="2057" spans="2:46">
      <c r="B2057" s="6" t="s">
        <v>8456</v>
      </c>
      <c r="D2057" s="6" t="s">
        <v>8189</v>
      </c>
      <c r="F2057" s="6" t="s">
        <v>8585</v>
      </c>
      <c r="G2057" s="6" t="str">
        <f>"KCE178OPWN"</f>
        <v>KCE178OPWN</v>
      </c>
      <c r="H2057" s="6" t="s">
        <v>8586</v>
      </c>
      <c r="I2057" s="6" t="s">
        <v>8587</v>
      </c>
      <c r="J2057" s="6" t="str">
        <f>"스위트 원피스(WINE)"</f>
        <v>스위트 원피스(WINE)</v>
      </c>
      <c r="K2057" s="6">
        <v>0</v>
      </c>
      <c r="L2057" s="6">
        <v>0</v>
      </c>
      <c r="M2057" s="6">
        <v>0</v>
      </c>
      <c r="N2057" s="6" t="str">
        <f>""</f>
        <v/>
      </c>
      <c r="O2057" s="6">
        <v>25416</v>
      </c>
      <c r="P2057" s="6" t="s">
        <v>8586</v>
      </c>
      <c r="R2057" s="6" t="s">
        <v>3721</v>
      </c>
      <c r="S2057" s="6" t="s">
        <v>8588</v>
      </c>
      <c r="T2057" s="6">
        <v>0</v>
      </c>
      <c r="U2057" s="6">
        <v>0</v>
      </c>
      <c r="V2057" s="6">
        <v>0</v>
      </c>
      <c r="W2057" s="6">
        <v>0</v>
      </c>
      <c r="X2057" s="6" t="s">
        <v>169</v>
      </c>
      <c r="Z2057" s="6" t="s">
        <v>170</v>
      </c>
      <c r="AA2057" s="6" t="s">
        <v>171</v>
      </c>
      <c r="AB2057" s="6">
        <v>0</v>
      </c>
      <c r="AC2057" s="6" t="str">
        <f>""</f>
        <v/>
      </c>
      <c r="AS2057" s="6">
        <v>0</v>
      </c>
      <c r="AT2057" s="6">
        <v>0</v>
      </c>
    </row>
    <row r="2058" spans="2:46">
      <c r="B2058" s="6" t="s">
        <v>8456</v>
      </c>
      <c r="D2058" s="6" t="s">
        <v>8189</v>
      </c>
      <c r="F2058" s="6" t="s">
        <v>8589</v>
      </c>
      <c r="G2058" s="6" t="str">
        <f>"KCE178OPPK"</f>
        <v>KCE178OPPK</v>
      </c>
      <c r="H2058" s="6" t="s">
        <v>8590</v>
      </c>
      <c r="I2058" s="6" t="s">
        <v>8591</v>
      </c>
      <c r="J2058" s="6" t="str">
        <f>"스위트 원피스(PINK)"</f>
        <v>스위트 원피스(PINK)</v>
      </c>
      <c r="K2058" s="6">
        <v>0</v>
      </c>
      <c r="L2058" s="6">
        <v>0</v>
      </c>
      <c r="M2058" s="6">
        <v>0</v>
      </c>
      <c r="N2058" s="6" t="str">
        <f>""</f>
        <v/>
      </c>
      <c r="O2058" s="6">
        <v>25414</v>
      </c>
      <c r="P2058" s="6" t="s">
        <v>8590</v>
      </c>
      <c r="R2058" s="6" t="s">
        <v>2446</v>
      </c>
      <c r="S2058" s="6" t="s">
        <v>8592</v>
      </c>
      <c r="T2058" s="6">
        <v>0</v>
      </c>
      <c r="U2058" s="6">
        <v>0</v>
      </c>
      <c r="V2058" s="6">
        <v>0</v>
      </c>
      <c r="W2058" s="6">
        <v>0</v>
      </c>
      <c r="X2058" s="6" t="s">
        <v>169</v>
      </c>
      <c r="Z2058" s="6" t="s">
        <v>170</v>
      </c>
      <c r="AA2058" s="6" t="s">
        <v>171</v>
      </c>
      <c r="AB2058" s="6">
        <v>0</v>
      </c>
      <c r="AC2058" s="6" t="str">
        <f>""</f>
        <v/>
      </c>
      <c r="AS2058" s="6">
        <v>0</v>
      </c>
      <c r="AT2058" s="6">
        <v>0</v>
      </c>
    </row>
    <row r="2059" spans="2:46">
      <c r="B2059" s="6" t="s">
        <v>8456</v>
      </c>
      <c r="D2059" s="6" t="s">
        <v>8189</v>
      </c>
      <c r="F2059" s="6" t="s">
        <v>8593</v>
      </c>
      <c r="G2059" s="6" t="str">
        <f>"KCE178OPNY"</f>
        <v>KCE178OPNY</v>
      </c>
      <c r="H2059" s="6" t="s">
        <v>8594</v>
      </c>
      <c r="I2059" s="6" t="s">
        <v>8595</v>
      </c>
      <c r="J2059" s="6" t="str">
        <f>"스위트 원피스(NAVY)"</f>
        <v>스위트 원피스(NAVY)</v>
      </c>
      <c r="K2059" s="6">
        <v>0</v>
      </c>
      <c r="L2059" s="6">
        <v>0</v>
      </c>
      <c r="M2059" s="6">
        <v>0</v>
      </c>
      <c r="N2059" s="6" t="str">
        <f>""</f>
        <v/>
      </c>
      <c r="O2059" s="6">
        <v>25412</v>
      </c>
      <c r="P2059" s="6" t="s">
        <v>8594</v>
      </c>
      <c r="R2059" s="6" t="s">
        <v>2111</v>
      </c>
      <c r="S2059" s="6" t="s">
        <v>8596</v>
      </c>
      <c r="T2059" s="6">
        <v>0</v>
      </c>
      <c r="U2059" s="6">
        <v>0</v>
      </c>
      <c r="V2059" s="6">
        <v>0</v>
      </c>
      <c r="W2059" s="6">
        <v>0</v>
      </c>
      <c r="X2059" s="6" t="s">
        <v>169</v>
      </c>
      <c r="Z2059" s="6" t="s">
        <v>170</v>
      </c>
      <c r="AA2059" s="6" t="s">
        <v>171</v>
      </c>
      <c r="AB2059" s="6">
        <v>0</v>
      </c>
      <c r="AC2059" s="6" t="str">
        <f>""</f>
        <v/>
      </c>
      <c r="AS2059" s="6">
        <v>0</v>
      </c>
      <c r="AT2059" s="6">
        <v>0</v>
      </c>
    </row>
    <row r="2060" spans="2:46">
      <c r="B2060" s="6" t="s">
        <v>8456</v>
      </c>
      <c r="D2060" s="6" t="s">
        <v>8189</v>
      </c>
      <c r="F2060" s="6" t="s">
        <v>8597</v>
      </c>
      <c r="G2060" s="6" t="str">
        <f>"KCE177TSPP"</f>
        <v>KCE177TSPP</v>
      </c>
      <c r="H2060" s="6" t="s">
        <v>8598</v>
      </c>
      <c r="I2060" s="6" t="s">
        <v>8599</v>
      </c>
      <c r="J2060" s="6" t="str">
        <f>"레인보우 후드 (PURPLE)"</f>
        <v>레인보우 후드 (PURPLE)</v>
      </c>
      <c r="K2060" s="6">
        <v>0</v>
      </c>
      <c r="L2060" s="6">
        <v>0</v>
      </c>
      <c r="M2060" s="6">
        <v>0</v>
      </c>
      <c r="N2060" s="6" t="str">
        <f>""</f>
        <v/>
      </c>
      <c r="O2060" s="6">
        <v>25410</v>
      </c>
      <c r="P2060" s="6" t="s">
        <v>8598</v>
      </c>
      <c r="R2060" s="6" t="s">
        <v>2913</v>
      </c>
      <c r="S2060" s="6" t="s">
        <v>8600</v>
      </c>
      <c r="T2060" s="6">
        <v>0</v>
      </c>
      <c r="U2060" s="6">
        <v>0</v>
      </c>
      <c r="V2060" s="6">
        <v>0</v>
      </c>
      <c r="W2060" s="6">
        <v>0</v>
      </c>
      <c r="X2060" s="6" t="s">
        <v>169</v>
      </c>
      <c r="Z2060" s="6" t="s">
        <v>170</v>
      </c>
      <c r="AA2060" s="6" t="s">
        <v>171</v>
      </c>
      <c r="AB2060" s="6">
        <v>0</v>
      </c>
      <c r="AC2060" s="6" t="str">
        <f>""</f>
        <v/>
      </c>
      <c r="AS2060" s="6">
        <v>0</v>
      </c>
      <c r="AT2060" s="6">
        <v>0</v>
      </c>
    </row>
    <row r="2061" spans="2:46">
      <c r="B2061" s="6" t="s">
        <v>8456</v>
      </c>
      <c r="D2061" s="6" t="s">
        <v>8189</v>
      </c>
      <c r="F2061" s="6" t="s">
        <v>8601</v>
      </c>
      <c r="G2061" s="6" t="str">
        <f>"KCE177TSBK"</f>
        <v>KCE177TSBK</v>
      </c>
      <c r="H2061" s="6" t="s">
        <v>8602</v>
      </c>
      <c r="I2061" s="6" t="s">
        <v>8603</v>
      </c>
      <c r="J2061" s="6" t="str">
        <f>"레인보우 후드 (BLACK)"</f>
        <v>레인보우 후드 (BLACK)</v>
      </c>
      <c r="K2061" s="6">
        <v>0</v>
      </c>
      <c r="L2061" s="6">
        <v>0</v>
      </c>
      <c r="M2061" s="6">
        <v>0</v>
      </c>
      <c r="N2061" s="6" t="str">
        <f>""</f>
        <v/>
      </c>
      <c r="O2061" s="6">
        <v>25408</v>
      </c>
      <c r="P2061" s="6" t="s">
        <v>8602</v>
      </c>
      <c r="R2061" s="6" t="s">
        <v>2106</v>
      </c>
      <c r="S2061" s="6" t="s">
        <v>8604</v>
      </c>
      <c r="T2061" s="6">
        <v>0</v>
      </c>
      <c r="U2061" s="6">
        <v>0</v>
      </c>
      <c r="V2061" s="6">
        <v>0</v>
      </c>
      <c r="W2061" s="6">
        <v>0</v>
      </c>
      <c r="X2061" s="6" t="s">
        <v>169</v>
      </c>
      <c r="Z2061" s="6" t="s">
        <v>170</v>
      </c>
      <c r="AA2061" s="6" t="s">
        <v>171</v>
      </c>
      <c r="AB2061" s="6">
        <v>0</v>
      </c>
      <c r="AC2061" s="6" t="str">
        <f>""</f>
        <v/>
      </c>
      <c r="AS2061" s="6">
        <v>0</v>
      </c>
      <c r="AT2061" s="6">
        <v>0</v>
      </c>
    </row>
    <row r="2062" spans="2:46">
      <c r="B2062" s="6" t="s">
        <v>8456</v>
      </c>
      <c r="D2062" s="6" t="s">
        <v>8189</v>
      </c>
      <c r="F2062" s="6" t="s">
        <v>8605</v>
      </c>
      <c r="G2062" s="6" t="str">
        <f>"KCE177TSGY"</f>
        <v>KCE177TSGY</v>
      </c>
      <c r="H2062" s="6" t="s">
        <v>8606</v>
      </c>
      <c r="I2062" s="6" t="s">
        <v>8607</v>
      </c>
      <c r="J2062" s="6" t="str">
        <f>"레인보우 후드 (GRAY)"</f>
        <v>레인보우 후드 (GRAY)</v>
      </c>
      <c r="K2062" s="6">
        <v>0</v>
      </c>
      <c r="L2062" s="6">
        <v>0</v>
      </c>
      <c r="M2062" s="6">
        <v>0</v>
      </c>
      <c r="N2062" s="6" t="str">
        <f>""</f>
        <v/>
      </c>
      <c r="O2062" s="6">
        <v>25406</v>
      </c>
      <c r="P2062" s="6" t="s">
        <v>8606</v>
      </c>
      <c r="R2062" s="6" t="s">
        <v>2364</v>
      </c>
      <c r="S2062" s="6" t="s">
        <v>8608</v>
      </c>
      <c r="T2062" s="6">
        <v>0</v>
      </c>
      <c r="U2062" s="6">
        <v>0</v>
      </c>
      <c r="V2062" s="6">
        <v>0</v>
      </c>
      <c r="W2062" s="6">
        <v>0</v>
      </c>
      <c r="X2062" s="6" t="s">
        <v>169</v>
      </c>
      <c r="Z2062" s="6" t="s">
        <v>170</v>
      </c>
      <c r="AA2062" s="6" t="s">
        <v>171</v>
      </c>
      <c r="AB2062" s="6">
        <v>0</v>
      </c>
      <c r="AC2062" s="6" t="str">
        <f>""</f>
        <v/>
      </c>
      <c r="AS2062" s="6">
        <v>0</v>
      </c>
      <c r="AT2062" s="6">
        <v>0</v>
      </c>
    </row>
    <row r="2063" spans="2:46">
      <c r="B2063" s="6" t="s">
        <v>8456</v>
      </c>
      <c r="D2063" s="6" t="s">
        <v>8189</v>
      </c>
      <c r="F2063" s="6" t="s">
        <v>8609</v>
      </c>
      <c r="G2063" s="6" t="str">
        <f>"KCE177TSYE"</f>
        <v>KCE177TSYE</v>
      </c>
      <c r="H2063" s="6" t="s">
        <v>8610</v>
      </c>
      <c r="I2063" s="6" t="s">
        <v>8611</v>
      </c>
      <c r="J2063" s="6" t="str">
        <f>"레인보우 후드 (YELLOW)"</f>
        <v>레인보우 후드 (YELLOW)</v>
      </c>
      <c r="K2063" s="6">
        <v>0</v>
      </c>
      <c r="L2063" s="6">
        <v>0</v>
      </c>
      <c r="M2063" s="6">
        <v>0</v>
      </c>
      <c r="N2063" s="6" t="str">
        <f>""</f>
        <v/>
      </c>
      <c r="O2063" s="6">
        <v>25404</v>
      </c>
      <c r="P2063" s="6" t="s">
        <v>8610</v>
      </c>
      <c r="R2063" s="6" t="s">
        <v>2570</v>
      </c>
      <c r="S2063" s="6" t="s">
        <v>8612</v>
      </c>
      <c r="T2063" s="6">
        <v>0</v>
      </c>
      <c r="U2063" s="6">
        <v>0</v>
      </c>
      <c r="V2063" s="6">
        <v>0</v>
      </c>
      <c r="W2063" s="6">
        <v>0</v>
      </c>
      <c r="X2063" s="6" t="s">
        <v>169</v>
      </c>
      <c r="Z2063" s="6" t="s">
        <v>170</v>
      </c>
      <c r="AA2063" s="6" t="s">
        <v>171</v>
      </c>
      <c r="AB2063" s="6">
        <v>0</v>
      </c>
      <c r="AC2063" s="6" t="str">
        <f>""</f>
        <v/>
      </c>
      <c r="AS2063" s="6">
        <v>0</v>
      </c>
      <c r="AT2063" s="6">
        <v>0</v>
      </c>
    </row>
    <row r="2064" spans="2:46">
      <c r="B2064" s="6" t="s">
        <v>8456</v>
      </c>
      <c r="D2064" s="6" t="s">
        <v>8189</v>
      </c>
      <c r="F2064" s="6" t="s">
        <v>8613</v>
      </c>
      <c r="G2064" s="6" t="str">
        <f>"KCE177TSPK"</f>
        <v>KCE177TSPK</v>
      </c>
      <c r="H2064" s="6" t="s">
        <v>8614</v>
      </c>
      <c r="I2064" s="6" t="s">
        <v>8615</v>
      </c>
      <c r="J2064" s="6" t="str">
        <f>"레인보우 후드 (PINK)"</f>
        <v>레인보우 후드 (PINK)</v>
      </c>
      <c r="K2064" s="6">
        <v>0</v>
      </c>
      <c r="L2064" s="6">
        <v>0</v>
      </c>
      <c r="M2064" s="6">
        <v>0</v>
      </c>
      <c r="N2064" s="6" t="str">
        <f>""</f>
        <v/>
      </c>
      <c r="O2064" s="6">
        <v>25402</v>
      </c>
      <c r="P2064" s="6" t="s">
        <v>8614</v>
      </c>
      <c r="R2064" s="6" t="s">
        <v>2446</v>
      </c>
      <c r="S2064" s="6" t="s">
        <v>8616</v>
      </c>
      <c r="T2064" s="6">
        <v>0</v>
      </c>
      <c r="U2064" s="6">
        <v>0</v>
      </c>
      <c r="V2064" s="6">
        <v>0</v>
      </c>
      <c r="W2064" s="6">
        <v>0</v>
      </c>
      <c r="X2064" s="6" t="s">
        <v>169</v>
      </c>
      <c r="Z2064" s="6" t="s">
        <v>170</v>
      </c>
      <c r="AA2064" s="6" t="s">
        <v>171</v>
      </c>
      <c r="AB2064" s="6">
        <v>0</v>
      </c>
      <c r="AC2064" s="6" t="str">
        <f>""</f>
        <v/>
      </c>
      <c r="AS2064" s="6">
        <v>0</v>
      </c>
      <c r="AT2064" s="6">
        <v>0</v>
      </c>
    </row>
    <row r="2065" spans="2:46">
      <c r="B2065" s="6" t="s">
        <v>8456</v>
      </c>
      <c r="D2065" s="6" t="s">
        <v>8189</v>
      </c>
      <c r="F2065" s="6" t="s">
        <v>8617</v>
      </c>
      <c r="G2065" s="6" t="str">
        <f>"KCE177TSWH"</f>
        <v>KCE177TSWH</v>
      </c>
      <c r="H2065" s="6" t="s">
        <v>8618</v>
      </c>
      <c r="I2065" s="6" t="s">
        <v>8619</v>
      </c>
      <c r="J2065" s="6" t="str">
        <f>"레인보우 후드 (WHITE)"</f>
        <v>레인보우 후드 (WHITE)</v>
      </c>
      <c r="K2065" s="6">
        <v>0</v>
      </c>
      <c r="L2065" s="6">
        <v>0</v>
      </c>
      <c r="M2065" s="6">
        <v>0</v>
      </c>
      <c r="N2065" s="6" t="str">
        <f>""</f>
        <v/>
      </c>
      <c r="O2065" s="6">
        <v>25400</v>
      </c>
      <c r="P2065" s="6" t="s">
        <v>8618</v>
      </c>
      <c r="R2065" s="6" t="s">
        <v>2167</v>
      </c>
      <c r="S2065" s="6" t="s">
        <v>8620</v>
      </c>
      <c r="T2065" s="6">
        <v>0</v>
      </c>
      <c r="U2065" s="6">
        <v>0</v>
      </c>
      <c r="V2065" s="6">
        <v>0</v>
      </c>
      <c r="W2065" s="6">
        <v>0</v>
      </c>
      <c r="X2065" s="6" t="s">
        <v>169</v>
      </c>
      <c r="Z2065" s="6" t="s">
        <v>170</v>
      </c>
      <c r="AA2065" s="6" t="s">
        <v>171</v>
      </c>
      <c r="AB2065" s="6">
        <v>0</v>
      </c>
      <c r="AC2065" s="6" t="str">
        <f>""</f>
        <v/>
      </c>
      <c r="AS2065" s="6">
        <v>0</v>
      </c>
      <c r="AT2065" s="6">
        <v>0</v>
      </c>
    </row>
    <row r="2066" spans="2:46">
      <c r="B2066" s="6" t="s">
        <v>8456</v>
      </c>
      <c r="D2066" s="6" t="s">
        <v>8189</v>
      </c>
      <c r="F2066" s="6" t="s">
        <v>8621</v>
      </c>
      <c r="G2066" s="6" t="str">
        <f>"KCE176SKGN"</f>
        <v>KCE176SKGN</v>
      </c>
      <c r="H2066" s="6" t="s">
        <v>8622</v>
      </c>
      <c r="I2066" s="6" t="s">
        <v>8623</v>
      </c>
      <c r="J2066" s="6" t="str">
        <f>"타탄치마바지 (GREEN)"</f>
        <v>타탄치마바지 (GREEN)</v>
      </c>
      <c r="K2066" s="6">
        <v>0</v>
      </c>
      <c r="L2066" s="6">
        <v>0</v>
      </c>
      <c r="M2066" s="6">
        <v>0</v>
      </c>
      <c r="N2066" s="6" t="str">
        <f>""</f>
        <v/>
      </c>
      <c r="O2066" s="6">
        <v>25398</v>
      </c>
      <c r="P2066" s="6" t="s">
        <v>8622</v>
      </c>
      <c r="R2066" s="6" t="s">
        <v>2512</v>
      </c>
      <c r="S2066" s="6" t="s">
        <v>8624</v>
      </c>
      <c r="T2066" s="6">
        <v>0</v>
      </c>
      <c r="U2066" s="6">
        <v>0</v>
      </c>
      <c r="V2066" s="6">
        <v>0</v>
      </c>
      <c r="W2066" s="6">
        <v>0</v>
      </c>
      <c r="X2066" s="6" t="s">
        <v>169</v>
      </c>
      <c r="Z2066" s="6" t="s">
        <v>170</v>
      </c>
      <c r="AA2066" s="6" t="s">
        <v>171</v>
      </c>
      <c r="AB2066" s="6">
        <v>0</v>
      </c>
      <c r="AC2066" s="6" t="str">
        <f>""</f>
        <v/>
      </c>
      <c r="AS2066" s="6">
        <v>0</v>
      </c>
      <c r="AT2066" s="6">
        <v>0</v>
      </c>
    </row>
    <row r="2067" spans="2:46">
      <c r="B2067" s="6" t="s">
        <v>8456</v>
      </c>
      <c r="D2067" s="6" t="s">
        <v>8189</v>
      </c>
      <c r="F2067" s="6" t="s">
        <v>8625</v>
      </c>
      <c r="G2067" s="6" t="str">
        <f>"KCE176SKWN"</f>
        <v>KCE176SKWN</v>
      </c>
      <c r="H2067" s="6" t="s">
        <v>8626</v>
      </c>
      <c r="I2067" s="6" t="s">
        <v>8627</v>
      </c>
      <c r="J2067" s="6" t="str">
        <f>"타탄치마바지 (WINE)"</f>
        <v>타탄치마바지 (WINE)</v>
      </c>
      <c r="K2067" s="6">
        <v>0</v>
      </c>
      <c r="L2067" s="6">
        <v>0</v>
      </c>
      <c r="M2067" s="6">
        <v>0</v>
      </c>
      <c r="N2067" s="6" t="str">
        <f>""</f>
        <v/>
      </c>
      <c r="O2067" s="6">
        <v>25396</v>
      </c>
      <c r="P2067" s="6" t="s">
        <v>8626</v>
      </c>
      <c r="R2067" s="6" t="s">
        <v>3721</v>
      </c>
      <c r="S2067" s="6" t="s">
        <v>8628</v>
      </c>
      <c r="T2067" s="6">
        <v>0</v>
      </c>
      <c r="U2067" s="6">
        <v>0</v>
      </c>
      <c r="V2067" s="6">
        <v>0</v>
      </c>
      <c r="W2067" s="6">
        <v>0</v>
      </c>
      <c r="X2067" s="6" t="s">
        <v>169</v>
      </c>
      <c r="Z2067" s="6" t="s">
        <v>170</v>
      </c>
      <c r="AA2067" s="6" t="s">
        <v>171</v>
      </c>
      <c r="AB2067" s="6">
        <v>0</v>
      </c>
      <c r="AC2067" s="6" t="str">
        <f>""</f>
        <v/>
      </c>
      <c r="AS2067" s="6">
        <v>0</v>
      </c>
      <c r="AT2067" s="6">
        <v>0</v>
      </c>
    </row>
    <row r="2068" spans="2:46">
      <c r="B2068" s="6" t="s">
        <v>8456</v>
      </c>
      <c r="D2068" s="6" t="s">
        <v>8189</v>
      </c>
      <c r="F2068" s="6" t="s">
        <v>8629</v>
      </c>
      <c r="G2068" s="6" t="str">
        <f>"KCE175OPPKM"</f>
        <v>KCE175OPPKM</v>
      </c>
      <c r="H2068" s="6" t="s">
        <v>8630</v>
      </c>
      <c r="I2068" s="6" t="s">
        <v>8631</v>
      </c>
      <c r="J2068" s="6" t="str">
        <f>"레이스 원피스 (PINK)"</f>
        <v>레이스 원피스 (PINK)</v>
      </c>
      <c r="K2068" s="6">
        <v>0</v>
      </c>
      <c r="L2068" s="6">
        <v>0</v>
      </c>
      <c r="M2068" s="6">
        <v>0</v>
      </c>
      <c r="N2068" s="6" t="str">
        <f>""</f>
        <v/>
      </c>
      <c r="O2068" s="6">
        <v>25394</v>
      </c>
      <c r="P2068" s="6" t="s">
        <v>8630</v>
      </c>
      <c r="R2068" s="6" t="s">
        <v>3708</v>
      </c>
      <c r="S2068" s="6" t="s">
        <v>8632</v>
      </c>
      <c r="T2068" s="6">
        <v>0</v>
      </c>
      <c r="U2068" s="6">
        <v>0</v>
      </c>
      <c r="V2068" s="6">
        <v>0</v>
      </c>
      <c r="W2068" s="6">
        <v>0</v>
      </c>
      <c r="X2068" s="6" t="s">
        <v>169</v>
      </c>
      <c r="Z2068" s="6" t="s">
        <v>170</v>
      </c>
      <c r="AA2068" s="6" t="s">
        <v>171</v>
      </c>
      <c r="AB2068" s="6">
        <v>0</v>
      </c>
      <c r="AC2068" s="6" t="str">
        <f>""</f>
        <v/>
      </c>
      <c r="AS2068" s="6">
        <v>0</v>
      </c>
      <c r="AT2068" s="6">
        <v>0</v>
      </c>
    </row>
    <row r="2069" spans="2:46">
      <c r="B2069" s="6" t="s">
        <v>8456</v>
      </c>
      <c r="D2069" s="6" t="s">
        <v>8189</v>
      </c>
      <c r="F2069" s="6" t="s">
        <v>8633</v>
      </c>
      <c r="G2069" s="6" t="str">
        <f>"KCE175OPPKS"</f>
        <v>KCE175OPPKS</v>
      </c>
      <c r="H2069" s="6" t="s">
        <v>8634</v>
      </c>
      <c r="I2069" s="6" t="s">
        <v>8631</v>
      </c>
      <c r="J2069" s="6" t="str">
        <f>"레이스 원피스 (PINK)"</f>
        <v>레이스 원피스 (PINK)</v>
      </c>
      <c r="K2069" s="6">
        <v>0</v>
      </c>
      <c r="L2069" s="6">
        <v>0</v>
      </c>
      <c r="M2069" s="6">
        <v>0</v>
      </c>
      <c r="N2069" s="6" t="str">
        <f>""</f>
        <v/>
      </c>
      <c r="O2069" s="6">
        <v>25393</v>
      </c>
      <c r="P2069" s="6" t="s">
        <v>8634</v>
      </c>
      <c r="R2069" s="6" t="s">
        <v>3712</v>
      </c>
      <c r="S2069" s="6" t="s">
        <v>8635</v>
      </c>
      <c r="T2069" s="6">
        <v>0</v>
      </c>
      <c r="U2069" s="6">
        <v>0</v>
      </c>
      <c r="V2069" s="6">
        <v>0</v>
      </c>
      <c r="W2069" s="6">
        <v>0</v>
      </c>
      <c r="X2069" s="6" t="s">
        <v>169</v>
      </c>
      <c r="Z2069" s="6" t="s">
        <v>170</v>
      </c>
      <c r="AA2069" s="6" t="s">
        <v>171</v>
      </c>
      <c r="AB2069" s="6">
        <v>0</v>
      </c>
      <c r="AC2069" s="6" t="str">
        <f>""</f>
        <v/>
      </c>
      <c r="AS2069" s="6">
        <v>0</v>
      </c>
      <c r="AT2069" s="6">
        <v>0</v>
      </c>
    </row>
    <row r="2070" spans="2:46">
      <c r="B2070" s="6" t="s">
        <v>8456</v>
      </c>
      <c r="D2070" s="6" t="s">
        <v>8189</v>
      </c>
      <c r="F2070" s="6" t="s">
        <v>8636</v>
      </c>
      <c r="G2070" s="6" t="str">
        <f>"KCE175OPBKM"</f>
        <v>KCE175OPBKM</v>
      </c>
      <c r="H2070" s="6" t="s">
        <v>8637</v>
      </c>
      <c r="I2070" s="6" t="s">
        <v>8638</v>
      </c>
      <c r="J2070" s="6" t="str">
        <f>"레이스 원피스 (BLACK)"</f>
        <v>레이스 원피스 (BLACK)</v>
      </c>
      <c r="K2070" s="6">
        <v>0</v>
      </c>
      <c r="L2070" s="6">
        <v>0</v>
      </c>
      <c r="M2070" s="6">
        <v>0</v>
      </c>
      <c r="N2070" s="6" t="str">
        <f>""</f>
        <v/>
      </c>
      <c r="O2070" s="6">
        <v>25391</v>
      </c>
      <c r="P2070" s="6" t="s">
        <v>8637</v>
      </c>
      <c r="R2070" s="6" t="s">
        <v>601</v>
      </c>
      <c r="S2070" s="6" t="s">
        <v>8639</v>
      </c>
      <c r="T2070" s="6">
        <v>0</v>
      </c>
      <c r="U2070" s="6">
        <v>0</v>
      </c>
      <c r="V2070" s="6">
        <v>0</v>
      </c>
      <c r="W2070" s="6">
        <v>0</v>
      </c>
      <c r="X2070" s="6" t="s">
        <v>169</v>
      </c>
      <c r="Z2070" s="6" t="s">
        <v>170</v>
      </c>
      <c r="AA2070" s="6" t="s">
        <v>171</v>
      </c>
      <c r="AB2070" s="6">
        <v>0</v>
      </c>
      <c r="AC2070" s="6" t="str">
        <f>""</f>
        <v/>
      </c>
      <c r="AS2070" s="6">
        <v>0</v>
      </c>
      <c r="AT2070" s="6">
        <v>0</v>
      </c>
    </row>
    <row r="2071" spans="2:46">
      <c r="B2071" s="6" t="s">
        <v>8456</v>
      </c>
      <c r="D2071" s="6" t="s">
        <v>8189</v>
      </c>
      <c r="F2071" s="6" t="s">
        <v>8640</v>
      </c>
      <c r="G2071" s="6" t="str">
        <f>"KCE175OPBKS"</f>
        <v>KCE175OPBKS</v>
      </c>
      <c r="H2071" s="6" t="s">
        <v>8641</v>
      </c>
      <c r="I2071" s="6" t="s">
        <v>8638</v>
      </c>
      <c r="J2071" s="6" t="str">
        <f>"레이스 원피스 (BLACK)"</f>
        <v>레이스 원피스 (BLACK)</v>
      </c>
      <c r="K2071" s="6">
        <v>0</v>
      </c>
      <c r="L2071" s="6">
        <v>0</v>
      </c>
      <c r="M2071" s="6">
        <v>0</v>
      </c>
      <c r="N2071" s="6" t="str">
        <f>""</f>
        <v/>
      </c>
      <c r="O2071" s="6">
        <v>25390</v>
      </c>
      <c r="P2071" s="6" t="s">
        <v>8641</v>
      </c>
      <c r="R2071" s="6" t="s">
        <v>606</v>
      </c>
      <c r="S2071" s="6" t="s">
        <v>8642</v>
      </c>
      <c r="T2071" s="6">
        <v>0</v>
      </c>
      <c r="U2071" s="6">
        <v>0</v>
      </c>
      <c r="V2071" s="6">
        <v>0</v>
      </c>
      <c r="W2071" s="6">
        <v>0</v>
      </c>
      <c r="X2071" s="6" t="s">
        <v>169</v>
      </c>
      <c r="Z2071" s="6" t="s">
        <v>170</v>
      </c>
      <c r="AA2071" s="6" t="s">
        <v>171</v>
      </c>
      <c r="AB2071" s="6">
        <v>0</v>
      </c>
      <c r="AC2071" s="6" t="str">
        <f>""</f>
        <v/>
      </c>
      <c r="AS2071" s="6">
        <v>0</v>
      </c>
      <c r="AT2071" s="6">
        <v>0</v>
      </c>
    </row>
    <row r="2072" spans="2:46">
      <c r="B2072" s="6" t="s">
        <v>8456</v>
      </c>
      <c r="D2072" s="6" t="s">
        <v>8189</v>
      </c>
      <c r="F2072" s="6" t="s">
        <v>8643</v>
      </c>
      <c r="G2072" s="6" t="str">
        <f>"KCE174OPWN"</f>
        <v>KCE174OPWN</v>
      </c>
      <c r="H2072" s="6" t="s">
        <v>8644</v>
      </c>
      <c r="I2072" s="6" t="s">
        <v>8645</v>
      </c>
      <c r="J2072" s="6" t="str">
        <f>"클래식 랩 원피스 (WINE)"</f>
        <v>클래식 랩 원피스 (WINE)</v>
      </c>
      <c r="K2072" s="6">
        <v>0</v>
      </c>
      <c r="L2072" s="6">
        <v>0</v>
      </c>
      <c r="M2072" s="6">
        <v>0</v>
      </c>
      <c r="N2072" s="6" t="str">
        <f>""</f>
        <v/>
      </c>
      <c r="O2072" s="6">
        <v>25388</v>
      </c>
      <c r="P2072" s="6" t="s">
        <v>8644</v>
      </c>
      <c r="R2072" s="6" t="s">
        <v>3721</v>
      </c>
      <c r="S2072" s="6" t="s">
        <v>8646</v>
      </c>
      <c r="T2072" s="6">
        <v>0</v>
      </c>
      <c r="U2072" s="6">
        <v>0</v>
      </c>
      <c r="V2072" s="6">
        <v>0</v>
      </c>
      <c r="W2072" s="6">
        <v>0</v>
      </c>
      <c r="X2072" s="6" t="s">
        <v>169</v>
      </c>
      <c r="Z2072" s="6" t="s">
        <v>170</v>
      </c>
      <c r="AA2072" s="6" t="s">
        <v>171</v>
      </c>
      <c r="AB2072" s="6">
        <v>0</v>
      </c>
      <c r="AC2072" s="6" t="str">
        <f>""</f>
        <v/>
      </c>
      <c r="AS2072" s="6">
        <v>0</v>
      </c>
      <c r="AT2072" s="6">
        <v>0</v>
      </c>
    </row>
    <row r="2073" spans="2:46">
      <c r="B2073" s="6" t="s">
        <v>8456</v>
      </c>
      <c r="D2073" s="6" t="s">
        <v>8189</v>
      </c>
      <c r="F2073" s="6" t="s">
        <v>8647</v>
      </c>
      <c r="G2073" s="6" t="str">
        <f>"KCE174OPBG"</f>
        <v>KCE174OPBG</v>
      </c>
      <c r="H2073" s="6" t="s">
        <v>8648</v>
      </c>
      <c r="I2073" s="6" t="s">
        <v>8649</v>
      </c>
      <c r="J2073" s="6" t="str">
        <f>"클래식 랩 원피스 (BEIGE)"</f>
        <v>클래식 랩 원피스 (BEIGE)</v>
      </c>
      <c r="K2073" s="6">
        <v>0</v>
      </c>
      <c r="L2073" s="6">
        <v>0</v>
      </c>
      <c r="M2073" s="6">
        <v>0</v>
      </c>
      <c r="N2073" s="6" t="str">
        <f>""</f>
        <v/>
      </c>
      <c r="O2073" s="6">
        <v>25386</v>
      </c>
      <c r="P2073" s="6" t="s">
        <v>8648</v>
      </c>
      <c r="R2073" s="6" t="s">
        <v>2102</v>
      </c>
      <c r="S2073" s="6" t="s">
        <v>8650</v>
      </c>
      <c r="T2073" s="6">
        <v>0</v>
      </c>
      <c r="U2073" s="6">
        <v>0</v>
      </c>
      <c r="V2073" s="6">
        <v>0</v>
      </c>
      <c r="W2073" s="6">
        <v>0</v>
      </c>
      <c r="X2073" s="6" t="s">
        <v>169</v>
      </c>
      <c r="Z2073" s="6" t="s">
        <v>170</v>
      </c>
      <c r="AA2073" s="6" t="s">
        <v>171</v>
      </c>
      <c r="AB2073" s="6">
        <v>0</v>
      </c>
      <c r="AC2073" s="6" t="str">
        <f>""</f>
        <v/>
      </c>
      <c r="AS2073" s="6">
        <v>0</v>
      </c>
      <c r="AT2073" s="6">
        <v>0</v>
      </c>
    </row>
    <row r="2074" spans="2:46">
      <c r="B2074" s="6" t="s">
        <v>8456</v>
      </c>
      <c r="D2074" s="6" t="s">
        <v>8189</v>
      </c>
      <c r="F2074" s="6" t="s">
        <v>8651</v>
      </c>
      <c r="G2074" s="6" t="str">
        <f>"KCE173OPBR"</f>
        <v>KCE173OPBR</v>
      </c>
      <c r="H2074" s="6" t="s">
        <v>8652</v>
      </c>
      <c r="I2074" s="6" t="s">
        <v>8653</v>
      </c>
      <c r="J2074" s="6" t="str">
        <f>"컷팅 랩 원피스 (BRICK RED)"</f>
        <v>컷팅 랩 원피스 (BRICK RED)</v>
      </c>
      <c r="K2074" s="6">
        <v>0</v>
      </c>
      <c r="L2074" s="6">
        <v>0</v>
      </c>
      <c r="M2074" s="6">
        <v>0</v>
      </c>
      <c r="N2074" s="6" t="str">
        <f>""</f>
        <v/>
      </c>
      <c r="O2074" s="6">
        <v>25384</v>
      </c>
      <c r="P2074" s="6" t="s">
        <v>8652</v>
      </c>
      <c r="R2074" s="6" t="s">
        <v>8654</v>
      </c>
      <c r="S2074" s="6" t="s">
        <v>8655</v>
      </c>
      <c r="T2074" s="6">
        <v>0</v>
      </c>
      <c r="U2074" s="6">
        <v>0</v>
      </c>
      <c r="V2074" s="6">
        <v>0</v>
      </c>
      <c r="W2074" s="6">
        <v>0</v>
      </c>
      <c r="X2074" s="6" t="s">
        <v>169</v>
      </c>
      <c r="Z2074" s="6" t="s">
        <v>170</v>
      </c>
      <c r="AA2074" s="6" t="s">
        <v>171</v>
      </c>
      <c r="AB2074" s="6">
        <v>0</v>
      </c>
      <c r="AC2074" s="6" t="str">
        <f>""</f>
        <v/>
      </c>
      <c r="AS2074" s="6">
        <v>0</v>
      </c>
      <c r="AT2074" s="6">
        <v>0</v>
      </c>
    </row>
    <row r="2075" spans="2:46">
      <c r="B2075" s="6" t="s">
        <v>8456</v>
      </c>
      <c r="D2075" s="6" t="s">
        <v>8189</v>
      </c>
      <c r="F2075" s="6" t="s">
        <v>8656</v>
      </c>
      <c r="G2075" s="6" t="str">
        <f>"KCE173OPGN"</f>
        <v>KCE173OPGN</v>
      </c>
      <c r="H2075" s="6" t="s">
        <v>8657</v>
      </c>
      <c r="I2075" s="6" t="s">
        <v>8658</v>
      </c>
      <c r="J2075" s="6" t="str">
        <f>"컷팅 랩 원피스 (DEEP GREEN)"</f>
        <v>컷팅 랩 원피스 (DEEP GREEN)</v>
      </c>
      <c r="K2075" s="6">
        <v>0</v>
      </c>
      <c r="L2075" s="6">
        <v>0</v>
      </c>
      <c r="M2075" s="6">
        <v>0</v>
      </c>
      <c r="N2075" s="6" t="str">
        <f>""</f>
        <v/>
      </c>
      <c r="O2075" s="6">
        <v>25382</v>
      </c>
      <c r="P2075" s="6" t="s">
        <v>8657</v>
      </c>
      <c r="R2075" s="6" t="s">
        <v>8659</v>
      </c>
      <c r="S2075" s="6" t="s">
        <v>8660</v>
      </c>
      <c r="T2075" s="6">
        <v>0</v>
      </c>
      <c r="U2075" s="6">
        <v>0</v>
      </c>
      <c r="V2075" s="6">
        <v>0</v>
      </c>
      <c r="W2075" s="6">
        <v>0</v>
      </c>
      <c r="X2075" s="6" t="s">
        <v>169</v>
      </c>
      <c r="Z2075" s="6" t="s">
        <v>170</v>
      </c>
      <c r="AA2075" s="6" t="s">
        <v>171</v>
      </c>
      <c r="AB2075" s="6">
        <v>0</v>
      </c>
      <c r="AC2075" s="6" t="str">
        <f>""</f>
        <v/>
      </c>
      <c r="AS2075" s="6">
        <v>0</v>
      </c>
      <c r="AT2075" s="6">
        <v>0</v>
      </c>
    </row>
    <row r="2076" spans="2:46">
      <c r="B2076" s="6" t="s">
        <v>8456</v>
      </c>
      <c r="D2076" s="6" t="s">
        <v>8189</v>
      </c>
      <c r="F2076" s="6" t="s">
        <v>8661</v>
      </c>
      <c r="G2076" s="6" t="str">
        <f>"KCE172SKBKS"</f>
        <v>KCE172SKBKS</v>
      </c>
      <c r="H2076" s="6" t="s">
        <v>8662</v>
      </c>
      <c r="I2076" s="6" t="s">
        <v>8663</v>
      </c>
      <c r="J2076" s="6" t="str">
        <f>"언발란스 러플 스커트 (BLACK)"</f>
        <v>언발란스 러플 스커트 (BLACK)</v>
      </c>
      <c r="K2076" s="6">
        <v>0</v>
      </c>
      <c r="L2076" s="6">
        <v>0</v>
      </c>
      <c r="M2076" s="6">
        <v>0</v>
      </c>
      <c r="N2076" s="6" t="str">
        <f>""</f>
        <v/>
      </c>
      <c r="O2076" s="6">
        <v>25380</v>
      </c>
      <c r="P2076" s="6" t="s">
        <v>8662</v>
      </c>
      <c r="R2076" s="6" t="s">
        <v>2106</v>
      </c>
      <c r="S2076" s="6" t="s">
        <v>8664</v>
      </c>
      <c r="T2076" s="6">
        <v>0</v>
      </c>
      <c r="U2076" s="6">
        <v>0</v>
      </c>
      <c r="V2076" s="6">
        <v>0</v>
      </c>
      <c r="W2076" s="6">
        <v>0</v>
      </c>
      <c r="X2076" s="6" t="s">
        <v>169</v>
      </c>
      <c r="Z2076" s="6" t="s">
        <v>170</v>
      </c>
      <c r="AA2076" s="6" t="s">
        <v>171</v>
      </c>
      <c r="AB2076" s="6">
        <v>0</v>
      </c>
      <c r="AC2076" s="6" t="str">
        <f>""</f>
        <v/>
      </c>
      <c r="AS2076" s="6">
        <v>0</v>
      </c>
      <c r="AT2076" s="6">
        <v>0</v>
      </c>
    </row>
    <row r="2077" spans="2:46">
      <c r="B2077" s="6" t="s">
        <v>8456</v>
      </c>
      <c r="D2077" s="6" t="s">
        <v>8189</v>
      </c>
      <c r="F2077" s="6" t="s">
        <v>8665</v>
      </c>
      <c r="G2077" s="6" t="str">
        <f>"KCE172SKBRS"</f>
        <v>KCE172SKBRS</v>
      </c>
      <c r="H2077" s="6" t="s">
        <v>8666</v>
      </c>
      <c r="I2077" s="6" t="s">
        <v>8667</v>
      </c>
      <c r="J2077" s="6" t="str">
        <f>"언발란스 러플 스커트 (BROWN)"</f>
        <v>언발란스 러플 스커트 (BROWN)</v>
      </c>
      <c r="K2077" s="6">
        <v>0</v>
      </c>
      <c r="L2077" s="6">
        <v>0</v>
      </c>
      <c r="M2077" s="6">
        <v>0</v>
      </c>
      <c r="N2077" s="6" t="str">
        <f>""</f>
        <v/>
      </c>
      <c r="O2077" s="6">
        <v>25378</v>
      </c>
      <c r="P2077" s="6" t="s">
        <v>8666</v>
      </c>
      <c r="R2077" s="6" t="s">
        <v>2119</v>
      </c>
      <c r="S2077" s="6" t="s">
        <v>8668</v>
      </c>
      <c r="T2077" s="6">
        <v>0</v>
      </c>
      <c r="U2077" s="6">
        <v>0</v>
      </c>
      <c r="V2077" s="6">
        <v>0</v>
      </c>
      <c r="W2077" s="6">
        <v>0</v>
      </c>
      <c r="X2077" s="6" t="s">
        <v>169</v>
      </c>
      <c r="Z2077" s="6" t="s">
        <v>170</v>
      </c>
      <c r="AA2077" s="6" t="s">
        <v>171</v>
      </c>
      <c r="AB2077" s="6">
        <v>0</v>
      </c>
      <c r="AC2077" s="6" t="str">
        <f>""</f>
        <v/>
      </c>
      <c r="AS2077" s="6">
        <v>0</v>
      </c>
      <c r="AT2077" s="6">
        <v>0</v>
      </c>
    </row>
    <row r="2078" spans="2:46">
      <c r="B2078" s="6" t="s">
        <v>8456</v>
      </c>
      <c r="D2078" s="6" t="s">
        <v>8189</v>
      </c>
      <c r="F2078" s="6" t="s">
        <v>8669</v>
      </c>
      <c r="G2078" s="6" t="str">
        <f>"KCE17CDGRD"</f>
        <v>KCE17CDGRD</v>
      </c>
      <c r="H2078" s="6" t="s">
        <v>8670</v>
      </c>
      <c r="I2078" s="6" t="s">
        <v>8671</v>
      </c>
      <c r="J2078" s="6" t="str">
        <f>"브이넥버튼업 프릴가디건 (RED)"</f>
        <v>브이넥버튼업 프릴가디건 (RED)</v>
      </c>
      <c r="K2078" s="6">
        <v>0</v>
      </c>
      <c r="L2078" s="6">
        <v>0</v>
      </c>
      <c r="M2078" s="6">
        <v>0</v>
      </c>
      <c r="N2078" s="6" t="str">
        <f>""</f>
        <v/>
      </c>
      <c r="O2078" s="6">
        <v>25376</v>
      </c>
      <c r="P2078" s="6" t="s">
        <v>8670</v>
      </c>
      <c r="R2078" s="6" t="s">
        <v>2309</v>
      </c>
      <c r="S2078" s="6" t="s">
        <v>8672</v>
      </c>
      <c r="T2078" s="6">
        <v>0</v>
      </c>
      <c r="U2078" s="6">
        <v>0</v>
      </c>
      <c r="V2078" s="6">
        <v>0</v>
      </c>
      <c r="W2078" s="6">
        <v>0</v>
      </c>
      <c r="X2078" s="6" t="s">
        <v>169</v>
      </c>
      <c r="Z2078" s="6" t="s">
        <v>170</v>
      </c>
      <c r="AA2078" s="6" t="s">
        <v>171</v>
      </c>
      <c r="AB2078" s="6">
        <v>0</v>
      </c>
      <c r="AC2078" s="6" t="str">
        <f>""</f>
        <v/>
      </c>
      <c r="AS2078" s="6">
        <v>0</v>
      </c>
      <c r="AT2078" s="6">
        <v>0</v>
      </c>
    </row>
    <row r="2079" spans="2:46">
      <c r="B2079" s="6" t="s">
        <v>8456</v>
      </c>
      <c r="D2079" s="6" t="s">
        <v>8189</v>
      </c>
      <c r="F2079" s="6" t="s">
        <v>8673</v>
      </c>
      <c r="G2079" s="6" t="str">
        <f>"KCE17CDGNY"</f>
        <v>KCE17CDGNY</v>
      </c>
      <c r="H2079" s="6" t="s">
        <v>8674</v>
      </c>
      <c r="I2079" s="6" t="s">
        <v>8675</v>
      </c>
      <c r="J2079" s="6" t="str">
        <f>"브이넥버튼업 프릴가디건 (NAVY)"</f>
        <v>브이넥버튼업 프릴가디건 (NAVY)</v>
      </c>
      <c r="K2079" s="6">
        <v>0</v>
      </c>
      <c r="L2079" s="6">
        <v>0</v>
      </c>
      <c r="M2079" s="6">
        <v>0</v>
      </c>
      <c r="N2079" s="6" t="str">
        <f>""</f>
        <v/>
      </c>
      <c r="O2079" s="6">
        <v>25374</v>
      </c>
      <c r="P2079" s="6" t="s">
        <v>8674</v>
      </c>
      <c r="R2079" s="6" t="s">
        <v>2111</v>
      </c>
      <c r="S2079" s="6" t="s">
        <v>8676</v>
      </c>
      <c r="T2079" s="6">
        <v>0</v>
      </c>
      <c r="U2079" s="6">
        <v>0</v>
      </c>
      <c r="V2079" s="6">
        <v>0</v>
      </c>
      <c r="W2079" s="6">
        <v>0</v>
      </c>
      <c r="X2079" s="6" t="s">
        <v>169</v>
      </c>
      <c r="Z2079" s="6" t="s">
        <v>170</v>
      </c>
      <c r="AA2079" s="6" t="s">
        <v>171</v>
      </c>
      <c r="AB2079" s="6">
        <v>0</v>
      </c>
      <c r="AC2079" s="6" t="str">
        <f>""</f>
        <v/>
      </c>
      <c r="AS2079" s="6">
        <v>0</v>
      </c>
      <c r="AT2079" s="6">
        <v>0</v>
      </c>
    </row>
    <row r="2080" spans="2:46">
      <c r="B2080" s="6" t="s">
        <v>8456</v>
      </c>
      <c r="D2080" s="6" t="s">
        <v>8189</v>
      </c>
      <c r="F2080" s="6" t="s">
        <v>8677</v>
      </c>
      <c r="G2080" s="6" t="str">
        <f>"KCE17CDGWH"</f>
        <v>KCE17CDGWH</v>
      </c>
      <c r="H2080" s="6" t="s">
        <v>8678</v>
      </c>
      <c r="I2080" s="6" t="s">
        <v>8679</v>
      </c>
      <c r="J2080" s="6" t="str">
        <f>"브이넥버튼업 프릴가디건 (WHITE)"</f>
        <v>브이넥버튼업 프릴가디건 (WHITE)</v>
      </c>
      <c r="K2080" s="6">
        <v>0</v>
      </c>
      <c r="L2080" s="6">
        <v>0</v>
      </c>
      <c r="M2080" s="6">
        <v>0</v>
      </c>
      <c r="N2080" s="6" t="str">
        <f>""</f>
        <v/>
      </c>
      <c r="O2080" s="6">
        <v>25372</v>
      </c>
      <c r="P2080" s="6" t="s">
        <v>8678</v>
      </c>
      <c r="R2080" s="6" t="s">
        <v>2167</v>
      </c>
      <c r="S2080" s="6" t="s">
        <v>8680</v>
      </c>
      <c r="T2080" s="6">
        <v>0</v>
      </c>
      <c r="U2080" s="6">
        <v>0</v>
      </c>
      <c r="V2080" s="6">
        <v>0</v>
      </c>
      <c r="W2080" s="6">
        <v>0</v>
      </c>
      <c r="X2080" s="6" t="s">
        <v>169</v>
      </c>
      <c r="Z2080" s="6" t="s">
        <v>170</v>
      </c>
      <c r="AA2080" s="6" t="s">
        <v>171</v>
      </c>
      <c r="AB2080" s="6">
        <v>0</v>
      </c>
      <c r="AC2080" s="6" t="str">
        <f>""</f>
        <v/>
      </c>
      <c r="AS2080" s="6">
        <v>0</v>
      </c>
      <c r="AT2080" s="6">
        <v>0</v>
      </c>
    </row>
    <row r="2081" spans="2:46">
      <c r="B2081" s="6" t="s">
        <v>110</v>
      </c>
      <c r="D2081" s="6" t="s">
        <v>8189</v>
      </c>
      <c r="F2081" s="6" t="s">
        <v>8681</v>
      </c>
      <c r="G2081" s="6" t="str">
        <f>"JGUSAR124342704SV"</f>
        <v>JGUSAR124342704SV</v>
      </c>
      <c r="H2081" s="6" t="s">
        <v>8682</v>
      </c>
      <c r="I2081" s="6" t="s">
        <v>8683</v>
      </c>
      <c r="J2081" s="6" t="str">
        <f>"JG-USAR124342704SV"</f>
        <v>JG-USAR124342704SV</v>
      </c>
      <c r="K2081" s="6">
        <v>0</v>
      </c>
      <c r="L2081" s="6">
        <v>0</v>
      </c>
      <c r="M2081" s="6">
        <v>0</v>
      </c>
      <c r="N2081" s="6" t="str">
        <f>""</f>
        <v/>
      </c>
      <c r="O2081" s="6">
        <v>25370</v>
      </c>
      <c r="P2081" s="6" t="s">
        <v>8683</v>
      </c>
      <c r="R2081" s="6" t="s">
        <v>8684</v>
      </c>
      <c r="S2081" s="6" t="s">
        <v>8685</v>
      </c>
      <c r="T2081" s="6">
        <v>0</v>
      </c>
      <c r="U2081" s="6">
        <v>0</v>
      </c>
      <c r="V2081" s="6">
        <v>0</v>
      </c>
      <c r="W2081" s="6">
        <v>0</v>
      </c>
      <c r="X2081" s="6" t="s">
        <v>169</v>
      </c>
      <c r="Z2081" s="6" t="s">
        <v>170</v>
      </c>
      <c r="AA2081" s="6" t="s">
        <v>171</v>
      </c>
      <c r="AB2081" s="6">
        <v>0</v>
      </c>
      <c r="AC2081" s="6" t="str">
        <f>""</f>
        <v/>
      </c>
      <c r="AS2081" s="6">
        <v>0</v>
      </c>
      <c r="AT2081" s="6">
        <v>0</v>
      </c>
    </row>
    <row r="2082" spans="2:46">
      <c r="B2082" s="6" t="s">
        <v>110</v>
      </c>
      <c r="D2082" s="6" t="s">
        <v>8189</v>
      </c>
      <c r="F2082" s="6" t="s">
        <v>8686</v>
      </c>
      <c r="G2082" s="6" t="str">
        <f>"JGUSAR1253060901SV"</f>
        <v>JGUSAR1253060901SV</v>
      </c>
      <c r="H2082" s="6" t="s">
        <v>8687</v>
      </c>
      <c r="I2082" s="6" t="s">
        <v>8688</v>
      </c>
      <c r="J2082" s="6" t="str">
        <f>"JG-USAR1253060901SV"</f>
        <v>JG-USAR1253060901SV</v>
      </c>
      <c r="K2082" s="6">
        <v>0</v>
      </c>
      <c r="L2082" s="6">
        <v>0</v>
      </c>
      <c r="M2082" s="6">
        <v>0</v>
      </c>
      <c r="N2082" s="6" t="str">
        <f>""</f>
        <v/>
      </c>
      <c r="O2082" s="6">
        <v>25368</v>
      </c>
      <c r="P2082" s="6" t="s">
        <v>8688</v>
      </c>
      <c r="R2082" s="6" t="s">
        <v>8684</v>
      </c>
      <c r="S2082" s="6" t="s">
        <v>8689</v>
      </c>
      <c r="T2082" s="6">
        <v>0</v>
      </c>
      <c r="U2082" s="6">
        <v>0</v>
      </c>
      <c r="V2082" s="6">
        <v>0</v>
      </c>
      <c r="W2082" s="6">
        <v>0</v>
      </c>
      <c r="X2082" s="6" t="s">
        <v>169</v>
      </c>
      <c r="Z2082" s="6" t="s">
        <v>170</v>
      </c>
      <c r="AA2082" s="6" t="s">
        <v>171</v>
      </c>
      <c r="AB2082" s="6">
        <v>0</v>
      </c>
      <c r="AC2082" s="6" t="str">
        <f>""</f>
        <v/>
      </c>
      <c r="AS2082" s="6">
        <v>0</v>
      </c>
      <c r="AT2082" s="6">
        <v>0</v>
      </c>
    </row>
    <row r="2083" spans="2:46">
      <c r="B2083" s="6" t="s">
        <v>110</v>
      </c>
      <c r="D2083" s="6" t="s">
        <v>8189</v>
      </c>
      <c r="F2083" s="6" t="s">
        <v>8690</v>
      </c>
      <c r="G2083" s="6" t="str">
        <f>"JGUSAE1242A139BK"</f>
        <v>JGUSAE1242A139BK</v>
      </c>
      <c r="H2083" s="6" t="s">
        <v>8691</v>
      </c>
      <c r="I2083" s="6" t="s">
        <v>56</v>
      </c>
      <c r="J2083" s="6" t="str">
        <f>"JG-USAE1242A139BK"</f>
        <v>JG-USAE1242A139BK</v>
      </c>
      <c r="K2083" s="6">
        <v>0</v>
      </c>
      <c r="L2083" s="6">
        <v>0</v>
      </c>
      <c r="M2083" s="6">
        <v>0</v>
      </c>
      <c r="N2083" s="6" t="str">
        <f>""</f>
        <v/>
      </c>
      <c r="O2083" s="6">
        <v>25366</v>
      </c>
      <c r="P2083" s="6" t="s">
        <v>56</v>
      </c>
      <c r="R2083" s="6" t="s">
        <v>1511</v>
      </c>
      <c r="S2083" s="6" t="s">
        <v>8692</v>
      </c>
      <c r="T2083" s="6">
        <v>0</v>
      </c>
      <c r="U2083" s="6">
        <v>0</v>
      </c>
      <c r="V2083" s="6">
        <v>0</v>
      </c>
      <c r="W2083" s="6">
        <v>0</v>
      </c>
      <c r="X2083" s="6" t="s">
        <v>169</v>
      </c>
      <c r="Z2083" s="6" t="s">
        <v>170</v>
      </c>
      <c r="AA2083" s="6" t="s">
        <v>171</v>
      </c>
      <c r="AB2083" s="6">
        <v>0</v>
      </c>
      <c r="AC2083" s="6" t="str">
        <f>"KEY-002"</f>
        <v>KEY-002</v>
      </c>
      <c r="AS2083" s="6">
        <v>0</v>
      </c>
      <c r="AT2083" s="6">
        <v>0</v>
      </c>
    </row>
    <row r="2084" spans="2:46">
      <c r="B2084" s="6" t="s">
        <v>110</v>
      </c>
      <c r="D2084" s="6" t="s">
        <v>8189</v>
      </c>
      <c r="F2084" s="6" t="s">
        <v>8693</v>
      </c>
      <c r="G2084" s="6" t="str">
        <f>"JGUSAE1235A164GD"</f>
        <v>JGUSAE1235A164GD</v>
      </c>
      <c r="H2084" s="6" t="s">
        <v>8694</v>
      </c>
      <c r="I2084" s="6" t="s">
        <v>8695</v>
      </c>
      <c r="J2084" s="6" t="str">
        <f>"JG-USAE1235A164GD"</f>
        <v>JG-USAE1235A164GD</v>
      </c>
      <c r="K2084" s="6">
        <v>0</v>
      </c>
      <c r="L2084" s="6">
        <v>0</v>
      </c>
      <c r="M2084" s="6">
        <v>0</v>
      </c>
      <c r="N2084" s="6" t="str">
        <f>""</f>
        <v/>
      </c>
      <c r="O2084" s="6">
        <v>25364</v>
      </c>
      <c r="P2084" s="6" t="s">
        <v>8695</v>
      </c>
      <c r="R2084" s="6" t="s">
        <v>1475</v>
      </c>
      <c r="S2084" s="6" t="s">
        <v>8696</v>
      </c>
      <c r="T2084" s="6">
        <v>0</v>
      </c>
      <c r="U2084" s="6">
        <v>0</v>
      </c>
      <c r="V2084" s="6">
        <v>0</v>
      </c>
      <c r="W2084" s="6">
        <v>0</v>
      </c>
      <c r="X2084" s="6" t="s">
        <v>169</v>
      </c>
      <c r="Z2084" s="6" t="s">
        <v>170</v>
      </c>
      <c r="AA2084" s="6" t="s">
        <v>171</v>
      </c>
      <c r="AB2084" s="6">
        <v>0</v>
      </c>
      <c r="AC2084" s="6" t="str">
        <f>""</f>
        <v/>
      </c>
      <c r="AS2084" s="6">
        <v>0</v>
      </c>
      <c r="AT2084" s="6">
        <v>0</v>
      </c>
    </row>
    <row r="2085" spans="2:46">
      <c r="B2085" s="6" t="s">
        <v>110</v>
      </c>
      <c r="D2085" s="6" t="s">
        <v>8189</v>
      </c>
      <c r="F2085" s="6" t="s">
        <v>8697</v>
      </c>
      <c r="G2085" s="6" t="str">
        <f>"JGUSAE1239A162PK"</f>
        <v>JGUSAE1239A162PK</v>
      </c>
      <c r="H2085" s="6" t="s">
        <v>8698</v>
      </c>
      <c r="I2085" s="6" t="s">
        <v>8699</v>
      </c>
      <c r="J2085" s="6" t="str">
        <f>"JG-USAE1239A162PK"</f>
        <v>JG-USAE1239A162PK</v>
      </c>
      <c r="K2085" s="6">
        <v>0</v>
      </c>
      <c r="L2085" s="6">
        <v>0</v>
      </c>
      <c r="M2085" s="6">
        <v>0</v>
      </c>
      <c r="N2085" s="6" t="str">
        <f>""</f>
        <v/>
      </c>
      <c r="O2085" s="6">
        <v>25362</v>
      </c>
      <c r="P2085" s="6" t="s">
        <v>8699</v>
      </c>
      <c r="R2085" s="6" t="s">
        <v>3107</v>
      </c>
      <c r="S2085" s="6" t="s">
        <v>8700</v>
      </c>
      <c r="T2085" s="6">
        <v>0</v>
      </c>
      <c r="U2085" s="6">
        <v>0</v>
      </c>
      <c r="V2085" s="6">
        <v>0</v>
      </c>
      <c r="W2085" s="6">
        <v>0</v>
      </c>
      <c r="X2085" s="6" t="s">
        <v>169</v>
      </c>
      <c r="Z2085" s="6" t="s">
        <v>170</v>
      </c>
      <c r="AA2085" s="6" t="s">
        <v>171</v>
      </c>
      <c r="AB2085" s="6">
        <v>0</v>
      </c>
      <c r="AC2085" s="6" t="str">
        <f>""</f>
        <v/>
      </c>
      <c r="AS2085" s="6">
        <v>0</v>
      </c>
      <c r="AT2085" s="6">
        <v>0</v>
      </c>
    </row>
    <row r="2086" spans="2:46">
      <c r="B2086" s="6" t="s">
        <v>110</v>
      </c>
      <c r="D2086" s="6" t="s">
        <v>8189</v>
      </c>
      <c r="F2086" s="6" t="s">
        <v>8701</v>
      </c>
      <c r="G2086" s="6" t="str">
        <f>"JGUSAE1227A188PK"</f>
        <v>JGUSAE1227A188PK</v>
      </c>
      <c r="H2086" s="6" t="s">
        <v>8702</v>
      </c>
      <c r="I2086" s="6" t="s">
        <v>8703</v>
      </c>
      <c r="J2086" s="6" t="str">
        <f>"JG-USAE1227A188PK"</f>
        <v>JG-USAE1227A188PK</v>
      </c>
      <c r="K2086" s="6">
        <v>0</v>
      </c>
      <c r="L2086" s="6">
        <v>0</v>
      </c>
      <c r="M2086" s="6">
        <v>0</v>
      </c>
      <c r="N2086" s="6" t="str">
        <f>""</f>
        <v/>
      </c>
      <c r="O2086" s="6">
        <v>25360</v>
      </c>
      <c r="P2086" s="6" t="s">
        <v>8703</v>
      </c>
      <c r="R2086" s="6" t="s">
        <v>3107</v>
      </c>
      <c r="S2086" s="6" t="s">
        <v>8704</v>
      </c>
      <c r="T2086" s="6">
        <v>0</v>
      </c>
      <c r="U2086" s="6">
        <v>0</v>
      </c>
      <c r="V2086" s="6">
        <v>0</v>
      </c>
      <c r="W2086" s="6">
        <v>0</v>
      </c>
      <c r="X2086" s="6" t="s">
        <v>169</v>
      </c>
      <c r="Z2086" s="6" t="s">
        <v>170</v>
      </c>
      <c r="AA2086" s="6" t="s">
        <v>171</v>
      </c>
      <c r="AB2086" s="6">
        <v>0</v>
      </c>
      <c r="AC2086" s="6" t="str">
        <f>""</f>
        <v/>
      </c>
      <c r="AS2086" s="6">
        <v>0</v>
      </c>
      <c r="AT2086" s="6">
        <v>0</v>
      </c>
    </row>
    <row r="2087" spans="2:46">
      <c r="B2087" s="6" t="s">
        <v>110</v>
      </c>
      <c r="D2087" s="6" t="s">
        <v>8189</v>
      </c>
      <c r="F2087" s="6" t="s">
        <v>8705</v>
      </c>
      <c r="G2087" s="6" t="str">
        <f>"JGUSAE1240A166WH"</f>
        <v>JGUSAE1240A166WH</v>
      </c>
      <c r="H2087" s="6" t="s">
        <v>8706</v>
      </c>
      <c r="I2087" s="6" t="s">
        <v>8707</v>
      </c>
      <c r="J2087" s="6" t="str">
        <f>"JG-USAE1240A166WH"</f>
        <v>JG-USAE1240A166WH</v>
      </c>
      <c r="K2087" s="6">
        <v>0</v>
      </c>
      <c r="L2087" s="6">
        <v>0</v>
      </c>
      <c r="M2087" s="6">
        <v>0</v>
      </c>
      <c r="N2087" s="6" t="str">
        <f>""</f>
        <v/>
      </c>
      <c r="O2087" s="6">
        <v>25358</v>
      </c>
      <c r="P2087" s="6" t="s">
        <v>8707</v>
      </c>
      <c r="R2087" s="6" t="s">
        <v>3097</v>
      </c>
      <c r="S2087" s="6" t="s">
        <v>8708</v>
      </c>
      <c r="T2087" s="6">
        <v>0</v>
      </c>
      <c r="U2087" s="6">
        <v>0</v>
      </c>
      <c r="V2087" s="6">
        <v>0</v>
      </c>
      <c r="W2087" s="6">
        <v>0</v>
      </c>
      <c r="X2087" s="6" t="s">
        <v>169</v>
      </c>
      <c r="Z2087" s="6" t="s">
        <v>170</v>
      </c>
      <c r="AA2087" s="6" t="s">
        <v>171</v>
      </c>
      <c r="AB2087" s="6">
        <v>0</v>
      </c>
      <c r="AC2087" s="6" t="str">
        <f>""</f>
        <v/>
      </c>
      <c r="AS2087" s="6">
        <v>0</v>
      </c>
      <c r="AT2087" s="6">
        <v>0</v>
      </c>
    </row>
    <row r="2088" spans="2:46">
      <c r="B2088" s="6" t="s">
        <v>110</v>
      </c>
      <c r="D2088" s="6" t="s">
        <v>8189</v>
      </c>
      <c r="F2088" s="6" t="s">
        <v>8709</v>
      </c>
      <c r="G2088" s="6" t="str">
        <f>"JGUSAE1225A121WH"</f>
        <v>JGUSAE1225A121WH</v>
      </c>
      <c r="H2088" s="6" t="s">
        <v>8710</v>
      </c>
      <c r="I2088" s="6" t="s">
        <v>8711</v>
      </c>
      <c r="J2088" s="6" t="str">
        <f>"JG-USAE1225A121WH"</f>
        <v>JG-USAE1225A121WH</v>
      </c>
      <c r="K2088" s="6">
        <v>0</v>
      </c>
      <c r="L2088" s="6">
        <v>0</v>
      </c>
      <c r="M2088" s="6">
        <v>0</v>
      </c>
      <c r="N2088" s="6" t="str">
        <f>""</f>
        <v/>
      </c>
      <c r="O2088" s="6">
        <v>25356</v>
      </c>
      <c r="P2088" s="6" t="s">
        <v>8711</v>
      </c>
      <c r="R2088" s="6" t="s">
        <v>3097</v>
      </c>
      <c r="S2088" s="6" t="s">
        <v>8712</v>
      </c>
      <c r="T2088" s="6">
        <v>0</v>
      </c>
      <c r="U2088" s="6">
        <v>0</v>
      </c>
      <c r="V2088" s="6">
        <v>0</v>
      </c>
      <c r="W2088" s="6">
        <v>0</v>
      </c>
      <c r="X2088" s="6" t="s">
        <v>169</v>
      </c>
      <c r="Z2088" s="6" t="s">
        <v>170</v>
      </c>
      <c r="AA2088" s="6" t="s">
        <v>171</v>
      </c>
      <c r="AB2088" s="6">
        <v>0</v>
      </c>
      <c r="AC2088" s="6" t="str">
        <f>""</f>
        <v/>
      </c>
      <c r="AS2088" s="6">
        <v>0</v>
      </c>
      <c r="AT2088" s="6">
        <v>0</v>
      </c>
    </row>
    <row r="2089" spans="2:46">
      <c r="B2089" s="6" t="s">
        <v>110</v>
      </c>
      <c r="D2089" s="6" t="s">
        <v>8189</v>
      </c>
      <c r="F2089" s="6" t="s">
        <v>8713</v>
      </c>
      <c r="G2089" s="6" t="str">
        <f>"JGUSAE1237A149GD"</f>
        <v>JGUSAE1237A149GD</v>
      </c>
      <c r="H2089" s="6" t="s">
        <v>8714</v>
      </c>
      <c r="I2089" s="6" t="s">
        <v>8715</v>
      </c>
      <c r="J2089" s="6" t="str">
        <f>"JG-USAE1237A149GD"</f>
        <v>JG-USAE1237A149GD</v>
      </c>
      <c r="K2089" s="6">
        <v>0</v>
      </c>
      <c r="L2089" s="6">
        <v>0</v>
      </c>
      <c r="M2089" s="6">
        <v>0</v>
      </c>
      <c r="N2089" s="6" t="str">
        <f>""</f>
        <v/>
      </c>
      <c r="O2089" s="6">
        <v>25354</v>
      </c>
      <c r="P2089" s="6" t="s">
        <v>8715</v>
      </c>
      <c r="R2089" s="6" t="s">
        <v>1475</v>
      </c>
      <c r="S2089" s="6" t="s">
        <v>8716</v>
      </c>
      <c r="T2089" s="6">
        <v>0</v>
      </c>
      <c r="U2089" s="6">
        <v>0</v>
      </c>
      <c r="V2089" s="6">
        <v>0</v>
      </c>
      <c r="W2089" s="6">
        <v>0</v>
      </c>
      <c r="X2089" s="6" t="s">
        <v>169</v>
      </c>
      <c r="Z2089" s="6" t="s">
        <v>170</v>
      </c>
      <c r="AA2089" s="6" t="s">
        <v>171</v>
      </c>
      <c r="AB2089" s="6">
        <v>0</v>
      </c>
      <c r="AC2089" s="6" t="str">
        <f>""</f>
        <v/>
      </c>
      <c r="AS2089" s="6">
        <v>0</v>
      </c>
      <c r="AT2089" s="6">
        <v>0</v>
      </c>
    </row>
    <row r="2090" spans="2:46">
      <c r="B2090" s="6" t="s">
        <v>110</v>
      </c>
      <c r="D2090" s="6" t="s">
        <v>8189</v>
      </c>
      <c r="F2090" s="6" t="s">
        <v>8717</v>
      </c>
      <c r="G2090" s="6" t="str">
        <f>"JGUSAE1233A026SV"</f>
        <v>JGUSAE1233A026SV</v>
      </c>
      <c r="H2090" s="6" t="s">
        <v>8718</v>
      </c>
      <c r="I2090" s="6" t="s">
        <v>8719</v>
      </c>
      <c r="J2090" s="6" t="str">
        <f>"JG-USAE1233A026SV"</f>
        <v>JG-USAE1233A026SV</v>
      </c>
      <c r="K2090" s="6">
        <v>0</v>
      </c>
      <c r="L2090" s="6">
        <v>0</v>
      </c>
      <c r="M2090" s="6">
        <v>0</v>
      </c>
      <c r="N2090" s="6" t="str">
        <f>""</f>
        <v/>
      </c>
      <c r="O2090" s="6">
        <v>25352</v>
      </c>
      <c r="P2090" s="6" t="s">
        <v>8719</v>
      </c>
      <c r="R2090" s="6" t="s">
        <v>8684</v>
      </c>
      <c r="S2090" s="6" t="s">
        <v>8720</v>
      </c>
      <c r="T2090" s="6">
        <v>0</v>
      </c>
      <c r="U2090" s="6">
        <v>0</v>
      </c>
      <c r="V2090" s="6">
        <v>0</v>
      </c>
      <c r="W2090" s="6">
        <v>0</v>
      </c>
      <c r="X2090" s="6" t="s">
        <v>169</v>
      </c>
      <c r="Z2090" s="6" t="s">
        <v>170</v>
      </c>
      <c r="AA2090" s="6" t="s">
        <v>171</v>
      </c>
      <c r="AB2090" s="6">
        <v>0</v>
      </c>
      <c r="AC2090" s="6" t="str">
        <f>""</f>
        <v/>
      </c>
      <c r="AS2090" s="6">
        <v>0</v>
      </c>
      <c r="AT2090" s="6">
        <v>0</v>
      </c>
    </row>
    <row r="2091" spans="2:46">
      <c r="B2091" s="6" t="s">
        <v>110</v>
      </c>
      <c r="D2091" s="6" t="s">
        <v>8189</v>
      </c>
      <c r="F2091" s="6" t="s">
        <v>8721</v>
      </c>
      <c r="G2091" s="6" t="str">
        <f>"JGUSAE1232A127BK"</f>
        <v>JGUSAE1232A127BK</v>
      </c>
      <c r="H2091" s="6" t="s">
        <v>8722</v>
      </c>
      <c r="I2091" s="6" t="s">
        <v>8723</v>
      </c>
      <c r="J2091" s="6" t="str">
        <f>"JG-USAE1232A127BK"</f>
        <v>JG-USAE1232A127BK</v>
      </c>
      <c r="K2091" s="6">
        <v>0</v>
      </c>
      <c r="L2091" s="6">
        <v>0</v>
      </c>
      <c r="M2091" s="6">
        <v>0</v>
      </c>
      <c r="N2091" s="6" t="str">
        <f>""</f>
        <v/>
      </c>
      <c r="O2091" s="6">
        <v>25350</v>
      </c>
      <c r="P2091" s="6" t="s">
        <v>8723</v>
      </c>
      <c r="R2091" s="6" t="s">
        <v>1511</v>
      </c>
      <c r="S2091" s="6" t="s">
        <v>8724</v>
      </c>
      <c r="T2091" s="6">
        <v>0</v>
      </c>
      <c r="U2091" s="6">
        <v>0</v>
      </c>
      <c r="V2091" s="6">
        <v>0</v>
      </c>
      <c r="W2091" s="6">
        <v>0</v>
      </c>
      <c r="X2091" s="6" t="s">
        <v>169</v>
      </c>
      <c r="Z2091" s="6" t="s">
        <v>170</v>
      </c>
      <c r="AA2091" s="6" t="s">
        <v>171</v>
      </c>
      <c r="AB2091" s="6">
        <v>0</v>
      </c>
      <c r="AC2091" s="6" t="str">
        <f>""</f>
        <v/>
      </c>
      <c r="AS2091" s="6">
        <v>0</v>
      </c>
      <c r="AT2091" s="6">
        <v>0</v>
      </c>
    </row>
    <row r="2092" spans="2:46">
      <c r="B2092" s="6" t="s">
        <v>110</v>
      </c>
      <c r="D2092" s="6" t="s">
        <v>8189</v>
      </c>
      <c r="F2092" s="6" t="s">
        <v>8725</v>
      </c>
      <c r="G2092" s="6" t="str">
        <f>"JGUSAR124342704RG"</f>
        <v>JGUSAR124342704RG</v>
      </c>
      <c r="H2092" s="6" t="s">
        <v>8726</v>
      </c>
      <c r="I2092" s="6" t="s">
        <v>8727</v>
      </c>
      <c r="J2092" s="6" t="str">
        <f>"JG-USAR124342704RG"</f>
        <v>JG-USAR124342704RG</v>
      </c>
      <c r="K2092" s="6">
        <v>0</v>
      </c>
      <c r="L2092" s="6">
        <v>0</v>
      </c>
      <c r="M2092" s="6">
        <v>0</v>
      </c>
      <c r="N2092" s="6" t="str">
        <f>""</f>
        <v/>
      </c>
      <c r="O2092" s="6">
        <v>25348</v>
      </c>
      <c r="P2092" s="6" t="s">
        <v>8727</v>
      </c>
      <c r="R2092" s="6" t="s">
        <v>8728</v>
      </c>
      <c r="S2092" s="6" t="s">
        <v>8729</v>
      </c>
      <c r="T2092" s="6">
        <v>0</v>
      </c>
      <c r="U2092" s="6">
        <v>0</v>
      </c>
      <c r="V2092" s="6">
        <v>0</v>
      </c>
      <c r="W2092" s="6">
        <v>0</v>
      </c>
      <c r="X2092" s="6" t="s">
        <v>169</v>
      </c>
      <c r="Z2092" s="6" t="s">
        <v>170</v>
      </c>
      <c r="AA2092" s="6" t="s">
        <v>171</v>
      </c>
      <c r="AB2092" s="6">
        <v>0</v>
      </c>
      <c r="AC2092" s="6" t="str">
        <f>""</f>
        <v/>
      </c>
      <c r="AS2092" s="6">
        <v>0</v>
      </c>
      <c r="AT2092" s="6">
        <v>0</v>
      </c>
    </row>
    <row r="2093" spans="2:46">
      <c r="B2093" s="6" t="s">
        <v>110</v>
      </c>
      <c r="D2093" s="6" t="s">
        <v>8189</v>
      </c>
      <c r="F2093" s="6" t="s">
        <v>8730</v>
      </c>
      <c r="G2093" s="6" t="str">
        <f>"JGUSAE1225A052YE"</f>
        <v>JGUSAE1225A052YE</v>
      </c>
      <c r="H2093" s="6" t="s">
        <v>8731</v>
      </c>
      <c r="I2093" s="6" t="s">
        <v>8732</v>
      </c>
      <c r="J2093" s="6" t="str">
        <f>"JG-USAE1225A052YE"</f>
        <v>JG-USAE1225A052YE</v>
      </c>
      <c r="K2093" s="6">
        <v>0</v>
      </c>
      <c r="L2093" s="6">
        <v>0</v>
      </c>
      <c r="M2093" s="6">
        <v>0</v>
      </c>
      <c r="N2093" s="6" t="str">
        <f>""</f>
        <v/>
      </c>
      <c r="O2093" s="6">
        <v>25346</v>
      </c>
      <c r="P2093" s="6" t="s">
        <v>8732</v>
      </c>
      <c r="R2093" s="6" t="s">
        <v>8733</v>
      </c>
      <c r="S2093" s="6" t="s">
        <v>8734</v>
      </c>
      <c r="T2093" s="6">
        <v>0</v>
      </c>
      <c r="U2093" s="6">
        <v>0</v>
      </c>
      <c r="V2093" s="6">
        <v>0</v>
      </c>
      <c r="W2093" s="6">
        <v>0</v>
      </c>
      <c r="X2093" s="6" t="s">
        <v>169</v>
      </c>
      <c r="Z2093" s="6" t="s">
        <v>170</v>
      </c>
      <c r="AA2093" s="6" t="s">
        <v>171</v>
      </c>
      <c r="AB2093" s="6">
        <v>0</v>
      </c>
      <c r="AC2093" s="6" t="str">
        <f>""</f>
        <v/>
      </c>
      <c r="AS2093" s="6">
        <v>0</v>
      </c>
      <c r="AT2093" s="6">
        <v>0</v>
      </c>
    </row>
    <row r="2094" spans="2:46">
      <c r="B2094" s="6" t="s">
        <v>110</v>
      </c>
      <c r="D2094" s="6" t="s">
        <v>8189</v>
      </c>
      <c r="F2094" s="6" t="s">
        <v>8735</v>
      </c>
      <c r="G2094" s="6" t="str">
        <f>"JGUSAE1227A145GR"</f>
        <v>JGUSAE1227A145GR</v>
      </c>
      <c r="H2094" s="6" t="s">
        <v>8736</v>
      </c>
      <c r="I2094" s="6" t="s">
        <v>8737</v>
      </c>
      <c r="J2094" s="6" t="str">
        <f>"JG-USAE1227A145GR"</f>
        <v>JG-USAE1227A145GR</v>
      </c>
      <c r="K2094" s="6">
        <v>0</v>
      </c>
      <c r="L2094" s="6">
        <v>0</v>
      </c>
      <c r="M2094" s="6">
        <v>0</v>
      </c>
      <c r="N2094" s="6" t="str">
        <f>""</f>
        <v/>
      </c>
      <c r="O2094" s="6">
        <v>25344</v>
      </c>
      <c r="P2094" s="6" t="s">
        <v>8737</v>
      </c>
      <c r="R2094" s="6" t="s">
        <v>8738</v>
      </c>
      <c r="S2094" s="6" t="s">
        <v>8739</v>
      </c>
      <c r="T2094" s="6">
        <v>0</v>
      </c>
      <c r="U2094" s="6">
        <v>0</v>
      </c>
      <c r="V2094" s="6">
        <v>0</v>
      </c>
      <c r="W2094" s="6">
        <v>0</v>
      </c>
      <c r="X2094" s="6" t="s">
        <v>169</v>
      </c>
      <c r="Z2094" s="6" t="s">
        <v>170</v>
      </c>
      <c r="AA2094" s="6" t="s">
        <v>171</v>
      </c>
      <c r="AB2094" s="6">
        <v>0</v>
      </c>
      <c r="AC2094" s="6" t="str">
        <f>""</f>
        <v/>
      </c>
      <c r="AS2094" s="6">
        <v>0</v>
      </c>
      <c r="AT2094" s="6">
        <v>0</v>
      </c>
    </row>
    <row r="2095" spans="2:46">
      <c r="B2095" s="6" t="s">
        <v>110</v>
      </c>
      <c r="D2095" s="6" t="s">
        <v>8189</v>
      </c>
      <c r="F2095" s="6" t="s">
        <v>8740</v>
      </c>
      <c r="G2095" s="6" t="str">
        <f>"JGUSAR123042702GD"</f>
        <v>JGUSAR123042702GD</v>
      </c>
      <c r="H2095" s="6" t="s">
        <v>8741</v>
      </c>
      <c r="I2095" s="6" t="s">
        <v>8742</v>
      </c>
      <c r="J2095" s="6" t="str">
        <f>"JG-USAR123042702GD"</f>
        <v>JG-USAR123042702GD</v>
      </c>
      <c r="K2095" s="6">
        <v>0</v>
      </c>
      <c r="L2095" s="6">
        <v>0</v>
      </c>
      <c r="M2095" s="6">
        <v>0</v>
      </c>
      <c r="N2095" s="6" t="str">
        <f>""</f>
        <v/>
      </c>
      <c r="O2095" s="6">
        <v>25342</v>
      </c>
      <c r="P2095" s="6" t="s">
        <v>8742</v>
      </c>
      <c r="R2095" s="6" t="s">
        <v>1475</v>
      </c>
      <c r="S2095" s="6" t="s">
        <v>8743</v>
      </c>
      <c r="T2095" s="6">
        <v>0</v>
      </c>
      <c r="U2095" s="6">
        <v>0</v>
      </c>
      <c r="V2095" s="6">
        <v>0</v>
      </c>
      <c r="W2095" s="6">
        <v>0</v>
      </c>
      <c r="X2095" s="6" t="s">
        <v>169</v>
      </c>
      <c r="Z2095" s="6" t="s">
        <v>170</v>
      </c>
      <c r="AA2095" s="6" t="s">
        <v>171</v>
      </c>
      <c r="AB2095" s="6">
        <v>0</v>
      </c>
      <c r="AC2095" s="6" t="str">
        <f>""</f>
        <v/>
      </c>
      <c r="AS2095" s="6">
        <v>0</v>
      </c>
      <c r="AT2095" s="6">
        <v>0</v>
      </c>
    </row>
    <row r="2096" spans="2:46">
      <c r="B2096" s="6" t="s">
        <v>110</v>
      </c>
      <c r="D2096" s="6" t="s">
        <v>8189</v>
      </c>
      <c r="F2096" s="6" t="s">
        <v>8744</v>
      </c>
      <c r="G2096" s="6" t="str">
        <f>"JGUSAR123042702SV"</f>
        <v>JGUSAR123042702SV</v>
      </c>
      <c r="H2096" s="6" t="s">
        <v>8745</v>
      </c>
      <c r="I2096" s="6" t="s">
        <v>8746</v>
      </c>
      <c r="J2096" s="6" t="str">
        <f>"JG-USAR123042702SV"</f>
        <v>JG-USAR123042702SV</v>
      </c>
      <c r="K2096" s="6">
        <v>0</v>
      </c>
      <c r="L2096" s="6">
        <v>0</v>
      </c>
      <c r="M2096" s="6">
        <v>0</v>
      </c>
      <c r="N2096" s="6" t="str">
        <f>""</f>
        <v/>
      </c>
      <c r="O2096" s="6">
        <v>25340</v>
      </c>
      <c r="P2096" s="6" t="s">
        <v>8746</v>
      </c>
      <c r="R2096" s="6" t="s">
        <v>8684</v>
      </c>
      <c r="S2096" s="6" t="s">
        <v>8747</v>
      </c>
      <c r="T2096" s="6">
        <v>0</v>
      </c>
      <c r="U2096" s="6">
        <v>0</v>
      </c>
      <c r="V2096" s="6">
        <v>0</v>
      </c>
      <c r="W2096" s="6">
        <v>0</v>
      </c>
      <c r="X2096" s="6" t="s">
        <v>169</v>
      </c>
      <c r="Z2096" s="6" t="s">
        <v>170</v>
      </c>
      <c r="AA2096" s="6" t="s">
        <v>171</v>
      </c>
      <c r="AB2096" s="6">
        <v>0</v>
      </c>
      <c r="AC2096" s="6" t="str">
        <f>""</f>
        <v/>
      </c>
      <c r="AS2096" s="6">
        <v>0</v>
      </c>
      <c r="AT2096" s="6">
        <v>0</v>
      </c>
    </row>
    <row r="2097" spans="2:46">
      <c r="B2097" s="6" t="s">
        <v>110</v>
      </c>
      <c r="D2097" s="6" t="s">
        <v>8189</v>
      </c>
      <c r="F2097" s="6" t="s">
        <v>8748</v>
      </c>
      <c r="G2097" s="6" t="str">
        <f>"JGUSAE1242A141GR"</f>
        <v>JGUSAE1242A141GR</v>
      </c>
      <c r="H2097" s="6" t="s">
        <v>8749</v>
      </c>
      <c r="I2097" s="6" t="s">
        <v>8750</v>
      </c>
      <c r="J2097" s="6" t="str">
        <f>"JG-USAE1242A141GR"</f>
        <v>JG-USAE1242A141GR</v>
      </c>
      <c r="K2097" s="6">
        <v>0</v>
      </c>
      <c r="L2097" s="6">
        <v>0</v>
      </c>
      <c r="M2097" s="6">
        <v>0</v>
      </c>
      <c r="N2097" s="6" t="str">
        <f>""</f>
        <v/>
      </c>
      <c r="O2097" s="6">
        <v>25338</v>
      </c>
      <c r="P2097" s="6" t="s">
        <v>8750</v>
      </c>
      <c r="R2097" s="6" t="s">
        <v>8738</v>
      </c>
      <c r="S2097" s="6" t="s">
        <v>8751</v>
      </c>
      <c r="T2097" s="6">
        <v>0</v>
      </c>
      <c r="U2097" s="6">
        <v>0</v>
      </c>
      <c r="V2097" s="6">
        <v>0</v>
      </c>
      <c r="W2097" s="6">
        <v>0</v>
      </c>
      <c r="X2097" s="6" t="s">
        <v>169</v>
      </c>
      <c r="Z2097" s="6" t="s">
        <v>170</v>
      </c>
      <c r="AA2097" s="6" t="s">
        <v>171</v>
      </c>
      <c r="AB2097" s="6">
        <v>0</v>
      </c>
      <c r="AC2097" s="6" t="str">
        <f>""</f>
        <v/>
      </c>
      <c r="AS2097" s="6">
        <v>0</v>
      </c>
      <c r="AT2097" s="6">
        <v>0</v>
      </c>
    </row>
    <row r="2098" spans="2:46">
      <c r="B2098" s="6" t="s">
        <v>110</v>
      </c>
      <c r="D2098" s="6" t="s">
        <v>8189</v>
      </c>
      <c r="F2098" s="6" t="s">
        <v>8752</v>
      </c>
      <c r="G2098" s="6" t="str">
        <f>"JGUSAE1232A128GR"</f>
        <v>JGUSAE1232A128GR</v>
      </c>
      <c r="H2098" s="6" t="s">
        <v>8753</v>
      </c>
      <c r="I2098" s="6" t="s">
        <v>8754</v>
      </c>
      <c r="J2098" s="6" t="str">
        <f>"JG-USAE1232A128GR"</f>
        <v>JG-USAE1232A128GR</v>
      </c>
      <c r="K2098" s="6">
        <v>0</v>
      </c>
      <c r="L2098" s="6">
        <v>0</v>
      </c>
      <c r="M2098" s="6">
        <v>0</v>
      </c>
      <c r="N2098" s="6" t="str">
        <f>""</f>
        <v/>
      </c>
      <c r="O2098" s="6">
        <v>25336</v>
      </c>
      <c r="P2098" s="6" t="s">
        <v>8754</v>
      </c>
      <c r="R2098" s="6" t="s">
        <v>8738</v>
      </c>
      <c r="S2098" s="6" t="s">
        <v>8755</v>
      </c>
      <c r="T2098" s="6">
        <v>0</v>
      </c>
      <c r="U2098" s="6">
        <v>0</v>
      </c>
      <c r="V2098" s="6">
        <v>0</v>
      </c>
      <c r="W2098" s="6">
        <v>0</v>
      </c>
      <c r="X2098" s="6" t="s">
        <v>169</v>
      </c>
      <c r="Z2098" s="6" t="s">
        <v>170</v>
      </c>
      <c r="AA2098" s="6" t="s">
        <v>171</v>
      </c>
      <c r="AB2098" s="6">
        <v>0</v>
      </c>
      <c r="AC2098" s="6" t="str">
        <f>""</f>
        <v/>
      </c>
      <c r="AS2098" s="6">
        <v>0</v>
      </c>
      <c r="AT2098" s="6">
        <v>0</v>
      </c>
    </row>
    <row r="2099" spans="2:46">
      <c r="B2099" s="6" t="s">
        <v>110</v>
      </c>
      <c r="D2099" s="6" t="s">
        <v>8189</v>
      </c>
      <c r="F2099" s="6" t="s">
        <v>8756</v>
      </c>
      <c r="G2099" s="6" t="str">
        <f>"JGUSAE1223A056WN"</f>
        <v>JGUSAE1223A056WN</v>
      </c>
      <c r="H2099" s="6" t="s">
        <v>8757</v>
      </c>
      <c r="I2099" s="6" t="s">
        <v>8758</v>
      </c>
      <c r="J2099" s="6" t="str">
        <f>"JG-USAE1223A056WN"</f>
        <v>JG-USAE1223A056WN</v>
      </c>
      <c r="K2099" s="6">
        <v>0</v>
      </c>
      <c r="L2099" s="6">
        <v>0</v>
      </c>
      <c r="M2099" s="6">
        <v>0</v>
      </c>
      <c r="N2099" s="6" t="str">
        <f>""</f>
        <v/>
      </c>
      <c r="O2099" s="6">
        <v>25334</v>
      </c>
      <c r="P2099" s="6" t="s">
        <v>8758</v>
      </c>
      <c r="R2099" s="6" t="s">
        <v>8759</v>
      </c>
      <c r="S2099" s="6" t="s">
        <v>8760</v>
      </c>
      <c r="T2099" s="6">
        <v>0</v>
      </c>
      <c r="U2099" s="6">
        <v>0</v>
      </c>
      <c r="V2099" s="6">
        <v>0</v>
      </c>
      <c r="W2099" s="6">
        <v>0</v>
      </c>
      <c r="X2099" s="6" t="s">
        <v>169</v>
      </c>
      <c r="Z2099" s="6" t="s">
        <v>170</v>
      </c>
      <c r="AA2099" s="6" t="s">
        <v>171</v>
      </c>
      <c r="AB2099" s="6">
        <v>0</v>
      </c>
      <c r="AC2099" s="6" t="str">
        <f>""</f>
        <v/>
      </c>
      <c r="AS2099" s="6">
        <v>0</v>
      </c>
      <c r="AT2099" s="6">
        <v>0</v>
      </c>
    </row>
    <row r="2100" spans="2:46">
      <c r="B2100" s="6" t="s">
        <v>110</v>
      </c>
      <c r="D2100" s="6" t="s">
        <v>8189</v>
      </c>
      <c r="F2100" s="6" t="s">
        <v>8761</v>
      </c>
      <c r="G2100" s="6" t="str">
        <f>"JGUSAR122542703GD"</f>
        <v>JGUSAR122542703GD</v>
      </c>
      <c r="H2100" s="6" t="s">
        <v>8762</v>
      </c>
      <c r="I2100" s="6" t="s">
        <v>8763</v>
      </c>
      <c r="J2100" s="6" t="str">
        <f>"JG-USAR122542703GD"</f>
        <v>JG-USAR122542703GD</v>
      </c>
      <c r="K2100" s="6">
        <v>0</v>
      </c>
      <c r="L2100" s="6">
        <v>0</v>
      </c>
      <c r="M2100" s="6">
        <v>0</v>
      </c>
      <c r="N2100" s="6" t="str">
        <f>""</f>
        <v/>
      </c>
      <c r="O2100" s="6">
        <v>25332</v>
      </c>
      <c r="P2100" s="6" t="s">
        <v>8763</v>
      </c>
      <c r="R2100" s="6" t="s">
        <v>1475</v>
      </c>
      <c r="S2100" s="6" t="s">
        <v>8764</v>
      </c>
      <c r="T2100" s="6">
        <v>0</v>
      </c>
      <c r="U2100" s="6">
        <v>0</v>
      </c>
      <c r="V2100" s="6">
        <v>0</v>
      </c>
      <c r="W2100" s="6">
        <v>0</v>
      </c>
      <c r="X2100" s="6" t="s">
        <v>169</v>
      </c>
      <c r="Z2100" s="6" t="s">
        <v>170</v>
      </c>
      <c r="AA2100" s="6" t="s">
        <v>171</v>
      </c>
      <c r="AB2100" s="6">
        <v>0</v>
      </c>
      <c r="AC2100" s="6" t="str">
        <f>""</f>
        <v/>
      </c>
      <c r="AS2100" s="6">
        <v>0</v>
      </c>
      <c r="AT2100" s="6">
        <v>0</v>
      </c>
    </row>
    <row r="2101" spans="2:46">
      <c r="B2101" s="6" t="s">
        <v>110</v>
      </c>
      <c r="D2101" s="6" t="s">
        <v>8189</v>
      </c>
      <c r="F2101" s="6" t="s">
        <v>8765</v>
      </c>
      <c r="G2101" s="6" t="str">
        <f>"JGUSAR1220A037SV"</f>
        <v>JGUSAR1220A037SV</v>
      </c>
      <c r="H2101" s="6" t="s">
        <v>8766</v>
      </c>
      <c r="I2101" s="6" t="s">
        <v>8767</v>
      </c>
      <c r="J2101" s="6" t="str">
        <f>"JG-USAR1220A037SV"</f>
        <v>JG-USAR1220A037SV</v>
      </c>
      <c r="K2101" s="6">
        <v>0</v>
      </c>
      <c r="L2101" s="6">
        <v>0</v>
      </c>
      <c r="M2101" s="6">
        <v>0</v>
      </c>
      <c r="N2101" s="6" t="str">
        <f>""</f>
        <v/>
      </c>
      <c r="O2101" s="6">
        <v>25330</v>
      </c>
      <c r="P2101" s="6" t="s">
        <v>8767</v>
      </c>
      <c r="R2101" s="6" t="s">
        <v>8684</v>
      </c>
      <c r="S2101" s="6" t="s">
        <v>8768</v>
      </c>
      <c r="T2101" s="6">
        <v>0</v>
      </c>
      <c r="U2101" s="6">
        <v>0</v>
      </c>
      <c r="V2101" s="6">
        <v>0</v>
      </c>
      <c r="W2101" s="6">
        <v>0</v>
      </c>
      <c r="X2101" s="6" t="s">
        <v>169</v>
      </c>
      <c r="Z2101" s="6" t="s">
        <v>170</v>
      </c>
      <c r="AA2101" s="6" t="s">
        <v>171</v>
      </c>
      <c r="AB2101" s="6">
        <v>0</v>
      </c>
      <c r="AC2101" s="6" t="str">
        <f>""</f>
        <v/>
      </c>
      <c r="AS2101" s="6">
        <v>0</v>
      </c>
      <c r="AT2101" s="6">
        <v>0</v>
      </c>
    </row>
    <row r="2102" spans="2:46">
      <c r="B2102" s="6" t="s">
        <v>110</v>
      </c>
      <c r="D2102" s="6" t="s">
        <v>8189</v>
      </c>
      <c r="F2102" s="6" t="s">
        <v>8769</v>
      </c>
      <c r="G2102" s="6" t="str">
        <f>"JGUSAR1223A032GD"</f>
        <v>JGUSAR1223A032GD</v>
      </c>
      <c r="H2102" s="6" t="s">
        <v>8770</v>
      </c>
      <c r="I2102" s="6" t="s">
        <v>8771</v>
      </c>
      <c r="J2102" s="6" t="str">
        <f>"JG-USAR1223A032GD"</f>
        <v>JG-USAR1223A032GD</v>
      </c>
      <c r="K2102" s="6">
        <v>0</v>
      </c>
      <c r="L2102" s="6">
        <v>0</v>
      </c>
      <c r="M2102" s="6">
        <v>0</v>
      </c>
      <c r="N2102" s="6" t="str">
        <f>""</f>
        <v/>
      </c>
      <c r="O2102" s="6">
        <v>25328</v>
      </c>
      <c r="P2102" s="6" t="s">
        <v>8771</v>
      </c>
      <c r="R2102" s="6" t="s">
        <v>1475</v>
      </c>
      <c r="S2102" s="6" t="s">
        <v>8772</v>
      </c>
      <c r="T2102" s="6">
        <v>0</v>
      </c>
      <c r="U2102" s="6">
        <v>0</v>
      </c>
      <c r="V2102" s="6">
        <v>0</v>
      </c>
      <c r="W2102" s="6">
        <v>0</v>
      </c>
      <c r="X2102" s="6" t="s">
        <v>169</v>
      </c>
      <c r="Z2102" s="6" t="s">
        <v>170</v>
      </c>
      <c r="AA2102" s="6" t="s">
        <v>171</v>
      </c>
      <c r="AB2102" s="6">
        <v>0</v>
      </c>
      <c r="AC2102" s="6" t="str">
        <f>""</f>
        <v/>
      </c>
      <c r="AS2102" s="6">
        <v>0</v>
      </c>
      <c r="AT2102" s="6">
        <v>0</v>
      </c>
    </row>
    <row r="2103" spans="2:46">
      <c r="B2103" s="6" t="s">
        <v>110</v>
      </c>
      <c r="D2103" s="6" t="s">
        <v>8189</v>
      </c>
      <c r="F2103" s="6" t="s">
        <v>8773</v>
      </c>
      <c r="G2103" s="6" t="str">
        <f>"JGUSAR125342705RG"</f>
        <v>JGUSAR125342705RG</v>
      </c>
      <c r="H2103" s="6" t="s">
        <v>8774</v>
      </c>
      <c r="I2103" s="6" t="s">
        <v>8775</v>
      </c>
      <c r="J2103" s="6" t="str">
        <f>"JG-USAR125342705RG"</f>
        <v>JG-USAR125342705RG</v>
      </c>
      <c r="K2103" s="6">
        <v>0</v>
      </c>
      <c r="L2103" s="6">
        <v>0</v>
      </c>
      <c r="M2103" s="6">
        <v>0</v>
      </c>
      <c r="N2103" s="6" t="str">
        <f>""</f>
        <v/>
      </c>
      <c r="O2103" s="6">
        <v>25326</v>
      </c>
      <c r="P2103" s="6" t="s">
        <v>8775</v>
      </c>
      <c r="R2103" s="6" t="s">
        <v>8728</v>
      </c>
      <c r="S2103" s="6" t="s">
        <v>8776</v>
      </c>
      <c r="T2103" s="6">
        <v>0</v>
      </c>
      <c r="U2103" s="6">
        <v>0</v>
      </c>
      <c r="V2103" s="6">
        <v>0</v>
      </c>
      <c r="W2103" s="6">
        <v>0</v>
      </c>
      <c r="X2103" s="6" t="s">
        <v>169</v>
      </c>
      <c r="Z2103" s="6" t="s">
        <v>170</v>
      </c>
      <c r="AA2103" s="6" t="s">
        <v>171</v>
      </c>
      <c r="AB2103" s="6">
        <v>0</v>
      </c>
      <c r="AC2103" s="6" t="str">
        <f>""</f>
        <v/>
      </c>
      <c r="AS2103" s="6">
        <v>0</v>
      </c>
      <c r="AT2103" s="6">
        <v>1</v>
      </c>
    </row>
    <row r="2104" spans="2:46">
      <c r="B2104" s="6" t="s">
        <v>110</v>
      </c>
      <c r="D2104" s="6" t="s">
        <v>8189</v>
      </c>
      <c r="F2104" s="6" t="s">
        <v>8777</v>
      </c>
      <c r="G2104" s="6" t="str">
        <f>"JGUSAE1223060908SV"</f>
        <v>JGUSAE1223060908SV</v>
      </c>
      <c r="H2104" s="6" t="s">
        <v>8778</v>
      </c>
      <c r="I2104" s="6" t="s">
        <v>8779</v>
      </c>
      <c r="J2104" s="6" t="str">
        <f>"JG-USAE1223060908SV"</f>
        <v>JG-USAE1223060908SV</v>
      </c>
      <c r="K2104" s="6">
        <v>0</v>
      </c>
      <c r="L2104" s="6">
        <v>0</v>
      </c>
      <c r="M2104" s="6">
        <v>0</v>
      </c>
      <c r="N2104" s="6" t="str">
        <f>""</f>
        <v/>
      </c>
      <c r="O2104" s="6">
        <v>25324</v>
      </c>
      <c r="P2104" s="6" t="s">
        <v>8779</v>
      </c>
      <c r="R2104" s="6" t="s">
        <v>8684</v>
      </c>
      <c r="S2104" s="6" t="s">
        <v>8780</v>
      </c>
      <c r="T2104" s="6">
        <v>0</v>
      </c>
      <c r="U2104" s="6">
        <v>0</v>
      </c>
      <c r="V2104" s="6">
        <v>0</v>
      </c>
      <c r="W2104" s="6">
        <v>0</v>
      </c>
      <c r="X2104" s="6" t="s">
        <v>169</v>
      </c>
      <c r="Z2104" s="6" t="s">
        <v>170</v>
      </c>
      <c r="AA2104" s="6" t="s">
        <v>171</v>
      </c>
      <c r="AB2104" s="6">
        <v>0</v>
      </c>
      <c r="AC2104" s="6" t="str">
        <f>""</f>
        <v/>
      </c>
      <c r="AS2104" s="6">
        <v>0</v>
      </c>
      <c r="AT2104" s="6">
        <v>0</v>
      </c>
    </row>
    <row r="2105" spans="2:46">
      <c r="B2105" s="6" t="s">
        <v>110</v>
      </c>
      <c r="D2105" s="6" t="s">
        <v>8189</v>
      </c>
      <c r="F2105" s="6" t="s">
        <v>8781</v>
      </c>
      <c r="G2105" s="6" t="str">
        <f>"JGUSAE1233A042SV"</f>
        <v>JGUSAE1233A042SV</v>
      </c>
      <c r="H2105" s="6" t="s">
        <v>8782</v>
      </c>
      <c r="I2105" s="6" t="s">
        <v>8783</v>
      </c>
      <c r="J2105" s="6" t="str">
        <f>"JG-USAE1233A042SV"</f>
        <v>JG-USAE1233A042SV</v>
      </c>
      <c r="K2105" s="6">
        <v>0</v>
      </c>
      <c r="L2105" s="6">
        <v>0</v>
      </c>
      <c r="M2105" s="6">
        <v>0</v>
      </c>
      <c r="N2105" s="6" t="str">
        <f>""</f>
        <v/>
      </c>
      <c r="O2105" s="6">
        <v>25322</v>
      </c>
      <c r="P2105" s="6" t="s">
        <v>8783</v>
      </c>
      <c r="R2105" s="6" t="s">
        <v>8684</v>
      </c>
      <c r="S2105" s="6" t="s">
        <v>8784</v>
      </c>
      <c r="T2105" s="6">
        <v>0</v>
      </c>
      <c r="U2105" s="6">
        <v>0</v>
      </c>
      <c r="V2105" s="6">
        <v>0</v>
      </c>
      <c r="W2105" s="6">
        <v>0</v>
      </c>
      <c r="X2105" s="6" t="s">
        <v>169</v>
      </c>
      <c r="Z2105" s="6" t="s">
        <v>170</v>
      </c>
      <c r="AA2105" s="6" t="s">
        <v>171</v>
      </c>
      <c r="AB2105" s="6">
        <v>0</v>
      </c>
      <c r="AC2105" s="6" t="str">
        <f>""</f>
        <v/>
      </c>
      <c r="AS2105" s="6">
        <v>0</v>
      </c>
      <c r="AT2105" s="6">
        <v>0</v>
      </c>
    </row>
    <row r="2106" spans="2:46">
      <c r="B2106" s="6" t="s">
        <v>110</v>
      </c>
      <c r="D2106" s="6" t="s">
        <v>8189</v>
      </c>
      <c r="F2106" s="6" t="s">
        <v>8785</v>
      </c>
      <c r="G2106" s="6" t="str">
        <f>"JGUSAE1225A068SV"</f>
        <v>JGUSAE1225A068SV</v>
      </c>
      <c r="H2106" s="6" t="s">
        <v>8786</v>
      </c>
      <c r="I2106" s="6" t="s">
        <v>8787</v>
      </c>
      <c r="J2106" s="6" t="str">
        <f>"JG-USAE1225A068SV"</f>
        <v>JG-USAE1225A068SV</v>
      </c>
      <c r="K2106" s="6">
        <v>0</v>
      </c>
      <c r="L2106" s="6">
        <v>0</v>
      </c>
      <c r="M2106" s="6">
        <v>0</v>
      </c>
      <c r="N2106" s="6" t="str">
        <f>""</f>
        <v/>
      </c>
      <c r="O2106" s="6">
        <v>25320</v>
      </c>
      <c r="P2106" s="6" t="s">
        <v>8787</v>
      </c>
      <c r="R2106" s="6" t="s">
        <v>8684</v>
      </c>
      <c r="S2106" s="6" t="s">
        <v>8788</v>
      </c>
      <c r="T2106" s="6">
        <v>0</v>
      </c>
      <c r="U2106" s="6">
        <v>0</v>
      </c>
      <c r="V2106" s="6">
        <v>0</v>
      </c>
      <c r="W2106" s="6">
        <v>0</v>
      </c>
      <c r="X2106" s="6" t="s">
        <v>169</v>
      </c>
      <c r="Z2106" s="6" t="s">
        <v>170</v>
      </c>
      <c r="AA2106" s="6" t="s">
        <v>171</v>
      </c>
      <c r="AB2106" s="6">
        <v>0</v>
      </c>
      <c r="AC2106" s="6" t="str">
        <f>""</f>
        <v/>
      </c>
      <c r="AS2106" s="6">
        <v>0</v>
      </c>
      <c r="AT2106" s="6">
        <v>0</v>
      </c>
    </row>
    <row r="2107" spans="2:46">
      <c r="B2107" s="6" t="s">
        <v>110</v>
      </c>
      <c r="D2107" s="6" t="s">
        <v>8189</v>
      </c>
      <c r="F2107" s="6" t="s">
        <v>8789</v>
      </c>
      <c r="G2107" s="6" t="str">
        <f>"JGUSAR122542703SV"</f>
        <v>JGUSAR122542703SV</v>
      </c>
      <c r="H2107" s="6" t="s">
        <v>8790</v>
      </c>
      <c r="I2107" s="6" t="s">
        <v>53</v>
      </c>
      <c r="J2107" s="6" t="str">
        <f>"JG-USAR122542703SV"</f>
        <v>JG-USAR122542703SV</v>
      </c>
      <c r="K2107" s="6">
        <v>0</v>
      </c>
      <c r="L2107" s="6">
        <v>0</v>
      </c>
      <c r="M2107" s="6">
        <v>0</v>
      </c>
      <c r="N2107" s="6" t="str">
        <f>""</f>
        <v/>
      </c>
      <c r="O2107" s="6">
        <v>25318</v>
      </c>
      <c r="P2107" s="6" t="s">
        <v>53</v>
      </c>
      <c r="R2107" s="6" t="s">
        <v>8684</v>
      </c>
      <c r="S2107" s="6" t="s">
        <v>8791</v>
      </c>
      <c r="T2107" s="6">
        <v>0</v>
      </c>
      <c r="U2107" s="6">
        <v>0</v>
      </c>
      <c r="V2107" s="6">
        <v>0</v>
      </c>
      <c r="W2107" s="6">
        <v>0</v>
      </c>
      <c r="X2107" s="6" t="s">
        <v>169</v>
      </c>
      <c r="Z2107" s="6" t="s">
        <v>170</v>
      </c>
      <c r="AA2107" s="6" t="s">
        <v>171</v>
      </c>
      <c r="AB2107" s="6">
        <v>0</v>
      </c>
      <c r="AC2107" s="6" t="str">
        <f>"KEY-002"</f>
        <v>KEY-002</v>
      </c>
      <c r="AS2107" s="6">
        <v>0</v>
      </c>
      <c r="AT2107" s="6">
        <v>0</v>
      </c>
    </row>
    <row r="2108" spans="2:46">
      <c r="B2108" s="6" t="s">
        <v>110</v>
      </c>
      <c r="D2108" s="6" t="s">
        <v>8189</v>
      </c>
      <c r="F2108" s="6" t="s">
        <v>8792</v>
      </c>
      <c r="G2108" s="6" t="str">
        <f>"JGUSAE122551503SV"</f>
        <v>JGUSAE122551503SV</v>
      </c>
      <c r="H2108" s="6" t="s">
        <v>8793</v>
      </c>
      <c r="I2108" s="6" t="s">
        <v>8794</v>
      </c>
      <c r="J2108" s="6" t="str">
        <f>"JG-USAE122551503SV"</f>
        <v>JG-USAE122551503SV</v>
      </c>
      <c r="K2108" s="6">
        <v>0</v>
      </c>
      <c r="L2108" s="6">
        <v>0</v>
      </c>
      <c r="M2108" s="6">
        <v>0</v>
      </c>
      <c r="N2108" s="6" t="str">
        <f>""</f>
        <v/>
      </c>
      <c r="O2108" s="6">
        <v>25316</v>
      </c>
      <c r="P2108" s="6" t="s">
        <v>8794</v>
      </c>
      <c r="R2108" s="6" t="s">
        <v>8684</v>
      </c>
      <c r="S2108" s="6" t="s">
        <v>8795</v>
      </c>
      <c r="T2108" s="6">
        <v>0</v>
      </c>
      <c r="U2108" s="6">
        <v>0</v>
      </c>
      <c r="V2108" s="6">
        <v>0</v>
      </c>
      <c r="W2108" s="6">
        <v>0</v>
      </c>
      <c r="X2108" s="6" t="s">
        <v>169</v>
      </c>
      <c r="Z2108" s="6" t="s">
        <v>170</v>
      </c>
      <c r="AA2108" s="6" t="s">
        <v>171</v>
      </c>
      <c r="AB2108" s="6">
        <v>0</v>
      </c>
      <c r="AC2108" s="6" t="str">
        <f>""</f>
        <v/>
      </c>
      <c r="AS2108" s="6">
        <v>0</v>
      </c>
      <c r="AT2108" s="6">
        <v>0</v>
      </c>
    </row>
    <row r="2109" spans="2:46">
      <c r="B2109" s="6" t="s">
        <v>110</v>
      </c>
      <c r="D2109" s="6" t="s">
        <v>8189</v>
      </c>
      <c r="F2109" s="6" t="s">
        <v>8796</v>
      </c>
      <c r="G2109" s="6" t="str">
        <f>"JGUSAE122751505SV"</f>
        <v>JGUSAE122751505SV</v>
      </c>
      <c r="H2109" s="6" t="s">
        <v>8797</v>
      </c>
      <c r="I2109" s="6" t="s">
        <v>8798</v>
      </c>
      <c r="J2109" s="6" t="str">
        <f>"JG-USAE122751505SV"</f>
        <v>JG-USAE122751505SV</v>
      </c>
      <c r="K2109" s="6">
        <v>0</v>
      </c>
      <c r="L2109" s="6">
        <v>0</v>
      </c>
      <c r="M2109" s="6">
        <v>0</v>
      </c>
      <c r="N2109" s="6" t="str">
        <f>""</f>
        <v/>
      </c>
      <c r="O2109" s="6">
        <v>25314</v>
      </c>
      <c r="P2109" s="6" t="s">
        <v>8798</v>
      </c>
      <c r="R2109" s="6" t="s">
        <v>8684</v>
      </c>
      <c r="S2109" s="6" t="s">
        <v>8799</v>
      </c>
      <c r="T2109" s="6">
        <v>0</v>
      </c>
      <c r="U2109" s="6">
        <v>0</v>
      </c>
      <c r="V2109" s="6">
        <v>0</v>
      </c>
      <c r="W2109" s="6">
        <v>0</v>
      </c>
      <c r="X2109" s="6" t="s">
        <v>169</v>
      </c>
      <c r="Z2109" s="6" t="s">
        <v>170</v>
      </c>
      <c r="AA2109" s="6" t="s">
        <v>171</v>
      </c>
      <c r="AB2109" s="6">
        <v>0</v>
      </c>
      <c r="AC2109" s="6" t="str">
        <f>""</f>
        <v/>
      </c>
      <c r="AS2109" s="6">
        <v>0</v>
      </c>
      <c r="AT2109" s="6">
        <v>0</v>
      </c>
    </row>
    <row r="2110" spans="2:46">
      <c r="B2110" s="6" t="s">
        <v>110</v>
      </c>
      <c r="D2110" s="6" t="s">
        <v>8189</v>
      </c>
      <c r="F2110" s="6" t="s">
        <v>8800</v>
      </c>
      <c r="G2110" s="6" t="str">
        <f>"JGUSAR123042702RG"</f>
        <v>JGUSAR123042702RG</v>
      </c>
      <c r="H2110" s="6" t="s">
        <v>8801</v>
      </c>
      <c r="I2110" s="6" t="s">
        <v>8802</v>
      </c>
      <c r="J2110" s="6" t="str">
        <f>"JG-USAR123042702RG"</f>
        <v>JG-USAR123042702RG</v>
      </c>
      <c r="K2110" s="6">
        <v>0</v>
      </c>
      <c r="L2110" s="6">
        <v>0</v>
      </c>
      <c r="M2110" s="6">
        <v>0</v>
      </c>
      <c r="N2110" s="6" t="str">
        <f>""</f>
        <v/>
      </c>
      <c r="O2110" s="6">
        <v>25312</v>
      </c>
      <c r="P2110" s="6" t="s">
        <v>8802</v>
      </c>
      <c r="R2110" s="6" t="s">
        <v>8728</v>
      </c>
      <c r="S2110" s="6" t="s">
        <v>8803</v>
      </c>
      <c r="T2110" s="6">
        <v>0</v>
      </c>
      <c r="U2110" s="6">
        <v>0</v>
      </c>
      <c r="V2110" s="6">
        <v>0</v>
      </c>
      <c r="W2110" s="6">
        <v>0</v>
      </c>
      <c r="X2110" s="6" t="s">
        <v>169</v>
      </c>
      <c r="Z2110" s="6" t="s">
        <v>170</v>
      </c>
      <c r="AA2110" s="6" t="s">
        <v>171</v>
      </c>
      <c r="AB2110" s="6">
        <v>0</v>
      </c>
      <c r="AC2110" s="6" t="str">
        <f>""</f>
        <v/>
      </c>
      <c r="AS2110" s="6">
        <v>0</v>
      </c>
      <c r="AT2110" s="6">
        <v>0</v>
      </c>
    </row>
    <row r="2111" spans="2:46">
      <c r="B2111" s="6" t="s">
        <v>110</v>
      </c>
      <c r="D2111" s="6" t="s">
        <v>8189</v>
      </c>
      <c r="F2111" s="6" t="s">
        <v>8804</v>
      </c>
      <c r="G2111" s="6" t="str">
        <f>"JGUSAE1227060904SV"</f>
        <v>JGUSAE1227060904SV</v>
      </c>
      <c r="H2111" s="6" t="s">
        <v>8805</v>
      </c>
      <c r="I2111" s="6" t="s">
        <v>8806</v>
      </c>
      <c r="J2111" s="6" t="str">
        <f>"JG-USAE1227060904SV"</f>
        <v>JG-USAE1227060904SV</v>
      </c>
      <c r="K2111" s="6">
        <v>0</v>
      </c>
      <c r="L2111" s="6">
        <v>0</v>
      </c>
      <c r="M2111" s="6">
        <v>0</v>
      </c>
      <c r="N2111" s="6" t="str">
        <f>""</f>
        <v/>
      </c>
      <c r="O2111" s="6">
        <v>25310</v>
      </c>
      <c r="P2111" s="6" t="s">
        <v>8806</v>
      </c>
      <c r="R2111" s="6" t="s">
        <v>8684</v>
      </c>
      <c r="S2111" s="6" t="s">
        <v>8807</v>
      </c>
      <c r="T2111" s="6">
        <v>0</v>
      </c>
      <c r="U2111" s="6">
        <v>0</v>
      </c>
      <c r="V2111" s="6">
        <v>0</v>
      </c>
      <c r="W2111" s="6">
        <v>0</v>
      </c>
      <c r="X2111" s="6" t="s">
        <v>169</v>
      </c>
      <c r="Z2111" s="6" t="s">
        <v>170</v>
      </c>
      <c r="AA2111" s="6" t="s">
        <v>171</v>
      </c>
      <c r="AB2111" s="6">
        <v>0</v>
      </c>
      <c r="AC2111" s="6" t="str">
        <f>""</f>
        <v/>
      </c>
      <c r="AS2111" s="6">
        <v>0</v>
      </c>
      <c r="AT2111" s="6">
        <v>0</v>
      </c>
    </row>
    <row r="2112" spans="2:46">
      <c r="B2112" s="6" t="s">
        <v>110</v>
      </c>
      <c r="D2112" s="6" t="s">
        <v>8189</v>
      </c>
      <c r="F2112" s="6" t="s">
        <v>8808</v>
      </c>
      <c r="G2112" s="6" t="str">
        <f>"JGUSAE123021501SV"</f>
        <v>JGUSAE123021501SV</v>
      </c>
      <c r="H2112" s="6" t="s">
        <v>8809</v>
      </c>
      <c r="I2112" s="6" t="s">
        <v>8810</v>
      </c>
      <c r="J2112" s="6" t="str">
        <f>"JG-USAE123021501SV"</f>
        <v>JG-USAE123021501SV</v>
      </c>
      <c r="K2112" s="6">
        <v>0</v>
      </c>
      <c r="L2112" s="6">
        <v>0</v>
      </c>
      <c r="M2112" s="6">
        <v>0</v>
      </c>
      <c r="N2112" s="6" t="str">
        <f>""</f>
        <v/>
      </c>
      <c r="O2112" s="6">
        <v>25308</v>
      </c>
      <c r="P2112" s="6" t="s">
        <v>8810</v>
      </c>
      <c r="R2112" s="6" t="s">
        <v>8684</v>
      </c>
      <c r="S2112" s="6" t="s">
        <v>8811</v>
      </c>
      <c r="T2112" s="6">
        <v>0</v>
      </c>
      <c r="U2112" s="6">
        <v>0</v>
      </c>
      <c r="V2112" s="6">
        <v>0</v>
      </c>
      <c r="W2112" s="6">
        <v>0</v>
      </c>
      <c r="X2112" s="6" t="s">
        <v>169</v>
      </c>
      <c r="Z2112" s="6" t="s">
        <v>170</v>
      </c>
      <c r="AA2112" s="6" t="s">
        <v>171</v>
      </c>
      <c r="AB2112" s="6">
        <v>0</v>
      </c>
      <c r="AC2112" s="6" t="str">
        <f>""</f>
        <v/>
      </c>
      <c r="AS2112" s="6">
        <v>0</v>
      </c>
      <c r="AT2112" s="6">
        <v>0</v>
      </c>
    </row>
    <row r="2113" spans="2:46">
      <c r="B2113" s="6" t="s">
        <v>110</v>
      </c>
      <c r="D2113" s="6" t="s">
        <v>8189</v>
      </c>
      <c r="F2113" s="6" t="s">
        <v>8812</v>
      </c>
      <c r="G2113" s="6" t="str">
        <f>"JGUSAR1220A029GD"</f>
        <v>JGUSAR1220A029GD</v>
      </c>
      <c r="H2113" s="6" t="s">
        <v>8813</v>
      </c>
      <c r="I2113" s="6" t="s">
        <v>8814</v>
      </c>
      <c r="J2113" s="6" t="str">
        <f>"JG-USAR1220A029GD"</f>
        <v>JG-USAR1220A029GD</v>
      </c>
      <c r="K2113" s="6">
        <v>0</v>
      </c>
      <c r="L2113" s="6">
        <v>0</v>
      </c>
      <c r="M2113" s="6">
        <v>0</v>
      </c>
      <c r="N2113" s="6" t="str">
        <f>""</f>
        <v/>
      </c>
      <c r="O2113" s="6">
        <v>25306</v>
      </c>
      <c r="P2113" s="6" t="s">
        <v>8814</v>
      </c>
      <c r="R2113" s="6" t="s">
        <v>1475</v>
      </c>
      <c r="S2113" s="6" t="s">
        <v>8815</v>
      </c>
      <c r="T2113" s="6">
        <v>0</v>
      </c>
      <c r="U2113" s="6">
        <v>0</v>
      </c>
      <c r="V2113" s="6">
        <v>0</v>
      </c>
      <c r="W2113" s="6">
        <v>0</v>
      </c>
      <c r="X2113" s="6" t="s">
        <v>169</v>
      </c>
      <c r="Z2113" s="6" t="s">
        <v>170</v>
      </c>
      <c r="AA2113" s="6" t="s">
        <v>171</v>
      </c>
      <c r="AB2113" s="6">
        <v>0</v>
      </c>
      <c r="AC2113" s="6" t="str">
        <f>""</f>
        <v/>
      </c>
      <c r="AS2113" s="6">
        <v>0</v>
      </c>
      <c r="AT2113" s="6">
        <v>0</v>
      </c>
    </row>
    <row r="2114" spans="2:46">
      <c r="B2114" s="6" t="s">
        <v>110</v>
      </c>
      <c r="D2114" s="6" t="s">
        <v>8189</v>
      </c>
      <c r="F2114" s="6" t="s">
        <v>8816</v>
      </c>
      <c r="G2114" s="6" t="str">
        <f>"JGUSAR1220A030RG"</f>
        <v>JGUSAR1220A030RG</v>
      </c>
      <c r="H2114" s="6" t="s">
        <v>8817</v>
      </c>
      <c r="I2114" s="6" t="s">
        <v>8818</v>
      </c>
      <c r="J2114" s="6" t="str">
        <f>"JG-USAR1220A030RG"</f>
        <v>JG-USAR1220A030RG</v>
      </c>
      <c r="K2114" s="6">
        <v>0</v>
      </c>
      <c r="L2114" s="6">
        <v>0</v>
      </c>
      <c r="M2114" s="6">
        <v>0</v>
      </c>
      <c r="N2114" s="6" t="str">
        <f>""</f>
        <v/>
      </c>
      <c r="O2114" s="6">
        <v>25304</v>
      </c>
      <c r="P2114" s="6" t="s">
        <v>8818</v>
      </c>
      <c r="R2114" s="6" t="s">
        <v>8728</v>
      </c>
      <c r="S2114" s="6" t="s">
        <v>8819</v>
      </c>
      <c r="T2114" s="6">
        <v>0</v>
      </c>
      <c r="U2114" s="6">
        <v>0</v>
      </c>
      <c r="V2114" s="6">
        <v>0</v>
      </c>
      <c r="W2114" s="6">
        <v>0</v>
      </c>
      <c r="X2114" s="6" t="s">
        <v>169</v>
      </c>
      <c r="Z2114" s="6" t="s">
        <v>170</v>
      </c>
      <c r="AA2114" s="6" t="s">
        <v>171</v>
      </c>
      <c r="AB2114" s="6">
        <v>0</v>
      </c>
      <c r="AC2114" s="6" t="str">
        <f>""</f>
        <v/>
      </c>
      <c r="AS2114" s="6">
        <v>0</v>
      </c>
      <c r="AT2114" s="6">
        <v>0</v>
      </c>
    </row>
    <row r="2115" spans="2:46">
      <c r="B2115" s="6" t="s">
        <v>110</v>
      </c>
      <c r="D2115" s="6" t="s">
        <v>8189</v>
      </c>
      <c r="F2115" s="6" t="s">
        <v>8820</v>
      </c>
      <c r="G2115" s="6" t="str">
        <f>"JGUSAE1223A057GR"</f>
        <v>JGUSAE1223A057GR</v>
      </c>
      <c r="H2115" s="6" t="s">
        <v>8821</v>
      </c>
      <c r="I2115" s="6" t="s">
        <v>8822</v>
      </c>
      <c r="J2115" s="6" t="str">
        <f>"JG-USAE1223A057GR"</f>
        <v>JG-USAE1223A057GR</v>
      </c>
      <c r="K2115" s="6">
        <v>0</v>
      </c>
      <c r="L2115" s="6">
        <v>0</v>
      </c>
      <c r="M2115" s="6">
        <v>0</v>
      </c>
      <c r="N2115" s="6" t="str">
        <f>""</f>
        <v/>
      </c>
      <c r="O2115" s="6">
        <v>25302</v>
      </c>
      <c r="P2115" s="6" t="s">
        <v>8822</v>
      </c>
      <c r="R2115" s="6" t="s">
        <v>8738</v>
      </c>
      <c r="S2115" s="6" t="s">
        <v>8823</v>
      </c>
      <c r="T2115" s="6">
        <v>0</v>
      </c>
      <c r="U2115" s="6">
        <v>0</v>
      </c>
      <c r="V2115" s="6">
        <v>0</v>
      </c>
      <c r="W2115" s="6">
        <v>0</v>
      </c>
      <c r="X2115" s="6" t="s">
        <v>169</v>
      </c>
      <c r="Z2115" s="6" t="s">
        <v>170</v>
      </c>
      <c r="AA2115" s="6" t="s">
        <v>171</v>
      </c>
      <c r="AB2115" s="6">
        <v>0</v>
      </c>
      <c r="AC2115" s="6" t="str">
        <f>""</f>
        <v/>
      </c>
      <c r="AS2115" s="6">
        <v>0</v>
      </c>
      <c r="AT2115" s="6">
        <v>0</v>
      </c>
    </row>
    <row r="2116" spans="2:46">
      <c r="B2116" s="6" t="s">
        <v>110</v>
      </c>
      <c r="D2116" s="6" t="s">
        <v>8189</v>
      </c>
      <c r="F2116" s="6" t="s">
        <v>8824</v>
      </c>
      <c r="G2116" s="6" t="str">
        <f>"JGUSAE1225060902RG"</f>
        <v>JGUSAE1225060902RG</v>
      </c>
      <c r="H2116" s="6" t="s">
        <v>8825</v>
      </c>
      <c r="I2116" s="6" t="s">
        <v>8826</v>
      </c>
      <c r="J2116" s="6" t="str">
        <f>"JG-USAE1225060902RG"</f>
        <v>JG-USAE1225060902RG</v>
      </c>
      <c r="K2116" s="6">
        <v>0</v>
      </c>
      <c r="L2116" s="6">
        <v>0</v>
      </c>
      <c r="M2116" s="6">
        <v>0</v>
      </c>
      <c r="N2116" s="6" t="str">
        <f>""</f>
        <v/>
      </c>
      <c r="O2116" s="6">
        <v>25300</v>
      </c>
      <c r="P2116" s="6" t="s">
        <v>8826</v>
      </c>
      <c r="R2116" s="6" t="s">
        <v>8728</v>
      </c>
      <c r="S2116" s="6" t="s">
        <v>8827</v>
      </c>
      <c r="T2116" s="6">
        <v>0</v>
      </c>
      <c r="U2116" s="6">
        <v>0</v>
      </c>
      <c r="V2116" s="6">
        <v>0</v>
      </c>
      <c r="W2116" s="6">
        <v>0</v>
      </c>
      <c r="X2116" s="6" t="s">
        <v>169</v>
      </c>
      <c r="Z2116" s="6" t="s">
        <v>170</v>
      </c>
      <c r="AA2116" s="6" t="s">
        <v>171</v>
      </c>
      <c r="AB2116" s="6">
        <v>0</v>
      </c>
      <c r="AC2116" s="6" t="str">
        <f>""</f>
        <v/>
      </c>
      <c r="AS2116" s="6">
        <v>0</v>
      </c>
      <c r="AT2116" s="6">
        <v>0</v>
      </c>
    </row>
    <row r="2117" spans="2:46">
      <c r="B2117" s="6" t="s">
        <v>110</v>
      </c>
      <c r="D2117" s="6" t="s">
        <v>8189</v>
      </c>
      <c r="F2117" s="6" t="s">
        <v>8828</v>
      </c>
      <c r="G2117" s="6" t="str">
        <f>"JGUSAE123A057GR"</f>
        <v>JGUSAE123A057GR</v>
      </c>
      <c r="H2117" s="6" t="s">
        <v>8829</v>
      </c>
      <c r="I2117" s="6" t="s">
        <v>8830</v>
      </c>
      <c r="J2117" s="6" t="str">
        <f>"JG-USAE123A057GR"</f>
        <v>JG-USAE123A057GR</v>
      </c>
      <c r="K2117" s="6">
        <v>0</v>
      </c>
      <c r="L2117" s="6">
        <v>0</v>
      </c>
      <c r="M2117" s="6">
        <v>0</v>
      </c>
      <c r="N2117" s="6" t="str">
        <f>""</f>
        <v/>
      </c>
      <c r="O2117" s="6">
        <v>25298</v>
      </c>
      <c r="P2117" s="6" t="s">
        <v>8830</v>
      </c>
      <c r="R2117" s="6" t="s">
        <v>8738</v>
      </c>
      <c r="S2117" s="6" t="s">
        <v>8831</v>
      </c>
      <c r="T2117" s="6">
        <v>0</v>
      </c>
      <c r="U2117" s="6">
        <v>0</v>
      </c>
      <c r="V2117" s="6">
        <v>0</v>
      </c>
      <c r="W2117" s="6">
        <v>0</v>
      </c>
      <c r="X2117" s="6" t="s">
        <v>169</v>
      </c>
      <c r="Z2117" s="6" t="s">
        <v>170</v>
      </c>
      <c r="AA2117" s="6" t="s">
        <v>171</v>
      </c>
      <c r="AB2117" s="6">
        <v>0</v>
      </c>
      <c r="AC2117" s="6" t="str">
        <f>""</f>
        <v/>
      </c>
      <c r="AS2117" s="6">
        <v>0</v>
      </c>
      <c r="AT2117" s="6">
        <v>0</v>
      </c>
    </row>
    <row r="2118" spans="2:46">
      <c r="B2118" s="6" t="s">
        <v>110</v>
      </c>
      <c r="D2118" s="6" t="s">
        <v>8189</v>
      </c>
      <c r="F2118" s="6" t="s">
        <v>8832</v>
      </c>
      <c r="G2118" s="6" t="str">
        <f>"JGUSAE1227A055BK"</f>
        <v>JGUSAE1227A055BK</v>
      </c>
      <c r="H2118" s="6" t="s">
        <v>8833</v>
      </c>
      <c r="I2118" s="6" t="s">
        <v>8834</v>
      </c>
      <c r="J2118" s="6" t="str">
        <f>"JG-USAE1227A055BK"</f>
        <v>JG-USAE1227A055BK</v>
      </c>
      <c r="K2118" s="6">
        <v>0</v>
      </c>
      <c r="L2118" s="6">
        <v>0</v>
      </c>
      <c r="M2118" s="6">
        <v>0</v>
      </c>
      <c r="N2118" s="6" t="str">
        <f>""</f>
        <v/>
      </c>
      <c r="O2118" s="6">
        <v>25296</v>
      </c>
      <c r="P2118" s="6" t="s">
        <v>8834</v>
      </c>
      <c r="R2118" s="6" t="s">
        <v>1511</v>
      </c>
      <c r="S2118" s="6" t="s">
        <v>8835</v>
      </c>
      <c r="T2118" s="6">
        <v>0</v>
      </c>
      <c r="U2118" s="6">
        <v>0</v>
      </c>
      <c r="V2118" s="6">
        <v>0</v>
      </c>
      <c r="W2118" s="6">
        <v>0</v>
      </c>
      <c r="X2118" s="6" t="s">
        <v>169</v>
      </c>
      <c r="Z2118" s="6" t="s">
        <v>170</v>
      </c>
      <c r="AA2118" s="6" t="s">
        <v>171</v>
      </c>
      <c r="AB2118" s="6">
        <v>0</v>
      </c>
      <c r="AC2118" s="6" t="str">
        <f>""</f>
        <v/>
      </c>
      <c r="AS2118" s="6">
        <v>0</v>
      </c>
      <c r="AT2118" s="6">
        <v>0</v>
      </c>
    </row>
    <row r="2119" spans="2:46">
      <c r="B2119" s="6" t="s">
        <v>110</v>
      </c>
      <c r="D2119" s="6" t="s">
        <v>8189</v>
      </c>
      <c r="F2119" s="6" t="s">
        <v>8836</v>
      </c>
      <c r="G2119" s="6" t="str">
        <f>"JGUSAE1230060905SV"</f>
        <v>JGUSAE1230060905SV</v>
      </c>
      <c r="H2119" s="6" t="s">
        <v>8837</v>
      </c>
      <c r="I2119" s="6" t="s">
        <v>8838</v>
      </c>
      <c r="J2119" s="6" t="str">
        <f>"JG-USAE1230060905SV"</f>
        <v>JG-USAE1230060905SV</v>
      </c>
      <c r="K2119" s="6">
        <v>0</v>
      </c>
      <c r="L2119" s="6">
        <v>0</v>
      </c>
      <c r="M2119" s="6">
        <v>0</v>
      </c>
      <c r="N2119" s="6" t="str">
        <f>""</f>
        <v/>
      </c>
      <c r="O2119" s="6">
        <v>25294</v>
      </c>
      <c r="P2119" s="6" t="s">
        <v>8838</v>
      </c>
      <c r="R2119" s="6" t="s">
        <v>8684</v>
      </c>
      <c r="S2119" s="6" t="s">
        <v>8839</v>
      </c>
      <c r="T2119" s="6">
        <v>0</v>
      </c>
      <c r="U2119" s="6">
        <v>0</v>
      </c>
      <c r="V2119" s="6">
        <v>0</v>
      </c>
      <c r="W2119" s="6">
        <v>0</v>
      </c>
      <c r="X2119" s="6" t="s">
        <v>169</v>
      </c>
      <c r="Z2119" s="6" t="s">
        <v>170</v>
      </c>
      <c r="AA2119" s="6" t="s">
        <v>171</v>
      </c>
      <c r="AB2119" s="6">
        <v>0</v>
      </c>
      <c r="AC2119" s="6" t="str">
        <f>""</f>
        <v/>
      </c>
      <c r="AS2119" s="6">
        <v>0</v>
      </c>
      <c r="AT2119" s="6">
        <v>0</v>
      </c>
    </row>
    <row r="2120" spans="2:46">
      <c r="B2120" s="6" t="s">
        <v>110</v>
      </c>
      <c r="D2120" s="6" t="s">
        <v>8189</v>
      </c>
      <c r="F2120" s="6" t="s">
        <v>8840</v>
      </c>
      <c r="G2120" s="6" t="str">
        <f>"JGUSAE1225A046WN"</f>
        <v>JGUSAE1225A046WN</v>
      </c>
      <c r="H2120" s="6" t="s">
        <v>8841</v>
      </c>
      <c r="I2120" s="6" t="s">
        <v>8842</v>
      </c>
      <c r="J2120" s="6" t="str">
        <f>"JG-USAE1225A046WN"</f>
        <v>JG-USAE1225A046WN</v>
      </c>
      <c r="K2120" s="6">
        <v>0</v>
      </c>
      <c r="L2120" s="6">
        <v>0</v>
      </c>
      <c r="M2120" s="6">
        <v>0</v>
      </c>
      <c r="N2120" s="6" t="str">
        <f>""</f>
        <v/>
      </c>
      <c r="O2120" s="6">
        <v>25292</v>
      </c>
      <c r="P2120" s="6" t="s">
        <v>8842</v>
      </c>
      <c r="R2120" s="6" t="s">
        <v>8759</v>
      </c>
      <c r="S2120" s="6" t="s">
        <v>8843</v>
      </c>
      <c r="T2120" s="6">
        <v>0</v>
      </c>
      <c r="U2120" s="6">
        <v>0</v>
      </c>
      <c r="V2120" s="6">
        <v>0</v>
      </c>
      <c r="W2120" s="6">
        <v>0</v>
      </c>
      <c r="X2120" s="6" t="s">
        <v>169</v>
      </c>
      <c r="Z2120" s="6" t="s">
        <v>170</v>
      </c>
      <c r="AA2120" s="6" t="s">
        <v>171</v>
      </c>
      <c r="AB2120" s="6">
        <v>0</v>
      </c>
      <c r="AC2120" s="6" t="str">
        <f>""</f>
        <v/>
      </c>
      <c r="AS2120" s="6">
        <v>0</v>
      </c>
      <c r="AT2120" s="6">
        <v>0</v>
      </c>
    </row>
    <row r="2121" spans="2:46">
      <c r="B2121" s="6" t="s">
        <v>110</v>
      </c>
      <c r="D2121" s="6" t="s">
        <v>8189</v>
      </c>
      <c r="F2121" s="6" t="s">
        <v>8844</v>
      </c>
      <c r="G2121" s="6" t="str">
        <f>"JGUSAEPST00412SV"</f>
        <v>JGUSAEPST00412SV</v>
      </c>
      <c r="H2121" s="6" t="s">
        <v>8845</v>
      </c>
      <c r="I2121" s="6" t="s">
        <v>8846</v>
      </c>
      <c r="J2121" s="6" t="str">
        <f>"JG-USAEPST00412SV"</f>
        <v>JG-USAEPST00412SV</v>
      </c>
      <c r="K2121" s="6">
        <v>0</v>
      </c>
      <c r="L2121" s="6">
        <v>0</v>
      </c>
      <c r="M2121" s="6">
        <v>0</v>
      </c>
      <c r="N2121" s="6" t="str">
        <f>""</f>
        <v/>
      </c>
      <c r="O2121" s="6">
        <v>25290</v>
      </c>
      <c r="P2121" s="6" t="s">
        <v>8846</v>
      </c>
      <c r="R2121" s="6" t="s">
        <v>8684</v>
      </c>
      <c r="S2121" s="6" t="s">
        <v>8847</v>
      </c>
      <c r="T2121" s="6">
        <v>0</v>
      </c>
      <c r="U2121" s="6">
        <v>0</v>
      </c>
      <c r="V2121" s="6">
        <v>0</v>
      </c>
      <c r="W2121" s="6">
        <v>0</v>
      </c>
      <c r="X2121" s="6" t="s">
        <v>169</v>
      </c>
      <c r="Z2121" s="6" t="s">
        <v>170</v>
      </c>
      <c r="AA2121" s="6" t="s">
        <v>171</v>
      </c>
      <c r="AB2121" s="6">
        <v>0</v>
      </c>
      <c r="AC2121" s="6" t="str">
        <f>""</f>
        <v/>
      </c>
      <c r="AS2121" s="6">
        <v>0</v>
      </c>
      <c r="AT2121" s="6">
        <v>0</v>
      </c>
    </row>
    <row r="2122" spans="2:46">
      <c r="B2122" s="6" t="s">
        <v>110</v>
      </c>
      <c r="D2122" s="6" t="s">
        <v>8189</v>
      </c>
      <c r="F2122" s="6" t="s">
        <v>8848</v>
      </c>
      <c r="G2122" s="6" t="str">
        <f>"JGUSAE1217A011RD"</f>
        <v>JGUSAE1217A011RD</v>
      </c>
      <c r="H2122" s="6" t="s">
        <v>8849</v>
      </c>
      <c r="I2122" s="6" t="s">
        <v>8850</v>
      </c>
      <c r="J2122" s="6" t="str">
        <f>"JG-USAE1217A011RD"</f>
        <v>JG-USAE1217A011RD</v>
      </c>
      <c r="K2122" s="6">
        <v>0</v>
      </c>
      <c r="L2122" s="6">
        <v>0</v>
      </c>
      <c r="M2122" s="6">
        <v>0</v>
      </c>
      <c r="N2122" s="6" t="str">
        <f>""</f>
        <v/>
      </c>
      <c r="O2122" s="6">
        <v>25288</v>
      </c>
      <c r="P2122" s="6" t="s">
        <v>8850</v>
      </c>
      <c r="R2122" s="6" t="s">
        <v>1507</v>
      </c>
      <c r="S2122" s="6" t="s">
        <v>8851</v>
      </c>
      <c r="T2122" s="6">
        <v>0</v>
      </c>
      <c r="U2122" s="6">
        <v>0</v>
      </c>
      <c r="V2122" s="6">
        <v>0</v>
      </c>
      <c r="W2122" s="6">
        <v>0</v>
      </c>
      <c r="X2122" s="6" t="s">
        <v>169</v>
      </c>
      <c r="Z2122" s="6" t="s">
        <v>170</v>
      </c>
      <c r="AA2122" s="6" t="s">
        <v>171</v>
      </c>
      <c r="AB2122" s="6">
        <v>0</v>
      </c>
      <c r="AC2122" s="6" t="str">
        <f>""</f>
        <v/>
      </c>
      <c r="AS2122" s="6">
        <v>0</v>
      </c>
      <c r="AT2122" s="6">
        <v>0</v>
      </c>
    </row>
    <row r="2123" spans="2:46">
      <c r="B2123" s="6" t="s">
        <v>110</v>
      </c>
      <c r="D2123" s="6" t="s">
        <v>8189</v>
      </c>
      <c r="F2123" s="6" t="s">
        <v>8852</v>
      </c>
      <c r="G2123" s="6" t="str">
        <f>"JGUSAE1225A051OG"</f>
        <v>JGUSAE1225A051OG</v>
      </c>
      <c r="H2123" s="6" t="s">
        <v>8853</v>
      </c>
      <c r="I2123" s="6" t="s">
        <v>8854</v>
      </c>
      <c r="J2123" s="6" t="str">
        <f>"JG-USAE1225A051OG"</f>
        <v>JG-USAE1225A051OG</v>
      </c>
      <c r="K2123" s="6">
        <v>0</v>
      </c>
      <c r="L2123" s="6">
        <v>0</v>
      </c>
      <c r="M2123" s="6">
        <v>0</v>
      </c>
      <c r="N2123" s="6" t="str">
        <f>""</f>
        <v/>
      </c>
      <c r="O2123" s="6">
        <v>25286</v>
      </c>
      <c r="P2123" s="6" t="s">
        <v>8854</v>
      </c>
      <c r="R2123" s="6" t="s">
        <v>8855</v>
      </c>
      <c r="S2123" s="6" t="s">
        <v>8856</v>
      </c>
      <c r="T2123" s="6">
        <v>0</v>
      </c>
      <c r="U2123" s="6">
        <v>0</v>
      </c>
      <c r="V2123" s="6">
        <v>0</v>
      </c>
      <c r="W2123" s="6">
        <v>0</v>
      </c>
      <c r="X2123" s="6" t="s">
        <v>169</v>
      </c>
      <c r="Z2123" s="6" t="s">
        <v>170</v>
      </c>
      <c r="AA2123" s="6" t="s">
        <v>171</v>
      </c>
      <c r="AB2123" s="6">
        <v>0</v>
      </c>
      <c r="AC2123" s="6" t="str">
        <f>""</f>
        <v/>
      </c>
      <c r="AS2123" s="6">
        <v>0</v>
      </c>
      <c r="AT2123" s="6">
        <v>0</v>
      </c>
    </row>
    <row r="2124" spans="2:46">
      <c r="B2124" s="6" t="s">
        <v>110</v>
      </c>
      <c r="D2124" s="6" t="s">
        <v>8189</v>
      </c>
      <c r="F2124" s="6" t="s">
        <v>8857</v>
      </c>
      <c r="G2124" s="6" t="str">
        <f>"JGUSAE1227060904RG"</f>
        <v>JGUSAE1227060904RG</v>
      </c>
      <c r="H2124" s="6" t="s">
        <v>8858</v>
      </c>
      <c r="I2124" s="6" t="s">
        <v>8859</v>
      </c>
      <c r="J2124" s="6" t="str">
        <f>"JG-USAE1227060904RG"</f>
        <v>JG-USAE1227060904RG</v>
      </c>
      <c r="K2124" s="6">
        <v>0</v>
      </c>
      <c r="L2124" s="6">
        <v>0</v>
      </c>
      <c r="M2124" s="6">
        <v>0</v>
      </c>
      <c r="N2124" s="6" t="str">
        <f>""</f>
        <v/>
      </c>
      <c r="O2124" s="6">
        <v>25284</v>
      </c>
      <c r="P2124" s="6" t="s">
        <v>8859</v>
      </c>
      <c r="R2124" s="6" t="s">
        <v>8728</v>
      </c>
      <c r="S2124" s="6" t="s">
        <v>8860</v>
      </c>
      <c r="T2124" s="6">
        <v>0</v>
      </c>
      <c r="U2124" s="6">
        <v>0</v>
      </c>
      <c r="V2124" s="6">
        <v>0</v>
      </c>
      <c r="W2124" s="6">
        <v>0</v>
      </c>
      <c r="X2124" s="6" t="s">
        <v>169</v>
      </c>
      <c r="Z2124" s="6" t="s">
        <v>170</v>
      </c>
      <c r="AA2124" s="6" t="s">
        <v>171</v>
      </c>
      <c r="AB2124" s="6">
        <v>0</v>
      </c>
      <c r="AC2124" s="6" t="str">
        <f>""</f>
        <v/>
      </c>
      <c r="AS2124" s="6">
        <v>0</v>
      </c>
      <c r="AT2124" s="6">
        <v>0</v>
      </c>
    </row>
    <row r="2125" spans="2:46">
      <c r="B2125" s="6" t="s">
        <v>110</v>
      </c>
      <c r="D2125" s="6" t="s">
        <v>8189</v>
      </c>
      <c r="F2125" s="6" t="s">
        <v>8861</v>
      </c>
      <c r="G2125" s="6" t="str">
        <f>"JGUSAR1223A031SV"</f>
        <v>JGUSAR1223A031SV</v>
      </c>
      <c r="H2125" s="6" t="s">
        <v>8862</v>
      </c>
      <c r="I2125" s="6" t="s">
        <v>8863</v>
      </c>
      <c r="J2125" s="6" t="str">
        <f>"JG-USAR1223A031SV"</f>
        <v>JG-USAR1223A031SV</v>
      </c>
      <c r="K2125" s="6">
        <v>0</v>
      </c>
      <c r="L2125" s="6">
        <v>0</v>
      </c>
      <c r="M2125" s="6">
        <v>0</v>
      </c>
      <c r="N2125" s="6" t="str">
        <f>""</f>
        <v/>
      </c>
      <c r="O2125" s="6">
        <v>25282</v>
      </c>
      <c r="P2125" s="6" t="s">
        <v>8863</v>
      </c>
      <c r="R2125" s="6" t="s">
        <v>8684</v>
      </c>
      <c r="S2125" s="6" t="s">
        <v>8864</v>
      </c>
      <c r="T2125" s="6">
        <v>0</v>
      </c>
      <c r="U2125" s="6">
        <v>0</v>
      </c>
      <c r="V2125" s="6">
        <v>0</v>
      </c>
      <c r="W2125" s="6">
        <v>0</v>
      </c>
      <c r="X2125" s="6" t="s">
        <v>169</v>
      </c>
      <c r="Z2125" s="6" t="s">
        <v>170</v>
      </c>
      <c r="AA2125" s="6" t="s">
        <v>171</v>
      </c>
      <c r="AB2125" s="6">
        <v>0</v>
      </c>
      <c r="AC2125" s="6" t="str">
        <f>""</f>
        <v/>
      </c>
      <c r="AS2125" s="6">
        <v>0</v>
      </c>
      <c r="AT2125" s="6">
        <v>0</v>
      </c>
    </row>
    <row r="2126" spans="2:46">
      <c r="B2126" s="6" t="s">
        <v>110</v>
      </c>
      <c r="D2126" s="6" t="s">
        <v>8189</v>
      </c>
      <c r="F2126" s="6" t="s">
        <v>8865</v>
      </c>
      <c r="G2126" s="6" t="str">
        <f>"JGUSAE1225A066SV"</f>
        <v>JGUSAE1225A066SV</v>
      </c>
      <c r="H2126" s="6" t="s">
        <v>8866</v>
      </c>
      <c r="I2126" s="6" t="s">
        <v>8867</v>
      </c>
      <c r="J2126" s="6" t="str">
        <f>"JG-USAE1225A066SV"</f>
        <v>JG-USAE1225A066SV</v>
      </c>
      <c r="K2126" s="6">
        <v>0</v>
      </c>
      <c r="L2126" s="6">
        <v>0</v>
      </c>
      <c r="M2126" s="6">
        <v>0</v>
      </c>
      <c r="N2126" s="6" t="str">
        <f>""</f>
        <v/>
      </c>
      <c r="O2126" s="6">
        <v>25280</v>
      </c>
      <c r="P2126" s="6" t="s">
        <v>8867</v>
      </c>
      <c r="R2126" s="6" t="s">
        <v>8684</v>
      </c>
      <c r="S2126" s="6" t="s">
        <v>8868</v>
      </c>
      <c r="T2126" s="6">
        <v>0</v>
      </c>
      <c r="U2126" s="6">
        <v>0</v>
      </c>
      <c r="V2126" s="6">
        <v>0</v>
      </c>
      <c r="W2126" s="6">
        <v>0</v>
      </c>
      <c r="X2126" s="6" t="s">
        <v>169</v>
      </c>
      <c r="Z2126" s="6" t="s">
        <v>170</v>
      </c>
      <c r="AA2126" s="6" t="s">
        <v>171</v>
      </c>
      <c r="AB2126" s="6">
        <v>0</v>
      </c>
      <c r="AC2126" s="6" t="str">
        <f>""</f>
        <v/>
      </c>
      <c r="AS2126" s="6">
        <v>0</v>
      </c>
      <c r="AT2126" s="6">
        <v>0</v>
      </c>
    </row>
    <row r="2127" spans="2:46">
      <c r="B2127" s="6" t="s">
        <v>110</v>
      </c>
      <c r="D2127" s="6" t="s">
        <v>8189</v>
      </c>
      <c r="F2127" s="6" t="s">
        <v>8869</v>
      </c>
      <c r="G2127" s="6" t="str">
        <f>"JGUSAE1225A044SV"</f>
        <v>JGUSAE1225A044SV</v>
      </c>
      <c r="H2127" s="6" t="s">
        <v>8870</v>
      </c>
      <c r="I2127" s="6" t="s">
        <v>8871</v>
      </c>
      <c r="J2127" s="6" t="str">
        <f>"JG-USAE1225A044SV"</f>
        <v>JG-USAE1225A044SV</v>
      </c>
      <c r="K2127" s="6">
        <v>0</v>
      </c>
      <c r="L2127" s="6">
        <v>0</v>
      </c>
      <c r="M2127" s="6">
        <v>0</v>
      </c>
      <c r="N2127" s="6" t="str">
        <f>""</f>
        <v/>
      </c>
      <c r="O2127" s="6">
        <v>25278</v>
      </c>
      <c r="P2127" s="6" t="s">
        <v>8871</v>
      </c>
      <c r="R2127" s="6" t="s">
        <v>8872</v>
      </c>
      <c r="S2127" s="6" t="s">
        <v>8873</v>
      </c>
      <c r="T2127" s="6">
        <v>0</v>
      </c>
      <c r="U2127" s="6">
        <v>0</v>
      </c>
      <c r="V2127" s="6">
        <v>0</v>
      </c>
      <c r="W2127" s="6">
        <v>0</v>
      </c>
      <c r="X2127" s="6" t="s">
        <v>169</v>
      </c>
      <c r="Z2127" s="6" t="s">
        <v>170</v>
      </c>
      <c r="AA2127" s="6" t="s">
        <v>171</v>
      </c>
      <c r="AB2127" s="6">
        <v>0</v>
      </c>
      <c r="AC2127" s="6" t="str">
        <f>""</f>
        <v/>
      </c>
      <c r="AS2127" s="6">
        <v>0</v>
      </c>
      <c r="AT2127" s="6">
        <v>0</v>
      </c>
    </row>
    <row r="2128" spans="2:46">
      <c r="B2128" s="6" t="s">
        <v>110</v>
      </c>
      <c r="D2128" s="6" t="s">
        <v>8189</v>
      </c>
      <c r="F2128" s="6" t="s">
        <v>8874</v>
      </c>
      <c r="G2128" s="6" t="str">
        <f>"JGUSAE1227A072SV"</f>
        <v>JGUSAE1227A072SV</v>
      </c>
      <c r="H2128" s="6" t="s">
        <v>8875</v>
      </c>
      <c r="I2128" s="6" t="s">
        <v>8876</v>
      </c>
      <c r="J2128" s="6" t="str">
        <f>"JG-USAE1227A072SV"</f>
        <v>JG-USAE1227A072SV</v>
      </c>
      <c r="K2128" s="6">
        <v>0</v>
      </c>
      <c r="L2128" s="6">
        <v>0</v>
      </c>
      <c r="M2128" s="6">
        <v>0</v>
      </c>
      <c r="N2128" s="6" t="str">
        <f>""</f>
        <v/>
      </c>
      <c r="O2128" s="6">
        <v>25276</v>
      </c>
      <c r="P2128" s="6" t="s">
        <v>8876</v>
      </c>
      <c r="R2128" s="6" t="s">
        <v>8684</v>
      </c>
      <c r="S2128" s="6" t="s">
        <v>8877</v>
      </c>
      <c r="T2128" s="6">
        <v>0</v>
      </c>
      <c r="U2128" s="6">
        <v>0</v>
      </c>
      <c r="V2128" s="6">
        <v>0</v>
      </c>
      <c r="W2128" s="6">
        <v>0</v>
      </c>
      <c r="X2128" s="6" t="s">
        <v>169</v>
      </c>
      <c r="Z2128" s="6" t="s">
        <v>170</v>
      </c>
      <c r="AA2128" s="6" t="s">
        <v>171</v>
      </c>
      <c r="AB2128" s="6">
        <v>0</v>
      </c>
      <c r="AC2128" s="6" t="str">
        <f>""</f>
        <v/>
      </c>
      <c r="AS2128" s="6">
        <v>0</v>
      </c>
      <c r="AT2128" s="6">
        <v>0</v>
      </c>
    </row>
    <row r="2129" spans="2:46">
      <c r="B2129" s="6" t="s">
        <v>110</v>
      </c>
      <c r="D2129" s="6" t="s">
        <v>8189</v>
      </c>
      <c r="F2129" s="6" t="s">
        <v>8878</v>
      </c>
      <c r="G2129" s="6" t="str">
        <f>"JGUSAR1220A038RG"</f>
        <v>JGUSAR1220A038RG</v>
      </c>
      <c r="H2129" s="6" t="s">
        <v>8879</v>
      </c>
      <c r="I2129" s="6" t="s">
        <v>8880</v>
      </c>
      <c r="J2129" s="6" t="str">
        <f>"JG-USAR1220A038RG"</f>
        <v>JG-USAR1220A038RG</v>
      </c>
      <c r="K2129" s="6">
        <v>0</v>
      </c>
      <c r="L2129" s="6">
        <v>0</v>
      </c>
      <c r="M2129" s="6">
        <v>0</v>
      </c>
      <c r="N2129" s="6" t="str">
        <f>""</f>
        <v/>
      </c>
      <c r="O2129" s="6">
        <v>25274</v>
      </c>
      <c r="P2129" s="6" t="s">
        <v>8880</v>
      </c>
      <c r="R2129" s="6" t="s">
        <v>8728</v>
      </c>
      <c r="S2129" s="6" t="s">
        <v>8881</v>
      </c>
      <c r="T2129" s="6">
        <v>0</v>
      </c>
      <c r="U2129" s="6">
        <v>0</v>
      </c>
      <c r="V2129" s="6">
        <v>0</v>
      </c>
      <c r="W2129" s="6">
        <v>0</v>
      </c>
      <c r="X2129" s="6" t="s">
        <v>169</v>
      </c>
      <c r="Z2129" s="6" t="s">
        <v>170</v>
      </c>
      <c r="AA2129" s="6" t="s">
        <v>171</v>
      </c>
      <c r="AB2129" s="6">
        <v>0</v>
      </c>
      <c r="AC2129" s="6" t="str">
        <f>""</f>
        <v/>
      </c>
      <c r="AS2129" s="6">
        <v>0</v>
      </c>
      <c r="AT2129" s="6">
        <v>0</v>
      </c>
    </row>
    <row r="2130" spans="2:46">
      <c r="B2130" s="6" t="s">
        <v>110</v>
      </c>
      <c r="D2130" s="6" t="s">
        <v>8189</v>
      </c>
      <c r="F2130" s="6" t="s">
        <v>8882</v>
      </c>
      <c r="G2130" s="6" t="str">
        <f>"JGUSAR123A033RG"</f>
        <v>JGUSAR123A033RG</v>
      </c>
      <c r="H2130" s="6" t="s">
        <v>8883</v>
      </c>
      <c r="I2130" s="6" t="s">
        <v>8884</v>
      </c>
      <c r="J2130" s="6" t="str">
        <f>"JG-USAR123A033RG"</f>
        <v>JG-USAR123A033RG</v>
      </c>
      <c r="K2130" s="6">
        <v>0</v>
      </c>
      <c r="L2130" s="6">
        <v>0</v>
      </c>
      <c r="M2130" s="6">
        <v>0</v>
      </c>
      <c r="N2130" s="6" t="str">
        <f>""</f>
        <v/>
      </c>
      <c r="O2130" s="6">
        <v>25272</v>
      </c>
      <c r="P2130" s="6" t="s">
        <v>8884</v>
      </c>
      <c r="R2130" s="6" t="s">
        <v>8728</v>
      </c>
      <c r="S2130" s="6" t="s">
        <v>8885</v>
      </c>
      <c r="T2130" s="6">
        <v>0</v>
      </c>
      <c r="U2130" s="6">
        <v>0</v>
      </c>
      <c r="V2130" s="6">
        <v>0</v>
      </c>
      <c r="W2130" s="6">
        <v>0</v>
      </c>
      <c r="X2130" s="6" t="s">
        <v>169</v>
      </c>
      <c r="Z2130" s="6" t="s">
        <v>170</v>
      </c>
      <c r="AA2130" s="6" t="s">
        <v>171</v>
      </c>
      <c r="AB2130" s="6">
        <v>0</v>
      </c>
      <c r="AC2130" s="6" t="str">
        <f>""</f>
        <v/>
      </c>
      <c r="AS2130" s="6">
        <v>0</v>
      </c>
      <c r="AT2130" s="6">
        <v>0</v>
      </c>
    </row>
    <row r="2131" spans="2:46">
      <c r="B2131" s="6" t="s">
        <v>110</v>
      </c>
      <c r="D2131" s="6" t="s">
        <v>8189</v>
      </c>
      <c r="F2131" s="6" t="s">
        <v>8886</v>
      </c>
      <c r="G2131" s="6" t="str">
        <f>"JGUSAR1220A039GD"</f>
        <v>JGUSAR1220A039GD</v>
      </c>
      <c r="H2131" s="6" t="s">
        <v>8887</v>
      </c>
      <c r="I2131" s="6" t="s">
        <v>8888</v>
      </c>
      <c r="J2131" s="6" t="str">
        <f>"JG-USAR1220A039GD"</f>
        <v>JG-USAR1220A039GD</v>
      </c>
      <c r="K2131" s="6">
        <v>0</v>
      </c>
      <c r="L2131" s="6">
        <v>0</v>
      </c>
      <c r="M2131" s="6">
        <v>0</v>
      </c>
      <c r="N2131" s="6" t="str">
        <f>""</f>
        <v/>
      </c>
      <c r="O2131" s="6">
        <v>25270</v>
      </c>
      <c r="P2131" s="6" t="s">
        <v>8888</v>
      </c>
      <c r="R2131" s="6" t="s">
        <v>1475</v>
      </c>
      <c r="S2131" s="6" t="s">
        <v>8889</v>
      </c>
      <c r="T2131" s="6">
        <v>0</v>
      </c>
      <c r="U2131" s="6">
        <v>0</v>
      </c>
      <c r="V2131" s="6">
        <v>0</v>
      </c>
      <c r="W2131" s="6">
        <v>0</v>
      </c>
      <c r="X2131" s="6" t="s">
        <v>169</v>
      </c>
      <c r="Z2131" s="6" t="s">
        <v>170</v>
      </c>
      <c r="AA2131" s="6" t="s">
        <v>171</v>
      </c>
      <c r="AB2131" s="6">
        <v>0</v>
      </c>
      <c r="AC2131" s="6" t="str">
        <f>""</f>
        <v/>
      </c>
      <c r="AS2131" s="6">
        <v>0</v>
      </c>
      <c r="AT2131" s="6">
        <v>0</v>
      </c>
    </row>
    <row r="2132" spans="2:46">
      <c r="B2132" s="6" t="s">
        <v>110</v>
      </c>
      <c r="D2132" s="6" t="s">
        <v>8189</v>
      </c>
      <c r="F2132" s="6" t="s">
        <v>8890</v>
      </c>
      <c r="G2132" s="6" t="str">
        <f>"JGUSAE1225A071RG"</f>
        <v>JGUSAE1225A071RG</v>
      </c>
      <c r="H2132" s="6" t="s">
        <v>8891</v>
      </c>
      <c r="I2132" s="6" t="s">
        <v>8892</v>
      </c>
      <c r="J2132" s="6" t="str">
        <f>"JG-USAE1225A071RG"</f>
        <v>JG-USAE1225A071RG</v>
      </c>
      <c r="K2132" s="6">
        <v>0</v>
      </c>
      <c r="L2132" s="6">
        <v>0</v>
      </c>
      <c r="M2132" s="6">
        <v>0</v>
      </c>
      <c r="N2132" s="6" t="str">
        <f>""</f>
        <v/>
      </c>
      <c r="O2132" s="6">
        <v>25268</v>
      </c>
      <c r="P2132" s="6" t="s">
        <v>8892</v>
      </c>
      <c r="R2132" s="6" t="s">
        <v>8728</v>
      </c>
      <c r="S2132" s="6" t="s">
        <v>8893</v>
      </c>
      <c r="T2132" s="6">
        <v>0</v>
      </c>
      <c r="U2132" s="6">
        <v>0</v>
      </c>
      <c r="V2132" s="6">
        <v>0</v>
      </c>
      <c r="W2132" s="6">
        <v>0</v>
      </c>
      <c r="X2132" s="6" t="s">
        <v>169</v>
      </c>
      <c r="Z2132" s="6" t="s">
        <v>170</v>
      </c>
      <c r="AA2132" s="6" t="s">
        <v>171</v>
      </c>
      <c r="AB2132" s="6">
        <v>0</v>
      </c>
      <c r="AC2132" s="6" t="str">
        <f>""</f>
        <v/>
      </c>
      <c r="AS2132" s="6">
        <v>0</v>
      </c>
      <c r="AT2132" s="6">
        <v>0</v>
      </c>
    </row>
    <row r="2133" spans="2:46">
      <c r="B2133" s="6" t="s">
        <v>110</v>
      </c>
      <c r="D2133" s="6" t="s">
        <v>8189</v>
      </c>
      <c r="F2133" s="6" t="s">
        <v>8894</v>
      </c>
      <c r="G2133" s="6" t="str">
        <f>"JGUSAE1225A067RG"</f>
        <v>JGUSAE1225A067RG</v>
      </c>
      <c r="H2133" s="6" t="s">
        <v>8895</v>
      </c>
      <c r="I2133" s="6" t="s">
        <v>8896</v>
      </c>
      <c r="J2133" s="6" t="str">
        <f>"JG-USAE1225A067RG"</f>
        <v>JG-USAE1225A067RG</v>
      </c>
      <c r="K2133" s="6">
        <v>0</v>
      </c>
      <c r="L2133" s="6">
        <v>0</v>
      </c>
      <c r="M2133" s="6">
        <v>0</v>
      </c>
      <c r="N2133" s="6" t="str">
        <f>""</f>
        <v/>
      </c>
      <c r="O2133" s="6">
        <v>25266</v>
      </c>
      <c r="P2133" s="6" t="s">
        <v>8896</v>
      </c>
      <c r="R2133" s="6" t="s">
        <v>8728</v>
      </c>
      <c r="S2133" s="6" t="s">
        <v>8897</v>
      </c>
      <c r="T2133" s="6">
        <v>0</v>
      </c>
      <c r="U2133" s="6">
        <v>0</v>
      </c>
      <c r="V2133" s="6">
        <v>0</v>
      </c>
      <c r="W2133" s="6">
        <v>0</v>
      </c>
      <c r="X2133" s="6" t="s">
        <v>169</v>
      </c>
      <c r="Z2133" s="6" t="s">
        <v>170</v>
      </c>
      <c r="AA2133" s="6" t="s">
        <v>171</v>
      </c>
      <c r="AB2133" s="6">
        <v>0</v>
      </c>
      <c r="AC2133" s="6" t="str">
        <f>""</f>
        <v/>
      </c>
      <c r="AS2133" s="6">
        <v>0</v>
      </c>
      <c r="AT2133" s="6">
        <v>0</v>
      </c>
    </row>
    <row r="2134" spans="2:46">
      <c r="B2134" s="6" t="s">
        <v>110</v>
      </c>
      <c r="D2134" s="6" t="s">
        <v>8189</v>
      </c>
      <c r="F2134" s="6" t="s">
        <v>8898</v>
      </c>
      <c r="G2134" s="6" t="str">
        <f>"JGUSAR1220A035RG"</f>
        <v>JGUSAR1220A035RG</v>
      </c>
      <c r="I2134" s="6" t="s">
        <v>8899</v>
      </c>
      <c r="J2134" s="6" t="str">
        <f>"JG-USAR1220A035RG"</f>
        <v>JG-USAR1220A035RG</v>
      </c>
      <c r="K2134" s="6">
        <v>0</v>
      </c>
      <c r="L2134" s="6">
        <v>0</v>
      </c>
      <c r="M2134" s="6">
        <v>0</v>
      </c>
      <c r="N2134" s="6" t="str">
        <f>""</f>
        <v/>
      </c>
      <c r="O2134" s="6">
        <v>25264</v>
      </c>
      <c r="P2134" s="6" t="s">
        <v>8899</v>
      </c>
      <c r="R2134" s="6" t="s">
        <v>8728</v>
      </c>
      <c r="S2134" s="6" t="s">
        <v>8900</v>
      </c>
      <c r="T2134" s="6">
        <v>92</v>
      </c>
      <c r="U2134" s="6">
        <v>0</v>
      </c>
      <c r="V2134" s="6">
        <v>0</v>
      </c>
      <c r="W2134" s="6">
        <v>0</v>
      </c>
      <c r="X2134" s="6" t="s">
        <v>169</v>
      </c>
      <c r="Z2134" s="6" t="s">
        <v>170</v>
      </c>
      <c r="AA2134" s="6" t="s">
        <v>171</v>
      </c>
      <c r="AB2134" s="6">
        <v>0</v>
      </c>
      <c r="AC2134" s="6" t="str">
        <f>"KEY-004"</f>
        <v>KEY-004</v>
      </c>
      <c r="AQ2134" s="6" t="str">
        <f>""</f>
        <v/>
      </c>
      <c r="AR2134" s="6" t="s">
        <v>1584</v>
      </c>
      <c r="AS2134" s="6">
        <v>0</v>
      </c>
      <c r="AT2134" s="6">
        <v>92</v>
      </c>
    </row>
    <row r="2135" spans="2:46">
      <c r="B2135" s="6" t="s">
        <v>110</v>
      </c>
      <c r="D2135" s="6" t="s">
        <v>8189</v>
      </c>
      <c r="F2135" s="6" t="s">
        <v>8901</v>
      </c>
      <c r="G2135" s="6" t="str">
        <f>"JGUSAE1223A001RD"</f>
        <v>JGUSAE1223A001RD</v>
      </c>
      <c r="H2135" s="6" t="s">
        <v>8902</v>
      </c>
      <c r="I2135" s="6" t="s">
        <v>8903</v>
      </c>
      <c r="J2135" s="6" t="str">
        <f>"JG-USAE1223A001RD"</f>
        <v>JG-USAE1223A001RD</v>
      </c>
      <c r="K2135" s="6">
        <v>0</v>
      </c>
      <c r="L2135" s="6">
        <v>0</v>
      </c>
      <c r="M2135" s="6">
        <v>0</v>
      </c>
      <c r="N2135" s="6" t="str">
        <f>""</f>
        <v/>
      </c>
      <c r="O2135" s="6">
        <v>25262</v>
      </c>
      <c r="P2135" s="6" t="s">
        <v>8903</v>
      </c>
      <c r="R2135" s="6" t="s">
        <v>1507</v>
      </c>
      <c r="S2135" s="6" t="s">
        <v>8904</v>
      </c>
      <c r="T2135" s="6">
        <v>0</v>
      </c>
      <c r="U2135" s="6">
        <v>0</v>
      </c>
      <c r="V2135" s="6">
        <v>0</v>
      </c>
      <c r="W2135" s="6">
        <v>0</v>
      </c>
      <c r="X2135" s="6" t="s">
        <v>169</v>
      </c>
      <c r="Z2135" s="6" t="s">
        <v>170</v>
      </c>
      <c r="AA2135" s="6" t="s">
        <v>171</v>
      </c>
      <c r="AB2135" s="6">
        <v>0</v>
      </c>
      <c r="AC2135" s="6" t="str">
        <f>""</f>
        <v/>
      </c>
      <c r="AS2135" s="6">
        <v>0</v>
      </c>
      <c r="AT2135" s="6">
        <v>0</v>
      </c>
    </row>
    <row r="2136" spans="2:46">
      <c r="B2136" s="6" t="s">
        <v>110</v>
      </c>
      <c r="D2136" s="6" t="s">
        <v>8189</v>
      </c>
      <c r="F2136" s="6" t="s">
        <v>8905</v>
      </c>
      <c r="G2136" s="6" t="str">
        <f>"JGUSAE1227A073RG"</f>
        <v>JGUSAE1227A073RG</v>
      </c>
      <c r="H2136" s="6" t="s">
        <v>8906</v>
      </c>
      <c r="I2136" s="6" t="s">
        <v>8907</v>
      </c>
      <c r="J2136" s="6" t="str">
        <f>"JG-USAE1227A073RG"</f>
        <v>JG-USAE1227A073RG</v>
      </c>
      <c r="K2136" s="6">
        <v>0</v>
      </c>
      <c r="L2136" s="6">
        <v>0</v>
      </c>
      <c r="M2136" s="6">
        <v>0</v>
      </c>
      <c r="N2136" s="6" t="str">
        <f>""</f>
        <v/>
      </c>
      <c r="O2136" s="6">
        <v>25260</v>
      </c>
      <c r="P2136" s="6" t="s">
        <v>8907</v>
      </c>
      <c r="R2136" s="6" t="s">
        <v>8728</v>
      </c>
      <c r="S2136" s="6" t="s">
        <v>8908</v>
      </c>
      <c r="T2136" s="6">
        <v>0</v>
      </c>
      <c r="U2136" s="6">
        <v>0</v>
      </c>
      <c r="V2136" s="6">
        <v>0</v>
      </c>
      <c r="W2136" s="6">
        <v>0</v>
      </c>
      <c r="X2136" s="6" t="s">
        <v>169</v>
      </c>
      <c r="Z2136" s="6" t="s">
        <v>170</v>
      </c>
      <c r="AA2136" s="6" t="s">
        <v>171</v>
      </c>
      <c r="AB2136" s="6">
        <v>0</v>
      </c>
      <c r="AC2136" s="6" t="str">
        <f>""</f>
        <v/>
      </c>
      <c r="AS2136" s="6">
        <v>0</v>
      </c>
      <c r="AT2136" s="6">
        <v>0</v>
      </c>
    </row>
    <row r="2137" spans="2:46">
      <c r="B2137" s="6" t="s">
        <v>110</v>
      </c>
      <c r="D2137" s="6" t="s">
        <v>8189</v>
      </c>
      <c r="F2137" s="6" t="s">
        <v>8909</v>
      </c>
      <c r="G2137" s="6" t="str">
        <f>"JGUSAR1220A036GD"</f>
        <v>JGUSAR1220A036GD</v>
      </c>
      <c r="H2137" s="6" t="s">
        <v>8910</v>
      </c>
      <c r="I2137" s="6" t="s">
        <v>8911</v>
      </c>
      <c r="J2137" s="6" t="str">
        <f>"JG-USAR1220A036GD"</f>
        <v>JG-USAR1220A036GD</v>
      </c>
      <c r="K2137" s="6">
        <v>0</v>
      </c>
      <c r="L2137" s="6">
        <v>0</v>
      </c>
      <c r="M2137" s="6">
        <v>0</v>
      </c>
      <c r="N2137" s="6" t="str">
        <f>""</f>
        <v/>
      </c>
      <c r="O2137" s="6">
        <v>25258</v>
      </c>
      <c r="P2137" s="6" t="s">
        <v>8911</v>
      </c>
      <c r="R2137" s="6" t="s">
        <v>1475</v>
      </c>
      <c r="S2137" s="6" t="s">
        <v>8912</v>
      </c>
      <c r="T2137" s="6">
        <v>0</v>
      </c>
      <c r="U2137" s="6">
        <v>0</v>
      </c>
      <c r="V2137" s="6">
        <v>0</v>
      </c>
      <c r="W2137" s="6">
        <v>0</v>
      </c>
      <c r="X2137" s="6" t="s">
        <v>169</v>
      </c>
      <c r="Z2137" s="6" t="s">
        <v>170</v>
      </c>
      <c r="AA2137" s="6" t="s">
        <v>171</v>
      </c>
      <c r="AB2137" s="6">
        <v>0</v>
      </c>
      <c r="AC2137" s="6" t="str">
        <f>""</f>
        <v/>
      </c>
      <c r="AS2137" s="6">
        <v>0</v>
      </c>
      <c r="AT2137" s="6">
        <v>0</v>
      </c>
    </row>
    <row r="2138" spans="2:46">
      <c r="B2138" s="6" t="s">
        <v>110</v>
      </c>
      <c r="D2138" s="6" t="s">
        <v>8189</v>
      </c>
      <c r="F2138" s="6" t="s">
        <v>8913</v>
      </c>
      <c r="G2138" s="6" t="str">
        <f>"JGUSAR1220A034SV"</f>
        <v>JGUSAR1220A034SV</v>
      </c>
      <c r="H2138" s="6" t="s">
        <v>8914</v>
      </c>
      <c r="I2138" s="6" t="s">
        <v>8915</v>
      </c>
      <c r="J2138" s="6" t="str">
        <f>"JG-USAR1220A034SV"</f>
        <v>JG-USAR1220A034SV</v>
      </c>
      <c r="K2138" s="6">
        <v>0</v>
      </c>
      <c r="L2138" s="6">
        <v>0</v>
      </c>
      <c r="M2138" s="6">
        <v>0</v>
      </c>
      <c r="N2138" s="6" t="str">
        <f>""</f>
        <v/>
      </c>
      <c r="O2138" s="6">
        <v>25256</v>
      </c>
      <c r="P2138" s="6" t="s">
        <v>8915</v>
      </c>
      <c r="R2138" s="6" t="s">
        <v>8684</v>
      </c>
      <c r="S2138" s="6" t="s">
        <v>8916</v>
      </c>
      <c r="T2138" s="6">
        <v>0</v>
      </c>
      <c r="U2138" s="6">
        <v>0</v>
      </c>
      <c r="V2138" s="6">
        <v>0</v>
      </c>
      <c r="W2138" s="6">
        <v>0</v>
      </c>
      <c r="X2138" s="6" t="s">
        <v>169</v>
      </c>
      <c r="Z2138" s="6" t="s">
        <v>170</v>
      </c>
      <c r="AA2138" s="6" t="s">
        <v>171</v>
      </c>
      <c r="AB2138" s="6">
        <v>0</v>
      </c>
      <c r="AC2138" s="6" t="str">
        <f>""</f>
        <v/>
      </c>
      <c r="AS2138" s="6">
        <v>0</v>
      </c>
      <c r="AT2138" s="6">
        <v>0</v>
      </c>
    </row>
    <row r="2139" spans="2:46">
      <c r="B2139" s="6" t="s">
        <v>110</v>
      </c>
      <c r="D2139" s="6" t="s">
        <v>8189</v>
      </c>
      <c r="F2139" s="6" t="s">
        <v>8917</v>
      </c>
      <c r="G2139" s="6" t="str">
        <f>"JGUSAE1225A070SV"</f>
        <v>JGUSAE1225A070SV</v>
      </c>
      <c r="H2139" s="6" t="s">
        <v>8918</v>
      </c>
      <c r="I2139" s="6" t="s">
        <v>8919</v>
      </c>
      <c r="J2139" s="6" t="str">
        <f>"JG-USAE1225A070SV"</f>
        <v>JG-USAE1225A070SV</v>
      </c>
      <c r="K2139" s="6">
        <v>0</v>
      </c>
      <c r="L2139" s="6">
        <v>0</v>
      </c>
      <c r="M2139" s="6">
        <v>0</v>
      </c>
      <c r="N2139" s="6" t="str">
        <f>""</f>
        <v/>
      </c>
      <c r="O2139" s="6">
        <v>25254</v>
      </c>
      <c r="P2139" s="6" t="s">
        <v>8919</v>
      </c>
      <c r="R2139" s="6" t="s">
        <v>8684</v>
      </c>
      <c r="S2139" s="6" t="s">
        <v>8920</v>
      </c>
      <c r="T2139" s="6">
        <v>0</v>
      </c>
      <c r="U2139" s="6">
        <v>0</v>
      </c>
      <c r="V2139" s="6">
        <v>0</v>
      </c>
      <c r="W2139" s="6">
        <v>0</v>
      </c>
      <c r="X2139" s="6" t="s">
        <v>169</v>
      </c>
      <c r="Z2139" s="6" t="s">
        <v>170</v>
      </c>
      <c r="AA2139" s="6" t="s">
        <v>171</v>
      </c>
      <c r="AB2139" s="6">
        <v>0</v>
      </c>
      <c r="AC2139" s="6" t="str">
        <f>""</f>
        <v/>
      </c>
      <c r="AS2139" s="6">
        <v>0</v>
      </c>
      <c r="AT2139" s="6">
        <v>0</v>
      </c>
    </row>
    <row r="2140" spans="2:46">
      <c r="B2140" s="6" t="s">
        <v>110</v>
      </c>
      <c r="D2140" s="6" t="s">
        <v>8189</v>
      </c>
      <c r="F2140" s="6" t="s">
        <v>8921</v>
      </c>
      <c r="G2140" s="6" t="str">
        <f>"JGUSAE12203101SV"</f>
        <v>JGUSAE12203101SV</v>
      </c>
      <c r="H2140" s="6" t="s">
        <v>8922</v>
      </c>
      <c r="I2140" s="6" t="s">
        <v>8923</v>
      </c>
      <c r="J2140" s="6" t="str">
        <f>"JG-USAE12203101SV"</f>
        <v>JG-USAE12203101SV</v>
      </c>
      <c r="K2140" s="6">
        <v>0</v>
      </c>
      <c r="L2140" s="6">
        <v>0</v>
      </c>
      <c r="M2140" s="6">
        <v>0</v>
      </c>
      <c r="N2140" s="6" t="str">
        <f>""</f>
        <v/>
      </c>
      <c r="O2140" s="6">
        <v>25252</v>
      </c>
      <c r="P2140" s="6" t="s">
        <v>8923</v>
      </c>
      <c r="R2140" s="6" t="s">
        <v>8684</v>
      </c>
      <c r="S2140" s="6" t="s">
        <v>8924</v>
      </c>
      <c r="T2140" s="6">
        <v>0</v>
      </c>
      <c r="U2140" s="6">
        <v>0</v>
      </c>
      <c r="V2140" s="6">
        <v>0</v>
      </c>
      <c r="W2140" s="6">
        <v>0</v>
      </c>
      <c r="X2140" s="6" t="s">
        <v>169</v>
      </c>
      <c r="Z2140" s="6" t="s">
        <v>170</v>
      </c>
      <c r="AA2140" s="6" t="s">
        <v>171</v>
      </c>
      <c r="AB2140" s="6">
        <v>0</v>
      </c>
      <c r="AC2140" s="6" t="str">
        <f>""</f>
        <v/>
      </c>
      <c r="AS2140" s="6">
        <v>0</v>
      </c>
      <c r="AT2140" s="6">
        <v>0</v>
      </c>
    </row>
    <row r="2141" spans="2:46">
      <c r="B2141" s="6" t="s">
        <v>110</v>
      </c>
      <c r="D2141" s="6" t="s">
        <v>8189</v>
      </c>
      <c r="F2141" s="6" t="s">
        <v>8925</v>
      </c>
      <c r="G2141" s="6" t="str">
        <f>"JGUSAE1223060907BK"</f>
        <v>JGUSAE1223060907BK</v>
      </c>
      <c r="H2141" s="6" t="s">
        <v>8926</v>
      </c>
      <c r="I2141" s="6" t="s">
        <v>8927</v>
      </c>
      <c r="J2141" s="6" t="str">
        <f>"JG-USAE1223060907BK"</f>
        <v>JG-USAE1223060907BK</v>
      </c>
      <c r="K2141" s="6">
        <v>0</v>
      </c>
      <c r="L2141" s="6">
        <v>0</v>
      </c>
      <c r="M2141" s="6">
        <v>0</v>
      </c>
      <c r="N2141" s="6" t="str">
        <f>""</f>
        <v/>
      </c>
      <c r="O2141" s="6">
        <v>25250</v>
      </c>
      <c r="P2141" s="6" t="s">
        <v>8927</v>
      </c>
      <c r="R2141" s="6" t="s">
        <v>1511</v>
      </c>
      <c r="S2141" s="6" t="s">
        <v>8928</v>
      </c>
      <c r="T2141" s="6">
        <v>0</v>
      </c>
      <c r="U2141" s="6">
        <v>0</v>
      </c>
      <c r="V2141" s="6">
        <v>0</v>
      </c>
      <c r="W2141" s="6">
        <v>0</v>
      </c>
      <c r="X2141" s="6" t="s">
        <v>169</v>
      </c>
      <c r="Z2141" s="6" t="s">
        <v>170</v>
      </c>
      <c r="AA2141" s="6" t="s">
        <v>171</v>
      </c>
      <c r="AB2141" s="6">
        <v>0</v>
      </c>
      <c r="AC2141" s="6" t="str">
        <f>""</f>
        <v/>
      </c>
      <c r="AS2141" s="6">
        <v>0</v>
      </c>
      <c r="AT2141" s="6">
        <v>1</v>
      </c>
    </row>
    <row r="2142" spans="2:46">
      <c r="B2142" s="6" t="s">
        <v>110</v>
      </c>
      <c r="D2142" s="6" t="s">
        <v>8189</v>
      </c>
      <c r="F2142" s="6" t="s">
        <v>8929</v>
      </c>
      <c r="G2142" s="6" t="str">
        <f>"JGUSABPST00304SV"</f>
        <v>JGUSABPST00304SV</v>
      </c>
      <c r="H2142" s="6" t="s">
        <v>8930</v>
      </c>
      <c r="I2142" s="6" t="s">
        <v>8931</v>
      </c>
      <c r="J2142" s="6" t="str">
        <f>"JG-USABPST00304SV"</f>
        <v>JG-USABPST00304SV</v>
      </c>
      <c r="K2142" s="6">
        <v>0</v>
      </c>
      <c r="L2142" s="6">
        <v>0</v>
      </c>
      <c r="M2142" s="6">
        <v>0</v>
      </c>
      <c r="N2142" s="6" t="str">
        <f>""</f>
        <v/>
      </c>
      <c r="O2142" s="6">
        <v>25248</v>
      </c>
      <c r="P2142" s="6" t="s">
        <v>8931</v>
      </c>
      <c r="R2142" s="6" t="s">
        <v>8684</v>
      </c>
      <c r="S2142" s="6" t="s">
        <v>8932</v>
      </c>
      <c r="T2142" s="6">
        <v>0</v>
      </c>
      <c r="U2142" s="6">
        <v>0</v>
      </c>
      <c r="V2142" s="6">
        <v>0</v>
      </c>
      <c r="W2142" s="6">
        <v>0</v>
      </c>
      <c r="X2142" s="6" t="s">
        <v>169</v>
      </c>
      <c r="Z2142" s="6" t="s">
        <v>170</v>
      </c>
      <c r="AA2142" s="6" t="s">
        <v>171</v>
      </c>
      <c r="AB2142" s="6">
        <v>0</v>
      </c>
      <c r="AC2142" s="6" t="str">
        <f>""</f>
        <v/>
      </c>
      <c r="AS2142" s="6">
        <v>0</v>
      </c>
      <c r="AT2142" s="6">
        <v>0</v>
      </c>
    </row>
    <row r="2143" spans="2:46">
      <c r="B2143" s="6" t="s">
        <v>110</v>
      </c>
      <c r="D2143" s="6" t="s">
        <v>8189</v>
      </c>
      <c r="F2143" s="6" t="s">
        <v>8933</v>
      </c>
      <c r="G2143" s="6" t="str">
        <f>"JGUSAE1217A016PK"</f>
        <v>JGUSAE1217A016PK</v>
      </c>
      <c r="H2143" s="6" t="s">
        <v>8934</v>
      </c>
      <c r="I2143" s="6" t="s">
        <v>8935</v>
      </c>
      <c r="J2143" s="6" t="str">
        <f>"JG-USAE1217A016PK"</f>
        <v>JG-USAE1217A016PK</v>
      </c>
      <c r="K2143" s="6">
        <v>0</v>
      </c>
      <c r="L2143" s="6">
        <v>0</v>
      </c>
      <c r="M2143" s="6">
        <v>0</v>
      </c>
      <c r="N2143" s="6" t="str">
        <f>""</f>
        <v/>
      </c>
      <c r="O2143" s="6">
        <v>25246</v>
      </c>
      <c r="P2143" s="6" t="s">
        <v>8935</v>
      </c>
      <c r="R2143" s="6" t="s">
        <v>3107</v>
      </c>
      <c r="S2143" s="6" t="s">
        <v>8936</v>
      </c>
      <c r="T2143" s="6">
        <v>0</v>
      </c>
      <c r="U2143" s="6">
        <v>0</v>
      </c>
      <c r="V2143" s="6">
        <v>0</v>
      </c>
      <c r="W2143" s="6">
        <v>0</v>
      </c>
      <c r="X2143" s="6" t="s">
        <v>169</v>
      </c>
      <c r="Z2143" s="6" t="s">
        <v>170</v>
      </c>
      <c r="AA2143" s="6" t="s">
        <v>171</v>
      </c>
      <c r="AB2143" s="6">
        <v>0</v>
      </c>
      <c r="AC2143" s="6" t="str">
        <f>""</f>
        <v/>
      </c>
      <c r="AS2143" s="6">
        <v>0</v>
      </c>
      <c r="AT2143" s="6">
        <v>0</v>
      </c>
    </row>
    <row r="2144" spans="2:46">
      <c r="B2144" s="6" t="s">
        <v>110</v>
      </c>
      <c r="D2144" s="6" t="s">
        <v>8189</v>
      </c>
      <c r="F2144" s="6" t="s">
        <v>8937</v>
      </c>
      <c r="G2144" s="6" t="str">
        <f>"JGUSAE1225A050GR"</f>
        <v>JGUSAE1225A050GR</v>
      </c>
      <c r="H2144" s="6" t="s">
        <v>8938</v>
      </c>
      <c r="I2144" s="6" t="s">
        <v>8939</v>
      </c>
      <c r="J2144" s="6" t="str">
        <f>"JG-USAE1225A050GR"</f>
        <v>JG-USAE1225A050GR</v>
      </c>
      <c r="K2144" s="6">
        <v>0</v>
      </c>
      <c r="L2144" s="6">
        <v>0</v>
      </c>
      <c r="M2144" s="6">
        <v>0</v>
      </c>
      <c r="N2144" s="6" t="str">
        <f>""</f>
        <v/>
      </c>
      <c r="O2144" s="6">
        <v>25244</v>
      </c>
      <c r="P2144" s="6" t="s">
        <v>8939</v>
      </c>
      <c r="R2144" s="6" t="s">
        <v>8738</v>
      </c>
      <c r="S2144" s="6" t="s">
        <v>8940</v>
      </c>
      <c r="T2144" s="6">
        <v>0</v>
      </c>
      <c r="U2144" s="6">
        <v>0</v>
      </c>
      <c r="V2144" s="6">
        <v>0</v>
      </c>
      <c r="W2144" s="6">
        <v>0</v>
      </c>
      <c r="X2144" s="6" t="s">
        <v>169</v>
      </c>
      <c r="Z2144" s="6" t="s">
        <v>170</v>
      </c>
      <c r="AA2144" s="6" t="s">
        <v>171</v>
      </c>
      <c r="AB2144" s="6">
        <v>0</v>
      </c>
      <c r="AC2144" s="6" t="str">
        <f>""</f>
        <v/>
      </c>
      <c r="AS2144" s="6">
        <v>0</v>
      </c>
      <c r="AT2144" s="6">
        <v>0</v>
      </c>
    </row>
    <row r="2145" spans="2:46">
      <c r="B2145" s="6" t="s">
        <v>110</v>
      </c>
      <c r="D2145" s="6" t="s">
        <v>8189</v>
      </c>
      <c r="F2145" s="6" t="s">
        <v>8941</v>
      </c>
      <c r="G2145" s="6" t="str">
        <f>"JGUSAE1225A049GY"</f>
        <v>JGUSAE1225A049GY</v>
      </c>
      <c r="H2145" s="6" t="s">
        <v>8942</v>
      </c>
      <c r="I2145" s="6" t="s">
        <v>8943</v>
      </c>
      <c r="J2145" s="6" t="str">
        <f>"JG-USAE1225A049GY"</f>
        <v>JG-USAE1225A049GY</v>
      </c>
      <c r="K2145" s="6">
        <v>0</v>
      </c>
      <c r="L2145" s="6">
        <v>0</v>
      </c>
      <c r="M2145" s="6">
        <v>0</v>
      </c>
      <c r="N2145" s="6" t="str">
        <f>""</f>
        <v/>
      </c>
      <c r="O2145" s="6">
        <v>25242</v>
      </c>
      <c r="P2145" s="6" t="s">
        <v>8943</v>
      </c>
      <c r="R2145" s="6" t="s">
        <v>8944</v>
      </c>
      <c r="S2145" s="6" t="s">
        <v>8945</v>
      </c>
      <c r="T2145" s="6">
        <v>0</v>
      </c>
      <c r="U2145" s="6">
        <v>0</v>
      </c>
      <c r="V2145" s="6">
        <v>0</v>
      </c>
      <c r="W2145" s="6">
        <v>0</v>
      </c>
      <c r="X2145" s="6" t="s">
        <v>169</v>
      </c>
      <c r="Z2145" s="6" t="s">
        <v>170</v>
      </c>
      <c r="AA2145" s="6" t="s">
        <v>171</v>
      </c>
      <c r="AB2145" s="6">
        <v>0</v>
      </c>
      <c r="AC2145" s="6" t="str">
        <f>""</f>
        <v/>
      </c>
      <c r="AS2145" s="6">
        <v>0</v>
      </c>
      <c r="AT2145" s="6">
        <v>0</v>
      </c>
    </row>
    <row r="2146" spans="2:46">
      <c r="B2146" s="6" t="s">
        <v>110</v>
      </c>
      <c r="D2146" s="6" t="s">
        <v>8189</v>
      </c>
      <c r="F2146" s="6" t="s">
        <v>8946</v>
      </c>
      <c r="G2146" s="6" t="str">
        <f>"JGUSAE122551502SV"</f>
        <v>JGUSAE122551502SV</v>
      </c>
      <c r="H2146" s="6" t="s">
        <v>8947</v>
      </c>
      <c r="I2146" s="6" t="s">
        <v>8948</v>
      </c>
      <c r="J2146" s="6" t="str">
        <f>"JG-USAE122551502SV"</f>
        <v>JG-USAE122551502SV</v>
      </c>
      <c r="K2146" s="6">
        <v>0</v>
      </c>
      <c r="L2146" s="6">
        <v>0</v>
      </c>
      <c r="M2146" s="6">
        <v>0</v>
      </c>
      <c r="N2146" s="6" t="str">
        <f>""</f>
        <v/>
      </c>
      <c r="O2146" s="6">
        <v>25240</v>
      </c>
      <c r="P2146" s="6" t="s">
        <v>8948</v>
      </c>
      <c r="R2146" s="6" t="s">
        <v>8684</v>
      </c>
      <c r="S2146" s="6" t="s">
        <v>8949</v>
      </c>
      <c r="T2146" s="6">
        <v>0</v>
      </c>
      <c r="U2146" s="6">
        <v>0</v>
      </c>
      <c r="V2146" s="6">
        <v>0</v>
      </c>
      <c r="W2146" s="6">
        <v>0</v>
      </c>
      <c r="X2146" s="6" t="s">
        <v>169</v>
      </c>
      <c r="Z2146" s="6" t="s">
        <v>170</v>
      </c>
      <c r="AA2146" s="6" t="s">
        <v>171</v>
      </c>
      <c r="AB2146" s="6">
        <v>0</v>
      </c>
      <c r="AC2146" s="6" t="str">
        <f>""</f>
        <v/>
      </c>
      <c r="AS2146" s="6">
        <v>0</v>
      </c>
      <c r="AT2146" s="6">
        <v>0</v>
      </c>
    </row>
    <row r="2147" spans="2:46">
      <c r="B2147" s="6" t="s">
        <v>110</v>
      </c>
      <c r="D2147" s="6" t="s">
        <v>8189</v>
      </c>
      <c r="F2147" s="6" t="s">
        <v>8950</v>
      </c>
      <c r="G2147" s="6" t="str">
        <f>"JGUSAE1225A051OR"</f>
        <v>JGUSAE1225A051OR</v>
      </c>
      <c r="H2147" s="6" t="s">
        <v>8951</v>
      </c>
      <c r="I2147" s="6" t="s">
        <v>8952</v>
      </c>
      <c r="J2147" s="6" t="str">
        <f>"JG-USAE1225A051OR"</f>
        <v>JG-USAE1225A051OR</v>
      </c>
      <c r="K2147" s="6">
        <v>0</v>
      </c>
      <c r="L2147" s="6">
        <v>0</v>
      </c>
      <c r="M2147" s="6">
        <v>0</v>
      </c>
      <c r="N2147" s="6" t="str">
        <f>""</f>
        <v/>
      </c>
      <c r="O2147" s="6">
        <v>25238</v>
      </c>
      <c r="P2147" s="6" t="s">
        <v>8952</v>
      </c>
      <c r="R2147" s="6" t="s">
        <v>8953</v>
      </c>
      <c r="S2147" s="6" t="s">
        <v>8954</v>
      </c>
      <c r="T2147" s="6">
        <v>0</v>
      </c>
      <c r="U2147" s="6">
        <v>0</v>
      </c>
      <c r="V2147" s="6">
        <v>0</v>
      </c>
      <c r="W2147" s="6">
        <v>0</v>
      </c>
      <c r="X2147" s="6" t="s">
        <v>169</v>
      </c>
      <c r="Z2147" s="6" t="s">
        <v>170</v>
      </c>
      <c r="AA2147" s="6" t="s">
        <v>171</v>
      </c>
      <c r="AB2147" s="6">
        <v>0</v>
      </c>
      <c r="AC2147" s="6" t="str">
        <f>""</f>
        <v/>
      </c>
      <c r="AS2147" s="6">
        <v>0</v>
      </c>
      <c r="AT2147" s="6">
        <v>0</v>
      </c>
    </row>
    <row r="2148" spans="2:46">
      <c r="B2148" s="6" t="s">
        <v>110</v>
      </c>
      <c r="D2148" s="6" t="s">
        <v>8189</v>
      </c>
      <c r="F2148" s="6" t="s">
        <v>8955</v>
      </c>
      <c r="G2148" s="6" t="str">
        <f>"JGUSAEPST00910GD"</f>
        <v>JGUSAEPST00910GD</v>
      </c>
      <c r="H2148" s="6" t="s">
        <v>8956</v>
      </c>
      <c r="I2148" s="6" t="s">
        <v>8957</v>
      </c>
      <c r="J2148" s="6" t="str">
        <f>"JG-USAEPST00910GD"</f>
        <v>JG-USAEPST00910GD</v>
      </c>
      <c r="K2148" s="6">
        <v>0</v>
      </c>
      <c r="L2148" s="6">
        <v>0</v>
      </c>
      <c r="M2148" s="6">
        <v>0</v>
      </c>
      <c r="N2148" s="6" t="str">
        <f>""</f>
        <v/>
      </c>
      <c r="O2148" s="6">
        <v>25236</v>
      </c>
      <c r="P2148" s="6" t="s">
        <v>8957</v>
      </c>
      <c r="R2148" s="6" t="s">
        <v>1475</v>
      </c>
      <c r="S2148" s="6" t="s">
        <v>8958</v>
      </c>
      <c r="T2148" s="6">
        <v>0</v>
      </c>
      <c r="U2148" s="6">
        <v>0</v>
      </c>
      <c r="V2148" s="6">
        <v>0</v>
      </c>
      <c r="W2148" s="6">
        <v>0</v>
      </c>
      <c r="X2148" s="6" t="s">
        <v>169</v>
      </c>
      <c r="Z2148" s="6" t="s">
        <v>170</v>
      </c>
      <c r="AA2148" s="6" t="s">
        <v>171</v>
      </c>
      <c r="AB2148" s="6">
        <v>0</v>
      </c>
      <c r="AC2148" s="6" t="str">
        <f>""</f>
        <v/>
      </c>
      <c r="AS2148" s="6">
        <v>0</v>
      </c>
      <c r="AT2148" s="6">
        <v>0</v>
      </c>
    </row>
    <row r="2149" spans="2:46">
      <c r="B2149" s="6" t="s">
        <v>110</v>
      </c>
      <c r="D2149" s="6" t="s">
        <v>8189</v>
      </c>
      <c r="F2149" s="6" t="s">
        <v>8959</v>
      </c>
      <c r="G2149" s="6" t="str">
        <f>"JGUSABPST00304RG"</f>
        <v>JGUSABPST00304RG</v>
      </c>
      <c r="H2149" s="6" t="s">
        <v>8960</v>
      </c>
      <c r="I2149" s="6" t="s">
        <v>8961</v>
      </c>
      <c r="J2149" s="6" t="str">
        <f>"JG-USABPST00304RG"</f>
        <v>JG-USABPST00304RG</v>
      </c>
      <c r="K2149" s="6">
        <v>0</v>
      </c>
      <c r="L2149" s="6">
        <v>0</v>
      </c>
      <c r="M2149" s="6">
        <v>0</v>
      </c>
      <c r="N2149" s="6" t="str">
        <f>""</f>
        <v/>
      </c>
      <c r="O2149" s="6">
        <v>25234</v>
      </c>
      <c r="P2149" s="6" t="s">
        <v>8961</v>
      </c>
      <c r="R2149" s="6" t="s">
        <v>8728</v>
      </c>
      <c r="S2149" s="6" t="s">
        <v>8962</v>
      </c>
      <c r="T2149" s="6">
        <v>0</v>
      </c>
      <c r="U2149" s="6">
        <v>0</v>
      </c>
      <c r="V2149" s="6">
        <v>0</v>
      </c>
      <c r="W2149" s="6">
        <v>0</v>
      </c>
      <c r="X2149" s="6" t="s">
        <v>169</v>
      </c>
      <c r="Z2149" s="6" t="s">
        <v>170</v>
      </c>
      <c r="AA2149" s="6" t="s">
        <v>171</v>
      </c>
      <c r="AB2149" s="6">
        <v>0</v>
      </c>
      <c r="AC2149" s="6" t="str">
        <f>""</f>
        <v/>
      </c>
      <c r="AS2149" s="6">
        <v>0</v>
      </c>
      <c r="AT2149" s="6">
        <v>0</v>
      </c>
    </row>
    <row r="2150" spans="2:46">
      <c r="B2150" s="6" t="s">
        <v>110</v>
      </c>
      <c r="D2150" s="6" t="s">
        <v>8189</v>
      </c>
      <c r="F2150" s="6" t="s">
        <v>8963</v>
      </c>
      <c r="G2150" s="6" t="str">
        <f>"JGUSAR1223A033RG"</f>
        <v>JGUSAR1223A033RG</v>
      </c>
      <c r="H2150" s="6" t="s">
        <v>8964</v>
      </c>
      <c r="I2150" s="6" t="s">
        <v>8965</v>
      </c>
      <c r="J2150" s="6" t="str">
        <f>"JG-USAR1223A033RG"</f>
        <v>JG-USAR1223A033RG</v>
      </c>
      <c r="K2150" s="6">
        <v>0</v>
      </c>
      <c r="L2150" s="6">
        <v>0</v>
      </c>
      <c r="M2150" s="6">
        <v>0</v>
      </c>
      <c r="N2150" s="6" t="str">
        <f>""</f>
        <v/>
      </c>
      <c r="O2150" s="6">
        <v>25232</v>
      </c>
      <c r="P2150" s="6" t="s">
        <v>8965</v>
      </c>
      <c r="R2150" s="6" t="s">
        <v>8728</v>
      </c>
      <c r="S2150" s="6" t="s">
        <v>8966</v>
      </c>
      <c r="T2150" s="6">
        <v>0</v>
      </c>
      <c r="U2150" s="6">
        <v>0</v>
      </c>
      <c r="V2150" s="6">
        <v>0</v>
      </c>
      <c r="W2150" s="6">
        <v>0</v>
      </c>
      <c r="X2150" s="6" t="s">
        <v>169</v>
      </c>
      <c r="Z2150" s="6" t="s">
        <v>170</v>
      </c>
      <c r="AA2150" s="6" t="s">
        <v>171</v>
      </c>
      <c r="AB2150" s="6">
        <v>0</v>
      </c>
      <c r="AC2150" s="6" t="str">
        <f>""</f>
        <v/>
      </c>
      <c r="AS2150" s="6">
        <v>0</v>
      </c>
      <c r="AT2150" s="6">
        <v>0</v>
      </c>
    </row>
    <row r="2151" spans="2:46">
      <c r="B2151" s="6" t="s">
        <v>110</v>
      </c>
      <c r="D2151" s="6" t="s">
        <v>8189</v>
      </c>
      <c r="F2151" s="6" t="s">
        <v>8967</v>
      </c>
      <c r="G2151" s="6" t="str">
        <f>"JGUSAEPST00910RG"</f>
        <v>JGUSAEPST00910RG</v>
      </c>
      <c r="H2151" s="6" t="s">
        <v>8968</v>
      </c>
      <c r="I2151" s="6" t="s">
        <v>8969</v>
      </c>
      <c r="J2151" s="6" t="str">
        <f>"JG-USAEPST00910RG"</f>
        <v>JG-USAEPST00910RG</v>
      </c>
      <c r="K2151" s="6">
        <v>0</v>
      </c>
      <c r="L2151" s="6">
        <v>0</v>
      </c>
      <c r="M2151" s="6">
        <v>0</v>
      </c>
      <c r="N2151" s="6" t="str">
        <f>""</f>
        <v/>
      </c>
      <c r="O2151" s="6">
        <v>25230</v>
      </c>
      <c r="P2151" s="6" t="s">
        <v>8969</v>
      </c>
      <c r="R2151" s="6" t="s">
        <v>8728</v>
      </c>
      <c r="S2151" s="6" t="s">
        <v>8970</v>
      </c>
      <c r="T2151" s="6">
        <v>0</v>
      </c>
      <c r="U2151" s="6">
        <v>0</v>
      </c>
      <c r="V2151" s="6">
        <v>0</v>
      </c>
      <c r="W2151" s="6">
        <v>0</v>
      </c>
      <c r="X2151" s="6" t="s">
        <v>169</v>
      </c>
      <c r="Z2151" s="6" t="s">
        <v>170</v>
      </c>
      <c r="AA2151" s="6" t="s">
        <v>171</v>
      </c>
      <c r="AB2151" s="6">
        <v>0</v>
      </c>
      <c r="AC2151" s="6" t="str">
        <f>""</f>
        <v/>
      </c>
      <c r="AS2151" s="6">
        <v>0</v>
      </c>
      <c r="AT2151" s="6">
        <v>0</v>
      </c>
    </row>
    <row r="2152" spans="2:46">
      <c r="B2152" s="6" t="s">
        <v>110</v>
      </c>
      <c r="D2152" s="6" t="s">
        <v>8189</v>
      </c>
      <c r="F2152" s="6" t="s">
        <v>8971</v>
      </c>
      <c r="G2152" s="6" t="str">
        <f>"JGUSAE1217A015BL"</f>
        <v>JGUSAE1217A015BL</v>
      </c>
      <c r="H2152" s="6" t="s">
        <v>8972</v>
      </c>
      <c r="I2152" s="6" t="s">
        <v>8973</v>
      </c>
      <c r="J2152" s="6" t="str">
        <f>"JG-USAE1217A015BL"</f>
        <v>JG-USAE1217A015BL</v>
      </c>
      <c r="K2152" s="6">
        <v>0</v>
      </c>
      <c r="L2152" s="6">
        <v>0</v>
      </c>
      <c r="M2152" s="6">
        <v>0</v>
      </c>
      <c r="N2152" s="6" t="str">
        <f>""</f>
        <v/>
      </c>
      <c r="O2152" s="6">
        <v>25228</v>
      </c>
      <c r="P2152" s="6" t="s">
        <v>8973</v>
      </c>
      <c r="R2152" s="6" t="s">
        <v>1517</v>
      </c>
      <c r="S2152" s="6" t="s">
        <v>8974</v>
      </c>
      <c r="T2152" s="6">
        <v>0</v>
      </c>
      <c r="U2152" s="6">
        <v>0</v>
      </c>
      <c r="V2152" s="6">
        <v>0</v>
      </c>
      <c r="W2152" s="6">
        <v>0</v>
      </c>
      <c r="X2152" s="6" t="s">
        <v>169</v>
      </c>
      <c r="Z2152" s="6" t="s">
        <v>170</v>
      </c>
      <c r="AA2152" s="6" t="s">
        <v>171</v>
      </c>
      <c r="AB2152" s="6">
        <v>0</v>
      </c>
      <c r="AC2152" s="6" t="str">
        <f>""</f>
        <v/>
      </c>
      <c r="AS2152" s="6">
        <v>0</v>
      </c>
      <c r="AT2152" s="6">
        <v>0</v>
      </c>
    </row>
    <row r="2153" spans="2:46">
      <c r="B2153" s="6" t="s">
        <v>110</v>
      </c>
      <c r="D2153" s="6" t="s">
        <v>8189</v>
      </c>
      <c r="F2153" s="6" t="s">
        <v>8975</v>
      </c>
      <c r="G2153" s="6" t="str">
        <f>"JGUSAE1223A006PK"</f>
        <v>JGUSAE1223A006PK</v>
      </c>
      <c r="H2153" s="6" t="s">
        <v>8976</v>
      </c>
      <c r="I2153" s="6" t="s">
        <v>8977</v>
      </c>
      <c r="J2153" s="6" t="str">
        <f>"JG-USAE1223A006PK"</f>
        <v>JG-USAE1223A006PK</v>
      </c>
      <c r="K2153" s="6">
        <v>0</v>
      </c>
      <c r="L2153" s="6">
        <v>0</v>
      </c>
      <c r="M2153" s="6">
        <v>0</v>
      </c>
      <c r="N2153" s="6" t="str">
        <f>""</f>
        <v/>
      </c>
      <c r="O2153" s="6">
        <v>25226</v>
      </c>
      <c r="P2153" s="6" t="s">
        <v>8977</v>
      </c>
      <c r="R2153" s="6" t="s">
        <v>3107</v>
      </c>
      <c r="S2153" s="6" t="s">
        <v>8978</v>
      </c>
      <c r="T2153" s="6">
        <v>0</v>
      </c>
      <c r="U2153" s="6">
        <v>0</v>
      </c>
      <c r="V2153" s="6">
        <v>0</v>
      </c>
      <c r="W2153" s="6">
        <v>0</v>
      </c>
      <c r="X2153" s="6" t="s">
        <v>169</v>
      </c>
      <c r="Z2153" s="6" t="s">
        <v>170</v>
      </c>
      <c r="AA2153" s="6" t="s">
        <v>171</v>
      </c>
      <c r="AB2153" s="6">
        <v>0</v>
      </c>
      <c r="AC2153" s="6" t="str">
        <f>""</f>
        <v/>
      </c>
      <c r="AS2153" s="6">
        <v>0</v>
      </c>
      <c r="AT2153" s="6">
        <v>0</v>
      </c>
    </row>
    <row r="2154" spans="2:46">
      <c r="B2154" s="6" t="s">
        <v>110</v>
      </c>
      <c r="D2154" s="6" t="s">
        <v>8189</v>
      </c>
      <c r="F2154" s="6" t="s">
        <v>8979</v>
      </c>
      <c r="G2154" s="6" t="str">
        <f>"JGUSAE1220A008RD"</f>
        <v>JGUSAE1220A008RD</v>
      </c>
      <c r="H2154" s="6" t="s">
        <v>8980</v>
      </c>
      <c r="I2154" s="6" t="s">
        <v>8981</v>
      </c>
      <c r="J2154" s="6" t="str">
        <f>"JG-USAE1220A008RD"</f>
        <v>JG-USAE1220A008RD</v>
      </c>
      <c r="K2154" s="6">
        <v>0</v>
      </c>
      <c r="L2154" s="6">
        <v>0</v>
      </c>
      <c r="M2154" s="6">
        <v>0</v>
      </c>
      <c r="N2154" s="6" t="str">
        <f>""</f>
        <v/>
      </c>
      <c r="O2154" s="6">
        <v>25224</v>
      </c>
      <c r="P2154" s="6" t="s">
        <v>8981</v>
      </c>
      <c r="R2154" s="6" t="s">
        <v>1507</v>
      </c>
      <c r="S2154" s="6" t="s">
        <v>8982</v>
      </c>
      <c r="T2154" s="6">
        <v>0</v>
      </c>
      <c r="U2154" s="6">
        <v>0</v>
      </c>
      <c r="V2154" s="6">
        <v>0</v>
      </c>
      <c r="W2154" s="6">
        <v>0</v>
      </c>
      <c r="X2154" s="6" t="s">
        <v>169</v>
      </c>
      <c r="Z2154" s="6" t="s">
        <v>170</v>
      </c>
      <c r="AA2154" s="6" t="s">
        <v>171</v>
      </c>
      <c r="AB2154" s="6">
        <v>0</v>
      </c>
      <c r="AC2154" s="6" t="str">
        <f>""</f>
        <v/>
      </c>
      <c r="AS2154" s="6">
        <v>0</v>
      </c>
      <c r="AT2154" s="6">
        <v>0</v>
      </c>
    </row>
    <row r="2155" spans="2:46">
      <c r="B2155" s="6" t="s">
        <v>110</v>
      </c>
      <c r="D2155" s="6" t="s">
        <v>8189</v>
      </c>
      <c r="F2155" s="6" t="s">
        <v>8983</v>
      </c>
      <c r="G2155" s="6" t="str">
        <f>"JGUSAEPST00601SV"</f>
        <v>JGUSAEPST00601SV</v>
      </c>
      <c r="H2155" s="6" t="s">
        <v>8984</v>
      </c>
      <c r="I2155" s="6" t="s">
        <v>8985</v>
      </c>
      <c r="J2155" s="6" t="str">
        <f>"JG-USAEPST00601SV"</f>
        <v>JG-USAEPST00601SV</v>
      </c>
      <c r="K2155" s="6">
        <v>0</v>
      </c>
      <c r="L2155" s="6">
        <v>0</v>
      </c>
      <c r="M2155" s="6">
        <v>0</v>
      </c>
      <c r="N2155" s="6" t="str">
        <f>""</f>
        <v/>
      </c>
      <c r="O2155" s="6">
        <v>25222</v>
      </c>
      <c r="P2155" s="6" t="s">
        <v>8985</v>
      </c>
      <c r="R2155" s="6" t="s">
        <v>8684</v>
      </c>
      <c r="S2155" s="6" t="s">
        <v>8986</v>
      </c>
      <c r="T2155" s="6">
        <v>0</v>
      </c>
      <c r="U2155" s="6">
        <v>0</v>
      </c>
      <c r="V2155" s="6">
        <v>0</v>
      </c>
      <c r="W2155" s="6">
        <v>0</v>
      </c>
      <c r="X2155" s="6" t="s">
        <v>169</v>
      </c>
      <c r="Z2155" s="6" t="s">
        <v>170</v>
      </c>
      <c r="AA2155" s="6" t="s">
        <v>171</v>
      </c>
      <c r="AB2155" s="6">
        <v>0</v>
      </c>
      <c r="AC2155" s="6" t="str">
        <f>""</f>
        <v/>
      </c>
      <c r="AS2155" s="6">
        <v>0</v>
      </c>
      <c r="AT2155" s="6">
        <v>0</v>
      </c>
    </row>
    <row r="2156" spans="2:46">
      <c r="B2156" s="6" t="s">
        <v>110</v>
      </c>
      <c r="D2156" s="6" t="s">
        <v>8189</v>
      </c>
      <c r="F2156" s="6" t="s">
        <v>8987</v>
      </c>
      <c r="G2156" s="6" t="str">
        <f>"JGUSAEPST00601GD"</f>
        <v>JGUSAEPST00601GD</v>
      </c>
      <c r="H2156" s="6" t="s">
        <v>8988</v>
      </c>
      <c r="I2156" s="6" t="s">
        <v>8989</v>
      </c>
      <c r="J2156" s="6" t="str">
        <f>"JG-USAEPST00601GD"</f>
        <v>JG-USAEPST00601GD</v>
      </c>
      <c r="K2156" s="6">
        <v>0</v>
      </c>
      <c r="L2156" s="6">
        <v>0</v>
      </c>
      <c r="M2156" s="6">
        <v>0</v>
      </c>
      <c r="N2156" s="6" t="str">
        <f>""</f>
        <v/>
      </c>
      <c r="O2156" s="6">
        <v>25220</v>
      </c>
      <c r="P2156" s="6" t="s">
        <v>8989</v>
      </c>
      <c r="R2156" s="6" t="s">
        <v>1475</v>
      </c>
      <c r="S2156" s="6" t="s">
        <v>8990</v>
      </c>
      <c r="T2156" s="6">
        <v>0</v>
      </c>
      <c r="U2156" s="6">
        <v>0</v>
      </c>
      <c r="V2156" s="6">
        <v>0</v>
      </c>
      <c r="W2156" s="6">
        <v>0</v>
      </c>
      <c r="X2156" s="6" t="s">
        <v>169</v>
      </c>
      <c r="Z2156" s="6" t="s">
        <v>170</v>
      </c>
      <c r="AA2156" s="6" t="s">
        <v>171</v>
      </c>
      <c r="AB2156" s="6">
        <v>0</v>
      </c>
      <c r="AC2156" s="6" t="str">
        <f>""</f>
        <v/>
      </c>
      <c r="AS2156" s="6">
        <v>0</v>
      </c>
      <c r="AT2156" s="6">
        <v>0</v>
      </c>
    </row>
    <row r="2157" spans="2:46">
      <c r="B2157" s="6" t="s">
        <v>110</v>
      </c>
      <c r="D2157" s="6" t="s">
        <v>8189</v>
      </c>
      <c r="F2157" s="6" t="s">
        <v>8991</v>
      </c>
      <c r="G2157" s="6" t="str">
        <f>"JGUSAEPST00601RG"</f>
        <v>JGUSAEPST00601RG</v>
      </c>
      <c r="H2157" s="6" t="s">
        <v>8992</v>
      </c>
      <c r="I2157" s="6" t="s">
        <v>8993</v>
      </c>
      <c r="J2157" s="6" t="str">
        <f>"JG-USAEPST00601RG"</f>
        <v>JG-USAEPST00601RG</v>
      </c>
      <c r="K2157" s="6">
        <v>0</v>
      </c>
      <c r="L2157" s="6">
        <v>0</v>
      </c>
      <c r="M2157" s="6">
        <v>0</v>
      </c>
      <c r="N2157" s="6" t="str">
        <f>""</f>
        <v/>
      </c>
      <c r="O2157" s="6">
        <v>25218</v>
      </c>
      <c r="P2157" s="6" t="s">
        <v>8993</v>
      </c>
      <c r="R2157" s="6" t="s">
        <v>8728</v>
      </c>
      <c r="S2157" s="6" t="s">
        <v>8994</v>
      </c>
      <c r="T2157" s="6">
        <v>0</v>
      </c>
      <c r="U2157" s="6">
        <v>0</v>
      </c>
      <c r="V2157" s="6">
        <v>0</v>
      </c>
      <c r="W2157" s="6">
        <v>0</v>
      </c>
      <c r="X2157" s="6" t="s">
        <v>169</v>
      </c>
      <c r="Z2157" s="6" t="s">
        <v>170</v>
      </c>
      <c r="AA2157" s="6" t="s">
        <v>171</v>
      </c>
      <c r="AB2157" s="6">
        <v>0</v>
      </c>
      <c r="AC2157" s="6" t="str">
        <f>""</f>
        <v/>
      </c>
      <c r="AS2157" s="6">
        <v>0</v>
      </c>
      <c r="AT2157" s="6">
        <v>0</v>
      </c>
    </row>
    <row r="2158" spans="2:46">
      <c r="B2158" s="6" t="s">
        <v>110</v>
      </c>
      <c r="D2158" s="6" t="s">
        <v>8189</v>
      </c>
      <c r="F2158" s="6" t="s">
        <v>8995</v>
      </c>
      <c r="G2158" s="6" t="str">
        <f>"JGUSAE1225060902SV"</f>
        <v>JGUSAE1225060902SV</v>
      </c>
      <c r="H2158" s="6" t="s">
        <v>8996</v>
      </c>
      <c r="I2158" s="6" t="s">
        <v>8997</v>
      </c>
      <c r="J2158" s="6" t="str">
        <f>"JG-USAE1225060902SV"</f>
        <v>JG-USAE1225060902SV</v>
      </c>
      <c r="K2158" s="6">
        <v>0</v>
      </c>
      <c r="L2158" s="6">
        <v>0</v>
      </c>
      <c r="M2158" s="6">
        <v>0</v>
      </c>
      <c r="N2158" s="6" t="str">
        <f>""</f>
        <v/>
      </c>
      <c r="O2158" s="6">
        <v>25216</v>
      </c>
      <c r="P2158" s="6" t="s">
        <v>8997</v>
      </c>
      <c r="R2158" s="6" t="s">
        <v>8684</v>
      </c>
      <c r="S2158" s="6" t="s">
        <v>8998</v>
      </c>
      <c r="T2158" s="6">
        <v>0</v>
      </c>
      <c r="U2158" s="6">
        <v>0</v>
      </c>
      <c r="V2158" s="6">
        <v>0</v>
      </c>
      <c r="W2158" s="6">
        <v>0</v>
      </c>
      <c r="X2158" s="6" t="s">
        <v>169</v>
      </c>
      <c r="Z2158" s="6" t="s">
        <v>170</v>
      </c>
      <c r="AA2158" s="6" t="s">
        <v>171</v>
      </c>
      <c r="AB2158" s="6">
        <v>0</v>
      </c>
      <c r="AC2158" s="6" t="str">
        <f>""</f>
        <v/>
      </c>
      <c r="AS2158" s="6">
        <v>0</v>
      </c>
      <c r="AT2158" s="6">
        <v>0</v>
      </c>
    </row>
    <row r="2159" spans="2:46">
      <c r="B2159" s="6" t="s">
        <v>110</v>
      </c>
      <c r="D2159" s="6" t="s">
        <v>8189</v>
      </c>
      <c r="F2159" s="6" t="s">
        <v>8999</v>
      </c>
      <c r="G2159" s="6" t="str">
        <f>"JGUSABPST00114GD"</f>
        <v>JGUSABPST00114GD</v>
      </c>
      <c r="H2159" s="6" t="s">
        <v>9000</v>
      </c>
      <c r="I2159" s="6" t="s">
        <v>9001</v>
      </c>
      <c r="J2159" s="6" t="str">
        <f>"JG-USABPST00114GD"</f>
        <v>JG-USABPST00114GD</v>
      </c>
      <c r="K2159" s="6">
        <v>0</v>
      </c>
      <c r="L2159" s="6">
        <v>0</v>
      </c>
      <c r="M2159" s="6">
        <v>0</v>
      </c>
      <c r="N2159" s="6" t="str">
        <f>""</f>
        <v/>
      </c>
      <c r="O2159" s="6">
        <v>25214</v>
      </c>
      <c r="P2159" s="6" t="s">
        <v>9001</v>
      </c>
      <c r="R2159" s="6" t="s">
        <v>1475</v>
      </c>
      <c r="S2159" s="6" t="s">
        <v>9002</v>
      </c>
      <c r="T2159" s="6">
        <v>0</v>
      </c>
      <c r="U2159" s="6">
        <v>0</v>
      </c>
      <c r="V2159" s="6">
        <v>0</v>
      </c>
      <c r="W2159" s="6">
        <v>0</v>
      </c>
      <c r="X2159" s="6" t="s">
        <v>169</v>
      </c>
      <c r="Z2159" s="6" t="s">
        <v>170</v>
      </c>
      <c r="AA2159" s="6" t="s">
        <v>171</v>
      </c>
      <c r="AB2159" s="6">
        <v>0</v>
      </c>
      <c r="AC2159" s="6" t="str">
        <f>""</f>
        <v/>
      </c>
      <c r="AS2159" s="6">
        <v>0</v>
      </c>
      <c r="AT2159" s="6">
        <v>0</v>
      </c>
    </row>
    <row r="2160" spans="2:46">
      <c r="B2160" s="6" t="s">
        <v>110</v>
      </c>
      <c r="D2160" s="6" t="s">
        <v>8189</v>
      </c>
      <c r="F2160" s="6" t="s">
        <v>9003</v>
      </c>
      <c r="G2160" s="6" t="str">
        <f>"JGUSAR122542703RG"</f>
        <v>JGUSAR122542703RG</v>
      </c>
      <c r="H2160" s="6" t="s">
        <v>9004</v>
      </c>
      <c r="I2160" s="6" t="s">
        <v>9005</v>
      </c>
      <c r="J2160" s="6" t="str">
        <f>"JG-USAR122542703RG"</f>
        <v>JG-USAR122542703RG</v>
      </c>
      <c r="K2160" s="6">
        <v>0</v>
      </c>
      <c r="L2160" s="6">
        <v>0</v>
      </c>
      <c r="M2160" s="6">
        <v>0</v>
      </c>
      <c r="N2160" s="6" t="str">
        <f>""</f>
        <v/>
      </c>
      <c r="O2160" s="6">
        <v>25212</v>
      </c>
      <c r="P2160" s="6" t="s">
        <v>9005</v>
      </c>
      <c r="R2160" s="6" t="s">
        <v>8728</v>
      </c>
      <c r="S2160" s="6" t="s">
        <v>9006</v>
      </c>
      <c r="T2160" s="6">
        <v>0</v>
      </c>
      <c r="U2160" s="6">
        <v>0</v>
      </c>
      <c r="V2160" s="6">
        <v>0</v>
      </c>
      <c r="W2160" s="6">
        <v>0</v>
      </c>
      <c r="X2160" s="6" t="s">
        <v>169</v>
      </c>
      <c r="Z2160" s="6" t="s">
        <v>170</v>
      </c>
      <c r="AA2160" s="6" t="s">
        <v>171</v>
      </c>
      <c r="AB2160" s="6">
        <v>0</v>
      </c>
      <c r="AC2160" s="6" t="str">
        <f>""</f>
        <v/>
      </c>
      <c r="AS2160" s="6">
        <v>0</v>
      </c>
      <c r="AT2160" s="6">
        <v>0</v>
      </c>
    </row>
    <row r="2161" spans="2:46">
      <c r="B2161" s="6" t="s">
        <v>110</v>
      </c>
      <c r="D2161" s="6" t="s">
        <v>8189</v>
      </c>
      <c r="F2161" s="6" t="s">
        <v>9007</v>
      </c>
      <c r="G2161" s="6" t="str">
        <f>"JGUSAEPST00412RG"</f>
        <v>JGUSAEPST00412RG</v>
      </c>
      <c r="H2161" s="6" t="s">
        <v>9008</v>
      </c>
      <c r="I2161" s="6" t="s">
        <v>9009</v>
      </c>
      <c r="J2161" s="6" t="str">
        <f>"JG-USAEPST00412RG"</f>
        <v>JG-USAEPST00412RG</v>
      </c>
      <c r="K2161" s="6">
        <v>0</v>
      </c>
      <c r="L2161" s="6">
        <v>0</v>
      </c>
      <c r="M2161" s="6">
        <v>0</v>
      </c>
      <c r="N2161" s="6" t="str">
        <f>""</f>
        <v/>
      </c>
      <c r="O2161" s="6">
        <v>25210</v>
      </c>
      <c r="P2161" s="6" t="s">
        <v>9009</v>
      </c>
      <c r="R2161" s="6" t="s">
        <v>8728</v>
      </c>
      <c r="S2161" s="6" t="s">
        <v>9010</v>
      </c>
      <c r="T2161" s="6">
        <v>0</v>
      </c>
      <c r="U2161" s="6">
        <v>0</v>
      </c>
      <c r="V2161" s="6">
        <v>0</v>
      </c>
      <c r="W2161" s="6">
        <v>0</v>
      </c>
      <c r="X2161" s="6" t="s">
        <v>169</v>
      </c>
      <c r="Z2161" s="6" t="s">
        <v>170</v>
      </c>
      <c r="AA2161" s="6" t="s">
        <v>171</v>
      </c>
      <c r="AB2161" s="6">
        <v>0</v>
      </c>
      <c r="AC2161" s="6" t="str">
        <f>""</f>
        <v/>
      </c>
      <c r="AS2161" s="6">
        <v>0</v>
      </c>
      <c r="AT2161" s="6">
        <v>0</v>
      </c>
    </row>
    <row r="2162" spans="2:46">
      <c r="B2162" s="6" t="s">
        <v>110</v>
      </c>
      <c r="D2162" s="6" t="s">
        <v>8189</v>
      </c>
      <c r="F2162" s="6" t="s">
        <v>9011</v>
      </c>
      <c r="G2162" s="6" t="str">
        <f>"JGUSABPST00114RG"</f>
        <v>JGUSABPST00114RG</v>
      </c>
      <c r="H2162" s="6" t="s">
        <v>9012</v>
      </c>
      <c r="I2162" s="6" t="s">
        <v>9013</v>
      </c>
      <c r="J2162" s="6" t="str">
        <f>"JG-USABPST00114RG"</f>
        <v>JG-USABPST00114RG</v>
      </c>
      <c r="K2162" s="6">
        <v>0</v>
      </c>
      <c r="L2162" s="6">
        <v>0</v>
      </c>
      <c r="M2162" s="6">
        <v>0</v>
      </c>
      <c r="N2162" s="6" t="str">
        <f>""</f>
        <v/>
      </c>
      <c r="O2162" s="6">
        <v>25208</v>
      </c>
      <c r="P2162" s="6" t="s">
        <v>9013</v>
      </c>
      <c r="R2162" s="6" t="s">
        <v>8728</v>
      </c>
      <c r="S2162" s="6" t="s">
        <v>9014</v>
      </c>
      <c r="T2162" s="6">
        <v>0</v>
      </c>
      <c r="U2162" s="6">
        <v>0</v>
      </c>
      <c r="V2162" s="6">
        <v>0</v>
      </c>
      <c r="W2162" s="6">
        <v>0</v>
      </c>
      <c r="X2162" s="6" t="s">
        <v>169</v>
      </c>
      <c r="Z2162" s="6" t="s">
        <v>170</v>
      </c>
      <c r="AA2162" s="6" t="s">
        <v>171</v>
      </c>
      <c r="AB2162" s="6">
        <v>0</v>
      </c>
      <c r="AC2162" s="6" t="str">
        <f>""</f>
        <v/>
      </c>
      <c r="AS2162" s="6">
        <v>0</v>
      </c>
      <c r="AT2162" s="6">
        <v>0</v>
      </c>
    </row>
    <row r="2163" spans="2:46">
      <c r="B2163" s="6" t="s">
        <v>110</v>
      </c>
      <c r="D2163" s="6" t="s">
        <v>8189</v>
      </c>
      <c r="F2163" s="6" t="s">
        <v>9015</v>
      </c>
      <c r="G2163" s="6" t="str">
        <f>"JGUSAE1223060906WH"</f>
        <v>JGUSAE1223060906WH</v>
      </c>
      <c r="H2163" s="6" t="s">
        <v>9016</v>
      </c>
      <c r="I2163" s="6" t="s">
        <v>9017</v>
      </c>
      <c r="J2163" s="6" t="str">
        <f>"JG-USAE1223060906WH"</f>
        <v>JG-USAE1223060906WH</v>
      </c>
      <c r="K2163" s="6">
        <v>0</v>
      </c>
      <c r="L2163" s="6">
        <v>0</v>
      </c>
      <c r="M2163" s="6">
        <v>0</v>
      </c>
      <c r="N2163" s="6" t="str">
        <f>""</f>
        <v/>
      </c>
      <c r="O2163" s="6">
        <v>25206</v>
      </c>
      <c r="P2163" s="6" t="s">
        <v>9017</v>
      </c>
      <c r="R2163" s="6" t="s">
        <v>3097</v>
      </c>
      <c r="S2163" s="6" t="s">
        <v>9018</v>
      </c>
      <c r="T2163" s="6">
        <v>0</v>
      </c>
      <c r="U2163" s="6">
        <v>0</v>
      </c>
      <c r="V2163" s="6">
        <v>0</v>
      </c>
      <c r="W2163" s="6">
        <v>0</v>
      </c>
      <c r="X2163" s="6" t="s">
        <v>169</v>
      </c>
      <c r="Z2163" s="6" t="s">
        <v>170</v>
      </c>
      <c r="AA2163" s="6" t="s">
        <v>171</v>
      </c>
      <c r="AB2163" s="6">
        <v>0</v>
      </c>
      <c r="AC2163" s="6" t="str">
        <f>""</f>
        <v/>
      </c>
      <c r="AS2163" s="6">
        <v>0</v>
      </c>
      <c r="AT2163" s="6">
        <v>0</v>
      </c>
    </row>
    <row r="2164" spans="2:46">
      <c r="B2164" s="6" t="s">
        <v>110</v>
      </c>
      <c r="D2164" s="6" t="s">
        <v>8189</v>
      </c>
      <c r="F2164" s="6" t="s">
        <v>9019</v>
      </c>
      <c r="G2164" s="6" t="str">
        <f>"JGUSABPST00114SV"</f>
        <v>JGUSABPST00114SV</v>
      </c>
      <c r="H2164" s="6" t="s">
        <v>9020</v>
      </c>
      <c r="I2164" s="6" t="s">
        <v>9021</v>
      </c>
      <c r="J2164" s="6" t="str">
        <f>"JG-USABPST00114SV"</f>
        <v>JG-USABPST00114SV</v>
      </c>
      <c r="K2164" s="6">
        <v>0</v>
      </c>
      <c r="L2164" s="6">
        <v>0</v>
      </c>
      <c r="M2164" s="6">
        <v>0</v>
      </c>
      <c r="N2164" s="6" t="str">
        <f>""</f>
        <v/>
      </c>
      <c r="O2164" s="6">
        <v>25204</v>
      </c>
      <c r="P2164" s="6" t="s">
        <v>9021</v>
      </c>
      <c r="R2164" s="6" t="s">
        <v>8684</v>
      </c>
      <c r="S2164" s="6" t="s">
        <v>9022</v>
      </c>
      <c r="T2164" s="6">
        <v>0</v>
      </c>
      <c r="U2164" s="6">
        <v>0</v>
      </c>
      <c r="V2164" s="6">
        <v>0</v>
      </c>
      <c r="W2164" s="6">
        <v>0</v>
      </c>
      <c r="X2164" s="6" t="s">
        <v>169</v>
      </c>
      <c r="Z2164" s="6" t="s">
        <v>170</v>
      </c>
      <c r="AA2164" s="6" t="s">
        <v>171</v>
      </c>
      <c r="AB2164" s="6">
        <v>0</v>
      </c>
      <c r="AC2164" s="6" t="str">
        <f>""</f>
        <v/>
      </c>
      <c r="AS2164" s="6">
        <v>0</v>
      </c>
      <c r="AT2164" s="6">
        <v>0</v>
      </c>
    </row>
    <row r="2165" spans="2:46">
      <c r="B2165" s="6" t="s">
        <v>110</v>
      </c>
      <c r="D2165" s="6" t="s">
        <v>8189</v>
      </c>
      <c r="F2165" s="6" t="s">
        <v>9023</v>
      </c>
      <c r="G2165" s="6" t="str">
        <f>"JGUSAEPST00412GD"</f>
        <v>JGUSAEPST00412GD</v>
      </c>
      <c r="H2165" s="6" t="s">
        <v>9024</v>
      </c>
      <c r="I2165" s="6" t="s">
        <v>9025</v>
      </c>
      <c r="J2165" s="6" t="str">
        <f>"JG-USAEPST00412GD"</f>
        <v>JG-USAEPST00412GD</v>
      </c>
      <c r="K2165" s="6">
        <v>0</v>
      </c>
      <c r="L2165" s="6">
        <v>0</v>
      </c>
      <c r="M2165" s="6">
        <v>0</v>
      </c>
      <c r="N2165" s="6" t="str">
        <f>""</f>
        <v/>
      </c>
      <c r="O2165" s="6">
        <v>25202</v>
      </c>
      <c r="P2165" s="6" t="s">
        <v>9025</v>
      </c>
      <c r="R2165" s="6" t="s">
        <v>1475</v>
      </c>
      <c r="S2165" s="6" t="s">
        <v>9026</v>
      </c>
      <c r="T2165" s="6">
        <v>0</v>
      </c>
      <c r="U2165" s="6">
        <v>0</v>
      </c>
      <c r="V2165" s="6">
        <v>0</v>
      </c>
      <c r="W2165" s="6">
        <v>0</v>
      </c>
      <c r="X2165" s="6" t="s">
        <v>169</v>
      </c>
      <c r="Z2165" s="6" t="s">
        <v>170</v>
      </c>
      <c r="AA2165" s="6" t="s">
        <v>171</v>
      </c>
      <c r="AB2165" s="6">
        <v>0</v>
      </c>
      <c r="AC2165" s="6" t="str">
        <f>""</f>
        <v/>
      </c>
      <c r="AS2165" s="6">
        <v>0</v>
      </c>
      <c r="AT2165" s="6">
        <v>0</v>
      </c>
    </row>
    <row r="2166" spans="2:46">
      <c r="B2166" s="6" t="s">
        <v>110</v>
      </c>
      <c r="D2166" s="6" t="s">
        <v>8189</v>
      </c>
      <c r="F2166" s="6" t="s">
        <v>9027</v>
      </c>
      <c r="G2166" s="6" t="str">
        <f>"JGUSAE1223060906RD"</f>
        <v>JGUSAE1223060906RD</v>
      </c>
      <c r="H2166" s="6" t="s">
        <v>9028</v>
      </c>
      <c r="I2166" s="6" t="s">
        <v>9029</v>
      </c>
      <c r="J2166" s="6" t="str">
        <f>"JG-USAE1223060906RD"</f>
        <v>JG-USAE1223060906RD</v>
      </c>
      <c r="K2166" s="6">
        <v>0</v>
      </c>
      <c r="L2166" s="6">
        <v>0</v>
      </c>
      <c r="M2166" s="6">
        <v>0</v>
      </c>
      <c r="N2166" s="6" t="str">
        <f>""</f>
        <v/>
      </c>
      <c r="O2166" s="6">
        <v>25200</v>
      </c>
      <c r="P2166" s="6" t="s">
        <v>9029</v>
      </c>
      <c r="R2166" s="6" t="s">
        <v>1507</v>
      </c>
      <c r="S2166" s="6" t="s">
        <v>9030</v>
      </c>
      <c r="T2166" s="6">
        <v>0</v>
      </c>
      <c r="U2166" s="6">
        <v>0</v>
      </c>
      <c r="V2166" s="6">
        <v>0</v>
      </c>
      <c r="W2166" s="6">
        <v>0</v>
      </c>
      <c r="X2166" s="6" t="s">
        <v>169</v>
      </c>
      <c r="Z2166" s="6" t="s">
        <v>170</v>
      </c>
      <c r="AA2166" s="6" t="s">
        <v>171</v>
      </c>
      <c r="AB2166" s="6">
        <v>0</v>
      </c>
      <c r="AC2166" s="6" t="str">
        <f>""</f>
        <v/>
      </c>
      <c r="AS2166" s="6">
        <v>0</v>
      </c>
      <c r="AT2166" s="6">
        <v>0</v>
      </c>
    </row>
    <row r="2167" spans="2:46">
      <c r="B2167" s="6" t="s">
        <v>110</v>
      </c>
      <c r="D2167" s="6" t="s">
        <v>8189</v>
      </c>
      <c r="F2167" s="6" t="s">
        <v>9031</v>
      </c>
      <c r="G2167" s="6" t="str">
        <f>"JGUSAE1230060903SV"</f>
        <v>JGUSAE1230060903SV</v>
      </c>
      <c r="H2167" s="6" t="s">
        <v>9032</v>
      </c>
      <c r="I2167" s="6" t="s">
        <v>9033</v>
      </c>
      <c r="J2167" s="6" t="str">
        <f>"JG-USAE1230060903SV"</f>
        <v>JG-USAE1230060903SV</v>
      </c>
      <c r="K2167" s="6">
        <v>0</v>
      </c>
      <c r="L2167" s="6">
        <v>0</v>
      </c>
      <c r="M2167" s="6">
        <v>0</v>
      </c>
      <c r="N2167" s="6" t="str">
        <f>""</f>
        <v/>
      </c>
      <c r="O2167" s="6">
        <v>25197</v>
      </c>
      <c r="P2167" s="6" t="s">
        <v>9033</v>
      </c>
      <c r="R2167" s="6" t="s">
        <v>6131</v>
      </c>
      <c r="S2167" s="6" t="s">
        <v>9034</v>
      </c>
      <c r="T2167" s="6">
        <v>0</v>
      </c>
      <c r="U2167" s="6">
        <v>0</v>
      </c>
      <c r="V2167" s="6">
        <v>0</v>
      </c>
      <c r="W2167" s="6">
        <v>0</v>
      </c>
      <c r="X2167" s="6" t="s">
        <v>169</v>
      </c>
      <c r="Z2167" s="6" t="s">
        <v>170</v>
      </c>
      <c r="AA2167" s="6" t="s">
        <v>171</v>
      </c>
      <c r="AB2167" s="6">
        <v>0</v>
      </c>
      <c r="AC2167" s="6" t="str">
        <f>""</f>
        <v/>
      </c>
      <c r="AS2167" s="6">
        <v>0</v>
      </c>
      <c r="AT2167" s="6">
        <v>0</v>
      </c>
    </row>
    <row r="2168" spans="2:46">
      <c r="B2168" s="6" t="s">
        <v>110</v>
      </c>
      <c r="D2168" s="6" t="s">
        <v>8189</v>
      </c>
      <c r="F2168" s="6" t="s">
        <v>9035</v>
      </c>
      <c r="G2168" s="6" t="str">
        <f>"JGUSABPST00203RG"</f>
        <v>JGUSABPST00203RG</v>
      </c>
      <c r="H2168" s="6" t="s">
        <v>9036</v>
      </c>
      <c r="I2168" s="6" t="s">
        <v>9037</v>
      </c>
      <c r="J2168" s="6" t="str">
        <f>"JG-USABPST00203RG"</f>
        <v>JG-USABPST00203RG</v>
      </c>
      <c r="K2168" s="6">
        <v>0</v>
      </c>
      <c r="L2168" s="6">
        <v>0</v>
      </c>
      <c r="M2168" s="6">
        <v>0</v>
      </c>
      <c r="N2168" s="6" t="str">
        <f>""</f>
        <v/>
      </c>
      <c r="O2168" s="6">
        <v>25195</v>
      </c>
      <c r="P2168" s="6" t="s">
        <v>9037</v>
      </c>
      <c r="R2168" s="6" t="s">
        <v>9038</v>
      </c>
      <c r="S2168" s="6" t="s">
        <v>9039</v>
      </c>
      <c r="T2168" s="6">
        <v>0</v>
      </c>
      <c r="U2168" s="6">
        <v>0</v>
      </c>
      <c r="V2168" s="6">
        <v>0</v>
      </c>
      <c r="W2168" s="6">
        <v>0</v>
      </c>
      <c r="X2168" s="6" t="s">
        <v>169</v>
      </c>
      <c r="Z2168" s="6" t="s">
        <v>170</v>
      </c>
      <c r="AA2168" s="6" t="s">
        <v>171</v>
      </c>
      <c r="AB2168" s="6">
        <v>0</v>
      </c>
      <c r="AC2168" s="6" t="str">
        <f>""</f>
        <v/>
      </c>
      <c r="AS2168" s="6">
        <v>0</v>
      </c>
      <c r="AT2168" s="6">
        <v>0</v>
      </c>
    </row>
    <row r="2169" spans="2:46">
      <c r="B2169" s="6" t="s">
        <v>110</v>
      </c>
      <c r="D2169" s="6" t="s">
        <v>8189</v>
      </c>
      <c r="F2169" s="6" t="s">
        <v>9040</v>
      </c>
      <c r="G2169" s="6" t="str">
        <f>"JGUSABPST00203SV"</f>
        <v>JGUSABPST00203SV</v>
      </c>
      <c r="H2169" s="6" t="s">
        <v>9041</v>
      </c>
      <c r="I2169" s="6" t="s">
        <v>9042</v>
      </c>
      <c r="J2169" s="6" t="str">
        <f>"JG-USABPST00203SV"</f>
        <v>JG-USABPST00203SV</v>
      </c>
      <c r="K2169" s="6">
        <v>0</v>
      </c>
      <c r="L2169" s="6">
        <v>0</v>
      </c>
      <c r="M2169" s="6">
        <v>0</v>
      </c>
      <c r="N2169" s="6" t="str">
        <f>""</f>
        <v/>
      </c>
      <c r="O2169" s="6">
        <v>25193</v>
      </c>
      <c r="P2169" s="6" t="s">
        <v>9042</v>
      </c>
      <c r="R2169" s="6" t="s">
        <v>6131</v>
      </c>
      <c r="S2169" s="6" t="s">
        <v>9043</v>
      </c>
      <c r="T2169" s="6">
        <v>0</v>
      </c>
      <c r="U2169" s="6">
        <v>0</v>
      </c>
      <c r="V2169" s="6">
        <v>0</v>
      </c>
      <c r="W2169" s="6">
        <v>0</v>
      </c>
      <c r="X2169" s="6" t="s">
        <v>169</v>
      </c>
      <c r="Z2169" s="6" t="s">
        <v>170</v>
      </c>
      <c r="AA2169" s="6" t="s">
        <v>171</v>
      </c>
      <c r="AB2169" s="6">
        <v>0</v>
      </c>
      <c r="AC2169" s="6" t="str">
        <f>""</f>
        <v/>
      </c>
      <c r="AS2169" s="6">
        <v>0</v>
      </c>
      <c r="AT2169" s="6">
        <v>0</v>
      </c>
    </row>
    <row r="2170" spans="2:46">
      <c r="B2170" s="6" t="s">
        <v>110</v>
      </c>
      <c r="D2170" s="6" t="s">
        <v>8189</v>
      </c>
      <c r="F2170" s="6" t="s">
        <v>9044</v>
      </c>
      <c r="G2170" s="6" t="str">
        <f>"JGUSARPST00406RG"</f>
        <v>JGUSARPST00406RG</v>
      </c>
      <c r="H2170" s="6" t="s">
        <v>9045</v>
      </c>
      <c r="I2170" s="6" t="s">
        <v>9046</v>
      </c>
      <c r="J2170" s="6" t="str">
        <f>"JG-USARPST00406RG"</f>
        <v>JG-USARPST00406RG</v>
      </c>
      <c r="K2170" s="6">
        <v>0</v>
      </c>
      <c r="L2170" s="6">
        <v>0</v>
      </c>
      <c r="M2170" s="6">
        <v>0</v>
      </c>
      <c r="N2170" s="6" t="str">
        <f>""</f>
        <v/>
      </c>
      <c r="O2170" s="6">
        <v>25191</v>
      </c>
      <c r="P2170" s="6" t="s">
        <v>9046</v>
      </c>
      <c r="R2170" s="6" t="s">
        <v>9038</v>
      </c>
      <c r="S2170" s="6" t="s">
        <v>9047</v>
      </c>
      <c r="T2170" s="6">
        <v>0</v>
      </c>
      <c r="U2170" s="6">
        <v>0</v>
      </c>
      <c r="V2170" s="6">
        <v>0</v>
      </c>
      <c r="W2170" s="6">
        <v>0</v>
      </c>
      <c r="X2170" s="6" t="s">
        <v>169</v>
      </c>
      <c r="Z2170" s="6" t="s">
        <v>170</v>
      </c>
      <c r="AA2170" s="6" t="s">
        <v>171</v>
      </c>
      <c r="AB2170" s="6">
        <v>0</v>
      </c>
      <c r="AC2170" s="6" t="str">
        <f>""</f>
        <v/>
      </c>
      <c r="AS2170" s="6">
        <v>0</v>
      </c>
      <c r="AT2170" s="6">
        <v>0</v>
      </c>
    </row>
    <row r="2171" spans="2:46">
      <c r="B2171" s="6" t="s">
        <v>110</v>
      </c>
      <c r="D2171" s="6" t="s">
        <v>8189</v>
      </c>
      <c r="F2171" s="6" t="s">
        <v>9048</v>
      </c>
      <c r="G2171" s="6" t="str">
        <f>"JGUSARPST00406SV"</f>
        <v>JGUSARPST00406SV</v>
      </c>
      <c r="H2171" s="6" t="s">
        <v>9049</v>
      </c>
      <c r="I2171" s="6" t="s">
        <v>9050</v>
      </c>
      <c r="J2171" s="6" t="str">
        <f>"JG-USARPST00406SV"</f>
        <v>JG-USARPST00406SV</v>
      </c>
      <c r="K2171" s="6">
        <v>0</v>
      </c>
      <c r="L2171" s="6">
        <v>0</v>
      </c>
      <c r="M2171" s="6">
        <v>0</v>
      </c>
      <c r="N2171" s="6" t="str">
        <f>""</f>
        <v/>
      </c>
      <c r="O2171" s="6">
        <v>25189</v>
      </c>
      <c r="P2171" s="6" t="s">
        <v>9050</v>
      </c>
      <c r="R2171" s="6" t="s">
        <v>6131</v>
      </c>
      <c r="S2171" s="6" t="s">
        <v>9051</v>
      </c>
      <c r="T2171" s="6">
        <v>0</v>
      </c>
      <c r="U2171" s="6">
        <v>0</v>
      </c>
      <c r="V2171" s="6">
        <v>0</v>
      </c>
      <c r="W2171" s="6">
        <v>0</v>
      </c>
      <c r="X2171" s="6" t="s">
        <v>169</v>
      </c>
      <c r="Z2171" s="6" t="s">
        <v>170</v>
      </c>
      <c r="AA2171" s="6" t="s">
        <v>171</v>
      </c>
      <c r="AB2171" s="6">
        <v>0</v>
      </c>
      <c r="AC2171" s="6" t="str">
        <f>""</f>
        <v/>
      </c>
      <c r="AS2171" s="6">
        <v>0</v>
      </c>
      <c r="AT2171" s="6">
        <v>0</v>
      </c>
    </row>
    <row r="2172" spans="2:46">
      <c r="B2172" s="6" t="s">
        <v>110</v>
      </c>
      <c r="D2172" s="6" t="s">
        <v>8189</v>
      </c>
      <c r="F2172" s="6" t="s">
        <v>9052</v>
      </c>
      <c r="G2172" s="6" t="str">
        <f>"JGUSAE122742709RG"</f>
        <v>JGUSAE122742709RG</v>
      </c>
      <c r="H2172" s="6" t="s">
        <v>9053</v>
      </c>
      <c r="I2172" s="6" t="s">
        <v>9054</v>
      </c>
      <c r="J2172" s="6" t="str">
        <f>"JG-USAE122742709RG"</f>
        <v>JG-USAE122742709RG</v>
      </c>
      <c r="K2172" s="6">
        <v>0</v>
      </c>
      <c r="L2172" s="6">
        <v>0</v>
      </c>
      <c r="M2172" s="6">
        <v>0</v>
      </c>
      <c r="N2172" s="6" t="str">
        <f>""</f>
        <v/>
      </c>
      <c r="O2172" s="6">
        <v>25187</v>
      </c>
      <c r="P2172" s="6" t="s">
        <v>9054</v>
      </c>
      <c r="R2172" s="6" t="s">
        <v>9055</v>
      </c>
      <c r="S2172" s="6" t="s">
        <v>9056</v>
      </c>
      <c r="T2172" s="6">
        <v>0</v>
      </c>
      <c r="U2172" s="6">
        <v>0</v>
      </c>
      <c r="V2172" s="6">
        <v>0</v>
      </c>
      <c r="W2172" s="6">
        <v>0</v>
      </c>
      <c r="X2172" s="6" t="s">
        <v>169</v>
      </c>
      <c r="Z2172" s="6" t="s">
        <v>170</v>
      </c>
      <c r="AA2172" s="6" t="s">
        <v>171</v>
      </c>
      <c r="AB2172" s="6">
        <v>0</v>
      </c>
      <c r="AC2172" s="6" t="str">
        <f>""</f>
        <v/>
      </c>
      <c r="AS2172" s="6">
        <v>0</v>
      </c>
      <c r="AT2172" s="6">
        <v>0</v>
      </c>
    </row>
    <row r="2173" spans="2:46">
      <c r="B2173" s="6" t="s">
        <v>110</v>
      </c>
      <c r="D2173" s="6" t="s">
        <v>8189</v>
      </c>
      <c r="F2173" s="6" t="s">
        <v>9057</v>
      </c>
      <c r="G2173" s="6" t="str">
        <f>"JGUSAE122742709SV"</f>
        <v>JGUSAE122742709SV</v>
      </c>
      <c r="H2173" s="6" t="s">
        <v>9058</v>
      </c>
      <c r="I2173" s="6" t="s">
        <v>9059</v>
      </c>
      <c r="J2173" s="6" t="str">
        <f>"JG-USAE122742709SV"</f>
        <v>JG-USAE122742709SV</v>
      </c>
      <c r="K2173" s="6">
        <v>0</v>
      </c>
      <c r="L2173" s="6">
        <v>0</v>
      </c>
      <c r="M2173" s="6">
        <v>0</v>
      </c>
      <c r="N2173" s="6" t="str">
        <f>""</f>
        <v/>
      </c>
      <c r="O2173" s="6">
        <v>25185</v>
      </c>
      <c r="P2173" s="6" t="s">
        <v>9059</v>
      </c>
      <c r="R2173" s="6" t="s">
        <v>6131</v>
      </c>
      <c r="S2173" s="6" t="s">
        <v>9060</v>
      </c>
      <c r="T2173" s="6">
        <v>0</v>
      </c>
      <c r="U2173" s="6">
        <v>0</v>
      </c>
      <c r="V2173" s="6">
        <v>0</v>
      </c>
      <c r="W2173" s="6">
        <v>0</v>
      </c>
      <c r="X2173" s="6" t="s">
        <v>169</v>
      </c>
      <c r="Z2173" s="6" t="s">
        <v>170</v>
      </c>
      <c r="AA2173" s="6" t="s">
        <v>171</v>
      </c>
      <c r="AB2173" s="6">
        <v>0</v>
      </c>
      <c r="AC2173" s="6" t="str">
        <f>""</f>
        <v/>
      </c>
      <c r="AS2173" s="6">
        <v>0</v>
      </c>
      <c r="AT2173" s="6">
        <v>0</v>
      </c>
    </row>
    <row r="2174" spans="2:46">
      <c r="B2174" s="6" t="s">
        <v>110</v>
      </c>
      <c r="D2174" s="6" t="s">
        <v>8189</v>
      </c>
      <c r="F2174" s="6" t="s">
        <v>9061</v>
      </c>
      <c r="G2174" s="6" t="str">
        <f>"JGUSARPST00202GD"</f>
        <v>JGUSARPST00202GD</v>
      </c>
      <c r="H2174" s="6" t="s">
        <v>9062</v>
      </c>
      <c r="I2174" s="6" t="s">
        <v>9063</v>
      </c>
      <c r="J2174" s="6" t="str">
        <f>"JG-USARPST00202GD"</f>
        <v>JG-USARPST00202GD</v>
      </c>
      <c r="K2174" s="6">
        <v>0</v>
      </c>
      <c r="L2174" s="6">
        <v>0</v>
      </c>
      <c r="M2174" s="6">
        <v>0</v>
      </c>
      <c r="N2174" s="6" t="str">
        <f>""</f>
        <v/>
      </c>
      <c r="O2174" s="6">
        <v>25183</v>
      </c>
      <c r="P2174" s="6" t="s">
        <v>9063</v>
      </c>
      <c r="R2174" s="6" t="s">
        <v>6116</v>
      </c>
      <c r="S2174" s="6" t="s">
        <v>9064</v>
      </c>
      <c r="T2174" s="6">
        <v>0</v>
      </c>
      <c r="U2174" s="6">
        <v>0</v>
      </c>
      <c r="V2174" s="6">
        <v>0</v>
      </c>
      <c r="W2174" s="6">
        <v>0</v>
      </c>
      <c r="X2174" s="6" t="s">
        <v>169</v>
      </c>
      <c r="Z2174" s="6" t="s">
        <v>170</v>
      </c>
      <c r="AA2174" s="6" t="s">
        <v>171</v>
      </c>
      <c r="AB2174" s="6">
        <v>0</v>
      </c>
      <c r="AC2174" s="6" t="str">
        <f>""</f>
        <v/>
      </c>
      <c r="AS2174" s="6">
        <v>0</v>
      </c>
      <c r="AT2174" s="6">
        <v>0</v>
      </c>
    </row>
    <row r="2175" spans="2:46">
      <c r="B2175" s="6" t="s">
        <v>110</v>
      </c>
      <c r="D2175" s="6" t="s">
        <v>8189</v>
      </c>
      <c r="F2175" s="6" t="s">
        <v>9065</v>
      </c>
      <c r="G2175" s="6" t="str">
        <f>"JGUSARPST00202SV"</f>
        <v>JGUSARPST00202SV</v>
      </c>
      <c r="H2175" s="6" t="s">
        <v>9066</v>
      </c>
      <c r="I2175" s="6" t="s">
        <v>9067</v>
      </c>
      <c r="J2175" s="6" t="str">
        <f>"JG-USARPST00202SV"</f>
        <v>JG-USARPST00202SV</v>
      </c>
      <c r="K2175" s="6">
        <v>0</v>
      </c>
      <c r="L2175" s="6">
        <v>0</v>
      </c>
      <c r="M2175" s="6">
        <v>0</v>
      </c>
      <c r="N2175" s="6" t="str">
        <f>""</f>
        <v/>
      </c>
      <c r="O2175" s="6">
        <v>25181</v>
      </c>
      <c r="P2175" s="6" t="s">
        <v>9067</v>
      </c>
      <c r="R2175" s="6" t="s">
        <v>6131</v>
      </c>
      <c r="S2175" s="6" t="s">
        <v>9068</v>
      </c>
      <c r="T2175" s="6">
        <v>0</v>
      </c>
      <c r="U2175" s="6">
        <v>0</v>
      </c>
      <c r="V2175" s="6">
        <v>0</v>
      </c>
      <c r="W2175" s="6">
        <v>0</v>
      </c>
      <c r="X2175" s="6" t="s">
        <v>169</v>
      </c>
      <c r="Z2175" s="6" t="s">
        <v>170</v>
      </c>
      <c r="AA2175" s="6" t="s">
        <v>171</v>
      </c>
      <c r="AB2175" s="6">
        <v>0</v>
      </c>
      <c r="AC2175" s="6" t="str">
        <f>""</f>
        <v/>
      </c>
      <c r="AS2175" s="6">
        <v>0</v>
      </c>
      <c r="AT2175" s="6">
        <v>0</v>
      </c>
    </row>
    <row r="2176" spans="2:46">
      <c r="B2176" s="6" t="s">
        <v>110</v>
      </c>
      <c r="D2176" s="6" t="s">
        <v>8189</v>
      </c>
      <c r="F2176" s="6" t="s">
        <v>9069</v>
      </c>
      <c r="G2176" s="6" t="str">
        <f>"JGUSAE122542712SV"</f>
        <v>JGUSAE122542712SV</v>
      </c>
      <c r="H2176" s="6" t="s">
        <v>9070</v>
      </c>
      <c r="I2176" s="6" t="s">
        <v>9071</v>
      </c>
      <c r="J2176" s="6" t="str">
        <f>"JG-USAE122542712SV"</f>
        <v>JG-USAE122542712SV</v>
      </c>
      <c r="K2176" s="6">
        <v>0</v>
      </c>
      <c r="L2176" s="6">
        <v>0</v>
      </c>
      <c r="M2176" s="6">
        <v>0</v>
      </c>
      <c r="N2176" s="6" t="str">
        <f>""</f>
        <v/>
      </c>
      <c r="O2176" s="6">
        <v>25179</v>
      </c>
      <c r="P2176" s="6" t="s">
        <v>9071</v>
      </c>
      <c r="R2176" s="6" t="s">
        <v>6131</v>
      </c>
      <c r="S2176" s="6" t="s">
        <v>9072</v>
      </c>
      <c r="T2176" s="6">
        <v>0</v>
      </c>
      <c r="U2176" s="6">
        <v>0</v>
      </c>
      <c r="V2176" s="6">
        <v>0</v>
      </c>
      <c r="W2176" s="6">
        <v>0</v>
      </c>
      <c r="X2176" s="6" t="s">
        <v>169</v>
      </c>
      <c r="Z2176" s="6" t="s">
        <v>170</v>
      </c>
      <c r="AA2176" s="6" t="s">
        <v>171</v>
      </c>
      <c r="AB2176" s="6">
        <v>0</v>
      </c>
      <c r="AC2176" s="6" t="str">
        <f>""</f>
        <v/>
      </c>
      <c r="AS2176" s="6">
        <v>0</v>
      </c>
      <c r="AT2176" s="6">
        <v>0</v>
      </c>
    </row>
    <row r="2177" spans="2:46">
      <c r="B2177" s="6" t="s">
        <v>110</v>
      </c>
      <c r="D2177" s="6" t="s">
        <v>8189</v>
      </c>
      <c r="F2177" s="6" t="s">
        <v>9073</v>
      </c>
      <c r="G2177" s="6" t="str">
        <f>"JGUSAE1235061908GD"</f>
        <v>JGUSAE1235061908GD</v>
      </c>
      <c r="H2177" s="6" t="s">
        <v>9074</v>
      </c>
      <c r="I2177" s="6" t="s">
        <v>9075</v>
      </c>
      <c r="J2177" s="6" t="str">
        <f>"JG-USAE1235061908GD-SET"</f>
        <v>JG-USAE1235061908GD-SET</v>
      </c>
      <c r="K2177" s="6">
        <v>0</v>
      </c>
      <c r="L2177" s="6">
        <v>0</v>
      </c>
      <c r="M2177" s="6">
        <v>0</v>
      </c>
      <c r="N2177" s="6" t="str">
        <f>""</f>
        <v/>
      </c>
      <c r="O2177" s="6">
        <v>25177</v>
      </c>
      <c r="P2177" s="6" t="s">
        <v>9075</v>
      </c>
      <c r="R2177" s="6" t="s">
        <v>6116</v>
      </c>
      <c r="S2177" s="6" t="s">
        <v>9076</v>
      </c>
      <c r="T2177" s="6">
        <v>0</v>
      </c>
      <c r="U2177" s="6">
        <v>0</v>
      </c>
      <c r="V2177" s="6">
        <v>0</v>
      </c>
      <c r="W2177" s="6">
        <v>0</v>
      </c>
      <c r="X2177" s="6" t="s">
        <v>169</v>
      </c>
      <c r="Z2177" s="6" t="s">
        <v>170</v>
      </c>
      <c r="AA2177" s="6" t="s">
        <v>171</v>
      </c>
      <c r="AB2177" s="6">
        <v>0</v>
      </c>
      <c r="AC2177" s="6" t="str">
        <f>""</f>
        <v/>
      </c>
      <c r="AS2177" s="6">
        <v>0</v>
      </c>
      <c r="AT2177" s="6">
        <v>0</v>
      </c>
    </row>
    <row r="2178" spans="2:46">
      <c r="B2178" s="6" t="s">
        <v>110</v>
      </c>
      <c r="D2178" s="6" t="s">
        <v>8189</v>
      </c>
      <c r="F2178" s="6" t="s">
        <v>9077</v>
      </c>
      <c r="G2178" s="6" t="str">
        <f>"JGUSAE1235061907SV"</f>
        <v>JGUSAE1235061907SV</v>
      </c>
      <c r="H2178" s="6" t="s">
        <v>9078</v>
      </c>
      <c r="I2178" s="6" t="s">
        <v>9079</v>
      </c>
      <c r="J2178" s="6" t="str">
        <f>"JG-USAE1235061907SV-SET"</f>
        <v>JG-USAE1235061907SV-SET</v>
      </c>
      <c r="K2178" s="6">
        <v>0</v>
      </c>
      <c r="L2178" s="6">
        <v>0</v>
      </c>
      <c r="M2178" s="6">
        <v>0</v>
      </c>
      <c r="N2178" s="6" t="str">
        <f>""</f>
        <v/>
      </c>
      <c r="O2178" s="6">
        <v>25175</v>
      </c>
      <c r="P2178" s="6" t="s">
        <v>9079</v>
      </c>
      <c r="R2178" s="6" t="s">
        <v>6131</v>
      </c>
      <c r="S2178" s="6" t="s">
        <v>9080</v>
      </c>
      <c r="T2178" s="6">
        <v>0</v>
      </c>
      <c r="U2178" s="6">
        <v>0</v>
      </c>
      <c r="V2178" s="6">
        <v>0</v>
      </c>
      <c r="W2178" s="6">
        <v>0</v>
      </c>
      <c r="X2178" s="6" t="s">
        <v>169</v>
      </c>
      <c r="Z2178" s="6" t="s">
        <v>170</v>
      </c>
      <c r="AA2178" s="6" t="s">
        <v>171</v>
      </c>
      <c r="AB2178" s="6">
        <v>0</v>
      </c>
      <c r="AC2178" s="6" t="str">
        <f>""</f>
        <v/>
      </c>
      <c r="AS2178" s="6">
        <v>0</v>
      </c>
      <c r="AT2178" s="6">
        <v>0</v>
      </c>
    </row>
    <row r="2179" spans="2:46">
      <c r="B2179" s="6" t="s">
        <v>110</v>
      </c>
      <c r="D2179" s="6" t="s">
        <v>8189</v>
      </c>
      <c r="F2179" s="6" t="s">
        <v>9081</v>
      </c>
      <c r="G2179" s="6" t="str">
        <f>"JGUSAE1235061906GD"</f>
        <v>JGUSAE1235061906GD</v>
      </c>
      <c r="H2179" s="6" t="s">
        <v>9082</v>
      </c>
      <c r="I2179" s="6" t="s">
        <v>9083</v>
      </c>
      <c r="J2179" s="6" t="str">
        <f>"JG-USAE1235061906GD-SET"</f>
        <v>JG-USAE1235061906GD-SET</v>
      </c>
      <c r="K2179" s="6">
        <v>0</v>
      </c>
      <c r="L2179" s="6">
        <v>0</v>
      </c>
      <c r="M2179" s="6">
        <v>0</v>
      </c>
      <c r="N2179" s="6" t="str">
        <f>""</f>
        <v/>
      </c>
      <c r="O2179" s="6">
        <v>25173</v>
      </c>
      <c r="P2179" s="6" t="s">
        <v>9083</v>
      </c>
      <c r="R2179" s="6" t="s">
        <v>6116</v>
      </c>
      <c r="S2179" s="6" t="s">
        <v>9084</v>
      </c>
      <c r="T2179" s="6">
        <v>0</v>
      </c>
      <c r="U2179" s="6">
        <v>0</v>
      </c>
      <c r="V2179" s="6">
        <v>0</v>
      </c>
      <c r="W2179" s="6">
        <v>0</v>
      </c>
      <c r="X2179" s="6" t="s">
        <v>169</v>
      </c>
      <c r="Z2179" s="6" t="s">
        <v>170</v>
      </c>
      <c r="AA2179" s="6" t="s">
        <v>171</v>
      </c>
      <c r="AB2179" s="6">
        <v>0</v>
      </c>
      <c r="AC2179" s="6" t="str">
        <f>""</f>
        <v/>
      </c>
      <c r="AS2179" s="6">
        <v>0</v>
      </c>
      <c r="AT2179" s="6">
        <v>0</v>
      </c>
    </row>
    <row r="2180" spans="2:46">
      <c r="B2180" s="6" t="s">
        <v>110</v>
      </c>
      <c r="D2180" s="6" t="s">
        <v>8189</v>
      </c>
      <c r="F2180" s="6" t="s">
        <v>9085</v>
      </c>
      <c r="G2180" s="6" t="str">
        <f>"JGUSAE1235061905SV"</f>
        <v>JGUSAE1235061905SV</v>
      </c>
      <c r="H2180" s="6" t="s">
        <v>9086</v>
      </c>
      <c r="I2180" s="6" t="s">
        <v>9087</v>
      </c>
      <c r="J2180" s="6" t="str">
        <f>"JG-USAE1235061905SV-SET"</f>
        <v>JG-USAE1235061905SV-SET</v>
      </c>
      <c r="K2180" s="6">
        <v>0</v>
      </c>
      <c r="L2180" s="6">
        <v>0</v>
      </c>
      <c r="M2180" s="6">
        <v>0</v>
      </c>
      <c r="N2180" s="6" t="str">
        <f>""</f>
        <v/>
      </c>
      <c r="O2180" s="6">
        <v>25171</v>
      </c>
      <c r="P2180" s="6" t="s">
        <v>9087</v>
      </c>
      <c r="R2180" s="6" t="s">
        <v>6131</v>
      </c>
      <c r="S2180" s="6" t="s">
        <v>9088</v>
      </c>
      <c r="T2180" s="6">
        <v>0</v>
      </c>
      <c r="U2180" s="6">
        <v>0</v>
      </c>
      <c r="V2180" s="6">
        <v>0</v>
      </c>
      <c r="W2180" s="6">
        <v>0</v>
      </c>
      <c r="X2180" s="6" t="s">
        <v>169</v>
      </c>
      <c r="Z2180" s="6" t="s">
        <v>170</v>
      </c>
      <c r="AA2180" s="6" t="s">
        <v>171</v>
      </c>
      <c r="AB2180" s="6">
        <v>0</v>
      </c>
      <c r="AC2180" s="6" t="str">
        <f>""</f>
        <v/>
      </c>
      <c r="AS2180" s="6">
        <v>0</v>
      </c>
      <c r="AT2180" s="6">
        <v>0</v>
      </c>
    </row>
    <row r="2181" spans="2:46">
      <c r="B2181" s="6" t="s">
        <v>110</v>
      </c>
      <c r="D2181" s="6" t="s">
        <v>8189</v>
      </c>
      <c r="F2181" s="6" t="s">
        <v>9089</v>
      </c>
      <c r="G2181" s="6" t="str">
        <f>"JGUSAE1230061904GD"</f>
        <v>JGUSAE1230061904GD</v>
      </c>
      <c r="H2181" s="6" t="s">
        <v>9090</v>
      </c>
      <c r="I2181" s="6" t="s">
        <v>9091</v>
      </c>
      <c r="J2181" s="6" t="str">
        <f>"JG-USAE1230061904GD-SET"</f>
        <v>JG-USAE1230061904GD-SET</v>
      </c>
      <c r="K2181" s="6">
        <v>0</v>
      </c>
      <c r="L2181" s="6">
        <v>0</v>
      </c>
      <c r="M2181" s="6">
        <v>0</v>
      </c>
      <c r="N2181" s="6" t="str">
        <f>""</f>
        <v/>
      </c>
      <c r="O2181" s="6">
        <v>25169</v>
      </c>
      <c r="P2181" s="6" t="s">
        <v>9091</v>
      </c>
      <c r="R2181" s="6" t="s">
        <v>6116</v>
      </c>
      <c r="S2181" s="6" t="s">
        <v>9092</v>
      </c>
      <c r="T2181" s="6">
        <v>0</v>
      </c>
      <c r="U2181" s="6">
        <v>0</v>
      </c>
      <c r="V2181" s="6">
        <v>0</v>
      </c>
      <c r="W2181" s="6">
        <v>0</v>
      </c>
      <c r="X2181" s="6" t="s">
        <v>169</v>
      </c>
      <c r="Z2181" s="6" t="s">
        <v>170</v>
      </c>
      <c r="AA2181" s="6" t="s">
        <v>171</v>
      </c>
      <c r="AB2181" s="6">
        <v>0</v>
      </c>
      <c r="AC2181" s="6" t="str">
        <f>"KEY-002"</f>
        <v>KEY-002</v>
      </c>
      <c r="AS2181" s="6">
        <v>0</v>
      </c>
      <c r="AT2181" s="6">
        <v>0</v>
      </c>
    </row>
    <row r="2182" spans="2:46">
      <c r="B2182" s="6" t="s">
        <v>110</v>
      </c>
      <c r="D2182" s="6" t="s">
        <v>8189</v>
      </c>
      <c r="F2182" s="6" t="s">
        <v>9093</v>
      </c>
      <c r="G2182" s="6" t="str">
        <f>"JGUSAE1230061903SV"</f>
        <v>JGUSAE1230061903SV</v>
      </c>
      <c r="H2182" s="6" t="s">
        <v>9094</v>
      </c>
      <c r="I2182" s="6" t="s">
        <v>9095</v>
      </c>
      <c r="J2182" s="6" t="str">
        <f>"JG-USAE1230061903SV-SET"</f>
        <v>JG-USAE1230061903SV-SET</v>
      </c>
      <c r="K2182" s="6">
        <v>0</v>
      </c>
      <c r="L2182" s="6">
        <v>0</v>
      </c>
      <c r="M2182" s="6">
        <v>0</v>
      </c>
      <c r="N2182" s="6" t="str">
        <f>""</f>
        <v/>
      </c>
      <c r="O2182" s="6">
        <v>25167</v>
      </c>
      <c r="P2182" s="6" t="s">
        <v>9095</v>
      </c>
      <c r="R2182" s="6" t="s">
        <v>6131</v>
      </c>
      <c r="S2182" s="6" t="s">
        <v>9096</v>
      </c>
      <c r="T2182" s="6">
        <v>0</v>
      </c>
      <c r="U2182" s="6">
        <v>0</v>
      </c>
      <c r="V2182" s="6">
        <v>0</v>
      </c>
      <c r="W2182" s="6">
        <v>0</v>
      </c>
      <c r="X2182" s="6" t="s">
        <v>169</v>
      </c>
      <c r="Z2182" s="6" t="s">
        <v>170</v>
      </c>
      <c r="AA2182" s="6" t="s">
        <v>171</v>
      </c>
      <c r="AB2182" s="6">
        <v>0</v>
      </c>
      <c r="AC2182" s="6" t="str">
        <f>""</f>
        <v/>
      </c>
      <c r="AS2182" s="6">
        <v>0</v>
      </c>
      <c r="AT2182" s="6">
        <v>0</v>
      </c>
    </row>
    <row r="2183" spans="2:46">
      <c r="B2183" s="6" t="s">
        <v>110</v>
      </c>
      <c r="D2183" s="6" t="s">
        <v>8189</v>
      </c>
      <c r="F2183" s="6" t="s">
        <v>9097</v>
      </c>
      <c r="G2183" s="6" t="str">
        <f>"JGUSAE1230061902GD"</f>
        <v>JGUSAE1230061902GD</v>
      </c>
      <c r="H2183" s="6" t="s">
        <v>9098</v>
      </c>
      <c r="I2183" s="6" t="s">
        <v>9099</v>
      </c>
      <c r="J2183" s="6" t="str">
        <f>"JG-USAE1230061902GD-SET"</f>
        <v>JG-USAE1230061902GD-SET</v>
      </c>
      <c r="K2183" s="6">
        <v>0</v>
      </c>
      <c r="L2183" s="6">
        <v>0</v>
      </c>
      <c r="M2183" s="6">
        <v>0</v>
      </c>
      <c r="N2183" s="6" t="str">
        <f>""</f>
        <v/>
      </c>
      <c r="O2183" s="6">
        <v>25165</v>
      </c>
      <c r="P2183" s="6" t="s">
        <v>9099</v>
      </c>
      <c r="R2183" s="6" t="s">
        <v>6116</v>
      </c>
      <c r="S2183" s="6" t="s">
        <v>9100</v>
      </c>
      <c r="T2183" s="6">
        <v>0</v>
      </c>
      <c r="U2183" s="6">
        <v>0</v>
      </c>
      <c r="V2183" s="6">
        <v>0</v>
      </c>
      <c r="W2183" s="6">
        <v>0</v>
      </c>
      <c r="X2183" s="6" t="s">
        <v>169</v>
      </c>
      <c r="Z2183" s="6" t="s">
        <v>170</v>
      </c>
      <c r="AA2183" s="6" t="s">
        <v>171</v>
      </c>
      <c r="AB2183" s="6">
        <v>0</v>
      </c>
      <c r="AC2183" s="6" t="str">
        <f>""</f>
        <v/>
      </c>
      <c r="AS2183" s="6">
        <v>0</v>
      </c>
      <c r="AT2183" s="6">
        <v>0</v>
      </c>
    </row>
    <row r="2184" spans="2:46">
      <c r="B2184" s="6" t="s">
        <v>110</v>
      </c>
      <c r="D2184" s="6" t="s">
        <v>8189</v>
      </c>
      <c r="F2184" s="6" t="s">
        <v>9101</v>
      </c>
      <c r="G2184" s="6" t="str">
        <f>"JGUSAE1230061901SV"</f>
        <v>JGUSAE1230061901SV</v>
      </c>
      <c r="H2184" s="6" t="s">
        <v>9102</v>
      </c>
      <c r="I2184" s="6" t="s">
        <v>9103</v>
      </c>
      <c r="J2184" s="6" t="str">
        <f>"JG-USAE1230061901SV-SET"</f>
        <v>JG-USAE1230061901SV-SET</v>
      </c>
      <c r="K2184" s="6">
        <v>0</v>
      </c>
      <c r="L2184" s="6">
        <v>0</v>
      </c>
      <c r="M2184" s="6">
        <v>0</v>
      </c>
      <c r="N2184" s="6" t="str">
        <f>""</f>
        <v/>
      </c>
      <c r="O2184" s="6">
        <v>25163</v>
      </c>
      <c r="P2184" s="6" t="s">
        <v>9103</v>
      </c>
      <c r="R2184" s="6" t="s">
        <v>6131</v>
      </c>
      <c r="S2184" s="6" t="s">
        <v>9104</v>
      </c>
      <c r="T2184" s="6">
        <v>0</v>
      </c>
      <c r="U2184" s="6">
        <v>0</v>
      </c>
      <c r="V2184" s="6">
        <v>0</v>
      </c>
      <c r="W2184" s="6">
        <v>0</v>
      </c>
      <c r="X2184" s="6" t="s">
        <v>169</v>
      </c>
      <c r="Z2184" s="6" t="s">
        <v>170</v>
      </c>
      <c r="AA2184" s="6" t="s">
        <v>171</v>
      </c>
      <c r="AB2184" s="6">
        <v>0</v>
      </c>
      <c r="AC2184" s="6" t="str">
        <f>""</f>
        <v/>
      </c>
      <c r="AS2184" s="6">
        <v>0</v>
      </c>
      <c r="AT2184" s="6">
        <v>0</v>
      </c>
    </row>
    <row r="2185" spans="2:46">
      <c r="B2185" s="6" t="s">
        <v>110</v>
      </c>
      <c r="D2185" s="6" t="s">
        <v>8189</v>
      </c>
      <c r="F2185" s="6" t="s">
        <v>9105</v>
      </c>
      <c r="G2185" s="6" t="str">
        <f>"JGUSAE122742711GD"</f>
        <v>JGUSAE122742711GD</v>
      </c>
      <c r="H2185" s="6" t="s">
        <v>9106</v>
      </c>
      <c r="I2185" s="6" t="s">
        <v>9107</v>
      </c>
      <c r="J2185" s="6" t="str">
        <f>"JG-USAE122742711GD"</f>
        <v>JG-USAE122742711GD</v>
      </c>
      <c r="K2185" s="6">
        <v>0</v>
      </c>
      <c r="L2185" s="6">
        <v>0</v>
      </c>
      <c r="M2185" s="6">
        <v>0</v>
      </c>
      <c r="N2185" s="6" t="str">
        <f>""</f>
        <v/>
      </c>
      <c r="O2185" s="6">
        <v>25161</v>
      </c>
      <c r="P2185" s="6" t="s">
        <v>9107</v>
      </c>
      <c r="R2185" s="6" t="s">
        <v>1475</v>
      </c>
      <c r="S2185" s="6" t="s">
        <v>9108</v>
      </c>
      <c r="T2185" s="6">
        <v>0</v>
      </c>
      <c r="U2185" s="6">
        <v>0</v>
      </c>
      <c r="V2185" s="6">
        <v>0</v>
      </c>
      <c r="W2185" s="6">
        <v>0</v>
      </c>
      <c r="X2185" s="6" t="s">
        <v>169</v>
      </c>
      <c r="Z2185" s="6" t="s">
        <v>170</v>
      </c>
      <c r="AA2185" s="6" t="s">
        <v>171</v>
      </c>
      <c r="AB2185" s="6">
        <v>0</v>
      </c>
      <c r="AC2185" s="6" t="str">
        <f>""</f>
        <v/>
      </c>
      <c r="AS2185" s="6">
        <v>0</v>
      </c>
      <c r="AT2185" s="6">
        <v>0</v>
      </c>
    </row>
    <row r="2186" spans="2:46">
      <c r="B2186" s="6" t="s">
        <v>110</v>
      </c>
      <c r="D2186" s="6" t="s">
        <v>8189</v>
      </c>
      <c r="F2186" s="6" t="s">
        <v>9109</v>
      </c>
      <c r="G2186" s="6" t="str">
        <f>"JGUSAE122742709GD"</f>
        <v>JGUSAE122742709GD</v>
      </c>
      <c r="H2186" s="6" t="s">
        <v>9110</v>
      </c>
      <c r="I2186" s="6" t="s">
        <v>9111</v>
      </c>
      <c r="J2186" s="6" t="str">
        <f>"JG-USAE122742709GD"</f>
        <v>JG-USAE122742709GD</v>
      </c>
      <c r="K2186" s="6">
        <v>0</v>
      </c>
      <c r="L2186" s="6">
        <v>0</v>
      </c>
      <c r="M2186" s="6">
        <v>0</v>
      </c>
      <c r="N2186" s="6" t="str">
        <f>""</f>
        <v/>
      </c>
      <c r="O2186" s="6">
        <v>25159</v>
      </c>
      <c r="P2186" s="6" t="s">
        <v>9111</v>
      </c>
      <c r="R2186" s="6" t="s">
        <v>1475</v>
      </c>
      <c r="S2186" s="6" t="s">
        <v>9112</v>
      </c>
      <c r="T2186" s="6">
        <v>0</v>
      </c>
      <c r="U2186" s="6">
        <v>0</v>
      </c>
      <c r="V2186" s="6">
        <v>0</v>
      </c>
      <c r="W2186" s="6">
        <v>0</v>
      </c>
      <c r="X2186" s="6" t="s">
        <v>169</v>
      </c>
      <c r="Z2186" s="6" t="s">
        <v>170</v>
      </c>
      <c r="AA2186" s="6" t="s">
        <v>171</v>
      </c>
      <c r="AB2186" s="6">
        <v>0</v>
      </c>
      <c r="AC2186" s="6" t="str">
        <f>""</f>
        <v/>
      </c>
      <c r="AS2186" s="6">
        <v>0</v>
      </c>
      <c r="AT2186" s="6">
        <v>0</v>
      </c>
    </row>
    <row r="2187" spans="2:46">
      <c r="B2187" s="6" t="s">
        <v>110</v>
      </c>
      <c r="D2187" s="6" t="s">
        <v>8189</v>
      </c>
      <c r="F2187" s="6" t="s">
        <v>9113</v>
      </c>
      <c r="G2187" s="6" t="str">
        <f>"JGUSAE1230060903RG"</f>
        <v>JGUSAE1230060903RG</v>
      </c>
      <c r="H2187" s="6" t="s">
        <v>9114</v>
      </c>
      <c r="I2187" s="6" t="s">
        <v>9115</v>
      </c>
      <c r="J2187" s="6" t="str">
        <f>"JG-USAE1230060903RG"</f>
        <v>JG-USAE1230060903RG</v>
      </c>
      <c r="K2187" s="6">
        <v>0</v>
      </c>
      <c r="L2187" s="6">
        <v>0</v>
      </c>
      <c r="M2187" s="6">
        <v>0</v>
      </c>
      <c r="N2187" s="6" t="str">
        <f>""</f>
        <v/>
      </c>
      <c r="O2187" s="6">
        <v>25157</v>
      </c>
      <c r="P2187" s="6" t="s">
        <v>9115</v>
      </c>
      <c r="R2187" s="6" t="s">
        <v>8728</v>
      </c>
      <c r="S2187" s="6" t="s">
        <v>9116</v>
      </c>
      <c r="T2187" s="6">
        <v>0</v>
      </c>
      <c r="U2187" s="6">
        <v>0</v>
      </c>
      <c r="V2187" s="6">
        <v>0</v>
      </c>
      <c r="W2187" s="6">
        <v>0</v>
      </c>
      <c r="X2187" s="6" t="s">
        <v>169</v>
      </c>
      <c r="Z2187" s="6" t="s">
        <v>170</v>
      </c>
      <c r="AA2187" s="6" t="s">
        <v>171</v>
      </c>
      <c r="AB2187" s="6">
        <v>0</v>
      </c>
      <c r="AC2187" s="6" t="str">
        <f>""</f>
        <v/>
      </c>
      <c r="AS2187" s="6">
        <v>0</v>
      </c>
      <c r="AT2187" s="6">
        <v>0</v>
      </c>
    </row>
    <row r="2188" spans="2:46">
      <c r="B2188" s="6" t="s">
        <v>110</v>
      </c>
      <c r="D2188" s="6" t="s">
        <v>8189</v>
      </c>
      <c r="F2188" s="6" t="s">
        <v>9117</v>
      </c>
      <c r="G2188" s="6" t="str">
        <f>"JGUSARPST00406GD"</f>
        <v>JGUSARPST00406GD</v>
      </c>
      <c r="H2188" s="6" t="s">
        <v>9118</v>
      </c>
      <c r="I2188" s="6" t="s">
        <v>9119</v>
      </c>
      <c r="J2188" s="6" t="str">
        <f>"JG-USARPST00406GD"</f>
        <v>JG-USARPST00406GD</v>
      </c>
      <c r="K2188" s="6">
        <v>0</v>
      </c>
      <c r="L2188" s="6">
        <v>0</v>
      </c>
      <c r="M2188" s="6">
        <v>0</v>
      </c>
      <c r="N2188" s="6" t="str">
        <f>""</f>
        <v/>
      </c>
      <c r="O2188" s="6">
        <v>25155</v>
      </c>
      <c r="P2188" s="6" t="s">
        <v>9119</v>
      </c>
      <c r="R2188" s="6" t="s">
        <v>1475</v>
      </c>
      <c r="S2188" s="6" t="s">
        <v>9120</v>
      </c>
      <c r="T2188" s="6">
        <v>0</v>
      </c>
      <c r="U2188" s="6">
        <v>0</v>
      </c>
      <c r="V2188" s="6">
        <v>0</v>
      </c>
      <c r="W2188" s="6">
        <v>0</v>
      </c>
      <c r="X2188" s="6" t="s">
        <v>169</v>
      </c>
      <c r="Z2188" s="6" t="s">
        <v>170</v>
      </c>
      <c r="AA2188" s="6" t="s">
        <v>171</v>
      </c>
      <c r="AB2188" s="6">
        <v>0</v>
      </c>
      <c r="AC2188" s="6" t="str">
        <f>""</f>
        <v/>
      </c>
      <c r="AS2188" s="6">
        <v>0</v>
      </c>
      <c r="AT2188" s="6">
        <v>0</v>
      </c>
    </row>
    <row r="2189" spans="2:46">
      <c r="B2189" s="6" t="s">
        <v>110</v>
      </c>
      <c r="D2189" s="6" t="s">
        <v>8189</v>
      </c>
      <c r="F2189" s="6" t="s">
        <v>9121</v>
      </c>
      <c r="G2189" s="6" t="str">
        <f>"JGUSABPST00203GD"</f>
        <v>JGUSABPST00203GD</v>
      </c>
      <c r="H2189" s="6" t="s">
        <v>9122</v>
      </c>
      <c r="I2189" s="6" t="s">
        <v>9123</v>
      </c>
      <c r="J2189" s="6" t="str">
        <f>"JG-USABPST00203GD"</f>
        <v>JG-USABPST00203GD</v>
      </c>
      <c r="K2189" s="6">
        <v>0</v>
      </c>
      <c r="L2189" s="6">
        <v>0</v>
      </c>
      <c r="M2189" s="6">
        <v>0</v>
      </c>
      <c r="N2189" s="6" t="str">
        <f>""</f>
        <v/>
      </c>
      <c r="O2189" s="6">
        <v>25153</v>
      </c>
      <c r="P2189" s="6" t="s">
        <v>9123</v>
      </c>
      <c r="R2189" s="6" t="s">
        <v>1475</v>
      </c>
      <c r="S2189" s="6" t="s">
        <v>9124</v>
      </c>
      <c r="T2189" s="6">
        <v>0</v>
      </c>
      <c r="U2189" s="6">
        <v>0</v>
      </c>
      <c r="V2189" s="6">
        <v>0</v>
      </c>
      <c r="W2189" s="6">
        <v>0</v>
      </c>
      <c r="X2189" s="6" t="s">
        <v>169</v>
      </c>
      <c r="Z2189" s="6" t="s">
        <v>170</v>
      </c>
      <c r="AA2189" s="6" t="s">
        <v>171</v>
      </c>
      <c r="AB2189" s="6">
        <v>0</v>
      </c>
      <c r="AC2189" s="6" t="str">
        <f>""</f>
        <v/>
      </c>
      <c r="AS2189" s="6">
        <v>0</v>
      </c>
      <c r="AT2189" s="6">
        <v>0</v>
      </c>
    </row>
    <row r="2190" spans="2:46">
      <c r="B2190" s="6" t="s">
        <v>110</v>
      </c>
      <c r="D2190" s="6" t="s">
        <v>8189</v>
      </c>
      <c r="F2190" s="6" t="s">
        <v>9125</v>
      </c>
      <c r="G2190" s="6" t="str">
        <f>"JGUSARPST00307GD"</f>
        <v>JGUSARPST00307GD</v>
      </c>
      <c r="H2190" s="6" t="s">
        <v>9126</v>
      </c>
      <c r="I2190" s="6" t="s">
        <v>9127</v>
      </c>
      <c r="J2190" s="6" t="str">
        <f>"JG-USARPST00307GD"</f>
        <v>JG-USARPST00307GD</v>
      </c>
      <c r="K2190" s="6">
        <v>0</v>
      </c>
      <c r="L2190" s="6">
        <v>0</v>
      </c>
      <c r="M2190" s="6">
        <v>0</v>
      </c>
      <c r="N2190" s="6" t="str">
        <f>""</f>
        <v/>
      </c>
      <c r="O2190" s="6">
        <v>25151</v>
      </c>
      <c r="P2190" s="6" t="s">
        <v>9127</v>
      </c>
      <c r="R2190" s="6" t="s">
        <v>1475</v>
      </c>
      <c r="S2190" s="6" t="s">
        <v>9128</v>
      </c>
      <c r="T2190" s="6">
        <v>0</v>
      </c>
      <c r="U2190" s="6">
        <v>0</v>
      </c>
      <c r="V2190" s="6">
        <v>0</v>
      </c>
      <c r="W2190" s="6">
        <v>0</v>
      </c>
      <c r="X2190" s="6" t="s">
        <v>169</v>
      </c>
      <c r="Z2190" s="6" t="s">
        <v>170</v>
      </c>
      <c r="AA2190" s="6" t="s">
        <v>171</v>
      </c>
      <c r="AB2190" s="6">
        <v>0</v>
      </c>
      <c r="AC2190" s="6" t="str">
        <f>""</f>
        <v/>
      </c>
      <c r="AS2190" s="6">
        <v>0</v>
      </c>
      <c r="AT2190" s="6">
        <v>0</v>
      </c>
    </row>
    <row r="2191" spans="2:46">
      <c r="B2191" s="6" t="s">
        <v>110</v>
      </c>
      <c r="D2191" s="6" t="s">
        <v>8189</v>
      </c>
      <c r="F2191" s="6" t="s">
        <v>9129</v>
      </c>
      <c r="G2191" s="6" t="str">
        <f>"JGUSAE122742708RG"</f>
        <v>JGUSAE122742708RG</v>
      </c>
      <c r="H2191" s="6" t="s">
        <v>9130</v>
      </c>
      <c r="I2191" s="6" t="s">
        <v>9131</v>
      </c>
      <c r="J2191" s="6" t="str">
        <f>"JG-USAE122742708RG"</f>
        <v>JG-USAE122742708RG</v>
      </c>
      <c r="K2191" s="6">
        <v>0</v>
      </c>
      <c r="L2191" s="6">
        <v>0</v>
      </c>
      <c r="M2191" s="6">
        <v>0</v>
      </c>
      <c r="N2191" s="6" t="str">
        <f>""</f>
        <v/>
      </c>
      <c r="O2191" s="6">
        <v>25149</v>
      </c>
      <c r="P2191" s="6" t="s">
        <v>9131</v>
      </c>
      <c r="R2191" s="6" t="s">
        <v>8728</v>
      </c>
      <c r="S2191" s="6" t="s">
        <v>9132</v>
      </c>
      <c r="T2191" s="6">
        <v>0</v>
      </c>
      <c r="U2191" s="6">
        <v>0</v>
      </c>
      <c r="V2191" s="6">
        <v>0</v>
      </c>
      <c r="W2191" s="6">
        <v>0</v>
      </c>
      <c r="X2191" s="6" t="s">
        <v>169</v>
      </c>
      <c r="Z2191" s="6" t="s">
        <v>170</v>
      </c>
      <c r="AA2191" s="6" t="s">
        <v>171</v>
      </c>
      <c r="AB2191" s="6">
        <v>0</v>
      </c>
      <c r="AC2191" s="6" t="str">
        <f>""</f>
        <v/>
      </c>
      <c r="AS2191" s="6">
        <v>0</v>
      </c>
      <c r="AT2191" s="6">
        <v>0</v>
      </c>
    </row>
    <row r="2192" spans="2:46">
      <c r="B2192" s="6" t="s">
        <v>110</v>
      </c>
      <c r="D2192" s="6" t="s">
        <v>8189</v>
      </c>
      <c r="F2192" s="6" t="s">
        <v>9133</v>
      </c>
      <c r="G2192" s="6" t="str">
        <f>"JGUSAE122542712GD"</f>
        <v>JGUSAE122542712GD</v>
      </c>
      <c r="H2192" s="6" t="s">
        <v>9134</v>
      </c>
      <c r="I2192" s="6" t="s">
        <v>9135</v>
      </c>
      <c r="J2192" s="6" t="str">
        <f>"JG-USAE122542712GD"</f>
        <v>JG-USAE122542712GD</v>
      </c>
      <c r="K2192" s="6">
        <v>0</v>
      </c>
      <c r="L2192" s="6">
        <v>0</v>
      </c>
      <c r="M2192" s="6">
        <v>0</v>
      </c>
      <c r="N2192" s="6" t="str">
        <f>""</f>
        <v/>
      </c>
      <c r="O2192" s="6">
        <v>25147</v>
      </c>
      <c r="P2192" s="6" t="s">
        <v>9135</v>
      </c>
      <c r="R2192" s="6" t="s">
        <v>1475</v>
      </c>
      <c r="S2192" s="6" t="s">
        <v>9136</v>
      </c>
      <c r="T2192" s="6">
        <v>0</v>
      </c>
      <c r="U2192" s="6">
        <v>0</v>
      </c>
      <c r="V2192" s="6">
        <v>0</v>
      </c>
      <c r="W2192" s="6">
        <v>0</v>
      </c>
      <c r="X2192" s="6" t="s">
        <v>169</v>
      </c>
      <c r="Z2192" s="6" t="s">
        <v>170</v>
      </c>
      <c r="AA2192" s="6" t="s">
        <v>171</v>
      </c>
      <c r="AB2192" s="6">
        <v>0</v>
      </c>
      <c r="AC2192" s="6" t="str">
        <f>""</f>
        <v/>
      </c>
      <c r="AS2192" s="6">
        <v>0</v>
      </c>
      <c r="AT2192" s="6">
        <v>0</v>
      </c>
    </row>
    <row r="2193" spans="2:46">
      <c r="B2193" s="6" t="s">
        <v>110</v>
      </c>
      <c r="D2193" s="6" t="s">
        <v>8189</v>
      </c>
      <c r="F2193" s="6" t="s">
        <v>9137</v>
      </c>
      <c r="G2193" s="6" t="str">
        <f>"JGUSARPST00307RG"</f>
        <v>JGUSARPST00307RG</v>
      </c>
      <c r="H2193" s="6" t="s">
        <v>9138</v>
      </c>
      <c r="I2193" s="6" t="s">
        <v>9139</v>
      </c>
      <c r="J2193" s="6" t="str">
        <f>"JG-USARPST00307RG"</f>
        <v>JG-USARPST00307RG</v>
      </c>
      <c r="K2193" s="6">
        <v>0</v>
      </c>
      <c r="L2193" s="6">
        <v>0</v>
      </c>
      <c r="M2193" s="6">
        <v>0</v>
      </c>
      <c r="N2193" s="6" t="str">
        <f>""</f>
        <v/>
      </c>
      <c r="O2193" s="6">
        <v>25145</v>
      </c>
      <c r="P2193" s="6" t="s">
        <v>9139</v>
      </c>
      <c r="R2193" s="6" t="s">
        <v>8728</v>
      </c>
      <c r="S2193" s="6" t="s">
        <v>9140</v>
      </c>
      <c r="T2193" s="6">
        <v>0</v>
      </c>
      <c r="U2193" s="6">
        <v>0</v>
      </c>
      <c r="V2193" s="6">
        <v>0</v>
      </c>
      <c r="W2193" s="6">
        <v>0</v>
      </c>
      <c r="X2193" s="6" t="s">
        <v>169</v>
      </c>
      <c r="Z2193" s="6" t="s">
        <v>170</v>
      </c>
      <c r="AA2193" s="6" t="s">
        <v>171</v>
      </c>
      <c r="AB2193" s="6">
        <v>0</v>
      </c>
      <c r="AC2193" s="6" t="str">
        <f>""</f>
        <v/>
      </c>
      <c r="AS2193" s="6">
        <v>0</v>
      </c>
      <c r="AT2193" s="6">
        <v>0</v>
      </c>
    </row>
    <row r="2194" spans="2:46">
      <c r="B2194" s="6" t="s">
        <v>110</v>
      </c>
      <c r="D2194" s="6" t="s">
        <v>8189</v>
      </c>
      <c r="F2194" s="6" t="s">
        <v>9141</v>
      </c>
      <c r="G2194" s="6" t="str">
        <f>"JGUSARPST00202RG"</f>
        <v>JGUSARPST00202RG</v>
      </c>
      <c r="H2194" s="6" t="s">
        <v>9142</v>
      </c>
      <c r="I2194" s="6" t="s">
        <v>9143</v>
      </c>
      <c r="J2194" s="6" t="str">
        <f>"JG-USARPST00202RG"</f>
        <v>JG-USARPST00202RG</v>
      </c>
      <c r="K2194" s="6">
        <v>0</v>
      </c>
      <c r="L2194" s="6">
        <v>0</v>
      </c>
      <c r="M2194" s="6">
        <v>0</v>
      </c>
      <c r="N2194" s="6" t="str">
        <f>""</f>
        <v/>
      </c>
      <c r="O2194" s="6">
        <v>25143</v>
      </c>
      <c r="P2194" s="6" t="s">
        <v>9143</v>
      </c>
      <c r="R2194" s="6" t="s">
        <v>8728</v>
      </c>
      <c r="S2194" s="6" t="s">
        <v>9144</v>
      </c>
      <c r="T2194" s="6">
        <v>0</v>
      </c>
      <c r="U2194" s="6">
        <v>0</v>
      </c>
      <c r="V2194" s="6">
        <v>0</v>
      </c>
      <c r="W2194" s="6">
        <v>0</v>
      </c>
      <c r="X2194" s="6" t="s">
        <v>169</v>
      </c>
      <c r="Z2194" s="6" t="s">
        <v>170</v>
      </c>
      <c r="AA2194" s="6" t="s">
        <v>171</v>
      </c>
      <c r="AB2194" s="6">
        <v>0</v>
      </c>
      <c r="AC2194" s="6" t="str">
        <f>""</f>
        <v/>
      </c>
      <c r="AS2194" s="6">
        <v>0</v>
      </c>
      <c r="AT2194" s="6">
        <v>0</v>
      </c>
    </row>
    <row r="2195" spans="2:46">
      <c r="B2195" s="6" t="s">
        <v>110</v>
      </c>
      <c r="D2195" s="6" t="s">
        <v>8189</v>
      </c>
      <c r="F2195" s="6" t="s">
        <v>9145</v>
      </c>
      <c r="G2195" s="6" t="str">
        <f>"JGUSARPST00307SV"</f>
        <v>JGUSARPST00307SV</v>
      </c>
      <c r="H2195" s="6" t="s">
        <v>9146</v>
      </c>
      <c r="I2195" s="6" t="s">
        <v>9147</v>
      </c>
      <c r="J2195" s="6" t="str">
        <f>"JG-USARPST00307SV"</f>
        <v>JG-USARPST00307SV</v>
      </c>
      <c r="K2195" s="6">
        <v>0</v>
      </c>
      <c r="L2195" s="6">
        <v>0</v>
      </c>
      <c r="M2195" s="6">
        <v>0</v>
      </c>
      <c r="N2195" s="6" t="str">
        <f>""</f>
        <v/>
      </c>
      <c r="O2195" s="6">
        <v>25141</v>
      </c>
      <c r="P2195" s="6" t="s">
        <v>9147</v>
      </c>
      <c r="R2195" s="6" t="s">
        <v>8684</v>
      </c>
      <c r="S2195" s="6" t="s">
        <v>9148</v>
      </c>
      <c r="T2195" s="6">
        <v>0</v>
      </c>
      <c r="U2195" s="6">
        <v>0</v>
      </c>
      <c r="V2195" s="6">
        <v>0</v>
      </c>
      <c r="W2195" s="6">
        <v>0</v>
      </c>
      <c r="X2195" s="6" t="s">
        <v>169</v>
      </c>
      <c r="Z2195" s="6" t="s">
        <v>170</v>
      </c>
      <c r="AA2195" s="6" t="s">
        <v>171</v>
      </c>
      <c r="AB2195" s="6">
        <v>0</v>
      </c>
      <c r="AC2195" s="6" t="str">
        <f>""</f>
        <v/>
      </c>
      <c r="AS2195" s="6">
        <v>0</v>
      </c>
      <c r="AT2195" s="6">
        <v>0</v>
      </c>
    </row>
    <row r="2196" spans="2:46">
      <c r="B2196" s="6" t="s">
        <v>110</v>
      </c>
      <c r="D2196" s="6" t="s">
        <v>8189</v>
      </c>
      <c r="F2196" s="6" t="s">
        <v>9149</v>
      </c>
      <c r="G2196" s="6" t="str">
        <f>"JGUSAE122732803RG"</f>
        <v>JGUSAE122732803RG</v>
      </c>
      <c r="H2196" s="6" t="s">
        <v>9150</v>
      </c>
      <c r="I2196" s="6" t="s">
        <v>9151</v>
      </c>
      <c r="J2196" s="6" t="str">
        <f>"JG-USAE122732803RG"</f>
        <v>JG-USAE122732803RG</v>
      </c>
      <c r="K2196" s="6">
        <v>0</v>
      </c>
      <c r="L2196" s="6">
        <v>0</v>
      </c>
      <c r="M2196" s="6">
        <v>0</v>
      </c>
      <c r="N2196" s="6" t="str">
        <f>""</f>
        <v/>
      </c>
      <c r="O2196" s="6">
        <v>25139</v>
      </c>
      <c r="P2196" s="6" t="s">
        <v>9151</v>
      </c>
      <c r="R2196" s="6" t="s">
        <v>9152</v>
      </c>
      <c r="S2196" s="6" t="s">
        <v>9153</v>
      </c>
      <c r="T2196" s="6">
        <v>0</v>
      </c>
      <c r="U2196" s="6">
        <v>0</v>
      </c>
      <c r="V2196" s="6">
        <v>0</v>
      </c>
      <c r="W2196" s="6">
        <v>0</v>
      </c>
      <c r="X2196" s="6" t="s">
        <v>169</v>
      </c>
      <c r="Z2196" s="6" t="s">
        <v>170</v>
      </c>
      <c r="AA2196" s="6" t="s">
        <v>171</v>
      </c>
      <c r="AB2196" s="6">
        <v>0</v>
      </c>
      <c r="AC2196" s="6" t="str">
        <f>""</f>
        <v/>
      </c>
      <c r="AS2196" s="6">
        <v>0</v>
      </c>
      <c r="AT2196" s="6">
        <v>0</v>
      </c>
    </row>
    <row r="2197" spans="2:46">
      <c r="B2197" s="6" t="s">
        <v>110</v>
      </c>
      <c r="D2197" s="6" t="s">
        <v>8189</v>
      </c>
      <c r="F2197" s="6" t="s">
        <v>9154</v>
      </c>
      <c r="G2197" s="6" t="str">
        <f>"JGUSAE122732803SV"</f>
        <v>JGUSAE122732803SV</v>
      </c>
      <c r="H2197" s="6" t="s">
        <v>9155</v>
      </c>
      <c r="I2197" s="6" t="s">
        <v>9156</v>
      </c>
      <c r="J2197" s="6" t="str">
        <f>"JG-USAE122732803SV"</f>
        <v>JG-USAE122732803SV</v>
      </c>
      <c r="K2197" s="6">
        <v>0</v>
      </c>
      <c r="L2197" s="6">
        <v>0</v>
      </c>
      <c r="M2197" s="6">
        <v>0</v>
      </c>
      <c r="N2197" s="6" t="str">
        <f>""</f>
        <v/>
      </c>
      <c r="O2197" s="6">
        <v>25137</v>
      </c>
      <c r="P2197" s="6" t="s">
        <v>9156</v>
      </c>
      <c r="R2197" s="6" t="s">
        <v>9157</v>
      </c>
      <c r="S2197" s="6" t="s">
        <v>9158</v>
      </c>
      <c r="T2197" s="6">
        <v>0</v>
      </c>
      <c r="U2197" s="6">
        <v>0</v>
      </c>
      <c r="V2197" s="6">
        <v>0</v>
      </c>
      <c r="W2197" s="6">
        <v>0</v>
      </c>
      <c r="X2197" s="6" t="s">
        <v>169</v>
      </c>
      <c r="Z2197" s="6" t="s">
        <v>170</v>
      </c>
      <c r="AA2197" s="6" t="s">
        <v>171</v>
      </c>
      <c r="AB2197" s="6">
        <v>0</v>
      </c>
      <c r="AC2197" s="6" t="str">
        <f>""</f>
        <v/>
      </c>
      <c r="AS2197" s="6">
        <v>0</v>
      </c>
      <c r="AT2197" s="6">
        <v>0</v>
      </c>
    </row>
    <row r="2198" spans="2:46">
      <c r="B2198" s="6" t="s">
        <v>110</v>
      </c>
      <c r="D2198" s="6" t="s">
        <v>8189</v>
      </c>
      <c r="F2198" s="6" t="s">
        <v>9159</v>
      </c>
      <c r="G2198" s="6" t="str">
        <f>"JGUSAE123032802RG"</f>
        <v>JGUSAE123032802RG</v>
      </c>
      <c r="H2198" s="6" t="s">
        <v>9160</v>
      </c>
      <c r="I2198" s="6" t="s">
        <v>9161</v>
      </c>
      <c r="J2198" s="6" t="str">
        <f>"JG-USAE123032802RG"</f>
        <v>JG-USAE123032802RG</v>
      </c>
      <c r="K2198" s="6">
        <v>0</v>
      </c>
      <c r="L2198" s="6">
        <v>0</v>
      </c>
      <c r="M2198" s="6">
        <v>0</v>
      </c>
      <c r="N2198" s="6" t="str">
        <f>""</f>
        <v/>
      </c>
      <c r="O2198" s="6">
        <v>25135</v>
      </c>
      <c r="P2198" s="6" t="s">
        <v>9161</v>
      </c>
      <c r="R2198" s="6" t="s">
        <v>9152</v>
      </c>
      <c r="S2198" s="6" t="s">
        <v>9162</v>
      </c>
      <c r="T2198" s="6">
        <v>0</v>
      </c>
      <c r="U2198" s="6">
        <v>0</v>
      </c>
      <c r="V2198" s="6">
        <v>0</v>
      </c>
      <c r="W2198" s="6">
        <v>0</v>
      </c>
      <c r="X2198" s="6" t="s">
        <v>169</v>
      </c>
      <c r="Z2198" s="6" t="s">
        <v>170</v>
      </c>
      <c r="AA2198" s="6" t="s">
        <v>171</v>
      </c>
      <c r="AB2198" s="6">
        <v>0</v>
      </c>
      <c r="AC2198" s="6" t="str">
        <f>""</f>
        <v/>
      </c>
      <c r="AS2198" s="6">
        <v>0</v>
      </c>
      <c r="AT2198" s="6">
        <v>0</v>
      </c>
    </row>
    <row r="2199" spans="2:46">
      <c r="B2199" s="6" t="s">
        <v>110</v>
      </c>
      <c r="D2199" s="6" t="s">
        <v>8189</v>
      </c>
      <c r="F2199" s="6" t="s">
        <v>9163</v>
      </c>
      <c r="G2199" s="6" t="str">
        <f>"JGUSAE123032802GD"</f>
        <v>JGUSAE123032802GD</v>
      </c>
      <c r="H2199" s="6" t="s">
        <v>9164</v>
      </c>
      <c r="I2199" s="6" t="s">
        <v>9165</v>
      </c>
      <c r="J2199" s="6" t="str">
        <f>"JG-USAE123032802GD"</f>
        <v>JG-USAE123032802GD</v>
      </c>
      <c r="K2199" s="6">
        <v>0</v>
      </c>
      <c r="L2199" s="6">
        <v>0</v>
      </c>
      <c r="M2199" s="6">
        <v>0</v>
      </c>
      <c r="N2199" s="6" t="str">
        <f>""</f>
        <v/>
      </c>
      <c r="O2199" s="6">
        <v>25133</v>
      </c>
      <c r="P2199" s="6" t="s">
        <v>9165</v>
      </c>
      <c r="R2199" s="6" t="s">
        <v>9166</v>
      </c>
      <c r="S2199" s="6" t="s">
        <v>9167</v>
      </c>
      <c r="T2199" s="6">
        <v>0</v>
      </c>
      <c r="U2199" s="6">
        <v>0</v>
      </c>
      <c r="V2199" s="6">
        <v>0</v>
      </c>
      <c r="W2199" s="6">
        <v>0</v>
      </c>
      <c r="X2199" s="6" t="s">
        <v>169</v>
      </c>
      <c r="Z2199" s="6" t="s">
        <v>170</v>
      </c>
      <c r="AA2199" s="6" t="s">
        <v>171</v>
      </c>
      <c r="AB2199" s="6">
        <v>0</v>
      </c>
      <c r="AC2199" s="6" t="str">
        <f>""</f>
        <v/>
      </c>
      <c r="AS2199" s="6">
        <v>0</v>
      </c>
      <c r="AT2199" s="6">
        <v>0</v>
      </c>
    </row>
    <row r="2200" spans="2:46">
      <c r="B2200" s="6" t="s">
        <v>110</v>
      </c>
      <c r="D2200" s="6" t="s">
        <v>8189</v>
      </c>
      <c r="F2200" s="6" t="s">
        <v>9168</v>
      </c>
      <c r="G2200" s="6" t="str">
        <f>"JGUSAE123032802SV"</f>
        <v>JGUSAE123032802SV</v>
      </c>
      <c r="H2200" s="6" t="s">
        <v>9169</v>
      </c>
      <c r="I2200" s="6" t="s">
        <v>9170</v>
      </c>
      <c r="J2200" s="6" t="str">
        <f>"JG-USAE123032802SV"</f>
        <v>JG-USAE123032802SV</v>
      </c>
      <c r="K2200" s="6">
        <v>0</v>
      </c>
      <c r="L2200" s="6">
        <v>0</v>
      </c>
      <c r="M2200" s="6">
        <v>0</v>
      </c>
      <c r="N2200" s="6" t="str">
        <f>""</f>
        <v/>
      </c>
      <c r="O2200" s="6">
        <v>25131</v>
      </c>
      <c r="P2200" s="6" t="s">
        <v>9170</v>
      </c>
      <c r="R2200" s="6" t="s">
        <v>9157</v>
      </c>
      <c r="S2200" s="6" t="s">
        <v>9171</v>
      </c>
      <c r="T2200" s="6">
        <v>0</v>
      </c>
      <c r="U2200" s="6">
        <v>0</v>
      </c>
      <c r="V2200" s="6">
        <v>0</v>
      </c>
      <c r="W2200" s="6">
        <v>0</v>
      </c>
      <c r="X2200" s="6" t="s">
        <v>169</v>
      </c>
      <c r="Z2200" s="6" t="s">
        <v>170</v>
      </c>
      <c r="AA2200" s="6" t="s">
        <v>171</v>
      </c>
      <c r="AB2200" s="6">
        <v>0</v>
      </c>
      <c r="AC2200" s="6" t="str">
        <f>""</f>
        <v/>
      </c>
      <c r="AS2200" s="6">
        <v>0</v>
      </c>
      <c r="AT2200" s="6">
        <v>0</v>
      </c>
    </row>
    <row r="2201" spans="2:46">
      <c r="B2201" s="6" t="s">
        <v>110</v>
      </c>
      <c r="D2201" s="6" t="s">
        <v>8189</v>
      </c>
      <c r="F2201" s="6" t="s">
        <v>9172</v>
      </c>
      <c r="G2201" s="6" t="str">
        <f>"JGUSAB123332801RD"</f>
        <v>JGUSAB123332801RD</v>
      </c>
      <c r="H2201" s="6" t="s">
        <v>9173</v>
      </c>
      <c r="I2201" s="6" t="s">
        <v>9174</v>
      </c>
      <c r="J2201" s="6" t="str">
        <f>"JG-USAB123332801RD"</f>
        <v>JG-USAB123332801RD</v>
      </c>
      <c r="K2201" s="6">
        <v>0</v>
      </c>
      <c r="L2201" s="6">
        <v>0</v>
      </c>
      <c r="M2201" s="6">
        <v>0</v>
      </c>
      <c r="N2201" s="6" t="str">
        <f>""</f>
        <v/>
      </c>
      <c r="O2201" s="6">
        <v>25129</v>
      </c>
      <c r="P2201" s="6" t="s">
        <v>9174</v>
      </c>
      <c r="R2201" s="6" t="s">
        <v>9152</v>
      </c>
      <c r="S2201" s="6" t="s">
        <v>9175</v>
      </c>
      <c r="T2201" s="6">
        <v>0</v>
      </c>
      <c r="U2201" s="6">
        <v>0</v>
      </c>
      <c r="V2201" s="6">
        <v>0</v>
      </c>
      <c r="W2201" s="6">
        <v>0</v>
      </c>
      <c r="X2201" s="6" t="s">
        <v>169</v>
      </c>
      <c r="Z2201" s="6" t="s">
        <v>170</v>
      </c>
      <c r="AA2201" s="6" t="s">
        <v>171</v>
      </c>
      <c r="AB2201" s="6">
        <v>0</v>
      </c>
      <c r="AC2201" s="6" t="str">
        <f>""</f>
        <v/>
      </c>
      <c r="AS2201" s="6">
        <v>0</v>
      </c>
      <c r="AT2201" s="6">
        <v>0</v>
      </c>
    </row>
    <row r="2202" spans="2:46">
      <c r="B2202" s="6" t="s">
        <v>110</v>
      </c>
      <c r="D2202" s="6" t="s">
        <v>8189</v>
      </c>
      <c r="F2202" s="6" t="s">
        <v>9176</v>
      </c>
      <c r="G2202" s="6" t="str">
        <f>"JGUSAB123332801GD"</f>
        <v>JGUSAB123332801GD</v>
      </c>
      <c r="H2202" s="6" t="s">
        <v>9177</v>
      </c>
      <c r="I2202" s="6" t="s">
        <v>9178</v>
      </c>
      <c r="J2202" s="6" t="str">
        <f>"JG-USAB123332801GD"</f>
        <v>JG-USAB123332801GD</v>
      </c>
      <c r="K2202" s="6">
        <v>0</v>
      </c>
      <c r="L2202" s="6">
        <v>0</v>
      </c>
      <c r="M2202" s="6">
        <v>0</v>
      </c>
      <c r="N2202" s="6" t="str">
        <f>""</f>
        <v/>
      </c>
      <c r="O2202" s="6">
        <v>25127</v>
      </c>
      <c r="P2202" s="6" t="s">
        <v>9178</v>
      </c>
      <c r="R2202" s="6" t="s">
        <v>9166</v>
      </c>
      <c r="S2202" s="6" t="s">
        <v>9179</v>
      </c>
      <c r="T2202" s="6">
        <v>0</v>
      </c>
      <c r="U2202" s="6">
        <v>0</v>
      </c>
      <c r="V2202" s="6">
        <v>0</v>
      </c>
      <c r="W2202" s="6">
        <v>0</v>
      </c>
      <c r="X2202" s="6" t="s">
        <v>169</v>
      </c>
      <c r="Z2202" s="6" t="s">
        <v>170</v>
      </c>
      <c r="AA2202" s="6" t="s">
        <v>171</v>
      </c>
      <c r="AB2202" s="6">
        <v>0</v>
      </c>
      <c r="AC2202" s="6" t="str">
        <f>""</f>
        <v/>
      </c>
      <c r="AS2202" s="6">
        <v>0</v>
      </c>
      <c r="AT2202" s="6">
        <v>0</v>
      </c>
    </row>
    <row r="2203" spans="2:46">
      <c r="B2203" s="6" t="s">
        <v>110</v>
      </c>
      <c r="D2203" s="6" t="s">
        <v>8189</v>
      </c>
      <c r="F2203" s="6" t="s">
        <v>9180</v>
      </c>
      <c r="G2203" s="6" t="str">
        <f>"JGUSAB123332801SV"</f>
        <v>JGUSAB123332801SV</v>
      </c>
      <c r="H2203" s="6" t="s">
        <v>9181</v>
      </c>
      <c r="I2203" s="6" t="s">
        <v>9182</v>
      </c>
      <c r="J2203" s="6" t="str">
        <f>"JG-USAB123332801SV"</f>
        <v>JG-USAB123332801SV</v>
      </c>
      <c r="K2203" s="6">
        <v>0</v>
      </c>
      <c r="L2203" s="6">
        <v>0</v>
      </c>
      <c r="M2203" s="6">
        <v>0</v>
      </c>
      <c r="N2203" s="6" t="str">
        <f>""</f>
        <v/>
      </c>
      <c r="O2203" s="6">
        <v>25125</v>
      </c>
      <c r="P2203" s="6" t="s">
        <v>9182</v>
      </c>
      <c r="R2203" s="6" t="s">
        <v>9157</v>
      </c>
      <c r="S2203" s="6" t="s">
        <v>9183</v>
      </c>
      <c r="T2203" s="6">
        <v>0</v>
      </c>
      <c r="U2203" s="6">
        <v>0</v>
      </c>
      <c r="V2203" s="6">
        <v>0</v>
      </c>
      <c r="W2203" s="6">
        <v>0</v>
      </c>
      <c r="X2203" s="6" t="s">
        <v>169</v>
      </c>
      <c r="Z2203" s="6" t="s">
        <v>170</v>
      </c>
      <c r="AA2203" s="6" t="s">
        <v>171</v>
      </c>
      <c r="AB2203" s="6">
        <v>0</v>
      </c>
      <c r="AC2203" s="6" t="str">
        <f>""</f>
        <v/>
      </c>
      <c r="AS2203" s="6">
        <v>0</v>
      </c>
      <c r="AT2203" s="6">
        <v>0</v>
      </c>
    </row>
    <row r="2204" spans="2:46">
      <c r="B2204" s="6" t="s">
        <v>110</v>
      </c>
      <c r="D2204" s="6" t="s">
        <v>8189</v>
      </c>
      <c r="F2204" s="6" t="s">
        <v>9184</v>
      </c>
      <c r="G2204" s="6" t="str">
        <f>"JGNSNAKECHOKERBK"</f>
        <v>JGNSNAKECHOKERBK</v>
      </c>
      <c r="H2204" s="6" t="s">
        <v>9185</v>
      </c>
      <c r="I2204" s="6" t="s">
        <v>9186</v>
      </c>
      <c r="J2204" s="6" t="str">
        <f>"JGN-SNAKECHOKERBK"</f>
        <v>JGN-SNAKECHOKERBK</v>
      </c>
      <c r="K2204" s="6">
        <v>0</v>
      </c>
      <c r="L2204" s="6">
        <v>0</v>
      </c>
      <c r="M2204" s="6">
        <v>0</v>
      </c>
      <c r="N2204" s="6" t="str">
        <f>""</f>
        <v/>
      </c>
      <c r="O2204" s="6">
        <v>25123</v>
      </c>
      <c r="P2204" s="6" t="s">
        <v>9186</v>
      </c>
      <c r="R2204" s="6" t="s">
        <v>5066</v>
      </c>
      <c r="S2204" s="6" t="s">
        <v>9187</v>
      </c>
      <c r="T2204" s="6">
        <v>0</v>
      </c>
      <c r="U2204" s="6">
        <v>0</v>
      </c>
      <c r="V2204" s="6">
        <v>0</v>
      </c>
      <c r="W2204" s="6">
        <v>0</v>
      </c>
      <c r="X2204" s="6" t="s">
        <v>169</v>
      </c>
      <c r="Z2204" s="6" t="s">
        <v>170</v>
      </c>
      <c r="AA2204" s="6" t="s">
        <v>171</v>
      </c>
      <c r="AB2204" s="6">
        <v>0</v>
      </c>
      <c r="AC2204" s="6" t="str">
        <f>""</f>
        <v/>
      </c>
      <c r="AS2204" s="6">
        <v>0</v>
      </c>
      <c r="AT2204" s="6">
        <v>0</v>
      </c>
    </row>
    <row r="2205" spans="2:46">
      <c r="B2205" s="6" t="s">
        <v>110</v>
      </c>
      <c r="D2205" s="6" t="s">
        <v>8189</v>
      </c>
      <c r="F2205" s="6" t="s">
        <v>9188</v>
      </c>
      <c r="G2205" s="6" t="str">
        <f>"JGUSAE12253102GD"</f>
        <v>JGUSAE12253102GD</v>
      </c>
      <c r="H2205" s="6" t="s">
        <v>9189</v>
      </c>
      <c r="I2205" s="6" t="s">
        <v>9190</v>
      </c>
      <c r="J2205" s="6" t="str">
        <f>"JG-USAE12253102GD"</f>
        <v>JG-USAE12253102GD</v>
      </c>
      <c r="K2205" s="6">
        <v>0</v>
      </c>
      <c r="L2205" s="6">
        <v>0</v>
      </c>
      <c r="M2205" s="6">
        <v>0</v>
      </c>
      <c r="N2205" s="6" t="str">
        <f>""</f>
        <v/>
      </c>
      <c r="O2205" s="6">
        <v>25121</v>
      </c>
      <c r="P2205" s="6" t="s">
        <v>9190</v>
      </c>
      <c r="R2205" s="6" t="s">
        <v>9166</v>
      </c>
      <c r="S2205" s="6" t="s">
        <v>9191</v>
      </c>
      <c r="T2205" s="6">
        <v>0</v>
      </c>
      <c r="U2205" s="6">
        <v>0</v>
      </c>
      <c r="V2205" s="6">
        <v>0</v>
      </c>
      <c r="W2205" s="6">
        <v>0</v>
      </c>
      <c r="X2205" s="6" t="s">
        <v>169</v>
      </c>
      <c r="Z2205" s="6" t="s">
        <v>170</v>
      </c>
      <c r="AA2205" s="6" t="s">
        <v>171</v>
      </c>
      <c r="AB2205" s="6">
        <v>0</v>
      </c>
      <c r="AC2205" s="6" t="str">
        <f>""</f>
        <v/>
      </c>
      <c r="AS2205" s="6">
        <v>0</v>
      </c>
      <c r="AT2205" s="6">
        <v>0</v>
      </c>
    </row>
    <row r="2206" spans="2:46">
      <c r="B2206" s="6" t="s">
        <v>110</v>
      </c>
      <c r="D2206" s="6" t="s">
        <v>8189</v>
      </c>
      <c r="F2206" s="6" t="s">
        <v>9192</v>
      </c>
      <c r="G2206" s="6" t="str">
        <f>"JGUSAE12253102SV"</f>
        <v>JGUSAE12253102SV</v>
      </c>
      <c r="H2206" s="6" t="s">
        <v>9193</v>
      </c>
      <c r="I2206" s="6" t="s">
        <v>9194</v>
      </c>
      <c r="J2206" s="6" t="str">
        <f>"JG-USAE12253102SV"</f>
        <v>JG-USAE12253102SV</v>
      </c>
      <c r="K2206" s="6">
        <v>0</v>
      </c>
      <c r="L2206" s="6">
        <v>0</v>
      </c>
      <c r="M2206" s="6">
        <v>0</v>
      </c>
      <c r="N2206" s="6" t="str">
        <f>""</f>
        <v/>
      </c>
      <c r="O2206" s="6">
        <v>25119</v>
      </c>
      <c r="P2206" s="6" t="s">
        <v>9194</v>
      </c>
      <c r="R2206" s="6" t="s">
        <v>9157</v>
      </c>
      <c r="S2206" s="6" t="s">
        <v>9195</v>
      </c>
      <c r="T2206" s="6">
        <v>0</v>
      </c>
      <c r="U2206" s="6">
        <v>0</v>
      </c>
      <c r="V2206" s="6">
        <v>0</v>
      </c>
      <c r="W2206" s="6">
        <v>0</v>
      </c>
      <c r="X2206" s="6" t="s">
        <v>169</v>
      </c>
      <c r="Z2206" s="6" t="s">
        <v>170</v>
      </c>
      <c r="AA2206" s="6" t="s">
        <v>171</v>
      </c>
      <c r="AB2206" s="6">
        <v>0</v>
      </c>
      <c r="AC2206" s="6" t="str">
        <f>""</f>
        <v/>
      </c>
      <c r="AS2206" s="6">
        <v>0</v>
      </c>
      <c r="AT2206" s="6">
        <v>0</v>
      </c>
    </row>
    <row r="2207" spans="2:46">
      <c r="B2207" s="6" t="s">
        <v>110</v>
      </c>
      <c r="D2207" s="6" t="s">
        <v>8189</v>
      </c>
      <c r="F2207" s="6" t="s">
        <v>9196</v>
      </c>
      <c r="G2207" s="6" t="str">
        <f>"JGUSAE12203101GD"</f>
        <v>JGUSAE12203101GD</v>
      </c>
      <c r="H2207" s="6" t="s">
        <v>9197</v>
      </c>
      <c r="I2207" s="6" t="s">
        <v>9198</v>
      </c>
      <c r="J2207" s="6" t="str">
        <f>"JG-USAE12203101GD"</f>
        <v>JG-USAE12203101GD</v>
      </c>
      <c r="K2207" s="6">
        <v>0</v>
      </c>
      <c r="L2207" s="6">
        <v>0</v>
      </c>
      <c r="M2207" s="6">
        <v>0</v>
      </c>
      <c r="N2207" s="6" t="str">
        <f>""</f>
        <v/>
      </c>
      <c r="O2207" s="6">
        <v>25117</v>
      </c>
      <c r="P2207" s="6" t="s">
        <v>9198</v>
      </c>
      <c r="R2207" s="6" t="s">
        <v>9166</v>
      </c>
      <c r="S2207" s="6" t="s">
        <v>9199</v>
      </c>
      <c r="T2207" s="6">
        <v>0</v>
      </c>
      <c r="U2207" s="6">
        <v>0</v>
      </c>
      <c r="V2207" s="6">
        <v>0</v>
      </c>
      <c r="W2207" s="6">
        <v>0</v>
      </c>
      <c r="X2207" s="6" t="s">
        <v>169</v>
      </c>
      <c r="Z2207" s="6" t="s">
        <v>170</v>
      </c>
      <c r="AA2207" s="6" t="s">
        <v>171</v>
      </c>
      <c r="AB2207" s="6">
        <v>0</v>
      </c>
      <c r="AC2207" s="6" t="str">
        <f>""</f>
        <v/>
      </c>
      <c r="AS2207" s="6">
        <v>0</v>
      </c>
      <c r="AT2207" s="6">
        <v>0</v>
      </c>
    </row>
    <row r="2208" spans="2:46">
      <c r="B2208" s="6" t="s">
        <v>110</v>
      </c>
      <c r="D2208" s="6" t="s">
        <v>8189</v>
      </c>
      <c r="F2208" s="6" t="s">
        <v>9200</v>
      </c>
      <c r="G2208" s="6" t="str">
        <f>"JGUSAE12203051SV"</f>
        <v>JGUSAE12203051SV</v>
      </c>
      <c r="H2208" s="6" t="s">
        <v>9201</v>
      </c>
      <c r="I2208" s="6" t="s">
        <v>9202</v>
      </c>
      <c r="J2208" s="6" t="str">
        <f>"JG-USAE12203051SV"</f>
        <v>JG-USAE12203051SV</v>
      </c>
      <c r="K2208" s="6">
        <v>0</v>
      </c>
      <c r="L2208" s="6">
        <v>0</v>
      </c>
      <c r="M2208" s="6">
        <v>0</v>
      </c>
      <c r="N2208" s="6" t="str">
        <f>""</f>
        <v/>
      </c>
      <c r="O2208" s="6">
        <v>25115</v>
      </c>
      <c r="P2208" s="6" t="s">
        <v>9202</v>
      </c>
      <c r="R2208" s="6" t="s">
        <v>9157</v>
      </c>
      <c r="S2208" s="6" t="s">
        <v>9203</v>
      </c>
      <c r="T2208" s="6">
        <v>0</v>
      </c>
      <c r="U2208" s="6">
        <v>0</v>
      </c>
      <c r="V2208" s="6">
        <v>0</v>
      </c>
      <c r="W2208" s="6">
        <v>0</v>
      </c>
      <c r="X2208" s="6" t="s">
        <v>169</v>
      </c>
      <c r="Z2208" s="6" t="s">
        <v>170</v>
      </c>
      <c r="AA2208" s="6" t="s">
        <v>171</v>
      </c>
      <c r="AB2208" s="6">
        <v>0</v>
      </c>
      <c r="AC2208" s="6" t="str">
        <f>""</f>
        <v/>
      </c>
      <c r="AS2208" s="6">
        <v>0</v>
      </c>
      <c r="AT2208" s="6">
        <v>0</v>
      </c>
    </row>
    <row r="2209" spans="2:46">
      <c r="B2209" s="6" t="s">
        <v>110</v>
      </c>
      <c r="D2209" s="6" t="s">
        <v>8189</v>
      </c>
      <c r="F2209" s="6" t="s">
        <v>9204</v>
      </c>
      <c r="G2209" s="6" t="str">
        <f>"JGUSAE12303233RG"</f>
        <v>JGUSAE12303233RG</v>
      </c>
      <c r="H2209" s="6" t="s">
        <v>9205</v>
      </c>
      <c r="I2209" s="6" t="s">
        <v>9206</v>
      </c>
      <c r="J2209" s="6" t="str">
        <f>"JG-USAE12303233RG"</f>
        <v>JG-USAE12303233RG</v>
      </c>
      <c r="K2209" s="6">
        <v>0</v>
      </c>
      <c r="L2209" s="6">
        <v>0</v>
      </c>
      <c r="M2209" s="6">
        <v>0</v>
      </c>
      <c r="N2209" s="6" t="str">
        <f>""</f>
        <v/>
      </c>
      <c r="O2209" s="6">
        <v>25113</v>
      </c>
      <c r="P2209" s="6" t="s">
        <v>9206</v>
      </c>
      <c r="R2209" s="6" t="s">
        <v>9152</v>
      </c>
      <c r="S2209" s="6" t="s">
        <v>9207</v>
      </c>
      <c r="T2209" s="6">
        <v>0</v>
      </c>
      <c r="U2209" s="6">
        <v>0</v>
      </c>
      <c r="V2209" s="6">
        <v>0</v>
      </c>
      <c r="W2209" s="6">
        <v>0</v>
      </c>
      <c r="X2209" s="6" t="s">
        <v>169</v>
      </c>
      <c r="Z2209" s="6" t="s">
        <v>170</v>
      </c>
      <c r="AA2209" s="6" t="s">
        <v>171</v>
      </c>
      <c r="AB2209" s="6">
        <v>0</v>
      </c>
      <c r="AC2209" s="6" t="str">
        <f>""</f>
        <v/>
      </c>
      <c r="AS2209" s="6">
        <v>0</v>
      </c>
      <c r="AT2209" s="6">
        <v>0</v>
      </c>
    </row>
    <row r="2210" spans="2:46">
      <c r="B2210" s="6" t="s">
        <v>110</v>
      </c>
      <c r="D2210" s="6" t="s">
        <v>8189</v>
      </c>
      <c r="F2210" s="6" t="s">
        <v>9208</v>
      </c>
      <c r="G2210" s="6" t="str">
        <f>"JGUSAE12303232GD"</f>
        <v>JGUSAE12303232GD</v>
      </c>
      <c r="H2210" s="6" t="s">
        <v>9209</v>
      </c>
      <c r="I2210" s="6" t="s">
        <v>9210</v>
      </c>
      <c r="J2210" s="6" t="str">
        <f>"JG-USAE12303232GD"</f>
        <v>JG-USAE12303232GD</v>
      </c>
      <c r="K2210" s="6">
        <v>0</v>
      </c>
      <c r="L2210" s="6">
        <v>0</v>
      </c>
      <c r="M2210" s="6">
        <v>0</v>
      </c>
      <c r="N2210" s="6" t="str">
        <f>""</f>
        <v/>
      </c>
      <c r="O2210" s="6">
        <v>25111</v>
      </c>
      <c r="P2210" s="6" t="s">
        <v>9210</v>
      </c>
      <c r="R2210" s="6" t="s">
        <v>9166</v>
      </c>
      <c r="S2210" s="6" t="s">
        <v>9211</v>
      </c>
      <c r="T2210" s="6">
        <v>0</v>
      </c>
      <c r="U2210" s="6">
        <v>0</v>
      </c>
      <c r="V2210" s="6">
        <v>0</v>
      </c>
      <c r="W2210" s="6">
        <v>0</v>
      </c>
      <c r="X2210" s="6" t="s">
        <v>169</v>
      </c>
      <c r="Z2210" s="6" t="s">
        <v>170</v>
      </c>
      <c r="AA2210" s="6" t="s">
        <v>171</v>
      </c>
      <c r="AB2210" s="6">
        <v>0</v>
      </c>
      <c r="AC2210" s="6" t="str">
        <f>""</f>
        <v/>
      </c>
      <c r="AS2210" s="6">
        <v>0</v>
      </c>
      <c r="AT2210" s="6">
        <v>0</v>
      </c>
    </row>
    <row r="2211" spans="2:46">
      <c r="B2211" s="6" t="s">
        <v>110</v>
      </c>
      <c r="D2211" s="6" t="s">
        <v>8189</v>
      </c>
      <c r="F2211" s="6" t="s">
        <v>9212</v>
      </c>
      <c r="G2211" s="6" t="str">
        <f>"JGUSAE12303231SV"</f>
        <v>JGUSAE12303231SV</v>
      </c>
      <c r="H2211" s="6" t="s">
        <v>9213</v>
      </c>
      <c r="I2211" s="6" t="s">
        <v>9214</v>
      </c>
      <c r="J2211" s="6" t="str">
        <f>"JG-USAE12303231SV"</f>
        <v>JG-USAE12303231SV</v>
      </c>
      <c r="K2211" s="6">
        <v>0</v>
      </c>
      <c r="L2211" s="6">
        <v>0</v>
      </c>
      <c r="M2211" s="6">
        <v>0</v>
      </c>
      <c r="N2211" s="6" t="str">
        <f>""</f>
        <v/>
      </c>
      <c r="O2211" s="6">
        <v>25109</v>
      </c>
      <c r="P2211" s="6" t="s">
        <v>9214</v>
      </c>
      <c r="R2211" s="6" t="s">
        <v>9157</v>
      </c>
      <c r="S2211" s="6" t="s">
        <v>9215</v>
      </c>
      <c r="T2211" s="6">
        <v>0</v>
      </c>
      <c r="U2211" s="6">
        <v>0</v>
      </c>
      <c r="V2211" s="6">
        <v>0</v>
      </c>
      <c r="W2211" s="6">
        <v>0</v>
      </c>
      <c r="X2211" s="6" t="s">
        <v>169</v>
      </c>
      <c r="Z2211" s="6" t="s">
        <v>170</v>
      </c>
      <c r="AA2211" s="6" t="s">
        <v>171</v>
      </c>
      <c r="AB2211" s="6">
        <v>0</v>
      </c>
      <c r="AC2211" s="6" t="str">
        <f>""</f>
        <v/>
      </c>
      <c r="AS2211" s="6">
        <v>0</v>
      </c>
      <c r="AT2211" s="6">
        <v>0</v>
      </c>
    </row>
    <row r="2212" spans="2:46">
      <c r="B2212" s="6" t="s">
        <v>110</v>
      </c>
      <c r="D2212" s="6" t="s">
        <v>8189</v>
      </c>
      <c r="F2212" s="6" t="s">
        <v>9216</v>
      </c>
      <c r="G2212" s="6" t="str">
        <f>"JGUSAE12203233RG"</f>
        <v>JGUSAE12203233RG</v>
      </c>
      <c r="H2212" s="6" t="s">
        <v>9217</v>
      </c>
      <c r="I2212" s="6" t="s">
        <v>9218</v>
      </c>
      <c r="J2212" s="6" t="str">
        <f>"JG-USAE12203233RG"</f>
        <v>JG-USAE12203233RG</v>
      </c>
      <c r="K2212" s="6">
        <v>0</v>
      </c>
      <c r="L2212" s="6">
        <v>0</v>
      </c>
      <c r="M2212" s="6">
        <v>0</v>
      </c>
      <c r="N2212" s="6" t="str">
        <f>""</f>
        <v/>
      </c>
      <c r="O2212" s="6">
        <v>25107</v>
      </c>
      <c r="P2212" s="6" t="s">
        <v>9218</v>
      </c>
      <c r="R2212" s="6" t="s">
        <v>9152</v>
      </c>
      <c r="S2212" s="6" t="s">
        <v>9219</v>
      </c>
      <c r="T2212" s="6">
        <v>0</v>
      </c>
      <c r="U2212" s="6">
        <v>0</v>
      </c>
      <c r="V2212" s="6">
        <v>0</v>
      </c>
      <c r="W2212" s="6">
        <v>0</v>
      </c>
      <c r="X2212" s="6" t="s">
        <v>169</v>
      </c>
      <c r="Z2212" s="6" t="s">
        <v>170</v>
      </c>
      <c r="AA2212" s="6" t="s">
        <v>171</v>
      </c>
      <c r="AB2212" s="6">
        <v>0</v>
      </c>
      <c r="AC2212" s="6" t="str">
        <f>""</f>
        <v/>
      </c>
      <c r="AS2212" s="6">
        <v>0</v>
      </c>
      <c r="AT2212" s="6">
        <v>0</v>
      </c>
    </row>
    <row r="2213" spans="2:46">
      <c r="B2213" s="6" t="s">
        <v>110</v>
      </c>
      <c r="D2213" s="6" t="s">
        <v>8189</v>
      </c>
      <c r="F2213" s="6" t="s">
        <v>9220</v>
      </c>
      <c r="G2213" s="6" t="str">
        <f>"JGUSAE12203232GD"</f>
        <v>JGUSAE12203232GD</v>
      </c>
      <c r="H2213" s="6" t="s">
        <v>9221</v>
      </c>
      <c r="I2213" s="6" t="s">
        <v>9222</v>
      </c>
      <c r="J2213" s="6" t="str">
        <f>"JG-USAE12203232GD"</f>
        <v>JG-USAE12203232GD</v>
      </c>
      <c r="K2213" s="6">
        <v>0</v>
      </c>
      <c r="L2213" s="6">
        <v>0</v>
      </c>
      <c r="M2213" s="6">
        <v>0</v>
      </c>
      <c r="N2213" s="6" t="str">
        <f>""</f>
        <v/>
      </c>
      <c r="O2213" s="6">
        <v>25105</v>
      </c>
      <c r="P2213" s="6" t="s">
        <v>9222</v>
      </c>
      <c r="R2213" s="6" t="s">
        <v>9166</v>
      </c>
      <c r="S2213" s="6" t="s">
        <v>9223</v>
      </c>
      <c r="T2213" s="6">
        <v>0</v>
      </c>
      <c r="U2213" s="6">
        <v>0</v>
      </c>
      <c r="V2213" s="6">
        <v>0</v>
      </c>
      <c r="W2213" s="6">
        <v>0</v>
      </c>
      <c r="X2213" s="6" t="s">
        <v>169</v>
      </c>
      <c r="Z2213" s="6" t="s">
        <v>170</v>
      </c>
      <c r="AA2213" s="6" t="s">
        <v>171</v>
      </c>
      <c r="AB2213" s="6">
        <v>0</v>
      </c>
      <c r="AC2213" s="6" t="str">
        <f>""</f>
        <v/>
      </c>
      <c r="AS2213" s="6">
        <v>0</v>
      </c>
      <c r="AT2213" s="6">
        <v>0</v>
      </c>
    </row>
    <row r="2214" spans="2:46">
      <c r="B2214" s="6" t="s">
        <v>110</v>
      </c>
      <c r="D2214" s="6" t="s">
        <v>8189</v>
      </c>
      <c r="F2214" s="6" t="s">
        <v>9224</v>
      </c>
      <c r="G2214" s="6" t="str">
        <f>"JGUSAE12203231SV"</f>
        <v>JGUSAE12203231SV</v>
      </c>
      <c r="H2214" s="6" t="s">
        <v>9225</v>
      </c>
      <c r="I2214" s="6" t="s">
        <v>9226</v>
      </c>
      <c r="J2214" s="6" t="str">
        <f>"JG-USAE12203231SV"</f>
        <v>JG-USAE12203231SV</v>
      </c>
      <c r="K2214" s="6">
        <v>0</v>
      </c>
      <c r="L2214" s="6">
        <v>0</v>
      </c>
      <c r="M2214" s="6">
        <v>0</v>
      </c>
      <c r="N2214" s="6" t="str">
        <f>""</f>
        <v/>
      </c>
      <c r="O2214" s="6">
        <v>25103</v>
      </c>
      <c r="P2214" s="6" t="s">
        <v>9226</v>
      </c>
      <c r="R2214" s="6" t="s">
        <v>9157</v>
      </c>
      <c r="S2214" s="6" t="s">
        <v>9227</v>
      </c>
      <c r="T2214" s="6">
        <v>0</v>
      </c>
      <c r="U2214" s="6">
        <v>0</v>
      </c>
      <c r="V2214" s="6">
        <v>0</v>
      </c>
      <c r="W2214" s="6">
        <v>0</v>
      </c>
      <c r="X2214" s="6" t="s">
        <v>169</v>
      </c>
      <c r="Z2214" s="6" t="s">
        <v>170</v>
      </c>
      <c r="AA2214" s="6" t="s">
        <v>171</v>
      </c>
      <c r="AB2214" s="6">
        <v>0</v>
      </c>
      <c r="AC2214" s="6" t="str">
        <f>""</f>
        <v/>
      </c>
      <c r="AS2214" s="6">
        <v>0</v>
      </c>
      <c r="AT2214" s="6">
        <v>0</v>
      </c>
    </row>
    <row r="2215" spans="2:46">
      <c r="B2215" s="6" t="s">
        <v>110</v>
      </c>
      <c r="D2215" s="6" t="s">
        <v>8189</v>
      </c>
      <c r="F2215" s="6" t="s">
        <v>9228</v>
      </c>
      <c r="G2215" s="6" t="str">
        <f>"JGUSAE12253025RG"</f>
        <v>JGUSAE12253025RG</v>
      </c>
      <c r="H2215" s="6" t="s">
        <v>9229</v>
      </c>
      <c r="I2215" s="6" t="s">
        <v>9230</v>
      </c>
      <c r="J2215" s="6" t="str">
        <f>"JG-USAE12253025RG"</f>
        <v>JG-USAE12253025RG</v>
      </c>
      <c r="K2215" s="6">
        <v>0</v>
      </c>
      <c r="L2215" s="6">
        <v>0</v>
      </c>
      <c r="M2215" s="6">
        <v>0</v>
      </c>
      <c r="N2215" s="6" t="str">
        <f>""</f>
        <v/>
      </c>
      <c r="O2215" s="6">
        <v>25101</v>
      </c>
      <c r="P2215" s="6" t="s">
        <v>9230</v>
      </c>
      <c r="R2215" s="6" t="s">
        <v>9231</v>
      </c>
      <c r="S2215" s="6" t="s">
        <v>9232</v>
      </c>
      <c r="T2215" s="6">
        <v>0</v>
      </c>
      <c r="U2215" s="6">
        <v>0</v>
      </c>
      <c r="V2215" s="6">
        <v>0</v>
      </c>
      <c r="W2215" s="6">
        <v>0</v>
      </c>
      <c r="X2215" s="6" t="s">
        <v>169</v>
      </c>
      <c r="Z2215" s="6" t="s">
        <v>170</v>
      </c>
      <c r="AA2215" s="6" t="s">
        <v>171</v>
      </c>
      <c r="AB2215" s="6">
        <v>0</v>
      </c>
      <c r="AC2215" s="6" t="str">
        <f>""</f>
        <v/>
      </c>
      <c r="AS2215" s="6">
        <v>0</v>
      </c>
      <c r="AT2215" s="6">
        <v>0</v>
      </c>
    </row>
    <row r="2216" spans="2:46">
      <c r="B2216" s="6" t="s">
        <v>110</v>
      </c>
      <c r="D2216" s="6" t="s">
        <v>8189</v>
      </c>
      <c r="F2216" s="6" t="s">
        <v>9233</v>
      </c>
      <c r="G2216" s="6" t="str">
        <f>"JGUSAE12253025SV"</f>
        <v>JGUSAE12253025SV</v>
      </c>
      <c r="H2216" s="6" t="s">
        <v>9234</v>
      </c>
      <c r="I2216" s="6" t="s">
        <v>9235</v>
      </c>
      <c r="J2216" s="6" t="str">
        <f>"JG-USAE12253025SV"</f>
        <v>JG-USAE12253025SV</v>
      </c>
      <c r="K2216" s="6">
        <v>0</v>
      </c>
      <c r="L2216" s="6">
        <v>0</v>
      </c>
      <c r="M2216" s="6">
        <v>0</v>
      </c>
      <c r="N2216" s="6" t="str">
        <f>""</f>
        <v/>
      </c>
      <c r="O2216" s="6">
        <v>25099</v>
      </c>
      <c r="P2216" s="6" t="s">
        <v>9235</v>
      </c>
      <c r="R2216" s="6" t="s">
        <v>9236</v>
      </c>
      <c r="S2216" s="6" t="s">
        <v>9237</v>
      </c>
      <c r="T2216" s="6">
        <v>0</v>
      </c>
      <c r="U2216" s="6">
        <v>0</v>
      </c>
      <c r="V2216" s="6">
        <v>0</v>
      </c>
      <c r="W2216" s="6">
        <v>0</v>
      </c>
      <c r="X2216" s="6" t="s">
        <v>169</v>
      </c>
      <c r="Z2216" s="6" t="s">
        <v>170</v>
      </c>
      <c r="AA2216" s="6" t="s">
        <v>171</v>
      </c>
      <c r="AB2216" s="6">
        <v>0</v>
      </c>
      <c r="AC2216" s="6" t="str">
        <f>""</f>
        <v/>
      </c>
      <c r="AS2216" s="6">
        <v>0</v>
      </c>
      <c r="AT2216" s="6">
        <v>0</v>
      </c>
    </row>
    <row r="2217" spans="2:46">
      <c r="B2217" s="6" t="s">
        <v>110</v>
      </c>
      <c r="D2217" s="6" t="s">
        <v>8189</v>
      </c>
      <c r="F2217" s="6" t="s">
        <v>9238</v>
      </c>
      <c r="G2217" s="6" t="str">
        <f>"JGUSAE12203024RG"</f>
        <v>JGUSAE12203024RG</v>
      </c>
      <c r="H2217" s="6" t="s">
        <v>9239</v>
      </c>
      <c r="I2217" s="6" t="s">
        <v>9240</v>
      </c>
      <c r="J2217" s="6" t="str">
        <f>"JG-USAE12203024RG"</f>
        <v>JG-USAE12203024RG</v>
      </c>
      <c r="K2217" s="6">
        <v>0</v>
      </c>
      <c r="L2217" s="6">
        <v>0</v>
      </c>
      <c r="M2217" s="6">
        <v>0</v>
      </c>
      <c r="N2217" s="6" t="str">
        <f>""</f>
        <v/>
      </c>
      <c r="O2217" s="6">
        <v>25097</v>
      </c>
      <c r="P2217" s="6" t="s">
        <v>9240</v>
      </c>
      <c r="R2217" s="6" t="s">
        <v>9241</v>
      </c>
      <c r="S2217" s="6" t="s">
        <v>9242</v>
      </c>
      <c r="T2217" s="6">
        <v>0</v>
      </c>
      <c r="U2217" s="6">
        <v>0</v>
      </c>
      <c r="V2217" s="6">
        <v>0</v>
      </c>
      <c r="W2217" s="6">
        <v>0</v>
      </c>
      <c r="X2217" s="6" t="s">
        <v>169</v>
      </c>
      <c r="Z2217" s="6" t="s">
        <v>170</v>
      </c>
      <c r="AA2217" s="6" t="s">
        <v>171</v>
      </c>
      <c r="AB2217" s="6">
        <v>0</v>
      </c>
      <c r="AC2217" s="6" t="str">
        <f>""</f>
        <v/>
      </c>
      <c r="AS2217" s="6">
        <v>0</v>
      </c>
      <c r="AT2217" s="6">
        <v>0</v>
      </c>
    </row>
    <row r="2218" spans="2:46">
      <c r="B2218" s="6" t="s">
        <v>110</v>
      </c>
      <c r="D2218" s="6" t="s">
        <v>8189</v>
      </c>
      <c r="F2218" s="6" t="s">
        <v>9243</v>
      </c>
      <c r="G2218" s="6" t="str">
        <f>"JGUSAE12203024SV"</f>
        <v>JGUSAE12203024SV</v>
      </c>
      <c r="H2218" s="6" t="s">
        <v>9244</v>
      </c>
      <c r="I2218" s="6" t="s">
        <v>9245</v>
      </c>
      <c r="J2218" s="6" t="str">
        <f>"JG-USAE12203024SV"</f>
        <v>JG-USAE12203024SV</v>
      </c>
      <c r="K2218" s="6">
        <v>0</v>
      </c>
      <c r="L2218" s="6">
        <v>0</v>
      </c>
      <c r="M2218" s="6">
        <v>0</v>
      </c>
      <c r="N2218" s="6" t="str">
        <f>""</f>
        <v/>
      </c>
      <c r="O2218" s="6">
        <v>25095</v>
      </c>
      <c r="P2218" s="6" t="s">
        <v>9245</v>
      </c>
      <c r="R2218" s="6" t="s">
        <v>9157</v>
      </c>
      <c r="S2218" s="6" t="s">
        <v>9246</v>
      </c>
      <c r="T2218" s="6">
        <v>0</v>
      </c>
      <c r="U2218" s="6">
        <v>0</v>
      </c>
      <c r="V2218" s="6">
        <v>0</v>
      </c>
      <c r="W2218" s="6">
        <v>0</v>
      </c>
      <c r="X2218" s="6" t="s">
        <v>169</v>
      </c>
      <c r="Z2218" s="6" t="s">
        <v>170</v>
      </c>
      <c r="AA2218" s="6" t="s">
        <v>171</v>
      </c>
      <c r="AB2218" s="6">
        <v>0</v>
      </c>
      <c r="AC2218" s="6" t="str">
        <f>""</f>
        <v/>
      </c>
      <c r="AS2218" s="6">
        <v>0</v>
      </c>
      <c r="AT2218" s="6">
        <v>0</v>
      </c>
    </row>
    <row r="2219" spans="2:46">
      <c r="B2219" s="6" t="s">
        <v>110</v>
      </c>
      <c r="D2219" s="6" t="s">
        <v>8189</v>
      </c>
      <c r="F2219" s="6" t="s">
        <v>9247</v>
      </c>
      <c r="G2219" s="6" t="str">
        <f>"JGUSAE12203023GD"</f>
        <v>JGUSAE12203023GD</v>
      </c>
      <c r="H2219" s="6" t="s">
        <v>9248</v>
      </c>
      <c r="I2219" s="6" t="s">
        <v>9249</v>
      </c>
      <c r="J2219" s="6" t="str">
        <f>"JG-USAE12203023GD"</f>
        <v>JG-USAE12203023GD</v>
      </c>
      <c r="K2219" s="6">
        <v>0</v>
      </c>
      <c r="L2219" s="6">
        <v>0</v>
      </c>
      <c r="M2219" s="6">
        <v>0</v>
      </c>
      <c r="N2219" s="6" t="str">
        <f>""</f>
        <v/>
      </c>
      <c r="O2219" s="6">
        <v>25093</v>
      </c>
      <c r="P2219" s="6" t="s">
        <v>9249</v>
      </c>
      <c r="R2219" s="6" t="s">
        <v>9166</v>
      </c>
      <c r="S2219" s="6" t="s">
        <v>9250</v>
      </c>
      <c r="T2219" s="6">
        <v>0</v>
      </c>
      <c r="U2219" s="6">
        <v>0</v>
      </c>
      <c r="V2219" s="6">
        <v>0</v>
      </c>
      <c r="W2219" s="6">
        <v>0</v>
      </c>
      <c r="X2219" s="6" t="s">
        <v>169</v>
      </c>
      <c r="Z2219" s="6" t="s">
        <v>170</v>
      </c>
      <c r="AA2219" s="6" t="s">
        <v>171</v>
      </c>
      <c r="AB2219" s="6">
        <v>0</v>
      </c>
      <c r="AC2219" s="6" t="str">
        <f>""</f>
        <v/>
      </c>
      <c r="AS2219" s="6">
        <v>0</v>
      </c>
      <c r="AT2219" s="6">
        <v>0</v>
      </c>
    </row>
    <row r="2220" spans="2:46">
      <c r="B2220" s="6" t="s">
        <v>110</v>
      </c>
      <c r="D2220" s="6" t="s">
        <v>8189</v>
      </c>
      <c r="F2220" s="6" t="s">
        <v>9251</v>
      </c>
      <c r="G2220" s="6" t="str">
        <f>"JGUSAE12203023RG"</f>
        <v>JGUSAE12203023RG</v>
      </c>
      <c r="H2220" s="6" t="s">
        <v>9252</v>
      </c>
      <c r="I2220" s="6" t="s">
        <v>9253</v>
      </c>
      <c r="J2220" s="6" t="str">
        <f>"JG-USAE12203023RG"</f>
        <v>JG-USAE12203023RG</v>
      </c>
      <c r="K2220" s="6">
        <v>0</v>
      </c>
      <c r="L2220" s="6">
        <v>0</v>
      </c>
      <c r="M2220" s="6">
        <v>0</v>
      </c>
      <c r="N2220" s="6" t="str">
        <f>""</f>
        <v/>
      </c>
      <c r="O2220" s="6">
        <v>25091</v>
      </c>
      <c r="P2220" s="6" t="s">
        <v>9253</v>
      </c>
      <c r="R2220" s="6" t="s">
        <v>9241</v>
      </c>
      <c r="S2220" s="6" t="s">
        <v>9254</v>
      </c>
      <c r="T2220" s="6">
        <v>0</v>
      </c>
      <c r="U2220" s="6">
        <v>0</v>
      </c>
      <c r="V2220" s="6">
        <v>0</v>
      </c>
      <c r="W2220" s="6">
        <v>0</v>
      </c>
      <c r="X2220" s="6" t="s">
        <v>169</v>
      </c>
      <c r="Z2220" s="6" t="s">
        <v>170</v>
      </c>
      <c r="AA2220" s="6" t="s">
        <v>171</v>
      </c>
      <c r="AB2220" s="6">
        <v>0</v>
      </c>
      <c r="AC2220" s="6" t="str">
        <f>""</f>
        <v/>
      </c>
      <c r="AS2220" s="6">
        <v>0</v>
      </c>
      <c r="AT2220" s="6">
        <v>0</v>
      </c>
    </row>
    <row r="2221" spans="2:46">
      <c r="B2221" s="6" t="s">
        <v>110</v>
      </c>
      <c r="D2221" s="6" t="s">
        <v>8189</v>
      </c>
      <c r="F2221" s="6" t="s">
        <v>9255</v>
      </c>
      <c r="G2221" s="6" t="str">
        <f>"JGUSAE12203023SV"</f>
        <v>JGUSAE12203023SV</v>
      </c>
      <c r="H2221" s="6" t="s">
        <v>9256</v>
      </c>
      <c r="I2221" s="6" t="s">
        <v>9257</v>
      </c>
      <c r="J2221" s="6" t="str">
        <f>"JG-USAE12203023SV"</f>
        <v>JG-USAE12203023SV</v>
      </c>
      <c r="K2221" s="6">
        <v>0</v>
      </c>
      <c r="L2221" s="6">
        <v>0</v>
      </c>
      <c r="M2221" s="6">
        <v>0</v>
      </c>
      <c r="N2221" s="6" t="str">
        <f>""</f>
        <v/>
      </c>
      <c r="O2221" s="6">
        <v>25089</v>
      </c>
      <c r="P2221" s="6" t="s">
        <v>9257</v>
      </c>
      <c r="R2221" s="6" t="s">
        <v>9157</v>
      </c>
      <c r="S2221" s="6" t="s">
        <v>9258</v>
      </c>
      <c r="T2221" s="6">
        <v>0</v>
      </c>
      <c r="U2221" s="6">
        <v>0</v>
      </c>
      <c r="V2221" s="6">
        <v>0</v>
      </c>
      <c r="W2221" s="6">
        <v>0</v>
      </c>
      <c r="X2221" s="6" t="s">
        <v>169</v>
      </c>
      <c r="Z2221" s="6" t="s">
        <v>170</v>
      </c>
      <c r="AA2221" s="6" t="s">
        <v>171</v>
      </c>
      <c r="AB2221" s="6">
        <v>0</v>
      </c>
      <c r="AC2221" s="6" t="str">
        <f>""</f>
        <v/>
      </c>
      <c r="AS2221" s="6">
        <v>0</v>
      </c>
      <c r="AT2221" s="6">
        <v>0</v>
      </c>
    </row>
    <row r="2222" spans="2:46">
      <c r="B2222" s="6" t="s">
        <v>110</v>
      </c>
      <c r="D2222" s="6" t="s">
        <v>8189</v>
      </c>
      <c r="F2222" s="6" t="s">
        <v>9259</v>
      </c>
      <c r="G2222" s="6" t="str">
        <f>"JGUSAE12203022GD"</f>
        <v>JGUSAE12203022GD</v>
      </c>
      <c r="H2222" s="6" t="s">
        <v>9260</v>
      </c>
      <c r="I2222" s="6" t="s">
        <v>9261</v>
      </c>
      <c r="J2222" s="6" t="str">
        <f>"JG-USAE12203022GD"</f>
        <v>JG-USAE12203022GD</v>
      </c>
      <c r="K2222" s="6">
        <v>0</v>
      </c>
      <c r="L2222" s="6">
        <v>0</v>
      </c>
      <c r="M2222" s="6">
        <v>0</v>
      </c>
      <c r="N2222" s="6" t="str">
        <f>""</f>
        <v/>
      </c>
      <c r="O2222" s="6">
        <v>25087</v>
      </c>
      <c r="P2222" s="6" t="s">
        <v>9261</v>
      </c>
      <c r="R2222" s="6" t="s">
        <v>9166</v>
      </c>
      <c r="S2222" s="6" t="s">
        <v>9262</v>
      </c>
      <c r="T2222" s="6">
        <v>0</v>
      </c>
      <c r="U2222" s="6">
        <v>0</v>
      </c>
      <c r="V2222" s="6">
        <v>0</v>
      </c>
      <c r="W2222" s="6">
        <v>0</v>
      </c>
      <c r="X2222" s="6" t="s">
        <v>169</v>
      </c>
      <c r="Z2222" s="6" t="s">
        <v>170</v>
      </c>
      <c r="AA2222" s="6" t="s">
        <v>171</v>
      </c>
      <c r="AB2222" s="6">
        <v>0</v>
      </c>
      <c r="AC2222" s="6" t="str">
        <f>""</f>
        <v/>
      </c>
      <c r="AS2222" s="6">
        <v>0</v>
      </c>
      <c r="AT2222" s="6">
        <v>0</v>
      </c>
    </row>
    <row r="2223" spans="2:46">
      <c r="B2223" s="6" t="s">
        <v>110</v>
      </c>
      <c r="D2223" s="6" t="s">
        <v>8189</v>
      </c>
      <c r="F2223" s="6" t="s">
        <v>9263</v>
      </c>
      <c r="G2223" s="6" t="str">
        <f>"JGUSAE12203022RG"</f>
        <v>JGUSAE12203022RG</v>
      </c>
      <c r="H2223" s="6" t="s">
        <v>9264</v>
      </c>
      <c r="I2223" s="6" t="s">
        <v>9265</v>
      </c>
      <c r="J2223" s="6" t="str">
        <f>"JG-USAE12203022RG"</f>
        <v>JG-USAE12203022RG</v>
      </c>
      <c r="K2223" s="6">
        <v>0</v>
      </c>
      <c r="L2223" s="6">
        <v>0</v>
      </c>
      <c r="M2223" s="6">
        <v>0</v>
      </c>
      <c r="N2223" s="6" t="str">
        <f>""</f>
        <v/>
      </c>
      <c r="O2223" s="6">
        <v>25085</v>
      </c>
      <c r="P2223" s="6" t="s">
        <v>9265</v>
      </c>
      <c r="R2223" s="6" t="s">
        <v>9241</v>
      </c>
      <c r="S2223" s="6" t="s">
        <v>9266</v>
      </c>
      <c r="T2223" s="6">
        <v>0</v>
      </c>
      <c r="U2223" s="6">
        <v>0</v>
      </c>
      <c r="V2223" s="6">
        <v>0</v>
      </c>
      <c r="W2223" s="6">
        <v>0</v>
      </c>
      <c r="X2223" s="6" t="s">
        <v>169</v>
      </c>
      <c r="Z2223" s="6" t="s">
        <v>170</v>
      </c>
      <c r="AA2223" s="6" t="s">
        <v>171</v>
      </c>
      <c r="AB2223" s="6">
        <v>0</v>
      </c>
      <c r="AC2223" s="6" t="str">
        <f>""</f>
        <v/>
      </c>
      <c r="AS2223" s="6">
        <v>0</v>
      </c>
      <c r="AT2223" s="6">
        <v>0</v>
      </c>
    </row>
    <row r="2224" spans="2:46">
      <c r="B2224" s="6" t="s">
        <v>110</v>
      </c>
      <c r="D2224" s="6" t="s">
        <v>8189</v>
      </c>
      <c r="F2224" s="6" t="s">
        <v>9267</v>
      </c>
      <c r="G2224" s="6" t="str">
        <f>"JGUSAE12203022SV"</f>
        <v>JGUSAE12203022SV</v>
      </c>
      <c r="H2224" s="6" t="s">
        <v>9268</v>
      </c>
      <c r="I2224" s="6" t="s">
        <v>9269</v>
      </c>
      <c r="J2224" s="6" t="str">
        <f>"JG-USAE12203022SV"</f>
        <v>JG-USAE12203022SV</v>
      </c>
      <c r="K2224" s="6">
        <v>0</v>
      </c>
      <c r="L2224" s="6">
        <v>0</v>
      </c>
      <c r="M2224" s="6">
        <v>0</v>
      </c>
      <c r="N2224" s="6" t="str">
        <f>""</f>
        <v/>
      </c>
      <c r="O2224" s="6">
        <v>25083</v>
      </c>
      <c r="P2224" s="6" t="s">
        <v>9269</v>
      </c>
      <c r="R2224" s="6" t="s">
        <v>9157</v>
      </c>
      <c r="S2224" s="6" t="s">
        <v>9270</v>
      </c>
      <c r="T2224" s="6">
        <v>0</v>
      </c>
      <c r="U2224" s="6">
        <v>0</v>
      </c>
      <c r="V2224" s="6">
        <v>0</v>
      </c>
      <c r="W2224" s="6">
        <v>0</v>
      </c>
      <c r="X2224" s="6" t="s">
        <v>169</v>
      </c>
      <c r="Z2224" s="6" t="s">
        <v>170</v>
      </c>
      <c r="AA2224" s="6" t="s">
        <v>171</v>
      </c>
      <c r="AB2224" s="6">
        <v>0</v>
      </c>
      <c r="AC2224" s="6" t="str">
        <f>""</f>
        <v/>
      </c>
      <c r="AS2224" s="6">
        <v>0</v>
      </c>
      <c r="AT2224" s="6">
        <v>0</v>
      </c>
    </row>
    <row r="2225" spans="2:46">
      <c r="B2225" s="6" t="s">
        <v>110</v>
      </c>
      <c r="D2225" s="6" t="s">
        <v>8189</v>
      </c>
      <c r="F2225" s="6" t="s">
        <v>9271</v>
      </c>
      <c r="G2225" s="6" t="str">
        <f>"JGUSAE12153021PK"</f>
        <v>JGUSAE12153021PK</v>
      </c>
      <c r="H2225" s="6" t="s">
        <v>9272</v>
      </c>
      <c r="I2225" s="6" t="s">
        <v>9273</v>
      </c>
      <c r="J2225" s="6" t="str">
        <f>"JG-USAE12153021PK"</f>
        <v>JG-USAE12153021PK</v>
      </c>
      <c r="K2225" s="6">
        <v>0</v>
      </c>
      <c r="L2225" s="6">
        <v>0</v>
      </c>
      <c r="M2225" s="6">
        <v>0</v>
      </c>
      <c r="N2225" s="6" t="str">
        <f>""</f>
        <v/>
      </c>
      <c r="O2225" s="6">
        <v>25081</v>
      </c>
      <c r="P2225" s="6" t="s">
        <v>9273</v>
      </c>
      <c r="R2225" s="6" t="s">
        <v>9274</v>
      </c>
      <c r="S2225" s="6" t="s">
        <v>9275</v>
      </c>
      <c r="T2225" s="6">
        <v>0</v>
      </c>
      <c r="U2225" s="6">
        <v>0</v>
      </c>
      <c r="V2225" s="6">
        <v>0</v>
      </c>
      <c r="W2225" s="6">
        <v>0</v>
      </c>
      <c r="X2225" s="6" t="s">
        <v>169</v>
      </c>
      <c r="Z2225" s="6" t="s">
        <v>170</v>
      </c>
      <c r="AA2225" s="6" t="s">
        <v>171</v>
      </c>
      <c r="AB2225" s="6">
        <v>0</v>
      </c>
      <c r="AC2225" s="6" t="str">
        <f>""</f>
        <v/>
      </c>
      <c r="AS2225" s="6">
        <v>0</v>
      </c>
      <c r="AT2225" s="6">
        <v>0</v>
      </c>
    </row>
    <row r="2226" spans="2:46">
      <c r="B2226" s="6" t="s">
        <v>110</v>
      </c>
      <c r="D2226" s="6" t="s">
        <v>8189</v>
      </c>
      <c r="F2226" s="6" t="s">
        <v>9276</v>
      </c>
      <c r="G2226" s="6" t="str">
        <f>"JGUSAE12153021RD"</f>
        <v>JGUSAE12153021RD</v>
      </c>
      <c r="H2226" s="6" t="s">
        <v>9277</v>
      </c>
      <c r="I2226" s="6" t="s">
        <v>9278</v>
      </c>
      <c r="J2226" s="6" t="str">
        <f>"JG-USAE12153021RD"</f>
        <v>JG-USAE12153021RD</v>
      </c>
      <c r="K2226" s="6">
        <v>0</v>
      </c>
      <c r="L2226" s="6">
        <v>0</v>
      </c>
      <c r="M2226" s="6">
        <v>0</v>
      </c>
      <c r="N2226" s="6" t="str">
        <f>""</f>
        <v/>
      </c>
      <c r="O2226" s="6">
        <v>25079</v>
      </c>
      <c r="P2226" s="6" t="s">
        <v>9278</v>
      </c>
      <c r="R2226" s="6" t="s">
        <v>9279</v>
      </c>
      <c r="S2226" s="6" t="s">
        <v>9280</v>
      </c>
      <c r="T2226" s="6">
        <v>0</v>
      </c>
      <c r="U2226" s="6">
        <v>0</v>
      </c>
      <c r="V2226" s="6">
        <v>0</v>
      </c>
      <c r="W2226" s="6">
        <v>0</v>
      </c>
      <c r="X2226" s="6" t="s">
        <v>169</v>
      </c>
      <c r="Z2226" s="6" t="s">
        <v>170</v>
      </c>
      <c r="AA2226" s="6" t="s">
        <v>171</v>
      </c>
      <c r="AB2226" s="6">
        <v>0</v>
      </c>
      <c r="AC2226" s="6" t="str">
        <f>""</f>
        <v/>
      </c>
      <c r="AS2226" s="6">
        <v>0</v>
      </c>
      <c r="AT2226" s="6">
        <v>0</v>
      </c>
    </row>
    <row r="2227" spans="2:46">
      <c r="B2227" s="6" t="s">
        <v>110</v>
      </c>
      <c r="D2227" s="6" t="s">
        <v>8189</v>
      </c>
      <c r="F2227" s="6" t="s">
        <v>9281</v>
      </c>
      <c r="G2227" s="6" t="str">
        <f>"JGUSAE12153021BK"</f>
        <v>JGUSAE12153021BK</v>
      </c>
      <c r="H2227" s="6" t="s">
        <v>9282</v>
      </c>
      <c r="I2227" s="6" t="s">
        <v>9283</v>
      </c>
      <c r="J2227" s="6" t="str">
        <f>"JG-USAE12153021BK"</f>
        <v>JG-USAE12153021BK</v>
      </c>
      <c r="K2227" s="6">
        <v>0</v>
      </c>
      <c r="L2227" s="6">
        <v>0</v>
      </c>
      <c r="M2227" s="6">
        <v>0</v>
      </c>
      <c r="N2227" s="6" t="str">
        <f>""</f>
        <v/>
      </c>
      <c r="O2227" s="6">
        <v>25077</v>
      </c>
      <c r="P2227" s="6" t="s">
        <v>9283</v>
      </c>
      <c r="R2227" s="6" t="s">
        <v>9284</v>
      </c>
      <c r="S2227" s="6" t="s">
        <v>9285</v>
      </c>
      <c r="T2227" s="6">
        <v>0</v>
      </c>
      <c r="U2227" s="6">
        <v>0</v>
      </c>
      <c r="V2227" s="6">
        <v>0</v>
      </c>
      <c r="W2227" s="6">
        <v>0</v>
      </c>
      <c r="X2227" s="6" t="s">
        <v>169</v>
      </c>
      <c r="Z2227" s="6" t="s">
        <v>170</v>
      </c>
      <c r="AA2227" s="6" t="s">
        <v>171</v>
      </c>
      <c r="AB2227" s="6">
        <v>0</v>
      </c>
      <c r="AC2227" s="6" t="str">
        <f>""</f>
        <v/>
      </c>
      <c r="AS2227" s="6">
        <v>0</v>
      </c>
      <c r="AT2227" s="6">
        <v>0</v>
      </c>
    </row>
    <row r="2228" spans="2:46">
      <c r="B2228" s="6" t="s">
        <v>110</v>
      </c>
      <c r="D2228" s="6" t="s">
        <v>8189</v>
      </c>
      <c r="F2228" s="6" t="s">
        <v>9286</v>
      </c>
      <c r="G2228" s="6" t="str">
        <f>"JGUSAN12282215GD"</f>
        <v>JGUSAN12282215GD</v>
      </c>
      <c r="H2228" s="6" t="s">
        <v>9287</v>
      </c>
      <c r="I2228" s="6" t="s">
        <v>9288</v>
      </c>
      <c r="J2228" s="6" t="str">
        <f>"JG-USAN12282215GD"</f>
        <v>JG-USAN12282215GD</v>
      </c>
      <c r="K2228" s="6">
        <v>0</v>
      </c>
      <c r="L2228" s="6">
        <v>0</v>
      </c>
      <c r="M2228" s="6">
        <v>0</v>
      </c>
      <c r="N2228" s="6" t="str">
        <f>""</f>
        <v/>
      </c>
      <c r="O2228" s="6">
        <v>25075</v>
      </c>
      <c r="P2228" s="6" t="s">
        <v>9288</v>
      </c>
      <c r="R2228" s="6" t="s">
        <v>7707</v>
      </c>
      <c r="S2228" s="6" t="s">
        <v>9289</v>
      </c>
      <c r="T2228" s="6">
        <v>0</v>
      </c>
      <c r="U2228" s="6">
        <v>0</v>
      </c>
      <c r="V2228" s="6">
        <v>0</v>
      </c>
      <c r="W2228" s="6">
        <v>0</v>
      </c>
      <c r="X2228" s="6" t="s">
        <v>169</v>
      </c>
      <c r="Z2228" s="6" t="s">
        <v>170</v>
      </c>
      <c r="AA2228" s="6" t="s">
        <v>171</v>
      </c>
      <c r="AB2228" s="6">
        <v>0</v>
      </c>
      <c r="AC2228" s="6" t="str">
        <f>""</f>
        <v/>
      </c>
      <c r="AS2228" s="6">
        <v>0</v>
      </c>
      <c r="AT2228" s="6">
        <v>0</v>
      </c>
    </row>
    <row r="2229" spans="2:46">
      <c r="B2229" s="6" t="s">
        <v>110</v>
      </c>
      <c r="D2229" s="6" t="s">
        <v>8189</v>
      </c>
      <c r="F2229" s="6" t="s">
        <v>9290</v>
      </c>
      <c r="G2229" s="6" t="str">
        <f>"JGUSAN12282215SV"</f>
        <v>JGUSAN12282215SV</v>
      </c>
      <c r="H2229" s="6" t="s">
        <v>9291</v>
      </c>
      <c r="I2229" s="6" t="s">
        <v>9292</v>
      </c>
      <c r="J2229" s="6" t="str">
        <f>"JG-USAN12282215SV"</f>
        <v>JG-USAN12282215SV</v>
      </c>
      <c r="K2229" s="6">
        <v>0</v>
      </c>
      <c r="L2229" s="6">
        <v>0</v>
      </c>
      <c r="M2229" s="6">
        <v>0</v>
      </c>
      <c r="N2229" s="6" t="str">
        <f>""</f>
        <v/>
      </c>
      <c r="O2229" s="6">
        <v>25073</v>
      </c>
      <c r="P2229" s="6" t="s">
        <v>9292</v>
      </c>
      <c r="R2229" s="6" t="s">
        <v>8872</v>
      </c>
      <c r="S2229" s="6" t="s">
        <v>9293</v>
      </c>
      <c r="T2229" s="6">
        <v>0</v>
      </c>
      <c r="U2229" s="6">
        <v>0</v>
      </c>
      <c r="V2229" s="6">
        <v>0</v>
      </c>
      <c r="W2229" s="6">
        <v>0</v>
      </c>
      <c r="X2229" s="6" t="s">
        <v>169</v>
      </c>
      <c r="Z2229" s="6" t="s">
        <v>170</v>
      </c>
      <c r="AA2229" s="6" t="s">
        <v>171</v>
      </c>
      <c r="AB2229" s="6">
        <v>0</v>
      </c>
      <c r="AC2229" s="6" t="str">
        <f>""</f>
        <v/>
      </c>
      <c r="AS2229" s="6">
        <v>0</v>
      </c>
      <c r="AT2229" s="6">
        <v>0</v>
      </c>
    </row>
    <row r="2230" spans="2:46">
      <c r="B2230" s="6" t="s">
        <v>110</v>
      </c>
      <c r="D2230" s="6" t="s">
        <v>8189</v>
      </c>
      <c r="F2230" s="6" t="s">
        <v>9294</v>
      </c>
      <c r="G2230" s="6" t="str">
        <f>"JGUSAB12202214GD"</f>
        <v>JGUSAB12202214GD</v>
      </c>
      <c r="H2230" s="6" t="s">
        <v>9295</v>
      </c>
      <c r="I2230" s="6" t="s">
        <v>9296</v>
      </c>
      <c r="J2230" s="6" t="str">
        <f>"JG-USAB12202214GD"</f>
        <v>JG-USAB12202214GD</v>
      </c>
      <c r="K2230" s="6">
        <v>0</v>
      </c>
      <c r="L2230" s="6">
        <v>0</v>
      </c>
      <c r="M2230" s="6">
        <v>0</v>
      </c>
      <c r="N2230" s="6" t="str">
        <f>""</f>
        <v/>
      </c>
      <c r="O2230" s="6">
        <v>25071</v>
      </c>
      <c r="P2230" s="6" t="s">
        <v>9296</v>
      </c>
      <c r="R2230" s="6" t="s">
        <v>7707</v>
      </c>
      <c r="S2230" s="6" t="s">
        <v>9297</v>
      </c>
      <c r="T2230" s="6">
        <v>0</v>
      </c>
      <c r="U2230" s="6">
        <v>0</v>
      </c>
      <c r="V2230" s="6">
        <v>0</v>
      </c>
      <c r="W2230" s="6">
        <v>0</v>
      </c>
      <c r="X2230" s="6" t="s">
        <v>169</v>
      </c>
      <c r="Z2230" s="6" t="s">
        <v>170</v>
      </c>
      <c r="AA2230" s="6" t="s">
        <v>171</v>
      </c>
      <c r="AB2230" s="6">
        <v>0</v>
      </c>
      <c r="AC2230" s="6" t="str">
        <f>""</f>
        <v/>
      </c>
      <c r="AS2230" s="6">
        <v>0</v>
      </c>
      <c r="AT2230" s="6">
        <v>0</v>
      </c>
    </row>
    <row r="2231" spans="2:46">
      <c r="B2231" s="6" t="s">
        <v>110</v>
      </c>
      <c r="D2231" s="6" t="s">
        <v>8189</v>
      </c>
      <c r="F2231" s="6" t="s">
        <v>9298</v>
      </c>
      <c r="G2231" s="6" t="str">
        <f>"JGUSAB12202214SV"</f>
        <v>JGUSAB12202214SV</v>
      </c>
      <c r="H2231" s="6" t="s">
        <v>9299</v>
      </c>
      <c r="I2231" s="6" t="s">
        <v>79</v>
      </c>
      <c r="J2231" s="6" t="str">
        <f>"JG-USAB12202214SV"</f>
        <v>JG-USAB12202214SV</v>
      </c>
      <c r="K2231" s="6">
        <v>0</v>
      </c>
      <c r="L2231" s="6">
        <v>0</v>
      </c>
      <c r="M2231" s="6">
        <v>0</v>
      </c>
      <c r="N2231" s="6" t="str">
        <f>""</f>
        <v/>
      </c>
      <c r="O2231" s="6">
        <v>25069</v>
      </c>
      <c r="P2231" s="6" t="s">
        <v>79</v>
      </c>
      <c r="R2231" s="6" t="s">
        <v>8872</v>
      </c>
      <c r="S2231" s="6" t="s">
        <v>9300</v>
      </c>
      <c r="T2231" s="6">
        <v>0</v>
      </c>
      <c r="U2231" s="6">
        <v>0</v>
      </c>
      <c r="V2231" s="6">
        <v>0</v>
      </c>
      <c r="W2231" s="6">
        <v>0</v>
      </c>
      <c r="X2231" s="6" t="s">
        <v>169</v>
      </c>
      <c r="Z2231" s="6" t="s">
        <v>170</v>
      </c>
      <c r="AA2231" s="6" t="s">
        <v>171</v>
      </c>
      <c r="AB2231" s="6">
        <v>0</v>
      </c>
      <c r="AC2231" s="6" t="str">
        <f>"KEY-002"</f>
        <v>KEY-002</v>
      </c>
      <c r="AS2231" s="6">
        <v>0</v>
      </c>
      <c r="AT2231" s="6">
        <v>0</v>
      </c>
    </row>
    <row r="2232" spans="2:46">
      <c r="B2232" s="6" t="s">
        <v>110</v>
      </c>
      <c r="D2232" s="6" t="s">
        <v>8189</v>
      </c>
      <c r="F2232" s="6" t="s">
        <v>9301</v>
      </c>
      <c r="G2232" s="6" t="str">
        <f>"JGUSAB12282213GD"</f>
        <v>JGUSAB12282213GD</v>
      </c>
      <c r="H2232" s="6" t="s">
        <v>9302</v>
      </c>
      <c r="I2232" s="6" t="s">
        <v>9303</v>
      </c>
      <c r="J2232" s="6" t="str">
        <f>"JG-USAB12282213GD"</f>
        <v>JG-USAB12282213GD</v>
      </c>
      <c r="K2232" s="6">
        <v>0</v>
      </c>
      <c r="L2232" s="6">
        <v>0</v>
      </c>
      <c r="M2232" s="6">
        <v>0</v>
      </c>
      <c r="N2232" s="6" t="str">
        <f>""</f>
        <v/>
      </c>
      <c r="O2232" s="6">
        <v>25067</v>
      </c>
      <c r="P2232" s="6" t="s">
        <v>9303</v>
      </c>
      <c r="R2232" s="6" t="s">
        <v>7707</v>
      </c>
      <c r="S2232" s="6" t="s">
        <v>9304</v>
      </c>
      <c r="T2232" s="6">
        <v>0</v>
      </c>
      <c r="U2232" s="6">
        <v>0</v>
      </c>
      <c r="V2232" s="6">
        <v>0</v>
      </c>
      <c r="W2232" s="6">
        <v>0</v>
      </c>
      <c r="X2232" s="6" t="s">
        <v>169</v>
      </c>
      <c r="Z2232" s="6" t="s">
        <v>170</v>
      </c>
      <c r="AA2232" s="6" t="s">
        <v>171</v>
      </c>
      <c r="AB2232" s="6">
        <v>0</v>
      </c>
      <c r="AC2232" s="6" t="str">
        <f>""</f>
        <v/>
      </c>
      <c r="AS2232" s="6">
        <v>0</v>
      </c>
      <c r="AT2232" s="6">
        <v>0</v>
      </c>
    </row>
    <row r="2233" spans="2:46">
      <c r="B2233" s="6" t="s">
        <v>110</v>
      </c>
      <c r="D2233" s="6" t="s">
        <v>8189</v>
      </c>
      <c r="F2233" s="6" t="s">
        <v>9305</v>
      </c>
      <c r="G2233" s="6" t="str">
        <f>"JGUSAB12282213SV"</f>
        <v>JGUSAB12282213SV</v>
      </c>
      <c r="H2233" s="6" t="s">
        <v>9306</v>
      </c>
      <c r="I2233" s="6" t="s">
        <v>9307</v>
      </c>
      <c r="J2233" s="6" t="str">
        <f>"JG-USAB12282213SV"</f>
        <v>JG-USAB12282213SV</v>
      </c>
      <c r="K2233" s="6">
        <v>0</v>
      </c>
      <c r="L2233" s="6">
        <v>0</v>
      </c>
      <c r="M2233" s="6">
        <v>0</v>
      </c>
      <c r="N2233" s="6" t="str">
        <f>""</f>
        <v/>
      </c>
      <c r="O2233" s="6">
        <v>25065</v>
      </c>
      <c r="P2233" s="6" t="s">
        <v>9307</v>
      </c>
      <c r="R2233" s="6" t="s">
        <v>8872</v>
      </c>
      <c r="S2233" s="6" t="s">
        <v>9308</v>
      </c>
      <c r="T2233" s="6">
        <v>0</v>
      </c>
      <c r="U2233" s="6">
        <v>0</v>
      </c>
      <c r="V2233" s="6">
        <v>0</v>
      </c>
      <c r="W2233" s="6">
        <v>0</v>
      </c>
      <c r="X2233" s="6" t="s">
        <v>169</v>
      </c>
      <c r="Z2233" s="6" t="s">
        <v>170</v>
      </c>
      <c r="AA2233" s="6" t="s">
        <v>171</v>
      </c>
      <c r="AB2233" s="6">
        <v>0</v>
      </c>
      <c r="AC2233" s="6" t="str">
        <f>""</f>
        <v/>
      </c>
      <c r="AS2233" s="6">
        <v>0</v>
      </c>
      <c r="AT2233" s="6">
        <v>0</v>
      </c>
    </row>
    <row r="2234" spans="2:46">
      <c r="B2234" s="6" t="s">
        <v>110</v>
      </c>
      <c r="D2234" s="6" t="s">
        <v>8189</v>
      </c>
      <c r="F2234" s="6" t="s">
        <v>9309</v>
      </c>
      <c r="G2234" s="6" t="str">
        <f>"JGUSAE12202212GD"</f>
        <v>JGUSAE12202212GD</v>
      </c>
      <c r="H2234" s="6" t="s">
        <v>9310</v>
      </c>
      <c r="I2234" s="6" t="s">
        <v>9311</v>
      </c>
      <c r="J2234" s="6" t="str">
        <f>"JG-USAE12202212GD"</f>
        <v>JG-USAE12202212GD</v>
      </c>
      <c r="K2234" s="6">
        <v>0</v>
      </c>
      <c r="L2234" s="6">
        <v>0</v>
      </c>
      <c r="M2234" s="6">
        <v>0</v>
      </c>
      <c r="N2234" s="6" t="str">
        <f>""</f>
        <v/>
      </c>
      <c r="O2234" s="6">
        <v>25063</v>
      </c>
      <c r="P2234" s="6" t="s">
        <v>9311</v>
      </c>
      <c r="R2234" s="6" t="s">
        <v>7707</v>
      </c>
      <c r="S2234" s="6" t="s">
        <v>9312</v>
      </c>
      <c r="T2234" s="6">
        <v>0</v>
      </c>
      <c r="U2234" s="6">
        <v>0</v>
      </c>
      <c r="V2234" s="6">
        <v>0</v>
      </c>
      <c r="W2234" s="6">
        <v>0</v>
      </c>
      <c r="X2234" s="6" t="s">
        <v>169</v>
      </c>
      <c r="Z2234" s="6" t="s">
        <v>170</v>
      </c>
      <c r="AA2234" s="6" t="s">
        <v>171</v>
      </c>
      <c r="AB2234" s="6">
        <v>0</v>
      </c>
      <c r="AC2234" s="6" t="str">
        <f>""</f>
        <v/>
      </c>
      <c r="AS2234" s="6">
        <v>0</v>
      </c>
      <c r="AT2234" s="6">
        <v>0</v>
      </c>
    </row>
    <row r="2235" spans="2:46">
      <c r="B2235" s="6" t="s">
        <v>110</v>
      </c>
      <c r="D2235" s="6" t="s">
        <v>8189</v>
      </c>
      <c r="F2235" s="6" t="s">
        <v>9313</v>
      </c>
      <c r="G2235" s="6" t="str">
        <f>"JGUSAE12202212SV"</f>
        <v>JGUSAE12202212SV</v>
      </c>
      <c r="H2235" s="6" t="s">
        <v>9314</v>
      </c>
      <c r="I2235" s="6" t="s">
        <v>9315</v>
      </c>
      <c r="J2235" s="6" t="str">
        <f>"JG-USAE12202212SV"</f>
        <v>JG-USAE12202212SV</v>
      </c>
      <c r="K2235" s="6">
        <v>0</v>
      </c>
      <c r="L2235" s="6">
        <v>0</v>
      </c>
      <c r="M2235" s="6">
        <v>0</v>
      </c>
      <c r="N2235" s="6" t="str">
        <f>""</f>
        <v/>
      </c>
      <c r="O2235" s="6">
        <v>25061</v>
      </c>
      <c r="P2235" s="6" t="s">
        <v>9315</v>
      </c>
      <c r="R2235" s="6" t="s">
        <v>8872</v>
      </c>
      <c r="S2235" s="6" t="s">
        <v>9316</v>
      </c>
      <c r="T2235" s="6">
        <v>0</v>
      </c>
      <c r="U2235" s="6">
        <v>0</v>
      </c>
      <c r="V2235" s="6">
        <v>0</v>
      </c>
      <c r="W2235" s="6">
        <v>0</v>
      </c>
      <c r="X2235" s="6" t="s">
        <v>169</v>
      </c>
      <c r="Z2235" s="6" t="s">
        <v>170</v>
      </c>
      <c r="AA2235" s="6" t="s">
        <v>171</v>
      </c>
      <c r="AB2235" s="6">
        <v>0</v>
      </c>
      <c r="AC2235" s="6" t="str">
        <f>""</f>
        <v/>
      </c>
      <c r="AS2235" s="6">
        <v>0</v>
      </c>
      <c r="AT2235" s="6">
        <v>0</v>
      </c>
    </row>
    <row r="2236" spans="2:46">
      <c r="B2236" s="6" t="s">
        <v>110</v>
      </c>
      <c r="D2236" s="6" t="s">
        <v>8189</v>
      </c>
      <c r="F2236" s="6" t="s">
        <v>9317</v>
      </c>
      <c r="G2236" s="6" t="str">
        <f>"JGUSAE12202211GD"</f>
        <v>JGUSAE12202211GD</v>
      </c>
      <c r="H2236" s="6" t="s">
        <v>9318</v>
      </c>
      <c r="I2236" s="6" t="s">
        <v>9319</v>
      </c>
      <c r="J2236" s="6" t="str">
        <f>"JG-USAE12202211GD"</f>
        <v>JG-USAE12202211GD</v>
      </c>
      <c r="K2236" s="6">
        <v>0</v>
      </c>
      <c r="L2236" s="6">
        <v>0</v>
      </c>
      <c r="M2236" s="6">
        <v>0</v>
      </c>
      <c r="N2236" s="6" t="str">
        <f>""</f>
        <v/>
      </c>
      <c r="O2236" s="6">
        <v>25059</v>
      </c>
      <c r="P2236" s="6" t="s">
        <v>9319</v>
      </c>
      <c r="R2236" s="6" t="s">
        <v>7707</v>
      </c>
      <c r="S2236" s="6" t="s">
        <v>9320</v>
      </c>
      <c r="T2236" s="6">
        <v>0</v>
      </c>
      <c r="U2236" s="6">
        <v>0</v>
      </c>
      <c r="V2236" s="6">
        <v>0</v>
      </c>
      <c r="W2236" s="6">
        <v>0</v>
      </c>
      <c r="X2236" s="6" t="s">
        <v>169</v>
      </c>
      <c r="Z2236" s="6" t="s">
        <v>170</v>
      </c>
      <c r="AA2236" s="6" t="s">
        <v>171</v>
      </c>
      <c r="AB2236" s="6">
        <v>0</v>
      </c>
      <c r="AC2236" s="6" t="str">
        <f>""</f>
        <v/>
      </c>
      <c r="AS2236" s="6">
        <v>0</v>
      </c>
      <c r="AT2236" s="6">
        <v>0</v>
      </c>
    </row>
    <row r="2237" spans="2:46">
      <c r="B2237" s="6" t="s">
        <v>110</v>
      </c>
      <c r="D2237" s="6" t="s">
        <v>8189</v>
      </c>
      <c r="F2237" s="6" t="s">
        <v>9321</v>
      </c>
      <c r="G2237" s="6" t="str">
        <f>"JGUSAE12202211SV"</f>
        <v>JGUSAE12202211SV</v>
      </c>
      <c r="H2237" s="6" t="s">
        <v>9322</v>
      </c>
      <c r="I2237" s="6" t="s">
        <v>9323</v>
      </c>
      <c r="J2237" s="6" t="str">
        <f>"JG-USAE12202211SV"</f>
        <v>JG-USAE12202211SV</v>
      </c>
      <c r="K2237" s="6">
        <v>0</v>
      </c>
      <c r="L2237" s="6">
        <v>0</v>
      </c>
      <c r="M2237" s="6">
        <v>0</v>
      </c>
      <c r="N2237" s="6" t="str">
        <f>""</f>
        <v/>
      </c>
      <c r="O2237" s="6">
        <v>25057</v>
      </c>
      <c r="P2237" s="6" t="s">
        <v>9323</v>
      </c>
      <c r="R2237" s="6" t="s">
        <v>8872</v>
      </c>
      <c r="S2237" s="6" t="s">
        <v>9324</v>
      </c>
      <c r="T2237" s="6">
        <v>0</v>
      </c>
      <c r="U2237" s="6">
        <v>0</v>
      </c>
      <c r="V2237" s="6">
        <v>0</v>
      </c>
      <c r="W2237" s="6">
        <v>0</v>
      </c>
      <c r="X2237" s="6" t="s">
        <v>169</v>
      </c>
      <c r="Z2237" s="6" t="s">
        <v>170</v>
      </c>
      <c r="AA2237" s="6" t="s">
        <v>171</v>
      </c>
      <c r="AB2237" s="6">
        <v>0</v>
      </c>
      <c r="AC2237" s="6" t="str">
        <f>""</f>
        <v/>
      </c>
      <c r="AS2237" s="6">
        <v>0</v>
      </c>
      <c r="AT2237" s="6">
        <v>0</v>
      </c>
    </row>
    <row r="2238" spans="2:46">
      <c r="B2238" s="6" t="s">
        <v>110</v>
      </c>
      <c r="D2238" s="6" t="s">
        <v>8189</v>
      </c>
      <c r="F2238" s="6" t="s">
        <v>9325</v>
      </c>
      <c r="G2238" s="6" t="str">
        <f>"JGUSAE1220203RD"</f>
        <v>JGUSAE1220203RD</v>
      </c>
      <c r="H2238" s="6" t="s">
        <v>9326</v>
      </c>
      <c r="I2238" s="6" t="s">
        <v>9327</v>
      </c>
      <c r="J2238" s="6" t="str">
        <f>"JG-USAE1220203RD"</f>
        <v>JG-USAE1220203RD</v>
      </c>
      <c r="K2238" s="6">
        <v>0</v>
      </c>
      <c r="L2238" s="6">
        <v>0</v>
      </c>
      <c r="M2238" s="6">
        <v>0</v>
      </c>
      <c r="N2238" s="6" t="str">
        <f>""</f>
        <v/>
      </c>
      <c r="O2238" s="6">
        <v>25055</v>
      </c>
      <c r="P2238" s="6" t="s">
        <v>9327</v>
      </c>
      <c r="R2238" s="6" t="s">
        <v>9328</v>
      </c>
      <c r="S2238" s="6" t="s">
        <v>9329</v>
      </c>
      <c r="T2238" s="6">
        <v>0</v>
      </c>
      <c r="U2238" s="6">
        <v>0</v>
      </c>
      <c r="V2238" s="6">
        <v>0</v>
      </c>
      <c r="W2238" s="6">
        <v>0</v>
      </c>
      <c r="X2238" s="6" t="s">
        <v>169</v>
      </c>
      <c r="Z2238" s="6" t="s">
        <v>170</v>
      </c>
      <c r="AA2238" s="6" t="s">
        <v>171</v>
      </c>
      <c r="AB2238" s="6">
        <v>0</v>
      </c>
      <c r="AC2238" s="6" t="str">
        <f>""</f>
        <v/>
      </c>
      <c r="AS2238" s="6">
        <v>0</v>
      </c>
      <c r="AT2238" s="6">
        <v>0</v>
      </c>
    </row>
    <row r="2239" spans="2:46">
      <c r="B2239" s="6" t="s">
        <v>110</v>
      </c>
      <c r="D2239" s="6" t="s">
        <v>8189</v>
      </c>
      <c r="F2239" s="6" t="s">
        <v>9330</v>
      </c>
      <c r="G2239" s="6" t="str">
        <f>"JGUSAE1220202RD"</f>
        <v>JGUSAE1220202RD</v>
      </c>
      <c r="H2239" s="6" t="s">
        <v>9331</v>
      </c>
      <c r="I2239" s="6" t="s">
        <v>9332</v>
      </c>
      <c r="J2239" s="6" t="str">
        <f>"JG-USAE1220202RD"</f>
        <v>JG-USAE1220202RD</v>
      </c>
      <c r="K2239" s="6">
        <v>0</v>
      </c>
      <c r="L2239" s="6">
        <v>0</v>
      </c>
      <c r="M2239" s="6">
        <v>0</v>
      </c>
      <c r="N2239" s="6" t="str">
        <f>""</f>
        <v/>
      </c>
      <c r="O2239" s="6">
        <v>25053</v>
      </c>
      <c r="P2239" s="6" t="s">
        <v>9332</v>
      </c>
      <c r="R2239" s="6" t="s">
        <v>9328</v>
      </c>
      <c r="S2239" s="6" t="s">
        <v>9333</v>
      </c>
      <c r="T2239" s="6">
        <v>0</v>
      </c>
      <c r="U2239" s="6">
        <v>0</v>
      </c>
      <c r="V2239" s="6">
        <v>0</v>
      </c>
      <c r="W2239" s="6">
        <v>0</v>
      </c>
      <c r="X2239" s="6" t="s">
        <v>169</v>
      </c>
      <c r="Z2239" s="6" t="s">
        <v>170</v>
      </c>
      <c r="AA2239" s="6" t="s">
        <v>171</v>
      </c>
      <c r="AB2239" s="6">
        <v>0</v>
      </c>
      <c r="AC2239" s="6" t="str">
        <f>""</f>
        <v/>
      </c>
      <c r="AS2239" s="6">
        <v>0</v>
      </c>
      <c r="AT2239" s="6">
        <v>0</v>
      </c>
    </row>
    <row r="2240" spans="2:46">
      <c r="B2240" s="6" t="s">
        <v>110</v>
      </c>
      <c r="D2240" s="6" t="s">
        <v>8189</v>
      </c>
      <c r="F2240" s="6" t="s">
        <v>9334</v>
      </c>
      <c r="G2240" s="6" t="str">
        <f>"JGUSAE1220203GD"</f>
        <v>JGUSAE1220203GD</v>
      </c>
      <c r="H2240" s="6" t="s">
        <v>9335</v>
      </c>
      <c r="I2240" s="6" t="s">
        <v>9336</v>
      </c>
      <c r="J2240" s="6" t="str">
        <f>"JG-USAE1220203GD"</f>
        <v>JG-USAE1220203GD</v>
      </c>
      <c r="K2240" s="6">
        <v>0</v>
      </c>
      <c r="L2240" s="6">
        <v>0</v>
      </c>
      <c r="M2240" s="6">
        <v>0</v>
      </c>
      <c r="N2240" s="6" t="str">
        <f>""</f>
        <v/>
      </c>
      <c r="O2240" s="6">
        <v>25051</v>
      </c>
      <c r="P2240" s="6" t="s">
        <v>9336</v>
      </c>
      <c r="R2240" s="6" t="s">
        <v>7707</v>
      </c>
      <c r="S2240" s="6" t="s">
        <v>9337</v>
      </c>
      <c r="T2240" s="6">
        <v>0</v>
      </c>
      <c r="U2240" s="6">
        <v>0</v>
      </c>
      <c r="V2240" s="6">
        <v>0</v>
      </c>
      <c r="W2240" s="6">
        <v>0</v>
      </c>
      <c r="X2240" s="6" t="s">
        <v>169</v>
      </c>
      <c r="Z2240" s="6" t="s">
        <v>170</v>
      </c>
      <c r="AA2240" s="6" t="s">
        <v>171</v>
      </c>
      <c r="AB2240" s="6">
        <v>0</v>
      </c>
      <c r="AC2240" s="6" t="str">
        <f>""</f>
        <v/>
      </c>
      <c r="AS2240" s="6">
        <v>0</v>
      </c>
      <c r="AT2240" s="6">
        <v>0</v>
      </c>
    </row>
    <row r="2241" spans="2:46">
      <c r="B2241" s="6" t="s">
        <v>110</v>
      </c>
      <c r="D2241" s="6" t="s">
        <v>8189</v>
      </c>
      <c r="F2241" s="6" t="s">
        <v>9338</v>
      </c>
      <c r="G2241" s="6" t="str">
        <f>"JGUSAE1220203SV"</f>
        <v>JGUSAE1220203SV</v>
      </c>
      <c r="H2241" s="6" t="s">
        <v>9339</v>
      </c>
      <c r="I2241" s="6" t="s">
        <v>9340</v>
      </c>
      <c r="J2241" s="6" t="str">
        <f>"JG-USAE1220203SV"</f>
        <v>JG-USAE1220203SV</v>
      </c>
      <c r="K2241" s="6">
        <v>0</v>
      </c>
      <c r="L2241" s="6">
        <v>0</v>
      </c>
      <c r="M2241" s="6">
        <v>0</v>
      </c>
      <c r="N2241" s="6" t="str">
        <f>""</f>
        <v/>
      </c>
      <c r="O2241" s="6">
        <v>25049</v>
      </c>
      <c r="P2241" s="6" t="s">
        <v>9340</v>
      </c>
      <c r="R2241" s="6" t="s">
        <v>5066</v>
      </c>
      <c r="S2241" s="6" t="s">
        <v>9341</v>
      </c>
      <c r="T2241" s="6">
        <v>0</v>
      </c>
      <c r="U2241" s="6">
        <v>0</v>
      </c>
      <c r="V2241" s="6">
        <v>0</v>
      </c>
      <c r="W2241" s="6">
        <v>0</v>
      </c>
      <c r="X2241" s="6" t="s">
        <v>169</v>
      </c>
      <c r="Z2241" s="6" t="s">
        <v>170</v>
      </c>
      <c r="AA2241" s="6" t="s">
        <v>171</v>
      </c>
      <c r="AB2241" s="6">
        <v>0</v>
      </c>
      <c r="AC2241" s="6" t="str">
        <f>""</f>
        <v/>
      </c>
      <c r="AS2241" s="6">
        <v>0</v>
      </c>
      <c r="AT2241" s="6">
        <v>0</v>
      </c>
    </row>
    <row r="2242" spans="2:46">
      <c r="B2242" s="6" t="s">
        <v>110</v>
      </c>
      <c r="D2242" s="6" t="s">
        <v>8189</v>
      </c>
      <c r="F2242" s="6" t="s">
        <v>9342</v>
      </c>
      <c r="G2242" s="6" t="str">
        <f>"JGUSAE1220202SV"</f>
        <v>JGUSAE1220202SV</v>
      </c>
      <c r="H2242" s="6" t="s">
        <v>9343</v>
      </c>
      <c r="I2242" s="6" t="s">
        <v>9344</v>
      </c>
      <c r="J2242" s="6" t="str">
        <f>"JG-USAE1220202SV"</f>
        <v>JG-USAE1220202SV</v>
      </c>
      <c r="K2242" s="6">
        <v>0</v>
      </c>
      <c r="L2242" s="6">
        <v>0</v>
      </c>
      <c r="M2242" s="6">
        <v>0</v>
      </c>
      <c r="N2242" s="6" t="str">
        <f>""</f>
        <v/>
      </c>
      <c r="O2242" s="6">
        <v>25047</v>
      </c>
      <c r="P2242" s="6" t="s">
        <v>9344</v>
      </c>
      <c r="R2242" s="6" t="s">
        <v>9345</v>
      </c>
      <c r="S2242" s="6" t="s">
        <v>9346</v>
      </c>
      <c r="T2242" s="6">
        <v>0</v>
      </c>
      <c r="U2242" s="6">
        <v>0</v>
      </c>
      <c r="V2242" s="6">
        <v>0</v>
      </c>
      <c r="W2242" s="6">
        <v>0</v>
      </c>
      <c r="X2242" s="6" t="s">
        <v>169</v>
      </c>
      <c r="Z2242" s="6" t="s">
        <v>170</v>
      </c>
      <c r="AA2242" s="6" t="s">
        <v>171</v>
      </c>
      <c r="AB2242" s="6">
        <v>0</v>
      </c>
      <c r="AC2242" s="6" t="str">
        <f>""</f>
        <v/>
      </c>
      <c r="AS2242" s="6">
        <v>0</v>
      </c>
      <c r="AT2242" s="6">
        <v>0</v>
      </c>
    </row>
    <row r="2243" spans="2:46">
      <c r="B2243" s="6" t="s">
        <v>110</v>
      </c>
      <c r="D2243" s="6" t="s">
        <v>8189</v>
      </c>
      <c r="F2243" s="6" t="s">
        <v>9347</v>
      </c>
      <c r="G2243" s="6" t="str">
        <f>"JGBANGLESGD"</f>
        <v>JGBANGLESGD</v>
      </c>
      <c r="H2243" s="6" t="s">
        <v>9348</v>
      </c>
      <c r="I2243" s="6" t="s">
        <v>9349</v>
      </c>
      <c r="J2243" s="6" t="str">
        <f>"JG-BANGLESGD"</f>
        <v>JG-BANGLESGD</v>
      </c>
      <c r="K2243" s="6">
        <v>0</v>
      </c>
      <c r="L2243" s="6">
        <v>0</v>
      </c>
      <c r="M2243" s="6">
        <v>0</v>
      </c>
      <c r="N2243" s="6" t="str">
        <f>""</f>
        <v/>
      </c>
      <c r="O2243" s="6">
        <v>25045</v>
      </c>
      <c r="P2243" s="6" t="s">
        <v>9349</v>
      </c>
      <c r="R2243" s="6" t="s">
        <v>7707</v>
      </c>
      <c r="S2243" s="6" t="s">
        <v>9350</v>
      </c>
      <c r="T2243" s="6">
        <v>0</v>
      </c>
      <c r="U2243" s="6">
        <v>0</v>
      </c>
      <c r="V2243" s="6">
        <v>0</v>
      </c>
      <c r="W2243" s="6">
        <v>0</v>
      </c>
      <c r="X2243" s="6" t="s">
        <v>169</v>
      </c>
      <c r="Z2243" s="6" t="s">
        <v>170</v>
      </c>
      <c r="AA2243" s="6" t="s">
        <v>171</v>
      </c>
      <c r="AB2243" s="6">
        <v>0</v>
      </c>
      <c r="AC2243" s="6" t="str">
        <f>""</f>
        <v/>
      </c>
      <c r="AS2243" s="6">
        <v>0</v>
      </c>
      <c r="AT2243" s="6">
        <v>0</v>
      </c>
    </row>
    <row r="2244" spans="2:46">
      <c r="B2244" s="6" t="s">
        <v>110</v>
      </c>
      <c r="D2244" s="6" t="s">
        <v>8189</v>
      </c>
      <c r="F2244" s="6" t="s">
        <v>9351</v>
      </c>
      <c r="G2244" s="6" t="str">
        <f>"JGBANGLESSV"</f>
        <v>JGBANGLESSV</v>
      </c>
      <c r="H2244" s="6" t="s">
        <v>9352</v>
      </c>
      <c r="I2244" s="6" t="s">
        <v>9353</v>
      </c>
      <c r="J2244" s="6" t="str">
        <f>"JG-BANGLESSV"</f>
        <v>JG-BANGLESSV</v>
      </c>
      <c r="K2244" s="6">
        <v>0</v>
      </c>
      <c r="L2244" s="6">
        <v>0</v>
      </c>
      <c r="M2244" s="6">
        <v>0</v>
      </c>
      <c r="N2244" s="6" t="str">
        <f>""</f>
        <v/>
      </c>
      <c r="O2244" s="6">
        <v>25043</v>
      </c>
      <c r="P2244" s="6" t="s">
        <v>9353</v>
      </c>
      <c r="R2244" s="6" t="s">
        <v>8872</v>
      </c>
      <c r="S2244" s="6" t="s">
        <v>9354</v>
      </c>
      <c r="T2244" s="6">
        <v>0</v>
      </c>
      <c r="U2244" s="6">
        <v>0</v>
      </c>
      <c r="V2244" s="6">
        <v>0</v>
      </c>
      <c r="W2244" s="6">
        <v>0</v>
      </c>
      <c r="X2244" s="6" t="s">
        <v>169</v>
      </c>
      <c r="Z2244" s="6" t="s">
        <v>170</v>
      </c>
      <c r="AA2244" s="6" t="s">
        <v>171</v>
      </c>
      <c r="AB2244" s="6">
        <v>0</v>
      </c>
      <c r="AC2244" s="6" t="str">
        <f>""</f>
        <v/>
      </c>
      <c r="AS2244" s="6">
        <v>0</v>
      </c>
      <c r="AT2244" s="6">
        <v>0</v>
      </c>
    </row>
    <row r="2245" spans="2:46">
      <c r="B2245" s="6" t="s">
        <v>110</v>
      </c>
      <c r="D2245" s="6" t="s">
        <v>8189</v>
      </c>
      <c r="F2245" s="6" t="s">
        <v>9355</v>
      </c>
      <c r="G2245" s="6" t="str">
        <f>"JGUSAB122001BK"</f>
        <v>JGUSAB122001BK</v>
      </c>
      <c r="H2245" s="6" t="s">
        <v>9356</v>
      </c>
      <c r="I2245" s="6" t="s">
        <v>9357</v>
      </c>
      <c r="J2245" s="6" t="str">
        <f>"JG-USAB122001BK"</f>
        <v>JG-USAB122001BK</v>
      </c>
      <c r="K2245" s="6">
        <v>0</v>
      </c>
      <c r="L2245" s="6">
        <v>0</v>
      </c>
      <c r="M2245" s="6">
        <v>0</v>
      </c>
      <c r="N2245" s="6" t="str">
        <f>""</f>
        <v/>
      </c>
      <c r="O2245" s="6">
        <v>25041</v>
      </c>
      <c r="P2245" s="6" t="s">
        <v>9357</v>
      </c>
      <c r="R2245" s="6" t="s">
        <v>5066</v>
      </c>
      <c r="S2245" s="6" t="s">
        <v>9358</v>
      </c>
      <c r="T2245" s="6">
        <v>0</v>
      </c>
      <c r="U2245" s="6">
        <v>0</v>
      </c>
      <c r="V2245" s="6">
        <v>0</v>
      </c>
      <c r="W2245" s="6">
        <v>0</v>
      </c>
      <c r="X2245" s="6" t="s">
        <v>169</v>
      </c>
      <c r="Z2245" s="6" t="s">
        <v>170</v>
      </c>
      <c r="AA2245" s="6" t="s">
        <v>171</v>
      </c>
      <c r="AB2245" s="6">
        <v>0</v>
      </c>
      <c r="AC2245" s="6" t="str">
        <f>""</f>
        <v/>
      </c>
      <c r="AS2245" s="6">
        <v>0</v>
      </c>
      <c r="AT2245" s="6">
        <v>0</v>
      </c>
    </row>
    <row r="2246" spans="2:46">
      <c r="B2246" s="6" t="s">
        <v>110</v>
      </c>
      <c r="D2246" s="6" t="s">
        <v>8189</v>
      </c>
      <c r="F2246" s="6" t="s">
        <v>9359</v>
      </c>
      <c r="G2246" s="6" t="str">
        <f>"JGUSAN122501BK"</f>
        <v>JGUSAN122501BK</v>
      </c>
      <c r="H2246" s="6" t="s">
        <v>9360</v>
      </c>
      <c r="I2246" s="6" t="s">
        <v>9361</v>
      </c>
      <c r="J2246" s="6" t="str">
        <f>"JG-USAN122501BK"</f>
        <v>JG-USAN122501BK</v>
      </c>
      <c r="K2246" s="6">
        <v>0</v>
      </c>
      <c r="L2246" s="6">
        <v>0</v>
      </c>
      <c r="M2246" s="6">
        <v>0</v>
      </c>
      <c r="N2246" s="6" t="str">
        <f>""</f>
        <v/>
      </c>
      <c r="O2246" s="6">
        <v>25039</v>
      </c>
      <c r="P2246" s="6" t="s">
        <v>9361</v>
      </c>
      <c r="R2246" s="6" t="s">
        <v>5066</v>
      </c>
      <c r="S2246" s="6" t="s">
        <v>9362</v>
      </c>
      <c r="T2246" s="6">
        <v>0</v>
      </c>
      <c r="U2246" s="6">
        <v>0</v>
      </c>
      <c r="V2246" s="6">
        <v>0</v>
      </c>
      <c r="W2246" s="6">
        <v>0</v>
      </c>
      <c r="X2246" s="6" t="s">
        <v>169</v>
      </c>
      <c r="Z2246" s="6" t="s">
        <v>170</v>
      </c>
      <c r="AA2246" s="6" t="s">
        <v>171</v>
      </c>
      <c r="AB2246" s="6">
        <v>0</v>
      </c>
      <c r="AC2246" s="6" t="str">
        <f>""</f>
        <v/>
      </c>
      <c r="AS2246" s="6">
        <v>0</v>
      </c>
      <c r="AT2246" s="6">
        <v>0</v>
      </c>
    </row>
    <row r="2247" spans="2:46">
      <c r="B2247" s="6" t="s">
        <v>110</v>
      </c>
      <c r="D2247" s="6" t="s">
        <v>8189</v>
      </c>
      <c r="F2247" s="6" t="s">
        <v>9363</v>
      </c>
      <c r="G2247" s="6" t="str">
        <f>"JGBBMGM121801BM"</f>
        <v>JGBBMGM121801BM</v>
      </c>
      <c r="H2247" s="6" t="s">
        <v>9364</v>
      </c>
      <c r="I2247" s="6" t="s">
        <v>9365</v>
      </c>
      <c r="J2247" s="6" t="str">
        <f>"JGB-BMGM121801BM"</f>
        <v>JGB-BMGM121801BM</v>
      </c>
      <c r="K2247" s="6">
        <v>0</v>
      </c>
      <c r="L2247" s="6">
        <v>0</v>
      </c>
      <c r="M2247" s="6">
        <v>0</v>
      </c>
      <c r="N2247" s="6" t="str">
        <f>""</f>
        <v/>
      </c>
      <c r="O2247" s="6">
        <v>25037</v>
      </c>
      <c r="P2247" s="6" t="s">
        <v>9365</v>
      </c>
      <c r="R2247" s="6" t="s">
        <v>9345</v>
      </c>
      <c r="S2247" s="6" t="s">
        <v>9366</v>
      </c>
      <c r="T2247" s="6">
        <v>0</v>
      </c>
      <c r="U2247" s="6">
        <v>0</v>
      </c>
      <c r="V2247" s="6">
        <v>0</v>
      </c>
      <c r="W2247" s="6">
        <v>0</v>
      </c>
      <c r="X2247" s="6" t="s">
        <v>169</v>
      </c>
      <c r="Z2247" s="6" t="s">
        <v>170</v>
      </c>
      <c r="AA2247" s="6" t="s">
        <v>171</v>
      </c>
      <c r="AB2247" s="6">
        <v>0</v>
      </c>
      <c r="AC2247" s="6" t="str">
        <f>""</f>
        <v/>
      </c>
      <c r="AS2247" s="6">
        <v>0</v>
      </c>
      <c r="AT2247" s="6">
        <v>1</v>
      </c>
    </row>
    <row r="2248" spans="2:46">
      <c r="B2248" s="6" t="s">
        <v>110</v>
      </c>
      <c r="D2248" s="6" t="s">
        <v>8189</v>
      </c>
      <c r="F2248" s="6" t="s">
        <v>9367</v>
      </c>
      <c r="G2248" s="6" t="str">
        <f>"JGBBMGM121801GM"</f>
        <v>JGBBMGM121801GM</v>
      </c>
      <c r="H2248" s="6" t="s">
        <v>9368</v>
      </c>
      <c r="I2248" s="6" t="s">
        <v>9369</v>
      </c>
      <c r="J2248" s="6" t="str">
        <f>"JGB-BMGM121801GM"</f>
        <v>JGB-BMGM121801GM</v>
      </c>
      <c r="K2248" s="6">
        <v>0</v>
      </c>
      <c r="L2248" s="6">
        <v>0</v>
      </c>
      <c r="M2248" s="6">
        <v>0</v>
      </c>
      <c r="N2248" s="6" t="str">
        <f>""</f>
        <v/>
      </c>
      <c r="O2248" s="6">
        <v>25035</v>
      </c>
      <c r="P2248" s="6" t="s">
        <v>9369</v>
      </c>
      <c r="R2248" s="6" t="s">
        <v>9370</v>
      </c>
      <c r="S2248" s="6" t="s">
        <v>9371</v>
      </c>
      <c r="T2248" s="6">
        <v>0</v>
      </c>
      <c r="U2248" s="6">
        <v>0</v>
      </c>
      <c r="V2248" s="6">
        <v>0</v>
      </c>
      <c r="W2248" s="6">
        <v>0</v>
      </c>
      <c r="X2248" s="6" t="s">
        <v>169</v>
      </c>
      <c r="Z2248" s="6" t="s">
        <v>170</v>
      </c>
      <c r="AA2248" s="6" t="s">
        <v>171</v>
      </c>
      <c r="AB2248" s="6">
        <v>0</v>
      </c>
      <c r="AC2248" s="6" t="str">
        <f>""</f>
        <v/>
      </c>
      <c r="AS2248" s="6">
        <v>0</v>
      </c>
      <c r="AT2248" s="6">
        <v>0</v>
      </c>
    </row>
    <row r="2249" spans="2:46">
      <c r="B2249" s="6" t="s">
        <v>110</v>
      </c>
      <c r="D2249" s="6" t="s">
        <v>8189</v>
      </c>
      <c r="F2249" s="6" t="s">
        <v>9372</v>
      </c>
      <c r="G2249" s="6" t="str">
        <f>"JGNBMGM122801BM"</f>
        <v>JGNBMGM122801BM</v>
      </c>
      <c r="H2249" s="6" t="s">
        <v>9373</v>
      </c>
      <c r="I2249" s="6" t="s">
        <v>9374</v>
      </c>
      <c r="J2249" s="6" t="str">
        <f>"JGN-BMGM122801BM"</f>
        <v>JGN-BMGM122801BM</v>
      </c>
      <c r="K2249" s="6">
        <v>0</v>
      </c>
      <c r="L2249" s="6">
        <v>0</v>
      </c>
      <c r="M2249" s="6">
        <v>0</v>
      </c>
      <c r="N2249" s="6" t="str">
        <f>""</f>
        <v/>
      </c>
      <c r="O2249" s="6">
        <v>25033</v>
      </c>
      <c r="P2249" s="6" t="s">
        <v>9374</v>
      </c>
      <c r="R2249" s="6" t="s">
        <v>9345</v>
      </c>
      <c r="S2249" s="6" t="s">
        <v>9375</v>
      </c>
      <c r="T2249" s="6">
        <v>0</v>
      </c>
      <c r="U2249" s="6">
        <v>0</v>
      </c>
      <c r="V2249" s="6">
        <v>0</v>
      </c>
      <c r="W2249" s="6">
        <v>0</v>
      </c>
      <c r="X2249" s="6" t="s">
        <v>169</v>
      </c>
      <c r="Z2249" s="6" t="s">
        <v>170</v>
      </c>
      <c r="AA2249" s="6" t="s">
        <v>171</v>
      </c>
      <c r="AB2249" s="6">
        <v>0</v>
      </c>
      <c r="AC2249" s="6" t="str">
        <f>""</f>
        <v/>
      </c>
      <c r="AS2249" s="6">
        <v>0</v>
      </c>
      <c r="AT2249" s="6">
        <v>0</v>
      </c>
    </row>
    <row r="2250" spans="2:46">
      <c r="B2250" s="6" t="s">
        <v>110</v>
      </c>
      <c r="D2250" s="6" t="s">
        <v>8189</v>
      </c>
      <c r="F2250" s="6" t="s">
        <v>9376</v>
      </c>
      <c r="G2250" s="6" t="str">
        <f>"JGNBMGM122801GM"</f>
        <v>JGNBMGM122801GM</v>
      </c>
      <c r="H2250" s="6" t="s">
        <v>9377</v>
      </c>
      <c r="I2250" s="6" t="s">
        <v>9378</v>
      </c>
      <c r="J2250" s="6" t="str">
        <f>"JGN-BMGM122801GM"</f>
        <v>JGN-BMGM122801GM</v>
      </c>
      <c r="K2250" s="6">
        <v>0</v>
      </c>
      <c r="L2250" s="6">
        <v>0</v>
      </c>
      <c r="M2250" s="6">
        <v>0</v>
      </c>
      <c r="N2250" s="6" t="str">
        <f>""</f>
        <v/>
      </c>
      <c r="O2250" s="6">
        <v>25031</v>
      </c>
      <c r="P2250" s="6" t="s">
        <v>9378</v>
      </c>
      <c r="R2250" s="6" t="s">
        <v>9370</v>
      </c>
      <c r="S2250" s="6" t="s">
        <v>9379</v>
      </c>
      <c r="T2250" s="6">
        <v>0</v>
      </c>
      <c r="U2250" s="6">
        <v>0</v>
      </c>
      <c r="V2250" s="6">
        <v>0</v>
      </c>
      <c r="W2250" s="6">
        <v>0</v>
      </c>
      <c r="X2250" s="6" t="s">
        <v>169</v>
      </c>
      <c r="Z2250" s="6" t="s">
        <v>170</v>
      </c>
      <c r="AA2250" s="6" t="s">
        <v>171</v>
      </c>
      <c r="AB2250" s="6">
        <v>0</v>
      </c>
      <c r="AC2250" s="6" t="str">
        <f>""</f>
        <v/>
      </c>
      <c r="AS2250" s="6">
        <v>0</v>
      </c>
      <c r="AT2250" s="6">
        <v>0</v>
      </c>
    </row>
    <row r="2251" spans="2:46">
      <c r="B2251" s="6" t="s">
        <v>110</v>
      </c>
      <c r="D2251" s="6" t="s">
        <v>8189</v>
      </c>
      <c r="F2251" s="6" t="s">
        <v>9380</v>
      </c>
      <c r="G2251" s="6" t="str">
        <f>"JGRBMGM122501BM"</f>
        <v>JGRBMGM122501BM</v>
      </c>
      <c r="H2251" s="6" t="s">
        <v>9381</v>
      </c>
      <c r="I2251" s="6" t="s">
        <v>9382</v>
      </c>
      <c r="J2251" s="6" t="str">
        <f>"JGR-BMGM122501BM"</f>
        <v>JGR-BMGM122501BM</v>
      </c>
      <c r="K2251" s="6">
        <v>0</v>
      </c>
      <c r="L2251" s="6">
        <v>0</v>
      </c>
      <c r="M2251" s="6">
        <v>0</v>
      </c>
      <c r="N2251" s="6" t="str">
        <f>""</f>
        <v/>
      </c>
      <c r="O2251" s="6">
        <v>25029</v>
      </c>
      <c r="P2251" s="6" t="s">
        <v>9382</v>
      </c>
      <c r="R2251" s="6" t="s">
        <v>9345</v>
      </c>
      <c r="S2251" s="6" t="s">
        <v>9383</v>
      </c>
      <c r="T2251" s="6">
        <v>0</v>
      </c>
      <c r="U2251" s="6">
        <v>0</v>
      </c>
      <c r="V2251" s="6">
        <v>0</v>
      </c>
      <c r="W2251" s="6">
        <v>0</v>
      </c>
      <c r="X2251" s="6" t="s">
        <v>169</v>
      </c>
      <c r="Z2251" s="6" t="s">
        <v>170</v>
      </c>
      <c r="AA2251" s="6" t="s">
        <v>171</v>
      </c>
      <c r="AB2251" s="6">
        <v>0</v>
      </c>
      <c r="AC2251" s="6" t="str">
        <f>""</f>
        <v/>
      </c>
      <c r="AS2251" s="6">
        <v>0</v>
      </c>
      <c r="AT2251" s="6">
        <v>0</v>
      </c>
    </row>
    <row r="2252" spans="2:46">
      <c r="B2252" s="6" t="s">
        <v>110</v>
      </c>
      <c r="D2252" s="6" t="s">
        <v>8189</v>
      </c>
      <c r="F2252" s="6" t="s">
        <v>9384</v>
      </c>
      <c r="G2252" s="6" t="str">
        <f>"JGRBMGM122501GM"</f>
        <v>JGRBMGM122501GM</v>
      </c>
      <c r="H2252" s="6" t="s">
        <v>9385</v>
      </c>
      <c r="I2252" s="6" t="s">
        <v>9386</v>
      </c>
      <c r="J2252" s="6" t="str">
        <f>"JGR-BMGM122501GM"</f>
        <v>JGR-BMGM122501GM</v>
      </c>
      <c r="K2252" s="6">
        <v>0</v>
      </c>
      <c r="L2252" s="6">
        <v>0</v>
      </c>
      <c r="M2252" s="6">
        <v>0</v>
      </c>
      <c r="N2252" s="6" t="str">
        <f>""</f>
        <v/>
      </c>
      <c r="O2252" s="6">
        <v>25027</v>
      </c>
      <c r="P2252" s="6" t="s">
        <v>9386</v>
      </c>
      <c r="R2252" s="6" t="s">
        <v>9370</v>
      </c>
      <c r="S2252" s="6" t="s">
        <v>9387</v>
      </c>
      <c r="T2252" s="6">
        <v>0</v>
      </c>
      <c r="U2252" s="6">
        <v>0</v>
      </c>
      <c r="V2252" s="6">
        <v>0</v>
      </c>
      <c r="W2252" s="6">
        <v>0</v>
      </c>
      <c r="X2252" s="6" t="s">
        <v>169</v>
      </c>
      <c r="Z2252" s="6" t="s">
        <v>170</v>
      </c>
      <c r="AA2252" s="6" t="s">
        <v>171</v>
      </c>
      <c r="AB2252" s="6">
        <v>0</v>
      </c>
      <c r="AC2252" s="6" t="str">
        <f>""</f>
        <v/>
      </c>
      <c r="AS2252" s="6">
        <v>0</v>
      </c>
      <c r="AT2252" s="6">
        <v>0</v>
      </c>
    </row>
    <row r="2253" spans="2:46">
      <c r="B2253" s="6" t="s">
        <v>110</v>
      </c>
      <c r="D2253" s="6" t="s">
        <v>8189</v>
      </c>
      <c r="F2253" s="6" t="s">
        <v>9388</v>
      </c>
      <c r="G2253" s="6" t="str">
        <f>"JGNSNAKECHOKERRG"</f>
        <v>JGNSNAKECHOKERRG</v>
      </c>
      <c r="H2253" s="6" t="s">
        <v>9389</v>
      </c>
      <c r="I2253" s="6" t="s">
        <v>9390</v>
      </c>
      <c r="J2253" s="6" t="str">
        <f>"JGN-SNAKECHOKERRG"</f>
        <v>JGN-SNAKECHOKERRG</v>
      </c>
      <c r="K2253" s="6">
        <v>0</v>
      </c>
      <c r="L2253" s="6">
        <v>0</v>
      </c>
      <c r="M2253" s="6">
        <v>0</v>
      </c>
      <c r="N2253" s="6" t="str">
        <f>""</f>
        <v/>
      </c>
      <c r="O2253" s="6">
        <v>25025</v>
      </c>
      <c r="P2253" s="6" t="s">
        <v>9390</v>
      </c>
      <c r="R2253" s="6" t="s">
        <v>9391</v>
      </c>
      <c r="S2253" s="6" t="s">
        <v>9392</v>
      </c>
      <c r="T2253" s="6">
        <v>0</v>
      </c>
      <c r="U2253" s="6">
        <v>0</v>
      </c>
      <c r="V2253" s="6">
        <v>0</v>
      </c>
      <c r="W2253" s="6">
        <v>0</v>
      </c>
      <c r="X2253" s="6" t="s">
        <v>169</v>
      </c>
      <c r="Z2253" s="6" t="s">
        <v>170</v>
      </c>
      <c r="AA2253" s="6" t="s">
        <v>171</v>
      </c>
      <c r="AB2253" s="6">
        <v>0</v>
      </c>
      <c r="AC2253" s="6" t="str">
        <f>""</f>
        <v/>
      </c>
      <c r="AS2253" s="6">
        <v>0</v>
      </c>
      <c r="AT2253" s="6">
        <v>0</v>
      </c>
    </row>
    <row r="2254" spans="2:46">
      <c r="B2254" s="6" t="s">
        <v>110</v>
      </c>
      <c r="D2254" s="6" t="s">
        <v>8189</v>
      </c>
      <c r="F2254" s="6" t="s">
        <v>9393</v>
      </c>
      <c r="G2254" s="6" t="str">
        <f>"JGNSNAKECHOKERSV"</f>
        <v>JGNSNAKECHOKERSV</v>
      </c>
      <c r="H2254" s="6" t="s">
        <v>9394</v>
      </c>
      <c r="I2254" s="6" t="s">
        <v>9395</v>
      </c>
      <c r="J2254" s="6" t="str">
        <f>"JGN-SNAKECHOKERSV"</f>
        <v>JGN-SNAKECHOKERSV</v>
      </c>
      <c r="K2254" s="6">
        <v>0</v>
      </c>
      <c r="L2254" s="6">
        <v>0</v>
      </c>
      <c r="M2254" s="6">
        <v>0</v>
      </c>
      <c r="N2254" s="6" t="str">
        <f>""</f>
        <v/>
      </c>
      <c r="O2254" s="6">
        <v>25023</v>
      </c>
      <c r="P2254" s="6" t="s">
        <v>9395</v>
      </c>
      <c r="R2254" s="6" t="s">
        <v>8872</v>
      </c>
      <c r="S2254" s="6" t="s">
        <v>9396</v>
      </c>
      <c r="T2254" s="6">
        <v>0</v>
      </c>
      <c r="U2254" s="6">
        <v>0</v>
      </c>
      <c r="V2254" s="6">
        <v>0</v>
      </c>
      <c r="W2254" s="6">
        <v>0</v>
      </c>
      <c r="X2254" s="6" t="s">
        <v>169</v>
      </c>
      <c r="Z2254" s="6" t="s">
        <v>170</v>
      </c>
      <c r="AA2254" s="6" t="s">
        <v>171</v>
      </c>
      <c r="AB2254" s="6">
        <v>0</v>
      </c>
      <c r="AC2254" s="6" t="str">
        <f>""</f>
        <v/>
      </c>
      <c r="AS2254" s="6">
        <v>0</v>
      </c>
      <c r="AT2254" s="6">
        <v>0</v>
      </c>
    </row>
    <row r="2255" spans="2:46">
      <c r="B2255" s="6" t="s">
        <v>110</v>
      </c>
      <c r="D2255" s="6" t="s">
        <v>8189</v>
      </c>
      <c r="F2255" s="6" t="s">
        <v>9397</v>
      </c>
      <c r="G2255" s="6" t="str">
        <f>"JGNSNAKECHOKERGD"</f>
        <v>JGNSNAKECHOKERGD</v>
      </c>
      <c r="H2255" s="6" t="s">
        <v>9398</v>
      </c>
      <c r="I2255" s="6" t="s">
        <v>9399</v>
      </c>
      <c r="J2255" s="6" t="str">
        <f>"JGN-SNAKECHOKERGD"</f>
        <v>JGN-SNAKECHOKERGD</v>
      </c>
      <c r="K2255" s="6">
        <v>0</v>
      </c>
      <c r="L2255" s="6">
        <v>0</v>
      </c>
      <c r="M2255" s="6">
        <v>0</v>
      </c>
      <c r="N2255" s="6" t="str">
        <f>""</f>
        <v/>
      </c>
      <c r="O2255" s="6">
        <v>25021</v>
      </c>
      <c r="P2255" s="6" t="s">
        <v>9399</v>
      </c>
      <c r="R2255" s="6" t="s">
        <v>7707</v>
      </c>
      <c r="S2255" s="6" t="s">
        <v>9400</v>
      </c>
      <c r="T2255" s="6">
        <v>0</v>
      </c>
      <c r="U2255" s="6">
        <v>0</v>
      </c>
      <c r="V2255" s="6">
        <v>0</v>
      </c>
      <c r="W2255" s="6">
        <v>0</v>
      </c>
      <c r="X2255" s="6" t="s">
        <v>169</v>
      </c>
      <c r="Z2255" s="6" t="s">
        <v>170</v>
      </c>
      <c r="AA2255" s="6" t="s">
        <v>171</v>
      </c>
      <c r="AB2255" s="6">
        <v>0</v>
      </c>
      <c r="AC2255" s="6" t="str">
        <f>""</f>
        <v/>
      </c>
      <c r="AS2255" s="6">
        <v>0</v>
      </c>
      <c r="AT2255" s="6">
        <v>0</v>
      </c>
    </row>
    <row r="2256" spans="2:46">
      <c r="B2256" s="6" t="s">
        <v>110</v>
      </c>
      <c r="D2256" s="6" t="s">
        <v>8189</v>
      </c>
      <c r="F2256" s="6" t="s">
        <v>9401</v>
      </c>
      <c r="G2256" s="6" t="str">
        <f>"JGBTWIN124801BK"</f>
        <v>JGBTWIN124801BK</v>
      </c>
      <c r="H2256" s="6" t="s">
        <v>9402</v>
      </c>
      <c r="I2256" s="6" t="s">
        <v>9403</v>
      </c>
      <c r="J2256" s="6" t="str">
        <f>"JGB-TWIN124801BK"</f>
        <v>JGB-TWIN124801BK</v>
      </c>
      <c r="K2256" s="6">
        <v>0</v>
      </c>
      <c r="L2256" s="6">
        <v>0</v>
      </c>
      <c r="M2256" s="6">
        <v>0</v>
      </c>
      <c r="N2256" s="6" t="str">
        <f>""</f>
        <v/>
      </c>
      <c r="O2256" s="6">
        <v>25019</v>
      </c>
      <c r="P2256" s="6" t="s">
        <v>9403</v>
      </c>
      <c r="R2256" s="6" t="s">
        <v>5066</v>
      </c>
      <c r="S2256" s="6" t="s">
        <v>9404</v>
      </c>
      <c r="T2256" s="6">
        <v>0</v>
      </c>
      <c r="U2256" s="6">
        <v>0</v>
      </c>
      <c r="V2256" s="6">
        <v>0</v>
      </c>
      <c r="W2256" s="6">
        <v>0</v>
      </c>
      <c r="X2256" s="6" t="s">
        <v>169</v>
      </c>
      <c r="Z2256" s="6" t="s">
        <v>170</v>
      </c>
      <c r="AA2256" s="6" t="s">
        <v>171</v>
      </c>
      <c r="AB2256" s="6">
        <v>0</v>
      </c>
      <c r="AC2256" s="6" t="str">
        <f>""</f>
        <v/>
      </c>
      <c r="AS2256" s="6">
        <v>0</v>
      </c>
      <c r="AT2256" s="6">
        <v>0</v>
      </c>
    </row>
    <row r="2257" spans="2:46">
      <c r="B2257" s="6" t="s">
        <v>110</v>
      </c>
      <c r="D2257" s="6" t="s">
        <v>8189</v>
      </c>
      <c r="F2257" s="6" t="s">
        <v>9405</v>
      </c>
      <c r="G2257" s="6" t="str">
        <f>"JGBTWIN124801RD"</f>
        <v>JGBTWIN124801RD</v>
      </c>
      <c r="H2257" s="6" t="s">
        <v>9406</v>
      </c>
      <c r="I2257" s="6" t="s">
        <v>9407</v>
      </c>
      <c r="J2257" s="6" t="str">
        <f>"JGB-TWIN124801RD"</f>
        <v>JGB-TWIN124801RD</v>
      </c>
      <c r="K2257" s="6">
        <v>0</v>
      </c>
      <c r="L2257" s="6">
        <v>0</v>
      </c>
      <c r="M2257" s="6">
        <v>0</v>
      </c>
      <c r="N2257" s="6" t="str">
        <f>""</f>
        <v/>
      </c>
      <c r="O2257" s="6">
        <v>25017</v>
      </c>
      <c r="P2257" s="6" t="s">
        <v>9407</v>
      </c>
      <c r="R2257" s="6" t="s">
        <v>7702</v>
      </c>
      <c r="S2257" s="6" t="s">
        <v>9408</v>
      </c>
      <c r="T2257" s="6">
        <v>0</v>
      </c>
      <c r="U2257" s="6">
        <v>0</v>
      </c>
      <c r="V2257" s="6">
        <v>0</v>
      </c>
      <c r="W2257" s="6">
        <v>0</v>
      </c>
      <c r="X2257" s="6" t="s">
        <v>169</v>
      </c>
      <c r="Z2257" s="6" t="s">
        <v>170</v>
      </c>
      <c r="AA2257" s="6" t="s">
        <v>171</v>
      </c>
      <c r="AB2257" s="6">
        <v>0</v>
      </c>
      <c r="AC2257" s="6" t="str">
        <f>""</f>
        <v/>
      </c>
      <c r="AS2257" s="6">
        <v>0</v>
      </c>
      <c r="AT2257" s="6">
        <v>0</v>
      </c>
    </row>
    <row r="2258" spans="2:46">
      <c r="B2258" s="6" t="s">
        <v>110</v>
      </c>
      <c r="D2258" s="6" t="s">
        <v>8189</v>
      </c>
      <c r="F2258" s="6" t="s">
        <v>9409</v>
      </c>
      <c r="G2258" s="6" t="str">
        <f>"JGBTWIN124801WT"</f>
        <v>JGBTWIN124801WT</v>
      </c>
      <c r="H2258" s="6" t="s">
        <v>9410</v>
      </c>
      <c r="I2258" s="6" t="s">
        <v>9411</v>
      </c>
      <c r="J2258" s="6" t="str">
        <f>"JGB-TWIN124801WT"</f>
        <v>JGB-TWIN124801WT</v>
      </c>
      <c r="K2258" s="6">
        <v>0</v>
      </c>
      <c r="L2258" s="6">
        <v>0</v>
      </c>
      <c r="M2258" s="6">
        <v>0</v>
      </c>
      <c r="N2258" s="6" t="str">
        <f>""</f>
        <v/>
      </c>
      <c r="O2258" s="6">
        <v>25015</v>
      </c>
      <c r="P2258" s="6" t="s">
        <v>9411</v>
      </c>
      <c r="R2258" s="6" t="s">
        <v>5061</v>
      </c>
      <c r="S2258" s="6" t="s">
        <v>9412</v>
      </c>
      <c r="T2258" s="6">
        <v>0</v>
      </c>
      <c r="U2258" s="6">
        <v>0</v>
      </c>
      <c r="V2258" s="6">
        <v>0</v>
      </c>
      <c r="W2258" s="6">
        <v>0</v>
      </c>
      <c r="X2258" s="6" t="s">
        <v>169</v>
      </c>
      <c r="Z2258" s="6" t="s">
        <v>170</v>
      </c>
      <c r="AA2258" s="6" t="s">
        <v>171</v>
      </c>
      <c r="AB2258" s="6">
        <v>0</v>
      </c>
      <c r="AC2258" s="6" t="str">
        <f>""</f>
        <v/>
      </c>
      <c r="AS2258" s="6">
        <v>0</v>
      </c>
      <c r="AT2258" s="6">
        <v>0</v>
      </c>
    </row>
    <row r="2259" spans="2:46">
      <c r="B2259" s="6" t="s">
        <v>110</v>
      </c>
      <c r="D2259" s="6" t="s">
        <v>8189</v>
      </c>
      <c r="F2259" s="6" t="s">
        <v>9413</v>
      </c>
      <c r="G2259" s="6" t="str">
        <f>"JGETWIN123201BK"</f>
        <v>JGETWIN123201BK</v>
      </c>
      <c r="H2259" s="6" t="s">
        <v>9414</v>
      </c>
      <c r="I2259" s="6" t="s">
        <v>9415</v>
      </c>
      <c r="J2259" s="6" t="str">
        <f>"JGE-TWIN123201BK"</f>
        <v>JGE-TWIN123201BK</v>
      </c>
      <c r="K2259" s="6">
        <v>0</v>
      </c>
      <c r="L2259" s="6">
        <v>0</v>
      </c>
      <c r="M2259" s="6">
        <v>0</v>
      </c>
      <c r="N2259" s="6" t="str">
        <f>""</f>
        <v/>
      </c>
      <c r="O2259" s="6">
        <v>25013</v>
      </c>
      <c r="P2259" s="6" t="s">
        <v>9415</v>
      </c>
      <c r="R2259" s="6" t="s">
        <v>5066</v>
      </c>
      <c r="S2259" s="6" t="s">
        <v>9416</v>
      </c>
      <c r="T2259" s="6">
        <v>0</v>
      </c>
      <c r="U2259" s="6">
        <v>0</v>
      </c>
      <c r="V2259" s="6">
        <v>0</v>
      </c>
      <c r="W2259" s="6">
        <v>0</v>
      </c>
      <c r="X2259" s="6" t="s">
        <v>169</v>
      </c>
      <c r="Z2259" s="6" t="s">
        <v>170</v>
      </c>
      <c r="AA2259" s="6" t="s">
        <v>171</v>
      </c>
      <c r="AB2259" s="6">
        <v>0</v>
      </c>
      <c r="AC2259" s="6" t="str">
        <f>""</f>
        <v/>
      </c>
      <c r="AS2259" s="6">
        <v>0</v>
      </c>
      <c r="AT2259" s="6">
        <v>0</v>
      </c>
    </row>
    <row r="2260" spans="2:46">
      <c r="B2260" s="6" t="s">
        <v>110</v>
      </c>
      <c r="D2260" s="6" t="s">
        <v>8189</v>
      </c>
      <c r="F2260" s="6" t="s">
        <v>9417</v>
      </c>
      <c r="G2260" s="6" t="str">
        <f>"JGETWIN123201RD"</f>
        <v>JGETWIN123201RD</v>
      </c>
      <c r="H2260" s="6" t="s">
        <v>9418</v>
      </c>
      <c r="I2260" s="6" t="s">
        <v>9419</v>
      </c>
      <c r="J2260" s="6" t="str">
        <f>"JGE-TWIN123201RD"</f>
        <v>JGE-TWIN123201RD</v>
      </c>
      <c r="K2260" s="6">
        <v>0</v>
      </c>
      <c r="L2260" s="6">
        <v>0</v>
      </c>
      <c r="M2260" s="6">
        <v>0</v>
      </c>
      <c r="N2260" s="6" t="str">
        <f>""</f>
        <v/>
      </c>
      <c r="O2260" s="6">
        <v>25011</v>
      </c>
      <c r="P2260" s="6" t="s">
        <v>9419</v>
      </c>
      <c r="R2260" s="6" t="s">
        <v>7702</v>
      </c>
      <c r="S2260" s="6" t="s">
        <v>9420</v>
      </c>
      <c r="T2260" s="6">
        <v>0</v>
      </c>
      <c r="U2260" s="6">
        <v>0</v>
      </c>
      <c r="V2260" s="6">
        <v>0</v>
      </c>
      <c r="W2260" s="6">
        <v>0</v>
      </c>
      <c r="X2260" s="6" t="s">
        <v>169</v>
      </c>
      <c r="Z2260" s="6" t="s">
        <v>170</v>
      </c>
      <c r="AA2260" s="6" t="s">
        <v>171</v>
      </c>
      <c r="AB2260" s="6">
        <v>0</v>
      </c>
      <c r="AC2260" s="6" t="str">
        <f>""</f>
        <v/>
      </c>
      <c r="AS2260" s="6">
        <v>0</v>
      </c>
      <c r="AT2260" s="6">
        <v>0</v>
      </c>
    </row>
    <row r="2261" spans="2:46">
      <c r="B2261" s="6" t="s">
        <v>110</v>
      </c>
      <c r="D2261" s="6" t="s">
        <v>8189</v>
      </c>
      <c r="F2261" s="6" t="s">
        <v>9421</v>
      </c>
      <c r="G2261" s="6" t="str">
        <f>"JGETWIN123201WT"</f>
        <v>JGETWIN123201WT</v>
      </c>
      <c r="H2261" s="6" t="s">
        <v>9422</v>
      </c>
      <c r="I2261" s="6" t="s">
        <v>9423</v>
      </c>
      <c r="J2261" s="6" t="str">
        <f>"JGE-TWIN123201WT"</f>
        <v>JGE-TWIN123201WT</v>
      </c>
      <c r="K2261" s="6">
        <v>0</v>
      </c>
      <c r="L2261" s="6">
        <v>0</v>
      </c>
      <c r="M2261" s="6">
        <v>0</v>
      </c>
      <c r="N2261" s="6" t="str">
        <f>""</f>
        <v/>
      </c>
      <c r="O2261" s="6">
        <v>25009</v>
      </c>
      <c r="P2261" s="6" t="s">
        <v>9423</v>
      </c>
      <c r="R2261" s="6" t="s">
        <v>5061</v>
      </c>
      <c r="S2261" s="6" t="s">
        <v>9424</v>
      </c>
      <c r="T2261" s="6">
        <v>0</v>
      </c>
      <c r="U2261" s="6">
        <v>0</v>
      </c>
      <c r="V2261" s="6">
        <v>0</v>
      </c>
      <c r="W2261" s="6">
        <v>0</v>
      </c>
      <c r="X2261" s="6" t="s">
        <v>169</v>
      </c>
      <c r="Z2261" s="6" t="s">
        <v>170</v>
      </c>
      <c r="AA2261" s="6" t="s">
        <v>171</v>
      </c>
      <c r="AB2261" s="6">
        <v>0</v>
      </c>
      <c r="AC2261" s="6" t="str">
        <f>""</f>
        <v/>
      </c>
      <c r="AS2261" s="6">
        <v>0</v>
      </c>
      <c r="AT2261" s="6">
        <v>0</v>
      </c>
    </row>
    <row r="2262" spans="2:46">
      <c r="B2262" s="6" t="s">
        <v>110</v>
      </c>
      <c r="D2262" s="6" t="s">
        <v>8189</v>
      </c>
      <c r="F2262" s="6" t="s">
        <v>9425</v>
      </c>
      <c r="G2262" s="6" t="str">
        <f>"JGUSAR121001RG"</f>
        <v>JGUSAR121001RG</v>
      </c>
      <c r="H2262" s="6" t="s">
        <v>9426</v>
      </c>
      <c r="I2262" s="6" t="s">
        <v>9427</v>
      </c>
      <c r="J2262" s="6" t="str">
        <f>"JG-USAR121001RG"</f>
        <v>JG-USAR121001RG</v>
      </c>
      <c r="K2262" s="6">
        <v>0</v>
      </c>
      <c r="L2262" s="6">
        <v>0</v>
      </c>
      <c r="M2262" s="6">
        <v>0</v>
      </c>
      <c r="N2262" s="6" t="str">
        <f>""</f>
        <v/>
      </c>
      <c r="O2262" s="6">
        <v>25007</v>
      </c>
      <c r="P2262" s="6" t="s">
        <v>9427</v>
      </c>
      <c r="R2262" s="6" t="s">
        <v>9391</v>
      </c>
      <c r="S2262" s="6" t="s">
        <v>9428</v>
      </c>
      <c r="T2262" s="6">
        <v>0</v>
      </c>
      <c r="U2262" s="6">
        <v>0</v>
      </c>
      <c r="V2262" s="6">
        <v>0</v>
      </c>
      <c r="W2262" s="6">
        <v>0</v>
      </c>
      <c r="X2262" s="6" t="s">
        <v>169</v>
      </c>
      <c r="Z2262" s="6" t="s">
        <v>170</v>
      </c>
      <c r="AA2262" s="6" t="s">
        <v>171</v>
      </c>
      <c r="AB2262" s="6">
        <v>0</v>
      </c>
      <c r="AC2262" s="6" t="str">
        <f>""</f>
        <v/>
      </c>
      <c r="AS2262" s="6">
        <v>0</v>
      </c>
      <c r="AT2262" s="6">
        <v>0</v>
      </c>
    </row>
    <row r="2263" spans="2:46">
      <c r="B2263" s="6" t="s">
        <v>110</v>
      </c>
      <c r="D2263" s="6" t="s">
        <v>8189</v>
      </c>
      <c r="F2263" s="6" t="s">
        <v>9429</v>
      </c>
      <c r="G2263" s="6" t="str">
        <f>"JGUSAR121001SV"</f>
        <v>JGUSAR121001SV</v>
      </c>
      <c r="H2263" s="6" t="s">
        <v>9430</v>
      </c>
      <c r="I2263" s="6" t="s">
        <v>9431</v>
      </c>
      <c r="J2263" s="6" t="str">
        <f>"JG-USAR121001SV"</f>
        <v>JG-USAR121001SV</v>
      </c>
      <c r="K2263" s="6">
        <v>0</v>
      </c>
      <c r="L2263" s="6">
        <v>0</v>
      </c>
      <c r="M2263" s="6">
        <v>0</v>
      </c>
      <c r="N2263" s="6" t="str">
        <f>""</f>
        <v/>
      </c>
      <c r="O2263" s="6">
        <v>25005</v>
      </c>
      <c r="P2263" s="6" t="s">
        <v>9431</v>
      </c>
      <c r="R2263" s="6" t="s">
        <v>8872</v>
      </c>
      <c r="S2263" s="6" t="s">
        <v>9432</v>
      </c>
      <c r="T2263" s="6">
        <v>0</v>
      </c>
      <c r="U2263" s="6">
        <v>0</v>
      </c>
      <c r="V2263" s="6">
        <v>0</v>
      </c>
      <c r="W2263" s="6">
        <v>0</v>
      </c>
      <c r="X2263" s="6" t="s">
        <v>169</v>
      </c>
      <c r="Z2263" s="6" t="s">
        <v>170</v>
      </c>
      <c r="AA2263" s="6" t="s">
        <v>171</v>
      </c>
      <c r="AB2263" s="6">
        <v>0</v>
      </c>
      <c r="AC2263" s="6" t="str">
        <f>""</f>
        <v/>
      </c>
      <c r="AS2263" s="6">
        <v>0</v>
      </c>
      <c r="AT2263" s="6">
        <v>0</v>
      </c>
    </row>
    <row r="2264" spans="2:46">
      <c r="B2264" s="6" t="s">
        <v>110</v>
      </c>
      <c r="D2264" s="6" t="s">
        <v>8189</v>
      </c>
      <c r="F2264" s="6" t="s">
        <v>9433</v>
      </c>
      <c r="G2264" s="6" t="str">
        <f>"JGUSAR121001GD"</f>
        <v>JGUSAR121001GD</v>
      </c>
      <c r="H2264" s="6" t="s">
        <v>9434</v>
      </c>
      <c r="I2264" s="6" t="s">
        <v>9435</v>
      </c>
      <c r="J2264" s="6" t="str">
        <f>"JG-USAR121001GD"</f>
        <v>JG-USAR121001GD</v>
      </c>
      <c r="K2264" s="6">
        <v>0</v>
      </c>
      <c r="L2264" s="6">
        <v>0</v>
      </c>
      <c r="M2264" s="6">
        <v>0</v>
      </c>
      <c r="N2264" s="6" t="str">
        <f>""</f>
        <v/>
      </c>
      <c r="O2264" s="6">
        <v>25003</v>
      </c>
      <c r="P2264" s="6" t="s">
        <v>9435</v>
      </c>
      <c r="R2264" s="6" t="s">
        <v>7707</v>
      </c>
      <c r="S2264" s="6" t="s">
        <v>9436</v>
      </c>
      <c r="T2264" s="6">
        <v>0</v>
      </c>
      <c r="U2264" s="6">
        <v>0</v>
      </c>
      <c r="V2264" s="6">
        <v>0</v>
      </c>
      <c r="W2264" s="6">
        <v>0</v>
      </c>
      <c r="X2264" s="6" t="s">
        <v>169</v>
      </c>
      <c r="Z2264" s="6" t="s">
        <v>170</v>
      </c>
      <c r="AA2264" s="6" t="s">
        <v>171</v>
      </c>
      <c r="AB2264" s="6">
        <v>0</v>
      </c>
      <c r="AC2264" s="6" t="str">
        <f>""</f>
        <v/>
      </c>
      <c r="AS2264" s="6">
        <v>0</v>
      </c>
      <c r="AT2264" s="6">
        <v>0</v>
      </c>
    </row>
    <row r="2265" spans="2:46">
      <c r="B2265" s="6" t="s">
        <v>110</v>
      </c>
      <c r="D2265" s="6" t="s">
        <v>8189</v>
      </c>
      <c r="F2265" s="6" t="s">
        <v>9437</v>
      </c>
      <c r="G2265" s="6" t="str">
        <f>"JGUSAR122002RG"</f>
        <v>JGUSAR122002RG</v>
      </c>
      <c r="H2265" s="6" t="s">
        <v>9438</v>
      </c>
      <c r="I2265" s="6" t="s">
        <v>9439</v>
      </c>
      <c r="J2265" s="6" t="str">
        <f>"JG-USAR122002RG"</f>
        <v>JG-USAR122002RG</v>
      </c>
      <c r="K2265" s="6">
        <v>0</v>
      </c>
      <c r="L2265" s="6">
        <v>0</v>
      </c>
      <c r="M2265" s="6">
        <v>0</v>
      </c>
      <c r="N2265" s="6" t="str">
        <f>""</f>
        <v/>
      </c>
      <c r="O2265" s="6">
        <v>25001</v>
      </c>
      <c r="P2265" s="6" t="s">
        <v>9439</v>
      </c>
      <c r="R2265" s="6" t="s">
        <v>9391</v>
      </c>
      <c r="S2265" s="6" t="s">
        <v>9440</v>
      </c>
      <c r="T2265" s="6">
        <v>0</v>
      </c>
      <c r="U2265" s="6">
        <v>0</v>
      </c>
      <c r="V2265" s="6">
        <v>0</v>
      </c>
      <c r="W2265" s="6">
        <v>0</v>
      </c>
      <c r="X2265" s="6" t="s">
        <v>169</v>
      </c>
      <c r="Z2265" s="6" t="s">
        <v>170</v>
      </c>
      <c r="AA2265" s="6" t="s">
        <v>171</v>
      </c>
      <c r="AB2265" s="6">
        <v>0</v>
      </c>
      <c r="AC2265" s="6" t="str">
        <f>""</f>
        <v/>
      </c>
      <c r="AS2265" s="6">
        <v>0</v>
      </c>
      <c r="AT2265" s="6">
        <v>0</v>
      </c>
    </row>
    <row r="2266" spans="2:46">
      <c r="B2266" s="6" t="s">
        <v>110</v>
      </c>
      <c r="D2266" s="6" t="s">
        <v>8189</v>
      </c>
      <c r="F2266" s="6" t="s">
        <v>9441</v>
      </c>
      <c r="G2266" s="6" t="str">
        <f>"JGUSAR122002SV"</f>
        <v>JGUSAR122002SV</v>
      </c>
      <c r="H2266" s="6" t="s">
        <v>9442</v>
      </c>
      <c r="I2266" s="6" t="s">
        <v>9443</v>
      </c>
      <c r="J2266" s="6" t="str">
        <f>"JG-USAR122002SV"</f>
        <v>JG-USAR122002SV</v>
      </c>
      <c r="K2266" s="6">
        <v>0</v>
      </c>
      <c r="L2266" s="6">
        <v>0</v>
      </c>
      <c r="M2266" s="6">
        <v>0</v>
      </c>
      <c r="N2266" s="6" t="str">
        <f>""</f>
        <v/>
      </c>
      <c r="O2266" s="6">
        <v>24999</v>
      </c>
      <c r="P2266" s="6" t="s">
        <v>9443</v>
      </c>
      <c r="R2266" s="6" t="s">
        <v>8872</v>
      </c>
      <c r="S2266" s="6" t="s">
        <v>9444</v>
      </c>
      <c r="T2266" s="6">
        <v>0</v>
      </c>
      <c r="U2266" s="6">
        <v>0</v>
      </c>
      <c r="V2266" s="6">
        <v>0</v>
      </c>
      <c r="W2266" s="6">
        <v>0</v>
      </c>
      <c r="X2266" s="6" t="s">
        <v>169</v>
      </c>
      <c r="Z2266" s="6" t="s">
        <v>170</v>
      </c>
      <c r="AA2266" s="6" t="s">
        <v>171</v>
      </c>
      <c r="AB2266" s="6">
        <v>0</v>
      </c>
      <c r="AC2266" s="6" t="str">
        <f>""</f>
        <v/>
      </c>
      <c r="AS2266" s="6">
        <v>0</v>
      </c>
      <c r="AT2266" s="6">
        <v>0</v>
      </c>
    </row>
    <row r="2267" spans="2:46">
      <c r="B2267" s="6" t="s">
        <v>110</v>
      </c>
      <c r="D2267" s="6" t="s">
        <v>8189</v>
      </c>
      <c r="F2267" s="6" t="s">
        <v>9445</v>
      </c>
      <c r="G2267" s="6" t="str">
        <f>"JGUSAR122002GD"</f>
        <v>JGUSAR122002GD</v>
      </c>
      <c r="H2267" s="6" t="s">
        <v>9446</v>
      </c>
      <c r="I2267" s="6" t="s">
        <v>9447</v>
      </c>
      <c r="J2267" s="6" t="str">
        <f>"JG-USAR122002GD"</f>
        <v>JG-USAR122002GD</v>
      </c>
      <c r="K2267" s="6">
        <v>0</v>
      </c>
      <c r="L2267" s="6">
        <v>0</v>
      </c>
      <c r="M2267" s="6">
        <v>0</v>
      </c>
      <c r="N2267" s="6" t="str">
        <f>""</f>
        <v/>
      </c>
      <c r="O2267" s="6">
        <v>24997</v>
      </c>
      <c r="P2267" s="6" t="s">
        <v>9447</v>
      </c>
      <c r="R2267" s="6" t="s">
        <v>7707</v>
      </c>
      <c r="S2267" s="6" t="s">
        <v>9448</v>
      </c>
      <c r="T2267" s="6">
        <v>0</v>
      </c>
      <c r="U2267" s="6">
        <v>0</v>
      </c>
      <c r="V2267" s="6">
        <v>0</v>
      </c>
      <c r="W2267" s="6">
        <v>0</v>
      </c>
      <c r="X2267" s="6" t="s">
        <v>169</v>
      </c>
      <c r="Z2267" s="6" t="s">
        <v>170</v>
      </c>
      <c r="AA2267" s="6" t="s">
        <v>171</v>
      </c>
      <c r="AB2267" s="6">
        <v>0</v>
      </c>
      <c r="AC2267" s="6" t="str">
        <f>""</f>
        <v/>
      </c>
      <c r="AS2267" s="6">
        <v>0</v>
      </c>
      <c r="AT2267" s="6">
        <v>0</v>
      </c>
    </row>
    <row r="2268" spans="2:46">
      <c r="B2268" s="6" t="s">
        <v>110</v>
      </c>
      <c r="D2268" s="6" t="s">
        <v>8189</v>
      </c>
      <c r="F2268" s="6" t="s">
        <v>9449</v>
      </c>
      <c r="G2268" s="6" t="str">
        <f>"JGUSAR122001RG"</f>
        <v>JGUSAR122001RG</v>
      </c>
      <c r="H2268" s="6" t="s">
        <v>9450</v>
      </c>
      <c r="I2268" s="6" t="s">
        <v>9451</v>
      </c>
      <c r="J2268" s="6" t="str">
        <f>"JG-USAR122001RG"</f>
        <v>JG-USAR122001RG</v>
      </c>
      <c r="K2268" s="6">
        <v>0</v>
      </c>
      <c r="L2268" s="6">
        <v>0</v>
      </c>
      <c r="M2268" s="6">
        <v>0</v>
      </c>
      <c r="N2268" s="6" t="str">
        <f>""</f>
        <v/>
      </c>
      <c r="O2268" s="6">
        <v>24995</v>
      </c>
      <c r="P2268" s="6" t="s">
        <v>9451</v>
      </c>
      <c r="R2268" s="6" t="s">
        <v>9391</v>
      </c>
      <c r="S2268" s="6" t="s">
        <v>9452</v>
      </c>
      <c r="T2268" s="6">
        <v>0</v>
      </c>
      <c r="U2268" s="6">
        <v>0</v>
      </c>
      <c r="V2268" s="6">
        <v>0</v>
      </c>
      <c r="W2268" s="6">
        <v>0</v>
      </c>
      <c r="X2268" s="6" t="s">
        <v>169</v>
      </c>
      <c r="Z2268" s="6" t="s">
        <v>170</v>
      </c>
      <c r="AA2268" s="6" t="s">
        <v>171</v>
      </c>
      <c r="AB2268" s="6">
        <v>0</v>
      </c>
      <c r="AC2268" s="6" t="str">
        <f>""</f>
        <v/>
      </c>
      <c r="AS2268" s="6">
        <v>0</v>
      </c>
      <c r="AT2268" s="6">
        <v>0</v>
      </c>
    </row>
    <row r="2269" spans="2:46">
      <c r="B2269" s="6" t="s">
        <v>110</v>
      </c>
      <c r="D2269" s="6" t="s">
        <v>8189</v>
      </c>
      <c r="F2269" s="6" t="s">
        <v>9453</v>
      </c>
      <c r="G2269" s="6" t="str">
        <f>"JGUSAR122001SV"</f>
        <v>JGUSAR122001SV</v>
      </c>
      <c r="H2269" s="6" t="s">
        <v>9454</v>
      </c>
      <c r="I2269" s="6" t="s">
        <v>9455</v>
      </c>
      <c r="J2269" s="6" t="str">
        <f>"JG-USAR122001SV"</f>
        <v>JG-USAR122001SV</v>
      </c>
      <c r="K2269" s="6">
        <v>0</v>
      </c>
      <c r="L2269" s="6">
        <v>0</v>
      </c>
      <c r="M2269" s="6">
        <v>0</v>
      </c>
      <c r="N2269" s="6" t="str">
        <f>""</f>
        <v/>
      </c>
      <c r="O2269" s="6">
        <v>24993</v>
      </c>
      <c r="P2269" s="6" t="s">
        <v>9455</v>
      </c>
      <c r="R2269" s="6" t="s">
        <v>8872</v>
      </c>
      <c r="S2269" s="6" t="s">
        <v>9456</v>
      </c>
      <c r="T2269" s="6">
        <v>0</v>
      </c>
      <c r="U2269" s="6">
        <v>0</v>
      </c>
      <c r="V2269" s="6">
        <v>0</v>
      </c>
      <c r="W2269" s="6">
        <v>0</v>
      </c>
      <c r="X2269" s="6" t="s">
        <v>169</v>
      </c>
      <c r="Z2269" s="6" t="s">
        <v>170</v>
      </c>
      <c r="AA2269" s="6" t="s">
        <v>171</v>
      </c>
      <c r="AB2269" s="6">
        <v>0</v>
      </c>
      <c r="AC2269" s="6" t="str">
        <f>""</f>
        <v/>
      </c>
      <c r="AS2269" s="6">
        <v>0</v>
      </c>
      <c r="AT2269" s="6">
        <v>0</v>
      </c>
    </row>
    <row r="2270" spans="2:46">
      <c r="B2270" s="6" t="s">
        <v>110</v>
      </c>
      <c r="D2270" s="6" t="s">
        <v>8189</v>
      </c>
      <c r="F2270" s="6" t="s">
        <v>9457</v>
      </c>
      <c r="G2270" s="6" t="str">
        <f>"JGUSAR122001GD"</f>
        <v>JGUSAR122001GD</v>
      </c>
      <c r="H2270" s="6" t="s">
        <v>9458</v>
      </c>
      <c r="I2270" s="6" t="s">
        <v>9459</v>
      </c>
      <c r="J2270" s="6" t="str">
        <f>"JG-USAR122001GD"</f>
        <v>JG-USAR122001GD</v>
      </c>
      <c r="K2270" s="6">
        <v>0</v>
      </c>
      <c r="L2270" s="6">
        <v>0</v>
      </c>
      <c r="M2270" s="6">
        <v>0</v>
      </c>
      <c r="N2270" s="6" t="str">
        <f>""</f>
        <v/>
      </c>
      <c r="O2270" s="6">
        <v>24991</v>
      </c>
      <c r="P2270" s="6" t="s">
        <v>9459</v>
      </c>
      <c r="R2270" s="6" t="s">
        <v>7707</v>
      </c>
      <c r="S2270" s="6" t="s">
        <v>9460</v>
      </c>
      <c r="T2270" s="6">
        <v>0</v>
      </c>
      <c r="U2270" s="6">
        <v>0</v>
      </c>
      <c r="V2270" s="6">
        <v>0</v>
      </c>
      <c r="W2270" s="6">
        <v>0</v>
      </c>
      <c r="X2270" s="6" t="s">
        <v>169</v>
      </c>
      <c r="Z2270" s="6" t="s">
        <v>170</v>
      </c>
      <c r="AA2270" s="6" t="s">
        <v>171</v>
      </c>
      <c r="AB2270" s="6">
        <v>0</v>
      </c>
      <c r="AC2270" s="6" t="str">
        <f>""</f>
        <v/>
      </c>
      <c r="AS2270" s="6">
        <v>0</v>
      </c>
      <c r="AT2270" s="6">
        <v>0</v>
      </c>
    </row>
    <row r="2271" spans="2:46">
      <c r="B2271" s="6" t="s">
        <v>110</v>
      </c>
      <c r="D2271" s="6" t="s">
        <v>8189</v>
      </c>
      <c r="F2271" s="6" t="s">
        <v>9461</v>
      </c>
      <c r="G2271" s="6" t="str">
        <f>"JGUSAE122004SV"</f>
        <v>JGUSAE122004SV</v>
      </c>
      <c r="H2271" s="6" t="s">
        <v>9462</v>
      </c>
      <c r="I2271" s="6" t="s">
        <v>9463</v>
      </c>
      <c r="J2271" s="6" t="str">
        <f>"JG-USAE122004SV"</f>
        <v>JG-USAE122004SV</v>
      </c>
      <c r="K2271" s="6">
        <v>0</v>
      </c>
      <c r="L2271" s="6">
        <v>0</v>
      </c>
      <c r="M2271" s="6">
        <v>0</v>
      </c>
      <c r="N2271" s="6" t="str">
        <f>""</f>
        <v/>
      </c>
      <c r="O2271" s="6">
        <v>24989</v>
      </c>
      <c r="P2271" s="6" t="s">
        <v>9463</v>
      </c>
      <c r="R2271" s="6" t="s">
        <v>8872</v>
      </c>
      <c r="S2271" s="6" t="s">
        <v>9464</v>
      </c>
      <c r="T2271" s="6">
        <v>0</v>
      </c>
      <c r="U2271" s="6">
        <v>0</v>
      </c>
      <c r="V2271" s="6">
        <v>0</v>
      </c>
      <c r="W2271" s="6">
        <v>0</v>
      </c>
      <c r="X2271" s="6" t="s">
        <v>169</v>
      </c>
      <c r="Z2271" s="6" t="s">
        <v>170</v>
      </c>
      <c r="AA2271" s="6" t="s">
        <v>171</v>
      </c>
      <c r="AB2271" s="6">
        <v>0</v>
      </c>
      <c r="AC2271" s="6" t="str">
        <f>""</f>
        <v/>
      </c>
      <c r="AS2271" s="6">
        <v>0</v>
      </c>
      <c r="AT2271" s="6">
        <v>0</v>
      </c>
    </row>
    <row r="2272" spans="2:46">
      <c r="B2272" s="6" t="s">
        <v>110</v>
      </c>
      <c r="D2272" s="6" t="s">
        <v>8189</v>
      </c>
      <c r="F2272" s="6" t="s">
        <v>9465</v>
      </c>
      <c r="G2272" s="6" t="str">
        <f>"JGUSAE122004GD"</f>
        <v>JGUSAE122004GD</v>
      </c>
      <c r="H2272" s="6" t="s">
        <v>9466</v>
      </c>
      <c r="I2272" s="6" t="s">
        <v>9467</v>
      </c>
      <c r="J2272" s="6" t="str">
        <f>"JG-USAE122004GD"</f>
        <v>JG-USAE122004GD</v>
      </c>
      <c r="K2272" s="6">
        <v>0</v>
      </c>
      <c r="L2272" s="6">
        <v>0</v>
      </c>
      <c r="M2272" s="6">
        <v>0</v>
      </c>
      <c r="N2272" s="6" t="str">
        <f>""</f>
        <v/>
      </c>
      <c r="O2272" s="6">
        <v>24987</v>
      </c>
      <c r="P2272" s="6" t="s">
        <v>9467</v>
      </c>
      <c r="R2272" s="6" t="s">
        <v>7707</v>
      </c>
      <c r="S2272" s="6" t="s">
        <v>9468</v>
      </c>
      <c r="T2272" s="6">
        <v>0</v>
      </c>
      <c r="U2272" s="6">
        <v>0</v>
      </c>
      <c r="V2272" s="6">
        <v>0</v>
      </c>
      <c r="W2272" s="6">
        <v>0</v>
      </c>
      <c r="X2272" s="6" t="s">
        <v>169</v>
      </c>
      <c r="Z2272" s="6" t="s">
        <v>170</v>
      </c>
      <c r="AA2272" s="6" t="s">
        <v>171</v>
      </c>
      <c r="AB2272" s="6">
        <v>0</v>
      </c>
      <c r="AC2272" s="6" t="str">
        <f>""</f>
        <v/>
      </c>
      <c r="AS2272" s="6">
        <v>0</v>
      </c>
      <c r="AT2272" s="6">
        <v>0</v>
      </c>
    </row>
    <row r="2273" spans="2:46">
      <c r="B2273" s="6" t="s">
        <v>110</v>
      </c>
      <c r="D2273" s="6" t="s">
        <v>8189</v>
      </c>
      <c r="F2273" s="6" t="s">
        <v>9469</v>
      </c>
      <c r="G2273" s="6" t="str">
        <f>"JGUSAE122003RG"</f>
        <v>JGUSAE122003RG</v>
      </c>
      <c r="H2273" s="6" t="s">
        <v>9470</v>
      </c>
      <c r="I2273" s="6" t="s">
        <v>9471</v>
      </c>
      <c r="J2273" s="6" t="str">
        <f>"JG-USAE122003RG"</f>
        <v>JG-USAE122003RG</v>
      </c>
      <c r="K2273" s="6">
        <v>0</v>
      </c>
      <c r="L2273" s="6">
        <v>0</v>
      </c>
      <c r="M2273" s="6">
        <v>0</v>
      </c>
      <c r="N2273" s="6" t="str">
        <f>""</f>
        <v/>
      </c>
      <c r="O2273" s="6">
        <v>24985</v>
      </c>
      <c r="P2273" s="6" t="s">
        <v>9471</v>
      </c>
      <c r="R2273" s="6" t="s">
        <v>9391</v>
      </c>
      <c r="S2273" s="6" t="s">
        <v>9472</v>
      </c>
      <c r="T2273" s="6">
        <v>0</v>
      </c>
      <c r="U2273" s="6">
        <v>0</v>
      </c>
      <c r="V2273" s="6">
        <v>0</v>
      </c>
      <c r="W2273" s="6">
        <v>0</v>
      </c>
      <c r="X2273" s="6" t="s">
        <v>169</v>
      </c>
      <c r="Z2273" s="6" t="s">
        <v>170</v>
      </c>
      <c r="AA2273" s="6" t="s">
        <v>171</v>
      </c>
      <c r="AB2273" s="6">
        <v>0</v>
      </c>
      <c r="AC2273" s="6" t="str">
        <f>""</f>
        <v/>
      </c>
      <c r="AS2273" s="6">
        <v>0</v>
      </c>
      <c r="AT2273" s="6">
        <v>0</v>
      </c>
    </row>
    <row r="2274" spans="2:46">
      <c r="B2274" s="6" t="s">
        <v>110</v>
      </c>
      <c r="D2274" s="6" t="s">
        <v>8189</v>
      </c>
      <c r="F2274" s="6" t="s">
        <v>9473</v>
      </c>
      <c r="G2274" s="6" t="str">
        <f>"JGUSAE122003SV"</f>
        <v>JGUSAE122003SV</v>
      </c>
      <c r="H2274" s="6" t="s">
        <v>9474</v>
      </c>
      <c r="I2274" s="6" t="s">
        <v>9475</v>
      </c>
      <c r="J2274" s="6" t="str">
        <f>"JG-USAE122003SV"</f>
        <v>JG-USAE122003SV</v>
      </c>
      <c r="K2274" s="6">
        <v>0</v>
      </c>
      <c r="L2274" s="6">
        <v>0</v>
      </c>
      <c r="M2274" s="6">
        <v>0</v>
      </c>
      <c r="N2274" s="6" t="str">
        <f>""</f>
        <v/>
      </c>
      <c r="O2274" s="6">
        <v>24983</v>
      </c>
      <c r="P2274" s="6" t="s">
        <v>9475</v>
      </c>
      <c r="R2274" s="6" t="s">
        <v>8872</v>
      </c>
      <c r="S2274" s="6" t="s">
        <v>9476</v>
      </c>
      <c r="T2274" s="6">
        <v>0</v>
      </c>
      <c r="U2274" s="6">
        <v>0</v>
      </c>
      <c r="V2274" s="6">
        <v>0</v>
      </c>
      <c r="W2274" s="6">
        <v>0</v>
      </c>
      <c r="X2274" s="6" t="s">
        <v>169</v>
      </c>
      <c r="Z2274" s="6" t="s">
        <v>170</v>
      </c>
      <c r="AA2274" s="6" t="s">
        <v>171</v>
      </c>
      <c r="AB2274" s="6">
        <v>0</v>
      </c>
      <c r="AC2274" s="6" t="str">
        <f>""</f>
        <v/>
      </c>
      <c r="AS2274" s="6">
        <v>0</v>
      </c>
      <c r="AT2274" s="6">
        <v>0</v>
      </c>
    </row>
    <row r="2275" spans="2:46">
      <c r="B2275" s="6" t="s">
        <v>110</v>
      </c>
      <c r="D2275" s="6" t="s">
        <v>8189</v>
      </c>
      <c r="F2275" s="6" t="s">
        <v>9477</v>
      </c>
      <c r="G2275" s="6" t="str">
        <f>"JGUSAE122003GD"</f>
        <v>JGUSAE122003GD</v>
      </c>
      <c r="H2275" s="6" t="s">
        <v>9478</v>
      </c>
      <c r="I2275" s="6" t="s">
        <v>9479</v>
      </c>
      <c r="J2275" s="6" t="str">
        <f>"JG-USAE122003GD"</f>
        <v>JG-USAE122003GD</v>
      </c>
      <c r="K2275" s="6">
        <v>0</v>
      </c>
      <c r="L2275" s="6">
        <v>0</v>
      </c>
      <c r="M2275" s="6">
        <v>0</v>
      </c>
      <c r="N2275" s="6" t="str">
        <f>""</f>
        <v/>
      </c>
      <c r="O2275" s="6">
        <v>24981</v>
      </c>
      <c r="P2275" s="6" t="s">
        <v>9479</v>
      </c>
      <c r="R2275" s="6" t="s">
        <v>7707</v>
      </c>
      <c r="S2275" s="6" t="s">
        <v>9480</v>
      </c>
      <c r="T2275" s="6">
        <v>0</v>
      </c>
      <c r="U2275" s="6">
        <v>0</v>
      </c>
      <c r="V2275" s="6">
        <v>0</v>
      </c>
      <c r="W2275" s="6">
        <v>0</v>
      </c>
      <c r="X2275" s="6" t="s">
        <v>169</v>
      </c>
      <c r="Z2275" s="6" t="s">
        <v>170</v>
      </c>
      <c r="AA2275" s="6" t="s">
        <v>171</v>
      </c>
      <c r="AB2275" s="6">
        <v>0</v>
      </c>
      <c r="AC2275" s="6" t="str">
        <f>""</f>
        <v/>
      </c>
      <c r="AS2275" s="6">
        <v>0</v>
      </c>
      <c r="AT2275" s="6">
        <v>0</v>
      </c>
    </row>
    <row r="2276" spans="2:46">
      <c r="B2276" s="6" t="s">
        <v>110</v>
      </c>
      <c r="D2276" s="6" t="s">
        <v>8189</v>
      </c>
      <c r="F2276" s="6" t="s">
        <v>9481</v>
      </c>
      <c r="G2276" s="6" t="str">
        <f>"JGUSAE122501RG"</f>
        <v>JGUSAE122501RG</v>
      </c>
      <c r="H2276" s="6" t="s">
        <v>9482</v>
      </c>
      <c r="I2276" s="6" t="s">
        <v>9483</v>
      </c>
      <c r="J2276" s="6" t="str">
        <f>"JG-USAE122501RG"</f>
        <v>JG-USAE122501RG</v>
      </c>
      <c r="K2276" s="6">
        <v>0</v>
      </c>
      <c r="L2276" s="6">
        <v>0</v>
      </c>
      <c r="M2276" s="6">
        <v>0</v>
      </c>
      <c r="N2276" s="6" t="str">
        <f>""</f>
        <v/>
      </c>
      <c r="O2276" s="6">
        <v>24979</v>
      </c>
      <c r="P2276" s="6" t="s">
        <v>9483</v>
      </c>
      <c r="R2276" s="6" t="s">
        <v>9391</v>
      </c>
      <c r="S2276" s="6" t="s">
        <v>9484</v>
      </c>
      <c r="T2276" s="6">
        <v>0</v>
      </c>
      <c r="U2276" s="6">
        <v>0</v>
      </c>
      <c r="V2276" s="6">
        <v>0</v>
      </c>
      <c r="W2276" s="6">
        <v>0</v>
      </c>
      <c r="X2276" s="6" t="s">
        <v>169</v>
      </c>
      <c r="Z2276" s="6" t="s">
        <v>170</v>
      </c>
      <c r="AA2276" s="6" t="s">
        <v>171</v>
      </c>
      <c r="AB2276" s="6">
        <v>0</v>
      </c>
      <c r="AC2276" s="6" t="str">
        <f>""</f>
        <v/>
      </c>
      <c r="AS2276" s="6">
        <v>0</v>
      </c>
      <c r="AT2276" s="6">
        <v>0</v>
      </c>
    </row>
    <row r="2277" spans="2:46">
      <c r="B2277" s="6" t="s">
        <v>110</v>
      </c>
      <c r="D2277" s="6" t="s">
        <v>8189</v>
      </c>
      <c r="F2277" s="6" t="s">
        <v>9485</v>
      </c>
      <c r="G2277" s="6" t="str">
        <f>"JGUSAE122501SV"</f>
        <v>JGUSAE122501SV</v>
      </c>
      <c r="H2277" s="6" t="s">
        <v>9486</v>
      </c>
      <c r="I2277" s="6" t="s">
        <v>9487</v>
      </c>
      <c r="J2277" s="6" t="str">
        <f>"JG-USAE122501SV"</f>
        <v>JG-USAE122501SV</v>
      </c>
      <c r="K2277" s="6">
        <v>0</v>
      </c>
      <c r="L2277" s="6">
        <v>0</v>
      </c>
      <c r="M2277" s="6">
        <v>0</v>
      </c>
      <c r="N2277" s="6" t="str">
        <f>""</f>
        <v/>
      </c>
      <c r="O2277" s="6">
        <v>24977</v>
      </c>
      <c r="P2277" s="6" t="s">
        <v>9487</v>
      </c>
      <c r="R2277" s="6" t="s">
        <v>8872</v>
      </c>
      <c r="S2277" s="6" t="s">
        <v>9488</v>
      </c>
      <c r="T2277" s="6">
        <v>0</v>
      </c>
      <c r="U2277" s="6">
        <v>0</v>
      </c>
      <c r="V2277" s="6">
        <v>0</v>
      </c>
      <c r="W2277" s="6">
        <v>0</v>
      </c>
      <c r="X2277" s="6" t="s">
        <v>169</v>
      </c>
      <c r="Z2277" s="6" t="s">
        <v>170</v>
      </c>
      <c r="AA2277" s="6" t="s">
        <v>171</v>
      </c>
      <c r="AB2277" s="6">
        <v>0</v>
      </c>
      <c r="AC2277" s="6" t="str">
        <f>""</f>
        <v/>
      </c>
      <c r="AS2277" s="6">
        <v>0</v>
      </c>
      <c r="AT2277" s="6">
        <v>0</v>
      </c>
    </row>
    <row r="2278" spans="2:46">
      <c r="B2278" s="6" t="s">
        <v>110</v>
      </c>
      <c r="D2278" s="6" t="s">
        <v>8189</v>
      </c>
      <c r="F2278" s="6" t="s">
        <v>9489</v>
      </c>
      <c r="G2278" s="6" t="str">
        <f>"JGUSAE122501GD"</f>
        <v>JGUSAE122501GD</v>
      </c>
      <c r="H2278" s="6" t="s">
        <v>9490</v>
      </c>
      <c r="I2278" s="6" t="s">
        <v>9491</v>
      </c>
      <c r="J2278" s="6" t="str">
        <f>"JG-USAE122501GD"</f>
        <v>JG-USAE122501GD</v>
      </c>
      <c r="K2278" s="6">
        <v>0</v>
      </c>
      <c r="L2278" s="6">
        <v>0</v>
      </c>
      <c r="M2278" s="6">
        <v>0</v>
      </c>
      <c r="N2278" s="6" t="str">
        <f>""</f>
        <v/>
      </c>
      <c r="O2278" s="6">
        <v>24975</v>
      </c>
      <c r="P2278" s="6" t="s">
        <v>9491</v>
      </c>
      <c r="R2278" s="6" t="s">
        <v>7707</v>
      </c>
      <c r="S2278" s="6" t="s">
        <v>9492</v>
      </c>
      <c r="T2278" s="6">
        <v>0</v>
      </c>
      <c r="U2278" s="6">
        <v>0</v>
      </c>
      <c r="V2278" s="6">
        <v>0</v>
      </c>
      <c r="W2278" s="6">
        <v>0</v>
      </c>
      <c r="X2278" s="6" t="s">
        <v>169</v>
      </c>
      <c r="Z2278" s="6" t="s">
        <v>170</v>
      </c>
      <c r="AA2278" s="6" t="s">
        <v>171</v>
      </c>
      <c r="AB2278" s="6">
        <v>0</v>
      </c>
      <c r="AC2278" s="6" t="str">
        <f>""</f>
        <v/>
      </c>
      <c r="AS2278" s="6">
        <v>0</v>
      </c>
      <c r="AT2278" s="6">
        <v>0</v>
      </c>
    </row>
    <row r="2279" spans="2:46">
      <c r="B2279" s="6" t="s">
        <v>110</v>
      </c>
      <c r="D2279" s="6" t="s">
        <v>8189</v>
      </c>
      <c r="F2279" s="6" t="s">
        <v>9493</v>
      </c>
      <c r="G2279" s="6" t="str">
        <f>"JGUSAE122001RG"</f>
        <v>JGUSAE122001RG</v>
      </c>
      <c r="H2279" s="6" t="s">
        <v>9494</v>
      </c>
      <c r="I2279" s="6" t="s">
        <v>9495</v>
      </c>
      <c r="J2279" s="6" t="str">
        <f>"JG-USAE122001RG"</f>
        <v>JG-USAE122001RG</v>
      </c>
      <c r="K2279" s="6">
        <v>0</v>
      </c>
      <c r="L2279" s="6">
        <v>0</v>
      </c>
      <c r="M2279" s="6">
        <v>0</v>
      </c>
      <c r="N2279" s="6" t="str">
        <f>""</f>
        <v/>
      </c>
      <c r="O2279" s="6">
        <v>24973</v>
      </c>
      <c r="P2279" s="6" t="s">
        <v>9495</v>
      </c>
      <c r="R2279" s="6" t="s">
        <v>9391</v>
      </c>
      <c r="S2279" s="6" t="s">
        <v>9496</v>
      </c>
      <c r="T2279" s="6">
        <v>0</v>
      </c>
      <c r="U2279" s="6">
        <v>0</v>
      </c>
      <c r="V2279" s="6">
        <v>0</v>
      </c>
      <c r="W2279" s="6">
        <v>0</v>
      </c>
      <c r="X2279" s="6" t="s">
        <v>169</v>
      </c>
      <c r="Z2279" s="6" t="s">
        <v>170</v>
      </c>
      <c r="AA2279" s="6" t="s">
        <v>171</v>
      </c>
      <c r="AB2279" s="6">
        <v>0</v>
      </c>
      <c r="AC2279" s="6" t="str">
        <f>""</f>
        <v/>
      </c>
      <c r="AS2279" s="6">
        <v>0</v>
      </c>
      <c r="AT2279" s="6">
        <v>0</v>
      </c>
    </row>
    <row r="2280" spans="2:46">
      <c r="B2280" s="6" t="s">
        <v>110</v>
      </c>
      <c r="D2280" s="6" t="s">
        <v>8189</v>
      </c>
      <c r="F2280" s="6" t="s">
        <v>9497</v>
      </c>
      <c r="G2280" s="6" t="str">
        <f>"JGUSAE122001SV"</f>
        <v>JGUSAE122001SV</v>
      </c>
      <c r="H2280" s="6" t="s">
        <v>9498</v>
      </c>
      <c r="I2280" s="6" t="s">
        <v>9499</v>
      </c>
      <c r="J2280" s="6" t="str">
        <f>"JG-USAE122001SV"</f>
        <v>JG-USAE122001SV</v>
      </c>
      <c r="K2280" s="6">
        <v>0</v>
      </c>
      <c r="L2280" s="6">
        <v>0</v>
      </c>
      <c r="M2280" s="6">
        <v>0</v>
      </c>
      <c r="N2280" s="6" t="str">
        <f>""</f>
        <v/>
      </c>
      <c r="O2280" s="6">
        <v>24971</v>
      </c>
      <c r="P2280" s="6" t="s">
        <v>9499</v>
      </c>
      <c r="R2280" s="6" t="s">
        <v>8872</v>
      </c>
      <c r="S2280" s="6" t="s">
        <v>9500</v>
      </c>
      <c r="T2280" s="6">
        <v>0</v>
      </c>
      <c r="U2280" s="6">
        <v>0</v>
      </c>
      <c r="V2280" s="6">
        <v>0</v>
      </c>
      <c r="W2280" s="6">
        <v>0</v>
      </c>
      <c r="X2280" s="6" t="s">
        <v>169</v>
      </c>
      <c r="Z2280" s="6" t="s">
        <v>170</v>
      </c>
      <c r="AA2280" s="6" t="s">
        <v>171</v>
      </c>
      <c r="AB2280" s="6">
        <v>0</v>
      </c>
      <c r="AC2280" s="6" t="str">
        <f>""</f>
        <v/>
      </c>
      <c r="AS2280" s="6">
        <v>0</v>
      </c>
      <c r="AT2280" s="6">
        <v>0</v>
      </c>
    </row>
    <row r="2281" spans="2:46">
      <c r="B2281" s="6" t="s">
        <v>110</v>
      </c>
      <c r="D2281" s="6" t="s">
        <v>8189</v>
      </c>
      <c r="F2281" s="6" t="s">
        <v>9501</v>
      </c>
      <c r="G2281" s="6" t="str">
        <f>"JGUSAE122001GD"</f>
        <v>JGUSAE122001GD</v>
      </c>
      <c r="H2281" s="6" t="s">
        <v>9502</v>
      </c>
      <c r="I2281" s="6" t="s">
        <v>9503</v>
      </c>
      <c r="J2281" s="6" t="str">
        <f>"JG-USAE122001GD"</f>
        <v>JG-USAE122001GD</v>
      </c>
      <c r="K2281" s="6">
        <v>0</v>
      </c>
      <c r="L2281" s="6">
        <v>0</v>
      </c>
      <c r="M2281" s="6">
        <v>0</v>
      </c>
      <c r="N2281" s="6" t="str">
        <f>""</f>
        <v/>
      </c>
      <c r="O2281" s="6">
        <v>24969</v>
      </c>
      <c r="P2281" s="6" t="s">
        <v>9503</v>
      </c>
      <c r="R2281" s="6" t="s">
        <v>7707</v>
      </c>
      <c r="S2281" s="6" t="s">
        <v>9504</v>
      </c>
      <c r="T2281" s="6">
        <v>0</v>
      </c>
      <c r="U2281" s="6">
        <v>0</v>
      </c>
      <c r="V2281" s="6">
        <v>0</v>
      </c>
      <c r="W2281" s="6">
        <v>0</v>
      </c>
      <c r="X2281" s="6" t="s">
        <v>169</v>
      </c>
      <c r="Z2281" s="6" t="s">
        <v>170</v>
      </c>
      <c r="AA2281" s="6" t="s">
        <v>171</v>
      </c>
      <c r="AB2281" s="6">
        <v>0</v>
      </c>
      <c r="AC2281" s="6" t="str">
        <f>""</f>
        <v/>
      </c>
      <c r="AS2281" s="6">
        <v>0</v>
      </c>
      <c r="AT2281" s="6">
        <v>0</v>
      </c>
    </row>
    <row r="2282" spans="2:46">
      <c r="B2282" s="6" t="s">
        <v>9505</v>
      </c>
      <c r="D2282" s="6" t="s">
        <v>8189</v>
      </c>
      <c r="F2282" s="6" t="s">
        <v>9506</v>
      </c>
      <c r="G2282" s="6" t="str">
        <f>"SS1727M"</f>
        <v>SS1727M</v>
      </c>
      <c r="I2282" s="6" t="s">
        <v>9507</v>
      </c>
      <c r="J2282" s="6" t="str">
        <f>"STAFF SAFETY T-shirts"</f>
        <v>STAFF SAFETY T-shirts</v>
      </c>
      <c r="K2282" s="6">
        <v>0</v>
      </c>
      <c r="L2282" s="6">
        <v>0</v>
      </c>
      <c r="M2282" s="6">
        <v>0</v>
      </c>
      <c r="N2282" s="6" t="str">
        <f>""</f>
        <v/>
      </c>
      <c r="O2282" s="6">
        <v>24967</v>
      </c>
      <c r="P2282" s="6" t="s">
        <v>9508</v>
      </c>
      <c r="R2282" s="6" t="s">
        <v>9509</v>
      </c>
      <c r="S2282" s="6" t="s">
        <v>9510</v>
      </c>
      <c r="T2282" s="6">
        <v>1</v>
      </c>
      <c r="U2282" s="6">
        <v>0</v>
      </c>
      <c r="V2282" s="6">
        <v>0</v>
      </c>
      <c r="W2282" s="6">
        <v>0</v>
      </c>
      <c r="X2282" s="6" t="s">
        <v>169</v>
      </c>
      <c r="Z2282" s="6" t="s">
        <v>170</v>
      </c>
      <c r="AA2282" s="6" t="s">
        <v>171</v>
      </c>
      <c r="AB2282" s="6">
        <v>0</v>
      </c>
      <c r="AC2282" s="6" t="str">
        <f>"KEY-042"</f>
        <v>KEY-042</v>
      </c>
      <c r="AQ2282" s="6" t="str">
        <f>""</f>
        <v/>
      </c>
      <c r="AR2282" s="6" t="s">
        <v>1567</v>
      </c>
      <c r="AS2282" s="6">
        <v>0</v>
      </c>
      <c r="AT2282" s="6">
        <v>1</v>
      </c>
    </row>
    <row r="2283" spans="2:46">
      <c r="B2283" s="6" t="s">
        <v>9505</v>
      </c>
      <c r="D2283" s="6" t="s">
        <v>8189</v>
      </c>
      <c r="F2283" s="6" t="s">
        <v>9511</v>
      </c>
      <c r="G2283" s="6" t="str">
        <f>"SS1726M"</f>
        <v>SS1726M</v>
      </c>
      <c r="H2283" s="6" t="s">
        <v>9512</v>
      </c>
      <c r="I2283" s="6" t="s">
        <v>9513</v>
      </c>
      <c r="J2283" s="6" t="str">
        <f>"REVERSE PART T-shirts"</f>
        <v>REVERSE PART T-shirts</v>
      </c>
      <c r="K2283" s="6">
        <v>0</v>
      </c>
      <c r="L2283" s="6">
        <v>0</v>
      </c>
      <c r="M2283" s="6">
        <v>0</v>
      </c>
      <c r="N2283" s="6" t="str">
        <f>""</f>
        <v/>
      </c>
      <c r="O2283" s="6">
        <v>24965</v>
      </c>
      <c r="P2283" s="6" t="s">
        <v>9512</v>
      </c>
      <c r="R2283" s="6" t="s">
        <v>9514</v>
      </c>
      <c r="S2283" s="6" t="s">
        <v>9515</v>
      </c>
      <c r="T2283" s="6">
        <v>0</v>
      </c>
      <c r="U2283" s="6">
        <v>0</v>
      </c>
      <c r="V2283" s="6">
        <v>0</v>
      </c>
      <c r="W2283" s="6">
        <v>0</v>
      </c>
      <c r="X2283" s="6" t="s">
        <v>169</v>
      </c>
      <c r="Z2283" s="6" t="s">
        <v>170</v>
      </c>
      <c r="AA2283" s="6" t="s">
        <v>171</v>
      </c>
      <c r="AB2283" s="6">
        <v>0</v>
      </c>
      <c r="AC2283" s="6" t="str">
        <f>""</f>
        <v/>
      </c>
      <c r="AS2283" s="6">
        <v>0</v>
      </c>
      <c r="AT2283" s="6">
        <v>1</v>
      </c>
    </row>
    <row r="2284" spans="2:46">
      <c r="B2284" s="6" t="s">
        <v>9505</v>
      </c>
      <c r="D2284" s="6" t="s">
        <v>8189</v>
      </c>
      <c r="F2284" s="6" t="s">
        <v>9516</v>
      </c>
      <c r="G2284" s="6" t="str">
        <f>"SS1725BKL"</f>
        <v>SS1725BKL</v>
      </c>
      <c r="H2284" s="6" t="s">
        <v>9517</v>
      </c>
      <c r="I2284" s="6" t="s">
        <v>9518</v>
      </c>
      <c r="J2284" s="6" t="str">
        <f>"SENIOR DENIM jacke"</f>
        <v>SENIOR DENIM jacke</v>
      </c>
      <c r="K2284" s="6">
        <v>0</v>
      </c>
      <c r="L2284" s="6">
        <v>0</v>
      </c>
      <c r="M2284" s="6">
        <v>0</v>
      </c>
      <c r="N2284" s="6" t="str">
        <f>""</f>
        <v/>
      </c>
      <c r="O2284" s="6">
        <v>24963</v>
      </c>
      <c r="P2284" s="6" t="s">
        <v>9517</v>
      </c>
      <c r="R2284" s="6" t="s">
        <v>5106</v>
      </c>
      <c r="S2284" s="6" t="s">
        <v>9519</v>
      </c>
      <c r="T2284" s="6">
        <v>0</v>
      </c>
      <c r="U2284" s="6">
        <v>0</v>
      </c>
      <c r="V2284" s="6">
        <v>0</v>
      </c>
      <c r="W2284" s="6">
        <v>0</v>
      </c>
      <c r="X2284" s="6" t="s">
        <v>169</v>
      </c>
      <c r="Z2284" s="6" t="s">
        <v>170</v>
      </c>
      <c r="AA2284" s="6" t="s">
        <v>171</v>
      </c>
      <c r="AB2284" s="6">
        <v>0</v>
      </c>
      <c r="AC2284" s="6" t="str">
        <f>""</f>
        <v/>
      </c>
      <c r="AS2284" s="6">
        <v>0</v>
      </c>
      <c r="AT2284" s="6">
        <v>0</v>
      </c>
    </row>
    <row r="2285" spans="2:46">
      <c r="B2285" s="6" t="s">
        <v>9505</v>
      </c>
      <c r="D2285" s="6" t="s">
        <v>8189</v>
      </c>
      <c r="F2285" s="6" t="s">
        <v>9520</v>
      </c>
      <c r="G2285" s="6" t="str">
        <f>"SS1725BKM"</f>
        <v>SS1725BKM</v>
      </c>
      <c r="H2285" s="6" t="s">
        <v>9521</v>
      </c>
      <c r="I2285" s="6" t="s">
        <v>9518</v>
      </c>
      <c r="J2285" s="6" t="str">
        <f>"SENIOR DENIM jacke"</f>
        <v>SENIOR DENIM jacke</v>
      </c>
      <c r="K2285" s="6">
        <v>0</v>
      </c>
      <c r="L2285" s="6">
        <v>0</v>
      </c>
      <c r="M2285" s="6">
        <v>0</v>
      </c>
      <c r="N2285" s="6" t="str">
        <f>""</f>
        <v/>
      </c>
      <c r="O2285" s="6">
        <v>24962</v>
      </c>
      <c r="P2285" s="6" t="s">
        <v>9521</v>
      </c>
      <c r="R2285" s="6" t="s">
        <v>601</v>
      </c>
      <c r="S2285" s="6" t="s">
        <v>9522</v>
      </c>
      <c r="T2285" s="6">
        <v>0</v>
      </c>
      <c r="U2285" s="6">
        <v>0</v>
      </c>
      <c r="V2285" s="6">
        <v>0</v>
      </c>
      <c r="W2285" s="6">
        <v>0</v>
      </c>
      <c r="X2285" s="6" t="s">
        <v>169</v>
      </c>
      <c r="Z2285" s="6" t="s">
        <v>170</v>
      </c>
      <c r="AA2285" s="6" t="s">
        <v>171</v>
      </c>
      <c r="AB2285" s="6">
        <v>0</v>
      </c>
      <c r="AC2285" s="6" t="str">
        <f>""</f>
        <v/>
      </c>
      <c r="AS2285" s="6">
        <v>0</v>
      </c>
      <c r="AT2285" s="6">
        <v>0</v>
      </c>
    </row>
    <row r="2286" spans="2:46">
      <c r="B2286" s="6" t="s">
        <v>9505</v>
      </c>
      <c r="D2286" s="6" t="s">
        <v>8189</v>
      </c>
      <c r="F2286" s="6" t="s">
        <v>9523</v>
      </c>
      <c r="G2286" s="6" t="str">
        <f>"SS1724WTL"</f>
        <v>SS1724WTL</v>
      </c>
      <c r="H2286" s="6" t="s">
        <v>9524</v>
      </c>
      <c r="I2286" s="6" t="s">
        <v>9518</v>
      </c>
      <c r="J2286" s="6" t="str">
        <f>"SENIOR DENIM jacke"</f>
        <v>SENIOR DENIM jacke</v>
      </c>
      <c r="K2286" s="6">
        <v>0</v>
      </c>
      <c r="L2286" s="6">
        <v>0</v>
      </c>
      <c r="M2286" s="6">
        <v>0</v>
      </c>
      <c r="N2286" s="6" t="str">
        <f>""</f>
        <v/>
      </c>
      <c r="O2286" s="6">
        <v>24961</v>
      </c>
      <c r="P2286" s="6" t="s">
        <v>9524</v>
      </c>
      <c r="R2286" s="6" t="s">
        <v>5193</v>
      </c>
      <c r="S2286" s="6" t="s">
        <v>9525</v>
      </c>
      <c r="T2286" s="6">
        <v>0</v>
      </c>
      <c r="U2286" s="6">
        <v>0</v>
      </c>
      <c r="V2286" s="6">
        <v>0</v>
      </c>
      <c r="W2286" s="6">
        <v>0</v>
      </c>
      <c r="X2286" s="6" t="s">
        <v>169</v>
      </c>
      <c r="Z2286" s="6" t="s">
        <v>170</v>
      </c>
      <c r="AA2286" s="6" t="s">
        <v>171</v>
      </c>
      <c r="AB2286" s="6">
        <v>0</v>
      </c>
      <c r="AC2286" s="6" t="str">
        <f>""</f>
        <v/>
      </c>
      <c r="AS2286" s="6">
        <v>0</v>
      </c>
      <c r="AT2286" s="6">
        <v>0</v>
      </c>
    </row>
    <row r="2287" spans="2:46">
      <c r="B2287" s="6" t="s">
        <v>9505</v>
      </c>
      <c r="D2287" s="6" t="s">
        <v>8189</v>
      </c>
      <c r="F2287" s="6" t="s">
        <v>9526</v>
      </c>
      <c r="G2287" s="6" t="str">
        <f>"SS1724WTM"</f>
        <v>SS1724WTM</v>
      </c>
      <c r="H2287" s="6" t="s">
        <v>9527</v>
      </c>
      <c r="I2287" s="6" t="s">
        <v>9518</v>
      </c>
      <c r="J2287" s="6" t="str">
        <f>"SENIOR DENIM jacke"</f>
        <v>SENIOR DENIM jacke</v>
      </c>
      <c r="K2287" s="6">
        <v>0</v>
      </c>
      <c r="L2287" s="6">
        <v>0</v>
      </c>
      <c r="M2287" s="6">
        <v>0</v>
      </c>
      <c r="N2287" s="6" t="str">
        <f>""</f>
        <v/>
      </c>
      <c r="O2287" s="6">
        <v>24960</v>
      </c>
      <c r="P2287" s="6" t="s">
        <v>9527</v>
      </c>
      <c r="R2287" s="6" t="s">
        <v>5197</v>
      </c>
      <c r="S2287" s="6" t="s">
        <v>9528</v>
      </c>
      <c r="T2287" s="6">
        <v>0</v>
      </c>
      <c r="U2287" s="6">
        <v>0</v>
      </c>
      <c r="V2287" s="6">
        <v>0</v>
      </c>
      <c r="W2287" s="6">
        <v>0</v>
      </c>
      <c r="X2287" s="6" t="s">
        <v>169</v>
      </c>
      <c r="Z2287" s="6" t="s">
        <v>170</v>
      </c>
      <c r="AA2287" s="6" t="s">
        <v>171</v>
      </c>
      <c r="AB2287" s="6">
        <v>0</v>
      </c>
      <c r="AC2287" s="6" t="str">
        <f>""</f>
        <v/>
      </c>
      <c r="AS2287" s="6">
        <v>0</v>
      </c>
      <c r="AT2287" s="6">
        <v>0</v>
      </c>
    </row>
    <row r="2288" spans="2:46">
      <c r="B2288" s="6" t="s">
        <v>9505</v>
      </c>
      <c r="D2288" s="6" t="s">
        <v>8189</v>
      </c>
      <c r="F2288" s="6" t="s">
        <v>9529</v>
      </c>
      <c r="G2288" s="6" t="str">
        <f>"SS1723CRF"</f>
        <v>SS1723CRF</v>
      </c>
      <c r="H2288" s="6" t="s">
        <v>9530</v>
      </c>
      <c r="I2288" s="6" t="s">
        <v>9531</v>
      </c>
      <c r="J2288" s="6" t="str">
        <f>"CLASS BAG2"</f>
        <v>CLASS BAG2</v>
      </c>
      <c r="K2288" s="6">
        <v>0</v>
      </c>
      <c r="L2288" s="6">
        <v>0</v>
      </c>
      <c r="M2288" s="6">
        <v>0</v>
      </c>
      <c r="N2288" s="6" t="str">
        <f>""</f>
        <v/>
      </c>
      <c r="O2288" s="6">
        <v>24958</v>
      </c>
      <c r="P2288" s="6" t="s">
        <v>9530</v>
      </c>
      <c r="R2288" s="6" t="s">
        <v>9532</v>
      </c>
      <c r="S2288" s="6" t="s">
        <v>9533</v>
      </c>
      <c r="T2288" s="6">
        <v>0</v>
      </c>
      <c r="U2288" s="6">
        <v>0</v>
      </c>
      <c r="V2288" s="6">
        <v>0</v>
      </c>
      <c r="W2288" s="6">
        <v>0</v>
      </c>
      <c r="X2288" s="6" t="s">
        <v>169</v>
      </c>
      <c r="Z2288" s="6" t="s">
        <v>170</v>
      </c>
      <c r="AA2288" s="6" t="s">
        <v>171</v>
      </c>
      <c r="AB2288" s="6">
        <v>0</v>
      </c>
      <c r="AC2288" s="6" t="str">
        <f>""</f>
        <v/>
      </c>
      <c r="AS2288" s="6">
        <v>0</v>
      </c>
      <c r="AT2288" s="6">
        <v>0</v>
      </c>
    </row>
    <row r="2289" spans="2:46">
      <c r="B2289" s="6" t="s">
        <v>9505</v>
      </c>
      <c r="D2289" s="6" t="s">
        <v>8189</v>
      </c>
      <c r="F2289" s="6" t="s">
        <v>9534</v>
      </c>
      <c r="G2289" s="6" t="str">
        <f>"SS1722CRF"</f>
        <v>SS1722CRF</v>
      </c>
      <c r="H2289" s="6" t="s">
        <v>9535</v>
      </c>
      <c r="I2289" s="6" t="s">
        <v>9536</v>
      </c>
      <c r="J2289" s="6" t="str">
        <f>"CLASS BAG1"</f>
        <v>CLASS BAG1</v>
      </c>
      <c r="K2289" s="6">
        <v>0</v>
      </c>
      <c r="L2289" s="6">
        <v>0</v>
      </c>
      <c r="M2289" s="6">
        <v>0</v>
      </c>
      <c r="N2289" s="6" t="str">
        <f>""</f>
        <v/>
      </c>
      <c r="O2289" s="6">
        <v>24956</v>
      </c>
      <c r="P2289" s="6" t="s">
        <v>9535</v>
      </c>
      <c r="R2289" s="6" t="s">
        <v>9532</v>
      </c>
      <c r="S2289" s="6" t="s">
        <v>9537</v>
      </c>
      <c r="T2289" s="6">
        <v>0</v>
      </c>
      <c r="U2289" s="6">
        <v>0</v>
      </c>
      <c r="V2289" s="6">
        <v>0</v>
      </c>
      <c r="W2289" s="6">
        <v>0</v>
      </c>
      <c r="X2289" s="6" t="s">
        <v>169</v>
      </c>
      <c r="Z2289" s="6" t="s">
        <v>170</v>
      </c>
      <c r="AA2289" s="6" t="s">
        <v>171</v>
      </c>
      <c r="AB2289" s="6">
        <v>0</v>
      </c>
      <c r="AC2289" s="6" t="str">
        <f>""</f>
        <v/>
      </c>
      <c r="AS2289" s="6">
        <v>0</v>
      </c>
      <c r="AT2289" s="6">
        <v>0</v>
      </c>
    </row>
    <row r="2290" spans="2:46">
      <c r="B2290" s="6" t="s">
        <v>9505</v>
      </c>
      <c r="D2290" s="6" t="s">
        <v>8189</v>
      </c>
      <c r="F2290" s="6" t="s">
        <v>9538</v>
      </c>
      <c r="G2290" s="6" t="str">
        <f>"SS1721BKL"</f>
        <v>SS1721BKL</v>
      </c>
      <c r="H2290" s="6" t="s">
        <v>9539</v>
      </c>
      <c r="I2290" s="6" t="s">
        <v>9540</v>
      </c>
      <c r="J2290" s="6" t="str">
        <f t="shared" ref="J2290:J2295" si="12">"gbt souvenir 2 t-shirts"</f>
        <v>gbt souvenir 2 t-shirts</v>
      </c>
      <c r="K2290" s="6">
        <v>0</v>
      </c>
      <c r="L2290" s="6">
        <v>0</v>
      </c>
      <c r="M2290" s="6">
        <v>0</v>
      </c>
      <c r="N2290" s="6" t="str">
        <f>""</f>
        <v/>
      </c>
      <c r="O2290" s="6">
        <v>24954</v>
      </c>
      <c r="P2290" s="6" t="s">
        <v>9539</v>
      </c>
      <c r="R2290" s="6" t="s">
        <v>5106</v>
      </c>
      <c r="S2290" s="6" t="s">
        <v>9541</v>
      </c>
      <c r="T2290" s="6">
        <v>0</v>
      </c>
      <c r="U2290" s="6">
        <v>0</v>
      </c>
      <c r="V2290" s="6">
        <v>0</v>
      </c>
      <c r="W2290" s="6">
        <v>0</v>
      </c>
      <c r="X2290" s="6" t="s">
        <v>169</v>
      </c>
      <c r="Z2290" s="6" t="s">
        <v>170</v>
      </c>
      <c r="AA2290" s="6" t="s">
        <v>171</v>
      </c>
      <c r="AB2290" s="6">
        <v>0</v>
      </c>
      <c r="AC2290" s="6" t="str">
        <f>""</f>
        <v/>
      </c>
      <c r="AS2290" s="6">
        <v>0</v>
      </c>
      <c r="AT2290" s="6">
        <v>0</v>
      </c>
    </row>
    <row r="2291" spans="2:46">
      <c r="B2291" s="6" t="s">
        <v>9505</v>
      </c>
      <c r="D2291" s="6" t="s">
        <v>8189</v>
      </c>
      <c r="F2291" s="6" t="s">
        <v>9542</v>
      </c>
      <c r="G2291" s="6" t="str">
        <f>"SS1721BKM"</f>
        <v>SS1721BKM</v>
      </c>
      <c r="H2291" s="6" t="s">
        <v>9543</v>
      </c>
      <c r="I2291" s="6" t="s">
        <v>9540</v>
      </c>
      <c r="J2291" s="6" t="str">
        <f t="shared" si="12"/>
        <v>gbt souvenir 2 t-shirts</v>
      </c>
      <c r="K2291" s="6">
        <v>0</v>
      </c>
      <c r="L2291" s="6">
        <v>0</v>
      </c>
      <c r="M2291" s="6">
        <v>0</v>
      </c>
      <c r="N2291" s="6" t="str">
        <f>""</f>
        <v/>
      </c>
      <c r="O2291" s="6">
        <v>24953</v>
      </c>
      <c r="P2291" s="6" t="s">
        <v>9543</v>
      </c>
      <c r="R2291" s="6" t="s">
        <v>601</v>
      </c>
      <c r="S2291" s="6" t="s">
        <v>9544</v>
      </c>
      <c r="T2291" s="6">
        <v>0</v>
      </c>
      <c r="U2291" s="6">
        <v>0</v>
      </c>
      <c r="V2291" s="6">
        <v>0</v>
      </c>
      <c r="W2291" s="6">
        <v>0</v>
      </c>
      <c r="X2291" s="6" t="s">
        <v>169</v>
      </c>
      <c r="Z2291" s="6" t="s">
        <v>170</v>
      </c>
      <c r="AA2291" s="6" t="s">
        <v>171</v>
      </c>
      <c r="AB2291" s="6">
        <v>0</v>
      </c>
      <c r="AC2291" s="6" t="str">
        <f>""</f>
        <v/>
      </c>
      <c r="AS2291" s="6">
        <v>0</v>
      </c>
      <c r="AT2291" s="6">
        <v>0</v>
      </c>
    </row>
    <row r="2292" spans="2:46">
      <c r="B2292" s="6" t="s">
        <v>9505</v>
      </c>
      <c r="D2292" s="6" t="s">
        <v>8189</v>
      </c>
      <c r="F2292" s="6" t="s">
        <v>9545</v>
      </c>
      <c r="G2292" s="6" t="str">
        <f>"SS1720GRL"</f>
        <v>SS1720GRL</v>
      </c>
      <c r="H2292" s="6" t="s">
        <v>9546</v>
      </c>
      <c r="I2292" s="6" t="s">
        <v>9540</v>
      </c>
      <c r="J2292" s="6" t="str">
        <f t="shared" si="12"/>
        <v>gbt souvenir 2 t-shirts</v>
      </c>
      <c r="K2292" s="6">
        <v>0</v>
      </c>
      <c r="L2292" s="6">
        <v>0</v>
      </c>
      <c r="M2292" s="6">
        <v>0</v>
      </c>
      <c r="N2292" s="6" t="str">
        <f>""</f>
        <v/>
      </c>
      <c r="O2292" s="6">
        <v>24952</v>
      </c>
      <c r="P2292" s="6" t="s">
        <v>9546</v>
      </c>
      <c r="R2292" s="6" t="s">
        <v>9547</v>
      </c>
      <c r="S2292" s="6" t="s">
        <v>9548</v>
      </c>
      <c r="T2292" s="6">
        <v>0</v>
      </c>
      <c r="U2292" s="6">
        <v>0</v>
      </c>
      <c r="V2292" s="6">
        <v>0</v>
      </c>
      <c r="W2292" s="6">
        <v>0</v>
      </c>
      <c r="X2292" s="6" t="s">
        <v>169</v>
      </c>
      <c r="Z2292" s="6" t="s">
        <v>170</v>
      </c>
      <c r="AA2292" s="6" t="s">
        <v>171</v>
      </c>
      <c r="AB2292" s="6">
        <v>0</v>
      </c>
      <c r="AC2292" s="6" t="str">
        <f>""</f>
        <v/>
      </c>
      <c r="AS2292" s="6">
        <v>0</v>
      </c>
      <c r="AT2292" s="6">
        <v>0</v>
      </c>
    </row>
    <row r="2293" spans="2:46">
      <c r="B2293" s="6" t="s">
        <v>9505</v>
      </c>
      <c r="D2293" s="6" t="s">
        <v>8189</v>
      </c>
      <c r="F2293" s="6" t="s">
        <v>9549</v>
      </c>
      <c r="G2293" s="6" t="str">
        <f>"SS1720GRM"</f>
        <v>SS1720GRM</v>
      </c>
      <c r="H2293" s="6" t="s">
        <v>9550</v>
      </c>
      <c r="I2293" s="6" t="s">
        <v>9540</v>
      </c>
      <c r="J2293" s="6" t="str">
        <f t="shared" si="12"/>
        <v>gbt souvenir 2 t-shirts</v>
      </c>
      <c r="K2293" s="6">
        <v>0</v>
      </c>
      <c r="L2293" s="6">
        <v>0</v>
      </c>
      <c r="M2293" s="6">
        <v>0</v>
      </c>
      <c r="N2293" s="6" t="str">
        <f>""</f>
        <v/>
      </c>
      <c r="O2293" s="6">
        <v>24951</v>
      </c>
      <c r="P2293" s="6" t="s">
        <v>9550</v>
      </c>
      <c r="R2293" s="6" t="s">
        <v>9551</v>
      </c>
      <c r="S2293" s="6" t="s">
        <v>9552</v>
      </c>
      <c r="T2293" s="6">
        <v>0</v>
      </c>
      <c r="U2293" s="6">
        <v>0</v>
      </c>
      <c r="V2293" s="6">
        <v>0</v>
      </c>
      <c r="W2293" s="6">
        <v>0</v>
      </c>
      <c r="X2293" s="6" t="s">
        <v>169</v>
      </c>
      <c r="Z2293" s="6" t="s">
        <v>170</v>
      </c>
      <c r="AA2293" s="6" t="s">
        <v>171</v>
      </c>
      <c r="AB2293" s="6">
        <v>0</v>
      </c>
      <c r="AC2293" s="6" t="str">
        <f>""</f>
        <v/>
      </c>
      <c r="AS2293" s="6">
        <v>0</v>
      </c>
      <c r="AT2293" s="6">
        <v>0</v>
      </c>
    </row>
    <row r="2294" spans="2:46">
      <c r="B2294" s="6" t="s">
        <v>9505</v>
      </c>
      <c r="D2294" s="6" t="s">
        <v>8189</v>
      </c>
      <c r="F2294" s="6" t="s">
        <v>9553</v>
      </c>
      <c r="G2294" s="6" t="str">
        <f>"SS1719WTL"</f>
        <v>SS1719WTL</v>
      </c>
      <c r="H2294" s="6" t="s">
        <v>9554</v>
      </c>
      <c r="I2294" s="6" t="s">
        <v>9540</v>
      </c>
      <c r="J2294" s="6" t="str">
        <f t="shared" si="12"/>
        <v>gbt souvenir 2 t-shirts</v>
      </c>
      <c r="K2294" s="6">
        <v>0</v>
      </c>
      <c r="L2294" s="6">
        <v>0</v>
      </c>
      <c r="M2294" s="6">
        <v>0</v>
      </c>
      <c r="N2294" s="6" t="str">
        <f>""</f>
        <v/>
      </c>
      <c r="O2294" s="6">
        <v>24950</v>
      </c>
      <c r="P2294" s="6" t="s">
        <v>9554</v>
      </c>
      <c r="R2294" s="6" t="s">
        <v>5193</v>
      </c>
      <c r="S2294" s="6" t="s">
        <v>9555</v>
      </c>
      <c r="T2294" s="6">
        <v>0</v>
      </c>
      <c r="U2294" s="6">
        <v>0</v>
      </c>
      <c r="V2294" s="6">
        <v>0</v>
      </c>
      <c r="W2294" s="6">
        <v>0</v>
      </c>
      <c r="X2294" s="6" t="s">
        <v>169</v>
      </c>
      <c r="Z2294" s="6" t="s">
        <v>170</v>
      </c>
      <c r="AA2294" s="6" t="s">
        <v>171</v>
      </c>
      <c r="AB2294" s="6">
        <v>0</v>
      </c>
      <c r="AC2294" s="6" t="str">
        <f>""</f>
        <v/>
      </c>
      <c r="AS2294" s="6">
        <v>0</v>
      </c>
      <c r="AT2294" s="6">
        <v>0</v>
      </c>
    </row>
    <row r="2295" spans="2:46">
      <c r="B2295" s="6" t="s">
        <v>9505</v>
      </c>
      <c r="D2295" s="6" t="s">
        <v>8189</v>
      </c>
      <c r="F2295" s="6" t="s">
        <v>9556</v>
      </c>
      <c r="G2295" s="6" t="str">
        <f>"SS1719WTM"</f>
        <v>SS1719WTM</v>
      </c>
      <c r="H2295" s="6" t="s">
        <v>9557</v>
      </c>
      <c r="I2295" s="6" t="s">
        <v>9540</v>
      </c>
      <c r="J2295" s="6" t="str">
        <f t="shared" si="12"/>
        <v>gbt souvenir 2 t-shirts</v>
      </c>
      <c r="K2295" s="6">
        <v>0</v>
      </c>
      <c r="L2295" s="6">
        <v>0</v>
      </c>
      <c r="M2295" s="6">
        <v>0</v>
      </c>
      <c r="N2295" s="6" t="str">
        <f>""</f>
        <v/>
      </c>
      <c r="O2295" s="6">
        <v>24949</v>
      </c>
      <c r="P2295" s="6" t="s">
        <v>9557</v>
      </c>
      <c r="R2295" s="6" t="s">
        <v>5197</v>
      </c>
      <c r="S2295" s="6" t="s">
        <v>9558</v>
      </c>
      <c r="T2295" s="6">
        <v>0</v>
      </c>
      <c r="U2295" s="6">
        <v>0</v>
      </c>
      <c r="V2295" s="6">
        <v>0</v>
      </c>
      <c r="W2295" s="6">
        <v>0</v>
      </c>
      <c r="X2295" s="6" t="s">
        <v>169</v>
      </c>
      <c r="Z2295" s="6" t="s">
        <v>170</v>
      </c>
      <c r="AA2295" s="6" t="s">
        <v>171</v>
      </c>
      <c r="AB2295" s="6">
        <v>0</v>
      </c>
      <c r="AC2295" s="6" t="str">
        <f>""</f>
        <v/>
      </c>
      <c r="AS2295" s="6">
        <v>0</v>
      </c>
      <c r="AT2295" s="6">
        <v>0</v>
      </c>
    </row>
    <row r="2296" spans="2:46">
      <c r="B2296" s="6" t="s">
        <v>9505</v>
      </c>
      <c r="D2296" s="6" t="s">
        <v>8189</v>
      </c>
      <c r="F2296" s="6" t="s">
        <v>9559</v>
      </c>
      <c r="G2296" s="6" t="str">
        <f>"SS1716BLL"</f>
        <v>SS1716BLL</v>
      </c>
      <c r="H2296" s="6" t="s">
        <v>9560</v>
      </c>
      <c r="I2296" s="6" t="s">
        <v>9561</v>
      </c>
      <c r="J2296" s="6" t="str">
        <f>"backstage service pocket shirts"</f>
        <v>backstage service pocket shirts</v>
      </c>
      <c r="K2296" s="6">
        <v>0</v>
      </c>
      <c r="L2296" s="6">
        <v>0</v>
      </c>
      <c r="M2296" s="6">
        <v>0</v>
      </c>
      <c r="N2296" s="6" t="str">
        <f>""</f>
        <v/>
      </c>
      <c r="O2296" s="6">
        <v>24947</v>
      </c>
      <c r="P2296" s="6" t="s">
        <v>9560</v>
      </c>
      <c r="R2296" s="6" t="s">
        <v>9562</v>
      </c>
      <c r="S2296" s="6" t="s">
        <v>9563</v>
      </c>
      <c r="T2296" s="6">
        <v>0</v>
      </c>
      <c r="U2296" s="6">
        <v>0</v>
      </c>
      <c r="V2296" s="6">
        <v>0</v>
      </c>
      <c r="W2296" s="6">
        <v>0</v>
      </c>
      <c r="X2296" s="6" t="s">
        <v>169</v>
      </c>
      <c r="Z2296" s="6" t="s">
        <v>170</v>
      </c>
      <c r="AA2296" s="6" t="s">
        <v>171</v>
      </c>
      <c r="AB2296" s="6">
        <v>0</v>
      </c>
      <c r="AC2296" s="6" t="str">
        <f>""</f>
        <v/>
      </c>
      <c r="AS2296" s="6">
        <v>0</v>
      </c>
      <c r="AT2296" s="6">
        <v>0</v>
      </c>
    </row>
    <row r="2297" spans="2:46">
      <c r="B2297" s="6" t="s">
        <v>9505</v>
      </c>
      <c r="D2297" s="6" t="s">
        <v>8189</v>
      </c>
      <c r="F2297" s="6" t="s">
        <v>9564</v>
      </c>
      <c r="G2297" s="6" t="str">
        <f>"SS1716BLM"</f>
        <v>SS1716BLM</v>
      </c>
      <c r="H2297" s="6" t="s">
        <v>9565</v>
      </c>
      <c r="I2297" s="6" t="s">
        <v>9561</v>
      </c>
      <c r="J2297" s="6" t="str">
        <f>"backstage service pocket shirts"</f>
        <v>backstage service pocket shirts</v>
      </c>
      <c r="K2297" s="6">
        <v>0</v>
      </c>
      <c r="L2297" s="6">
        <v>0</v>
      </c>
      <c r="M2297" s="6">
        <v>0</v>
      </c>
      <c r="N2297" s="6" t="str">
        <f>""</f>
        <v/>
      </c>
      <c r="O2297" s="6">
        <v>24946</v>
      </c>
      <c r="P2297" s="6" t="s">
        <v>9565</v>
      </c>
      <c r="R2297" s="6" t="s">
        <v>9566</v>
      </c>
      <c r="S2297" s="6" t="s">
        <v>9567</v>
      </c>
      <c r="T2297" s="6">
        <v>0</v>
      </c>
      <c r="U2297" s="6">
        <v>0</v>
      </c>
      <c r="V2297" s="6">
        <v>0</v>
      </c>
      <c r="W2297" s="6">
        <v>0</v>
      </c>
      <c r="X2297" s="6" t="s">
        <v>169</v>
      </c>
      <c r="Z2297" s="6" t="s">
        <v>170</v>
      </c>
      <c r="AA2297" s="6" t="s">
        <v>171</v>
      </c>
      <c r="AB2297" s="6">
        <v>0</v>
      </c>
      <c r="AC2297" s="6" t="str">
        <f>""</f>
        <v/>
      </c>
      <c r="AS2297" s="6">
        <v>0</v>
      </c>
      <c r="AT2297" s="6">
        <v>0</v>
      </c>
    </row>
    <row r="2298" spans="2:46">
      <c r="B2298" s="6" t="s">
        <v>9505</v>
      </c>
      <c r="D2298" s="6" t="s">
        <v>8189</v>
      </c>
      <c r="F2298" s="6" t="s">
        <v>9568</v>
      </c>
      <c r="G2298" s="6" t="str">
        <f>"SS1715GRL"</f>
        <v>SS1715GRL</v>
      </c>
      <c r="H2298" s="6" t="s">
        <v>9569</v>
      </c>
      <c r="I2298" s="6" t="s">
        <v>9561</v>
      </c>
      <c r="J2298" s="6" t="str">
        <f>"backstage service pocket shirts"</f>
        <v>backstage service pocket shirts</v>
      </c>
      <c r="K2298" s="6">
        <v>0</v>
      </c>
      <c r="L2298" s="6">
        <v>0</v>
      </c>
      <c r="M2298" s="6">
        <v>0</v>
      </c>
      <c r="N2298" s="6" t="str">
        <f>""</f>
        <v/>
      </c>
      <c r="O2298" s="6">
        <v>24945</v>
      </c>
      <c r="P2298" s="6" t="s">
        <v>9569</v>
      </c>
      <c r="R2298" s="6" t="s">
        <v>9570</v>
      </c>
      <c r="S2298" s="6" t="s">
        <v>9571</v>
      </c>
      <c r="T2298" s="6">
        <v>0</v>
      </c>
      <c r="U2298" s="6">
        <v>0</v>
      </c>
      <c r="V2298" s="6">
        <v>0</v>
      </c>
      <c r="W2298" s="6">
        <v>0</v>
      </c>
      <c r="X2298" s="6" t="s">
        <v>169</v>
      </c>
      <c r="Z2298" s="6" t="s">
        <v>170</v>
      </c>
      <c r="AA2298" s="6" t="s">
        <v>171</v>
      </c>
      <c r="AB2298" s="6">
        <v>0</v>
      </c>
      <c r="AC2298" s="6" t="str">
        <f>""</f>
        <v/>
      </c>
      <c r="AS2298" s="6">
        <v>0</v>
      </c>
      <c r="AT2298" s="6">
        <v>0</v>
      </c>
    </row>
    <row r="2299" spans="2:46">
      <c r="B2299" s="6" t="s">
        <v>9505</v>
      </c>
      <c r="D2299" s="6" t="s">
        <v>8189</v>
      </c>
      <c r="F2299" s="6" t="s">
        <v>9572</v>
      </c>
      <c r="G2299" s="6" t="str">
        <f>"SS1715GRM"</f>
        <v>SS1715GRM</v>
      </c>
      <c r="H2299" s="6" t="s">
        <v>9573</v>
      </c>
      <c r="I2299" s="6" t="s">
        <v>9561</v>
      </c>
      <c r="J2299" s="6" t="str">
        <f>"backstage service pocket shirts"</f>
        <v>backstage service pocket shirts</v>
      </c>
      <c r="K2299" s="6">
        <v>0</v>
      </c>
      <c r="L2299" s="6">
        <v>0</v>
      </c>
      <c r="M2299" s="6">
        <v>0</v>
      </c>
      <c r="N2299" s="6" t="str">
        <f>""</f>
        <v/>
      </c>
      <c r="O2299" s="6">
        <v>24944</v>
      </c>
      <c r="P2299" s="6" t="s">
        <v>9573</v>
      </c>
      <c r="R2299" s="6" t="s">
        <v>9574</v>
      </c>
      <c r="S2299" s="6" t="s">
        <v>9575</v>
      </c>
      <c r="T2299" s="6">
        <v>0</v>
      </c>
      <c r="U2299" s="6">
        <v>0</v>
      </c>
      <c r="V2299" s="6">
        <v>0</v>
      </c>
      <c r="W2299" s="6">
        <v>0</v>
      </c>
      <c r="X2299" s="6" t="s">
        <v>169</v>
      </c>
      <c r="Z2299" s="6" t="s">
        <v>170</v>
      </c>
      <c r="AA2299" s="6" t="s">
        <v>171</v>
      </c>
      <c r="AB2299" s="6">
        <v>0</v>
      </c>
      <c r="AC2299" s="6" t="str">
        <f>""</f>
        <v/>
      </c>
      <c r="AS2299" s="6">
        <v>0</v>
      </c>
      <c r="AT2299" s="6">
        <v>0</v>
      </c>
    </row>
    <row r="2300" spans="2:46">
      <c r="B2300" s="6" t="s">
        <v>9505</v>
      </c>
      <c r="D2300" s="6" t="s">
        <v>8189</v>
      </c>
      <c r="F2300" s="6" t="s">
        <v>9576</v>
      </c>
      <c r="G2300" s="6" t="str">
        <f>"SS1714BLL"</f>
        <v>SS1714BLL</v>
      </c>
      <c r="H2300" s="6" t="s">
        <v>9577</v>
      </c>
      <c r="I2300" s="6" t="s">
        <v>9578</v>
      </c>
      <c r="J2300" s="6" t="str">
        <f>"backstage long shirts"</f>
        <v>backstage long shirts</v>
      </c>
      <c r="K2300" s="6">
        <v>0</v>
      </c>
      <c r="L2300" s="6">
        <v>0</v>
      </c>
      <c r="M2300" s="6">
        <v>0</v>
      </c>
      <c r="N2300" s="6" t="str">
        <f>""</f>
        <v/>
      </c>
      <c r="O2300" s="6">
        <v>24942</v>
      </c>
      <c r="P2300" s="6" t="s">
        <v>9577</v>
      </c>
      <c r="R2300" s="6" t="s">
        <v>9562</v>
      </c>
      <c r="S2300" s="6" t="s">
        <v>9579</v>
      </c>
      <c r="T2300" s="6">
        <v>0</v>
      </c>
      <c r="U2300" s="6">
        <v>0</v>
      </c>
      <c r="V2300" s="6">
        <v>0</v>
      </c>
      <c r="W2300" s="6">
        <v>0</v>
      </c>
      <c r="X2300" s="6" t="s">
        <v>169</v>
      </c>
      <c r="Z2300" s="6" t="s">
        <v>170</v>
      </c>
      <c r="AA2300" s="6" t="s">
        <v>171</v>
      </c>
      <c r="AB2300" s="6">
        <v>0</v>
      </c>
      <c r="AC2300" s="6" t="str">
        <f>""</f>
        <v/>
      </c>
      <c r="AS2300" s="6">
        <v>0</v>
      </c>
      <c r="AT2300" s="6">
        <v>0</v>
      </c>
    </row>
    <row r="2301" spans="2:46">
      <c r="B2301" s="6" t="s">
        <v>9505</v>
      </c>
      <c r="D2301" s="6" t="s">
        <v>8189</v>
      </c>
      <c r="F2301" s="6" t="s">
        <v>9580</v>
      </c>
      <c r="G2301" s="6" t="str">
        <f>"SS1714BLM"</f>
        <v>SS1714BLM</v>
      </c>
      <c r="H2301" s="6" t="s">
        <v>9581</v>
      </c>
      <c r="I2301" s="6" t="s">
        <v>9578</v>
      </c>
      <c r="J2301" s="6" t="str">
        <f>"backstage long shirts"</f>
        <v>backstage long shirts</v>
      </c>
      <c r="K2301" s="6">
        <v>0</v>
      </c>
      <c r="L2301" s="6">
        <v>0</v>
      </c>
      <c r="M2301" s="6">
        <v>0</v>
      </c>
      <c r="N2301" s="6" t="str">
        <f>""</f>
        <v/>
      </c>
      <c r="O2301" s="6">
        <v>24941</v>
      </c>
      <c r="P2301" s="6" t="s">
        <v>9581</v>
      </c>
      <c r="R2301" s="6" t="s">
        <v>9566</v>
      </c>
      <c r="S2301" s="6" t="s">
        <v>9582</v>
      </c>
      <c r="T2301" s="6">
        <v>0</v>
      </c>
      <c r="U2301" s="6">
        <v>0</v>
      </c>
      <c r="V2301" s="6">
        <v>0</v>
      </c>
      <c r="W2301" s="6">
        <v>0</v>
      </c>
      <c r="X2301" s="6" t="s">
        <v>169</v>
      </c>
      <c r="Z2301" s="6" t="s">
        <v>170</v>
      </c>
      <c r="AA2301" s="6" t="s">
        <v>171</v>
      </c>
      <c r="AB2301" s="6">
        <v>0</v>
      </c>
      <c r="AC2301" s="6" t="str">
        <f>""</f>
        <v/>
      </c>
      <c r="AS2301" s="6">
        <v>0</v>
      </c>
      <c r="AT2301" s="6">
        <v>0</v>
      </c>
    </row>
    <row r="2302" spans="2:46">
      <c r="B2302" s="6" t="s">
        <v>9505</v>
      </c>
      <c r="D2302" s="6" t="s">
        <v>8189</v>
      </c>
      <c r="F2302" s="6" t="s">
        <v>9583</v>
      </c>
      <c r="G2302" s="6" t="str">
        <f>"SS1713GRL"</f>
        <v>SS1713GRL</v>
      </c>
      <c r="H2302" s="6" t="s">
        <v>9584</v>
      </c>
      <c r="I2302" s="6" t="s">
        <v>9578</v>
      </c>
      <c r="J2302" s="6" t="str">
        <f>"backstage long shirts"</f>
        <v>backstage long shirts</v>
      </c>
      <c r="K2302" s="6">
        <v>0</v>
      </c>
      <c r="L2302" s="6">
        <v>0</v>
      </c>
      <c r="M2302" s="6">
        <v>0</v>
      </c>
      <c r="N2302" s="6" t="str">
        <f>""</f>
        <v/>
      </c>
      <c r="O2302" s="6">
        <v>24940</v>
      </c>
      <c r="P2302" s="6" t="s">
        <v>9584</v>
      </c>
      <c r="R2302" s="6" t="s">
        <v>9570</v>
      </c>
      <c r="S2302" s="6" t="s">
        <v>9585</v>
      </c>
      <c r="T2302" s="6">
        <v>0</v>
      </c>
      <c r="U2302" s="6">
        <v>0</v>
      </c>
      <c r="V2302" s="6">
        <v>0</v>
      </c>
      <c r="W2302" s="6">
        <v>0</v>
      </c>
      <c r="X2302" s="6" t="s">
        <v>169</v>
      </c>
      <c r="Z2302" s="6" t="s">
        <v>170</v>
      </c>
      <c r="AA2302" s="6" t="s">
        <v>171</v>
      </c>
      <c r="AB2302" s="6">
        <v>0</v>
      </c>
      <c r="AC2302" s="6" t="str">
        <f>""</f>
        <v/>
      </c>
      <c r="AS2302" s="6">
        <v>0</v>
      </c>
      <c r="AT2302" s="6">
        <v>0</v>
      </c>
    </row>
    <row r="2303" spans="2:46">
      <c r="B2303" s="6" t="s">
        <v>9505</v>
      </c>
      <c r="D2303" s="6" t="s">
        <v>8189</v>
      </c>
      <c r="F2303" s="6" t="s">
        <v>9586</v>
      </c>
      <c r="G2303" s="6" t="str">
        <f>"SS1713GRM"</f>
        <v>SS1713GRM</v>
      </c>
      <c r="H2303" s="6" t="s">
        <v>9587</v>
      </c>
      <c r="I2303" s="6" t="s">
        <v>9578</v>
      </c>
      <c r="J2303" s="6" t="str">
        <f>"backstage long shirts"</f>
        <v>backstage long shirts</v>
      </c>
      <c r="K2303" s="6">
        <v>0</v>
      </c>
      <c r="L2303" s="6">
        <v>0</v>
      </c>
      <c r="M2303" s="6">
        <v>0</v>
      </c>
      <c r="N2303" s="6" t="str">
        <f>""</f>
        <v/>
      </c>
      <c r="O2303" s="6">
        <v>24939</v>
      </c>
      <c r="P2303" s="6" t="s">
        <v>9587</v>
      </c>
      <c r="R2303" s="6" t="s">
        <v>9574</v>
      </c>
      <c r="S2303" s="6" t="s">
        <v>9588</v>
      </c>
      <c r="T2303" s="6">
        <v>0</v>
      </c>
      <c r="U2303" s="6">
        <v>0</v>
      </c>
      <c r="V2303" s="6">
        <v>0</v>
      </c>
      <c r="W2303" s="6">
        <v>0</v>
      </c>
      <c r="X2303" s="6" t="s">
        <v>169</v>
      </c>
      <c r="Z2303" s="6" t="s">
        <v>170</v>
      </c>
      <c r="AA2303" s="6" t="s">
        <v>171</v>
      </c>
      <c r="AB2303" s="6">
        <v>0</v>
      </c>
      <c r="AC2303" s="6" t="str">
        <f>""</f>
        <v/>
      </c>
      <c r="AS2303" s="6">
        <v>0</v>
      </c>
      <c r="AT2303" s="6">
        <v>0</v>
      </c>
    </row>
    <row r="2304" spans="2:46">
      <c r="B2304" s="6" t="s">
        <v>9505</v>
      </c>
      <c r="D2304" s="6" t="s">
        <v>8189</v>
      </c>
      <c r="F2304" s="6" t="s">
        <v>9589</v>
      </c>
      <c r="G2304" s="6" t="str">
        <f>"SS1712WTF"</f>
        <v>SS1712WTF</v>
      </c>
      <c r="H2304" s="6" t="s">
        <v>9590</v>
      </c>
      <c r="I2304" s="6" t="s">
        <v>9591</v>
      </c>
      <c r="J2304" s="6" t="str">
        <f>"backstage utility vest"</f>
        <v>backstage utility vest</v>
      </c>
      <c r="K2304" s="6">
        <v>0</v>
      </c>
      <c r="L2304" s="6">
        <v>0</v>
      </c>
      <c r="M2304" s="6">
        <v>0</v>
      </c>
      <c r="N2304" s="6" t="str">
        <f>""</f>
        <v/>
      </c>
      <c r="O2304" s="6">
        <v>24937</v>
      </c>
      <c r="P2304" s="6" t="s">
        <v>9590</v>
      </c>
      <c r="R2304" s="6" t="s">
        <v>2167</v>
      </c>
      <c r="S2304" s="6" t="s">
        <v>9592</v>
      </c>
      <c r="T2304" s="6">
        <v>0</v>
      </c>
      <c r="U2304" s="6">
        <v>0</v>
      </c>
      <c r="V2304" s="6">
        <v>0</v>
      </c>
      <c r="W2304" s="6">
        <v>0</v>
      </c>
      <c r="X2304" s="6" t="s">
        <v>169</v>
      </c>
      <c r="Z2304" s="6" t="s">
        <v>170</v>
      </c>
      <c r="AA2304" s="6" t="s">
        <v>171</v>
      </c>
      <c r="AB2304" s="6">
        <v>0</v>
      </c>
      <c r="AC2304" s="6" t="str">
        <f>""</f>
        <v/>
      </c>
      <c r="AS2304" s="6">
        <v>0</v>
      </c>
      <c r="AT2304" s="6">
        <v>0</v>
      </c>
    </row>
    <row r="2305" spans="2:46">
      <c r="B2305" s="6" t="s">
        <v>9505</v>
      </c>
      <c r="D2305" s="6" t="s">
        <v>8189</v>
      </c>
      <c r="F2305" s="6" t="s">
        <v>9593</v>
      </c>
      <c r="G2305" s="6" t="str">
        <f>"SS171BKF"</f>
        <v>SS171BKF</v>
      </c>
      <c r="H2305" s="6" t="s">
        <v>9594</v>
      </c>
      <c r="I2305" s="6" t="s">
        <v>9591</v>
      </c>
      <c r="J2305" s="6" t="str">
        <f>"backstage utility vest"</f>
        <v>backstage utility vest</v>
      </c>
      <c r="K2305" s="6">
        <v>0</v>
      </c>
      <c r="L2305" s="6">
        <v>0</v>
      </c>
      <c r="M2305" s="6">
        <v>0</v>
      </c>
      <c r="N2305" s="6" t="str">
        <f>""</f>
        <v/>
      </c>
      <c r="O2305" s="6">
        <v>24936</v>
      </c>
      <c r="P2305" s="6" t="s">
        <v>9594</v>
      </c>
      <c r="R2305" s="6" t="s">
        <v>2106</v>
      </c>
      <c r="S2305" s="6" t="s">
        <v>9595</v>
      </c>
      <c r="T2305" s="6">
        <v>0</v>
      </c>
      <c r="U2305" s="6">
        <v>0</v>
      </c>
      <c r="V2305" s="6">
        <v>0</v>
      </c>
      <c r="W2305" s="6">
        <v>0</v>
      </c>
      <c r="X2305" s="6" t="s">
        <v>169</v>
      </c>
      <c r="Z2305" s="6" t="s">
        <v>170</v>
      </c>
      <c r="AA2305" s="6" t="s">
        <v>171</v>
      </c>
      <c r="AB2305" s="6">
        <v>0</v>
      </c>
      <c r="AC2305" s="6" t="str">
        <f>""</f>
        <v/>
      </c>
      <c r="AS2305" s="6">
        <v>0</v>
      </c>
      <c r="AT2305" s="6">
        <v>0</v>
      </c>
    </row>
    <row r="2306" spans="2:46">
      <c r="B2306" s="6" t="s">
        <v>9505</v>
      </c>
      <c r="D2306" s="6" t="s">
        <v>8189</v>
      </c>
      <c r="F2306" s="6" t="s">
        <v>9596</v>
      </c>
      <c r="G2306" s="6" t="str">
        <f>"SS1710WTL"</f>
        <v>SS1710WTL</v>
      </c>
      <c r="H2306" s="6" t="s">
        <v>9597</v>
      </c>
      <c r="I2306" s="6" t="s">
        <v>9598</v>
      </c>
      <c r="J2306" s="6" t="str">
        <f>"class coach jacket"</f>
        <v>class coach jacket</v>
      </c>
      <c r="K2306" s="6">
        <v>0</v>
      </c>
      <c r="L2306" s="6">
        <v>0</v>
      </c>
      <c r="M2306" s="6">
        <v>0</v>
      </c>
      <c r="N2306" s="6" t="str">
        <f>""</f>
        <v/>
      </c>
      <c r="O2306" s="6">
        <v>24934</v>
      </c>
      <c r="P2306" s="6" t="s">
        <v>9597</v>
      </c>
      <c r="R2306" s="6" t="s">
        <v>5193</v>
      </c>
      <c r="S2306" s="6" t="s">
        <v>9599</v>
      </c>
      <c r="T2306" s="6">
        <v>0</v>
      </c>
      <c r="U2306" s="6">
        <v>0</v>
      </c>
      <c r="V2306" s="6">
        <v>0</v>
      </c>
      <c r="W2306" s="6">
        <v>0</v>
      </c>
      <c r="X2306" s="6" t="s">
        <v>169</v>
      </c>
      <c r="Z2306" s="6" t="s">
        <v>170</v>
      </c>
      <c r="AA2306" s="6" t="s">
        <v>171</v>
      </c>
      <c r="AB2306" s="6">
        <v>0</v>
      </c>
      <c r="AC2306" s="6" t="str">
        <f>""</f>
        <v/>
      </c>
      <c r="AS2306" s="6">
        <v>0</v>
      </c>
      <c r="AT2306" s="6">
        <v>0</v>
      </c>
    </row>
    <row r="2307" spans="2:46">
      <c r="B2307" s="6" t="s">
        <v>9505</v>
      </c>
      <c r="D2307" s="6" t="s">
        <v>8189</v>
      </c>
      <c r="F2307" s="6" t="s">
        <v>9600</v>
      </c>
      <c r="G2307" s="6" t="str">
        <f>"SS1710WTM"</f>
        <v>SS1710WTM</v>
      </c>
      <c r="H2307" s="6" t="s">
        <v>9601</v>
      </c>
      <c r="I2307" s="6" t="s">
        <v>9598</v>
      </c>
      <c r="J2307" s="6" t="str">
        <f>"class coach jacket"</f>
        <v>class coach jacket</v>
      </c>
      <c r="K2307" s="6">
        <v>0</v>
      </c>
      <c r="L2307" s="6">
        <v>0</v>
      </c>
      <c r="M2307" s="6">
        <v>0</v>
      </c>
      <c r="N2307" s="6" t="str">
        <f>""</f>
        <v/>
      </c>
      <c r="O2307" s="6">
        <v>24933</v>
      </c>
      <c r="P2307" s="6" t="s">
        <v>9601</v>
      </c>
      <c r="R2307" s="6" t="s">
        <v>5197</v>
      </c>
      <c r="S2307" s="6" t="s">
        <v>9602</v>
      </c>
      <c r="T2307" s="6">
        <v>0</v>
      </c>
      <c r="U2307" s="6">
        <v>0</v>
      </c>
      <c r="V2307" s="6">
        <v>0</v>
      </c>
      <c r="W2307" s="6">
        <v>0</v>
      </c>
      <c r="X2307" s="6" t="s">
        <v>169</v>
      </c>
      <c r="Z2307" s="6" t="s">
        <v>170</v>
      </c>
      <c r="AA2307" s="6" t="s">
        <v>171</v>
      </c>
      <c r="AB2307" s="6">
        <v>0</v>
      </c>
      <c r="AC2307" s="6" t="str">
        <f>""</f>
        <v/>
      </c>
      <c r="AS2307" s="6">
        <v>0</v>
      </c>
      <c r="AT2307" s="6">
        <v>0</v>
      </c>
    </row>
    <row r="2308" spans="2:46">
      <c r="B2308" s="6" t="s">
        <v>9505</v>
      </c>
      <c r="D2308" s="6" t="s">
        <v>8189</v>
      </c>
      <c r="F2308" s="6" t="s">
        <v>9603</v>
      </c>
      <c r="G2308" s="6" t="str">
        <f>"SS1709BKL"</f>
        <v>SS1709BKL</v>
      </c>
      <c r="H2308" s="6" t="s">
        <v>9604</v>
      </c>
      <c r="I2308" s="6" t="s">
        <v>9598</v>
      </c>
      <c r="J2308" s="6" t="str">
        <f>"class coach jacket"</f>
        <v>class coach jacket</v>
      </c>
      <c r="K2308" s="6">
        <v>0</v>
      </c>
      <c r="L2308" s="6">
        <v>0</v>
      </c>
      <c r="M2308" s="6">
        <v>0</v>
      </c>
      <c r="N2308" s="6" t="str">
        <f>""</f>
        <v/>
      </c>
      <c r="O2308" s="6">
        <v>24932</v>
      </c>
      <c r="P2308" s="6" t="s">
        <v>9604</v>
      </c>
      <c r="R2308" s="6" t="s">
        <v>5106</v>
      </c>
      <c r="S2308" s="6" t="s">
        <v>9605</v>
      </c>
      <c r="T2308" s="6">
        <v>0</v>
      </c>
      <c r="U2308" s="6">
        <v>0</v>
      </c>
      <c r="V2308" s="6">
        <v>0</v>
      </c>
      <c r="W2308" s="6">
        <v>0</v>
      </c>
      <c r="X2308" s="6" t="s">
        <v>169</v>
      </c>
      <c r="Z2308" s="6" t="s">
        <v>170</v>
      </c>
      <c r="AA2308" s="6" t="s">
        <v>171</v>
      </c>
      <c r="AB2308" s="6">
        <v>0</v>
      </c>
      <c r="AC2308" s="6" t="str">
        <f>""</f>
        <v/>
      </c>
      <c r="AS2308" s="6">
        <v>0</v>
      </c>
      <c r="AT2308" s="6">
        <v>0</v>
      </c>
    </row>
    <row r="2309" spans="2:46">
      <c r="B2309" s="6" t="s">
        <v>9505</v>
      </c>
      <c r="D2309" s="6" t="s">
        <v>8189</v>
      </c>
      <c r="F2309" s="6" t="s">
        <v>9606</v>
      </c>
      <c r="G2309" s="6" t="str">
        <f>"SS1709BKM"</f>
        <v>SS1709BKM</v>
      </c>
      <c r="H2309" s="6" t="s">
        <v>9607</v>
      </c>
      <c r="I2309" s="6" t="s">
        <v>9598</v>
      </c>
      <c r="J2309" s="6" t="str">
        <f>"class coach jacket"</f>
        <v>class coach jacket</v>
      </c>
      <c r="K2309" s="6">
        <v>0</v>
      </c>
      <c r="L2309" s="6">
        <v>0</v>
      </c>
      <c r="M2309" s="6">
        <v>0</v>
      </c>
      <c r="N2309" s="6" t="str">
        <f>""</f>
        <v/>
      </c>
      <c r="O2309" s="6">
        <v>24931</v>
      </c>
      <c r="P2309" s="6" t="s">
        <v>9607</v>
      </c>
      <c r="R2309" s="6" t="s">
        <v>601</v>
      </c>
      <c r="S2309" s="6" t="s">
        <v>9608</v>
      </c>
      <c r="T2309" s="6">
        <v>0</v>
      </c>
      <c r="U2309" s="6">
        <v>0</v>
      </c>
      <c r="V2309" s="6">
        <v>0</v>
      </c>
      <c r="W2309" s="6">
        <v>0</v>
      </c>
      <c r="X2309" s="6" t="s">
        <v>169</v>
      </c>
      <c r="Z2309" s="6" t="s">
        <v>170</v>
      </c>
      <c r="AA2309" s="6" t="s">
        <v>171</v>
      </c>
      <c r="AB2309" s="6">
        <v>0</v>
      </c>
      <c r="AC2309" s="6" t="str">
        <f>""</f>
        <v/>
      </c>
      <c r="AS2309" s="6">
        <v>0</v>
      </c>
      <c r="AT2309" s="6">
        <v>0</v>
      </c>
    </row>
    <row r="2310" spans="2:46">
      <c r="B2310" s="6" t="s">
        <v>9505</v>
      </c>
      <c r="D2310" s="6" t="s">
        <v>8189</v>
      </c>
      <c r="F2310" s="6" t="s">
        <v>9609</v>
      </c>
      <c r="G2310" s="6" t="str">
        <f>"SS1706GRL"</f>
        <v>SS1706GRL</v>
      </c>
      <c r="H2310" s="6" t="s">
        <v>9610</v>
      </c>
      <c r="I2310" s="6" t="s">
        <v>9611</v>
      </c>
      <c r="J2310" s="6" t="str">
        <f>"gbt souvenir 1 swaet shirts"</f>
        <v>gbt souvenir 1 swaet shirts</v>
      </c>
      <c r="K2310" s="6">
        <v>0</v>
      </c>
      <c r="L2310" s="6">
        <v>0</v>
      </c>
      <c r="M2310" s="6">
        <v>0</v>
      </c>
      <c r="N2310" s="6" t="str">
        <f>""</f>
        <v/>
      </c>
      <c r="O2310" s="6">
        <v>24926</v>
      </c>
      <c r="P2310" s="6" t="s">
        <v>9610</v>
      </c>
      <c r="R2310" s="6" t="s">
        <v>9547</v>
      </c>
      <c r="S2310" s="6" t="s">
        <v>9612</v>
      </c>
      <c r="T2310" s="6">
        <v>0</v>
      </c>
      <c r="U2310" s="6">
        <v>0</v>
      </c>
      <c r="V2310" s="6">
        <v>0</v>
      </c>
      <c r="W2310" s="6">
        <v>0</v>
      </c>
      <c r="X2310" s="6" t="s">
        <v>169</v>
      </c>
      <c r="Z2310" s="6" t="s">
        <v>170</v>
      </c>
      <c r="AA2310" s="6" t="s">
        <v>171</v>
      </c>
      <c r="AB2310" s="6">
        <v>0</v>
      </c>
      <c r="AC2310" s="6" t="str">
        <f>""</f>
        <v/>
      </c>
      <c r="AS2310" s="6">
        <v>0</v>
      </c>
      <c r="AT2310" s="6">
        <v>0</v>
      </c>
    </row>
    <row r="2311" spans="2:46">
      <c r="B2311" s="6" t="s">
        <v>9505</v>
      </c>
      <c r="D2311" s="6" t="s">
        <v>8189</v>
      </c>
      <c r="F2311" s="6" t="s">
        <v>9613</v>
      </c>
      <c r="G2311" s="6" t="str">
        <f>"SS1706GRM"</f>
        <v>SS1706GRM</v>
      </c>
      <c r="H2311" s="6" t="s">
        <v>9614</v>
      </c>
      <c r="I2311" s="6" t="s">
        <v>9611</v>
      </c>
      <c r="J2311" s="6" t="str">
        <f>"gbt souvenir 1 swaet shirts"</f>
        <v>gbt souvenir 1 swaet shirts</v>
      </c>
      <c r="K2311" s="6">
        <v>0</v>
      </c>
      <c r="L2311" s="6">
        <v>0</v>
      </c>
      <c r="M2311" s="6">
        <v>0</v>
      </c>
      <c r="N2311" s="6" t="str">
        <f>""</f>
        <v/>
      </c>
      <c r="O2311" s="6">
        <v>24925</v>
      </c>
      <c r="P2311" s="6" t="s">
        <v>9614</v>
      </c>
      <c r="R2311" s="6" t="s">
        <v>9551</v>
      </c>
      <c r="S2311" s="6" t="s">
        <v>9615</v>
      </c>
      <c r="T2311" s="6">
        <v>0</v>
      </c>
      <c r="U2311" s="6">
        <v>0</v>
      </c>
      <c r="V2311" s="6">
        <v>0</v>
      </c>
      <c r="W2311" s="6">
        <v>0</v>
      </c>
      <c r="X2311" s="6" t="s">
        <v>169</v>
      </c>
      <c r="Z2311" s="6" t="s">
        <v>170</v>
      </c>
      <c r="AA2311" s="6" t="s">
        <v>171</v>
      </c>
      <c r="AB2311" s="6">
        <v>0</v>
      </c>
      <c r="AC2311" s="6" t="str">
        <f>""</f>
        <v/>
      </c>
      <c r="AS2311" s="6">
        <v>0</v>
      </c>
      <c r="AT2311" s="6">
        <v>0</v>
      </c>
    </row>
    <row r="2312" spans="2:46">
      <c r="B2312" s="6" t="s">
        <v>9505</v>
      </c>
      <c r="D2312" s="6" t="s">
        <v>8189</v>
      </c>
      <c r="F2312" s="6" t="s">
        <v>9616</v>
      </c>
      <c r="G2312" s="6" t="str">
        <f>"SS1705NVL"</f>
        <v>SS1705NVL</v>
      </c>
      <c r="H2312" s="6" t="s">
        <v>9617</v>
      </c>
      <c r="I2312" s="6" t="s">
        <v>9611</v>
      </c>
      <c r="J2312" s="6" t="str">
        <f>"gbt souvenir 1 swaet shirts"</f>
        <v>gbt souvenir 1 swaet shirts</v>
      </c>
      <c r="K2312" s="6">
        <v>0</v>
      </c>
      <c r="L2312" s="6">
        <v>0</v>
      </c>
      <c r="M2312" s="6">
        <v>0</v>
      </c>
      <c r="N2312" s="6" t="str">
        <f>""</f>
        <v/>
      </c>
      <c r="O2312" s="6">
        <v>24924</v>
      </c>
      <c r="P2312" s="6" t="s">
        <v>9617</v>
      </c>
      <c r="R2312" s="6" t="s">
        <v>5089</v>
      </c>
      <c r="S2312" s="6" t="s">
        <v>9618</v>
      </c>
      <c r="T2312" s="6">
        <v>0</v>
      </c>
      <c r="U2312" s="6">
        <v>0</v>
      </c>
      <c r="V2312" s="6">
        <v>0</v>
      </c>
      <c r="W2312" s="6">
        <v>0</v>
      </c>
      <c r="X2312" s="6" t="s">
        <v>169</v>
      </c>
      <c r="Z2312" s="6" t="s">
        <v>170</v>
      </c>
      <c r="AA2312" s="6" t="s">
        <v>171</v>
      </c>
      <c r="AB2312" s="6">
        <v>0</v>
      </c>
      <c r="AC2312" s="6" t="str">
        <f>""</f>
        <v/>
      </c>
      <c r="AS2312" s="6">
        <v>0</v>
      </c>
      <c r="AT2312" s="6">
        <v>0</v>
      </c>
    </row>
    <row r="2313" spans="2:46">
      <c r="B2313" s="6" t="s">
        <v>9505</v>
      </c>
      <c r="D2313" s="6" t="s">
        <v>8189</v>
      </c>
      <c r="F2313" s="6" t="s">
        <v>9619</v>
      </c>
      <c r="G2313" s="6" t="str">
        <f>"SS1705NVM"</f>
        <v>SS1705NVM</v>
      </c>
      <c r="H2313" s="6" t="s">
        <v>9620</v>
      </c>
      <c r="I2313" s="6" t="s">
        <v>9611</v>
      </c>
      <c r="J2313" s="6" t="str">
        <f>"gbt souvenir 1 swaet shirts"</f>
        <v>gbt souvenir 1 swaet shirts</v>
      </c>
      <c r="K2313" s="6">
        <v>0</v>
      </c>
      <c r="L2313" s="6">
        <v>0</v>
      </c>
      <c r="M2313" s="6">
        <v>0</v>
      </c>
      <c r="N2313" s="6" t="str">
        <f>""</f>
        <v/>
      </c>
      <c r="O2313" s="6">
        <v>24923</v>
      </c>
      <c r="P2313" s="6" t="s">
        <v>9620</v>
      </c>
      <c r="R2313" s="6" t="s">
        <v>571</v>
      </c>
      <c r="S2313" s="6" t="s">
        <v>9621</v>
      </c>
      <c r="T2313" s="6">
        <v>0</v>
      </c>
      <c r="U2313" s="6">
        <v>0</v>
      </c>
      <c r="V2313" s="6">
        <v>0</v>
      </c>
      <c r="W2313" s="6">
        <v>0</v>
      </c>
      <c r="X2313" s="6" t="s">
        <v>169</v>
      </c>
      <c r="Z2313" s="6" t="s">
        <v>170</v>
      </c>
      <c r="AA2313" s="6" t="s">
        <v>171</v>
      </c>
      <c r="AB2313" s="6">
        <v>0</v>
      </c>
      <c r="AC2313" s="6" t="str">
        <f>""</f>
        <v/>
      </c>
      <c r="AS2313" s="6">
        <v>0</v>
      </c>
      <c r="AT2313" s="6">
        <v>0</v>
      </c>
    </row>
    <row r="2314" spans="2:46">
      <c r="B2314" s="6" t="s">
        <v>9505</v>
      </c>
      <c r="D2314" s="6" t="s">
        <v>8189</v>
      </c>
      <c r="F2314" s="6" t="s">
        <v>9622</v>
      </c>
      <c r="G2314" s="6" t="str">
        <f>"SS1702GRL"</f>
        <v>SS1702GRL</v>
      </c>
      <c r="H2314" s="6" t="s">
        <v>9623</v>
      </c>
      <c r="I2314" s="6" t="s">
        <v>9624</v>
      </c>
      <c r="J2314" s="6" t="str">
        <f>"break time coat"</f>
        <v>break time coat</v>
      </c>
      <c r="K2314" s="6">
        <v>0</v>
      </c>
      <c r="L2314" s="6">
        <v>0</v>
      </c>
      <c r="M2314" s="6">
        <v>0</v>
      </c>
      <c r="N2314" s="6" t="str">
        <f>""</f>
        <v/>
      </c>
      <c r="O2314" s="6">
        <v>24921</v>
      </c>
      <c r="P2314" s="6" t="s">
        <v>9623</v>
      </c>
      <c r="R2314" s="6" t="s">
        <v>5406</v>
      </c>
      <c r="S2314" s="6" t="s">
        <v>9625</v>
      </c>
      <c r="T2314" s="6">
        <v>0</v>
      </c>
      <c r="U2314" s="6">
        <v>0</v>
      </c>
      <c r="V2314" s="6">
        <v>0</v>
      </c>
      <c r="W2314" s="6">
        <v>0</v>
      </c>
      <c r="X2314" s="6" t="s">
        <v>169</v>
      </c>
      <c r="Z2314" s="6" t="s">
        <v>170</v>
      </c>
      <c r="AA2314" s="6" t="s">
        <v>171</v>
      </c>
      <c r="AB2314" s="6">
        <v>0</v>
      </c>
      <c r="AC2314" s="6" t="str">
        <f>""</f>
        <v/>
      </c>
      <c r="AS2314" s="6">
        <v>0</v>
      </c>
      <c r="AT2314" s="6">
        <v>0</v>
      </c>
    </row>
    <row r="2315" spans="2:46">
      <c r="B2315" s="6" t="s">
        <v>9505</v>
      </c>
      <c r="D2315" s="6" t="s">
        <v>8189</v>
      </c>
      <c r="F2315" s="6" t="s">
        <v>9626</v>
      </c>
      <c r="G2315" s="6" t="str">
        <f>"SS1702GRM"</f>
        <v>SS1702GRM</v>
      </c>
      <c r="H2315" s="6" t="s">
        <v>9627</v>
      </c>
      <c r="I2315" s="6" t="s">
        <v>9624</v>
      </c>
      <c r="J2315" s="6" t="str">
        <f>"break time coat"</f>
        <v>break time coat</v>
      </c>
      <c r="K2315" s="6">
        <v>0</v>
      </c>
      <c r="L2315" s="6">
        <v>0</v>
      </c>
      <c r="M2315" s="6">
        <v>0</v>
      </c>
      <c r="N2315" s="6" t="str">
        <f>""</f>
        <v/>
      </c>
      <c r="O2315" s="6">
        <v>24920</v>
      </c>
      <c r="P2315" s="6" t="s">
        <v>9627</v>
      </c>
      <c r="R2315" s="6" t="s">
        <v>5649</v>
      </c>
      <c r="S2315" s="6" t="s">
        <v>9628</v>
      </c>
      <c r="T2315" s="6">
        <v>0</v>
      </c>
      <c r="U2315" s="6">
        <v>0</v>
      </c>
      <c r="V2315" s="6">
        <v>0</v>
      </c>
      <c r="W2315" s="6">
        <v>0</v>
      </c>
      <c r="X2315" s="6" t="s">
        <v>169</v>
      </c>
      <c r="Z2315" s="6" t="s">
        <v>170</v>
      </c>
      <c r="AA2315" s="6" t="s">
        <v>171</v>
      </c>
      <c r="AB2315" s="6">
        <v>0</v>
      </c>
      <c r="AC2315" s="6" t="str">
        <f>""</f>
        <v/>
      </c>
      <c r="AS2315" s="6">
        <v>0</v>
      </c>
      <c r="AT2315" s="6">
        <v>0</v>
      </c>
    </row>
    <row r="2316" spans="2:46">
      <c r="B2316" s="6" t="s">
        <v>9505</v>
      </c>
      <c r="D2316" s="6" t="s">
        <v>8189</v>
      </c>
      <c r="F2316" s="6" t="s">
        <v>9629</v>
      </c>
      <c r="G2316" s="6" t="str">
        <f>"SS1701NVL"</f>
        <v>SS1701NVL</v>
      </c>
      <c r="H2316" s="6" t="s">
        <v>9630</v>
      </c>
      <c r="I2316" s="6" t="s">
        <v>9624</v>
      </c>
      <c r="J2316" s="6" t="str">
        <f>"break time coat"</f>
        <v>break time coat</v>
      </c>
      <c r="K2316" s="6">
        <v>0</v>
      </c>
      <c r="L2316" s="6">
        <v>0</v>
      </c>
      <c r="M2316" s="6">
        <v>0</v>
      </c>
      <c r="N2316" s="6" t="str">
        <f>""</f>
        <v/>
      </c>
      <c r="O2316" s="6">
        <v>24919</v>
      </c>
      <c r="P2316" s="6" t="s">
        <v>9630</v>
      </c>
      <c r="R2316" s="6" t="s">
        <v>5089</v>
      </c>
      <c r="S2316" s="6" t="s">
        <v>9631</v>
      </c>
      <c r="T2316" s="6">
        <v>0</v>
      </c>
      <c r="U2316" s="6">
        <v>0</v>
      </c>
      <c r="V2316" s="6">
        <v>0</v>
      </c>
      <c r="W2316" s="6">
        <v>0</v>
      </c>
      <c r="X2316" s="6" t="s">
        <v>169</v>
      </c>
      <c r="Z2316" s="6" t="s">
        <v>170</v>
      </c>
      <c r="AA2316" s="6" t="s">
        <v>171</v>
      </c>
      <c r="AB2316" s="6">
        <v>0</v>
      </c>
      <c r="AC2316" s="6" t="str">
        <f>""</f>
        <v/>
      </c>
      <c r="AS2316" s="6">
        <v>0</v>
      </c>
      <c r="AT2316" s="6">
        <v>0</v>
      </c>
    </row>
    <row r="2317" spans="2:46">
      <c r="B2317" s="6" t="s">
        <v>9505</v>
      </c>
      <c r="D2317" s="6" t="s">
        <v>8189</v>
      </c>
      <c r="F2317" s="6" t="s">
        <v>9632</v>
      </c>
      <c r="G2317" s="6" t="str">
        <f>"SS1701NVM"</f>
        <v>SS1701NVM</v>
      </c>
      <c r="H2317" s="6" t="s">
        <v>9633</v>
      </c>
      <c r="I2317" s="6" t="s">
        <v>9624</v>
      </c>
      <c r="J2317" s="6" t="str">
        <f>"break time coat"</f>
        <v>break time coat</v>
      </c>
      <c r="K2317" s="6">
        <v>0</v>
      </c>
      <c r="L2317" s="6">
        <v>0</v>
      </c>
      <c r="M2317" s="6">
        <v>0</v>
      </c>
      <c r="N2317" s="6" t="str">
        <f>""</f>
        <v/>
      </c>
      <c r="O2317" s="6">
        <v>24918</v>
      </c>
      <c r="P2317" s="6" t="s">
        <v>9633</v>
      </c>
      <c r="R2317" s="6" t="s">
        <v>571</v>
      </c>
      <c r="S2317" s="6" t="s">
        <v>9634</v>
      </c>
      <c r="T2317" s="6">
        <v>0</v>
      </c>
      <c r="U2317" s="6">
        <v>0</v>
      </c>
      <c r="V2317" s="6">
        <v>0</v>
      </c>
      <c r="W2317" s="6">
        <v>0</v>
      </c>
      <c r="X2317" s="6" t="s">
        <v>169</v>
      </c>
      <c r="Z2317" s="6" t="s">
        <v>170</v>
      </c>
      <c r="AA2317" s="6" t="s">
        <v>171</v>
      </c>
      <c r="AB2317" s="6">
        <v>0</v>
      </c>
      <c r="AC2317" s="6" t="str">
        <f>""</f>
        <v/>
      </c>
      <c r="AS2317" s="6">
        <v>0</v>
      </c>
      <c r="AT2317" s="6">
        <v>0</v>
      </c>
    </row>
    <row r="2318" spans="2:46">
      <c r="B2318" s="6" t="s">
        <v>9505</v>
      </c>
      <c r="D2318" s="6" t="s">
        <v>8189</v>
      </c>
      <c r="F2318" s="6" t="s">
        <v>9635</v>
      </c>
      <c r="G2318" s="6" t="str">
        <f>"fw1605BLL"</f>
        <v>fw1605BLL</v>
      </c>
      <c r="H2318" s="6" t="s">
        <v>9636</v>
      </c>
      <c r="I2318" s="6" t="s">
        <v>9637</v>
      </c>
      <c r="J2318" s="6" t="str">
        <f>"DA VINCHY shirt"</f>
        <v>DA VINCHY shirt</v>
      </c>
      <c r="K2318" s="6">
        <v>0</v>
      </c>
      <c r="L2318" s="6">
        <v>0</v>
      </c>
      <c r="M2318" s="6">
        <v>0</v>
      </c>
      <c r="N2318" s="6" t="str">
        <f>""</f>
        <v/>
      </c>
      <c r="O2318" s="6">
        <v>24916</v>
      </c>
      <c r="P2318" s="6" t="s">
        <v>9636</v>
      </c>
      <c r="R2318" s="6" t="s">
        <v>5275</v>
      </c>
      <c r="S2318" s="6" t="s">
        <v>9638</v>
      </c>
      <c r="T2318" s="6">
        <v>0</v>
      </c>
      <c r="U2318" s="6">
        <v>0</v>
      </c>
      <c r="V2318" s="6">
        <v>0</v>
      </c>
      <c r="W2318" s="6">
        <v>0</v>
      </c>
      <c r="X2318" s="6" t="s">
        <v>169</v>
      </c>
      <c r="Z2318" s="6" t="s">
        <v>170</v>
      </c>
      <c r="AA2318" s="6" t="s">
        <v>171</v>
      </c>
      <c r="AB2318" s="6">
        <v>0</v>
      </c>
      <c r="AC2318" s="6" t="str">
        <f>""</f>
        <v/>
      </c>
      <c r="AS2318" s="6">
        <v>0</v>
      </c>
      <c r="AT2318" s="6">
        <v>0</v>
      </c>
    </row>
    <row r="2319" spans="2:46">
      <c r="B2319" s="6" t="s">
        <v>9505</v>
      </c>
      <c r="D2319" s="6" t="s">
        <v>8189</v>
      </c>
      <c r="F2319" s="6" t="s">
        <v>9639</v>
      </c>
      <c r="G2319" s="6" t="str">
        <f>"SS1708GRL"</f>
        <v>SS1708GRL</v>
      </c>
      <c r="H2319" s="6" t="s">
        <v>9640</v>
      </c>
      <c r="I2319" s="6" t="s">
        <v>9641</v>
      </c>
      <c r="J2319" s="6" t="str">
        <f>"warm up sweat shirts"</f>
        <v>warm up sweat shirts</v>
      </c>
      <c r="K2319" s="6">
        <v>0</v>
      </c>
      <c r="L2319" s="6">
        <v>0</v>
      </c>
      <c r="M2319" s="6">
        <v>0</v>
      </c>
      <c r="N2319" s="6" t="str">
        <f>""</f>
        <v/>
      </c>
      <c r="O2319" s="6">
        <v>24929</v>
      </c>
      <c r="P2319" s="6" t="s">
        <v>9640</v>
      </c>
      <c r="R2319" s="6" t="s">
        <v>9547</v>
      </c>
      <c r="S2319" s="6" t="s">
        <v>9642</v>
      </c>
      <c r="T2319" s="6">
        <v>0</v>
      </c>
      <c r="U2319" s="6">
        <v>0</v>
      </c>
      <c r="V2319" s="6">
        <v>0</v>
      </c>
      <c r="W2319" s="6">
        <v>0</v>
      </c>
      <c r="X2319" s="6" t="s">
        <v>169</v>
      </c>
      <c r="Z2319" s="6" t="s">
        <v>170</v>
      </c>
      <c r="AA2319" s="6" t="s">
        <v>171</v>
      </c>
      <c r="AB2319" s="6">
        <v>0</v>
      </c>
      <c r="AC2319" s="6" t="str">
        <f>""</f>
        <v/>
      </c>
      <c r="AS2319" s="6">
        <v>0</v>
      </c>
      <c r="AT2319" s="6">
        <v>0</v>
      </c>
    </row>
    <row r="2320" spans="2:46">
      <c r="B2320" s="6" t="s">
        <v>9505</v>
      </c>
      <c r="D2320" s="6" t="s">
        <v>8189</v>
      </c>
      <c r="F2320" s="6" t="s">
        <v>9643</v>
      </c>
      <c r="G2320" s="6" t="str">
        <f>"SS1708GRM"</f>
        <v>SS1708GRM</v>
      </c>
      <c r="H2320" s="6" t="s">
        <v>9644</v>
      </c>
      <c r="I2320" s="6" t="s">
        <v>9641</v>
      </c>
      <c r="J2320" s="6" t="str">
        <f>"warm up sweat shirts"</f>
        <v>warm up sweat shirts</v>
      </c>
      <c r="K2320" s="6">
        <v>0</v>
      </c>
      <c r="L2320" s="6">
        <v>0</v>
      </c>
      <c r="M2320" s="6">
        <v>0</v>
      </c>
      <c r="N2320" s="6" t="str">
        <f>""</f>
        <v/>
      </c>
      <c r="O2320" s="6">
        <v>24928</v>
      </c>
      <c r="P2320" s="6" t="s">
        <v>9644</v>
      </c>
      <c r="R2320" s="6" t="s">
        <v>9551</v>
      </c>
      <c r="S2320" s="6" t="s">
        <v>9645</v>
      </c>
      <c r="T2320" s="6">
        <v>0</v>
      </c>
      <c r="U2320" s="6">
        <v>0</v>
      </c>
      <c r="V2320" s="6">
        <v>0</v>
      </c>
      <c r="W2320" s="6">
        <v>0</v>
      </c>
      <c r="X2320" s="6" t="s">
        <v>169</v>
      </c>
      <c r="Z2320" s="6" t="s">
        <v>170</v>
      </c>
      <c r="AA2320" s="6" t="s">
        <v>171</v>
      </c>
      <c r="AB2320" s="6">
        <v>0</v>
      </c>
      <c r="AC2320" s="6" t="str">
        <f>""</f>
        <v/>
      </c>
      <c r="AS2320" s="6">
        <v>0</v>
      </c>
      <c r="AT2320" s="6">
        <v>0</v>
      </c>
    </row>
    <row r="2321" spans="2:46">
      <c r="B2321" s="6" t="s">
        <v>9505</v>
      </c>
      <c r="D2321" s="6" t="s">
        <v>8189</v>
      </c>
      <c r="F2321" s="6" t="s">
        <v>9646</v>
      </c>
      <c r="G2321" s="6" t="str">
        <f>"SS1707BKL"</f>
        <v>SS1707BKL</v>
      </c>
      <c r="H2321" s="6" t="s">
        <v>9647</v>
      </c>
      <c r="I2321" s="6" t="s">
        <v>9641</v>
      </c>
      <c r="J2321" s="6" t="str">
        <f>"warm up sweat shirts"</f>
        <v>warm up sweat shirts</v>
      </c>
      <c r="K2321" s="6">
        <v>0</v>
      </c>
      <c r="L2321" s="6">
        <v>0</v>
      </c>
      <c r="M2321" s="6">
        <v>0</v>
      </c>
      <c r="N2321" s="6" t="str">
        <f>""</f>
        <v/>
      </c>
      <c r="O2321" s="6">
        <v>24927</v>
      </c>
      <c r="P2321" s="6" t="s">
        <v>9647</v>
      </c>
      <c r="R2321" s="6" t="s">
        <v>5106</v>
      </c>
      <c r="S2321" s="6" t="s">
        <v>9648</v>
      </c>
      <c r="T2321" s="6">
        <v>0</v>
      </c>
      <c r="U2321" s="6">
        <v>0</v>
      </c>
      <c r="V2321" s="6">
        <v>0</v>
      </c>
      <c r="W2321" s="6">
        <v>0</v>
      </c>
      <c r="X2321" s="6" t="s">
        <v>169</v>
      </c>
      <c r="Z2321" s="6" t="s">
        <v>170</v>
      </c>
      <c r="AA2321" s="6" t="s">
        <v>171</v>
      </c>
      <c r="AB2321" s="6">
        <v>0</v>
      </c>
      <c r="AC2321" s="6" t="str">
        <f>""</f>
        <v/>
      </c>
      <c r="AS2321" s="6">
        <v>0</v>
      </c>
      <c r="AT2321" s="6">
        <v>0</v>
      </c>
    </row>
    <row r="2322" spans="2:46">
      <c r="B2322" s="6" t="s">
        <v>9505</v>
      </c>
      <c r="D2322" s="6" t="s">
        <v>8189</v>
      </c>
      <c r="F2322" s="6" t="s">
        <v>9649</v>
      </c>
      <c r="G2322" s="6" t="str">
        <f>"SS1707BKM"</f>
        <v>SS1707BKM</v>
      </c>
      <c r="H2322" s="6" t="s">
        <v>9650</v>
      </c>
      <c r="I2322" s="6" t="s">
        <v>9641</v>
      </c>
      <c r="J2322" s="6" t="str">
        <f>"warm up sweat shirts"</f>
        <v>warm up sweat shirts</v>
      </c>
      <c r="K2322" s="6">
        <v>0</v>
      </c>
      <c r="L2322" s="6">
        <v>0</v>
      </c>
      <c r="M2322" s="6">
        <v>0</v>
      </c>
      <c r="N2322" s="6" t="str">
        <f>""</f>
        <v/>
      </c>
      <c r="O2322" s="6">
        <v>24914</v>
      </c>
      <c r="P2322" s="6" t="s">
        <v>9650</v>
      </c>
      <c r="R2322" s="6" t="s">
        <v>9651</v>
      </c>
      <c r="S2322" s="6" t="s">
        <v>9652</v>
      </c>
      <c r="T2322" s="6">
        <v>0</v>
      </c>
      <c r="U2322" s="6">
        <v>0</v>
      </c>
      <c r="V2322" s="6">
        <v>0</v>
      </c>
      <c r="W2322" s="6">
        <v>0</v>
      </c>
      <c r="X2322" s="6" t="s">
        <v>169</v>
      </c>
      <c r="Z2322" s="6" t="s">
        <v>170</v>
      </c>
      <c r="AA2322" s="6" t="s">
        <v>171</v>
      </c>
      <c r="AB2322" s="6">
        <v>0</v>
      </c>
      <c r="AC2322" s="6" t="str">
        <f>""</f>
        <v/>
      </c>
      <c r="AS2322" s="6">
        <v>0</v>
      </c>
      <c r="AT2322" s="6">
        <v>0</v>
      </c>
    </row>
    <row r="2323" spans="2:46">
      <c r="B2323" s="6" t="s">
        <v>9653</v>
      </c>
      <c r="D2323" s="6" t="s">
        <v>8189</v>
      </c>
      <c r="F2323" s="6" t="s">
        <v>9654</v>
      </c>
      <c r="G2323" s="6" t="str">
        <f>"GC7F3HP06OGL"</f>
        <v>GC7F3HP06OGL</v>
      </c>
      <c r="H2323" s="6" t="s">
        <v>9655</v>
      </c>
      <c r="I2323" s="6" t="s">
        <v>9656</v>
      </c>
      <c r="J2323" s="6" t="str">
        <f>"HOOD ZIPUP OG_(L)"</f>
        <v>HOOD ZIPUP OG_(L)</v>
      </c>
      <c r="K2323" s="6">
        <v>0</v>
      </c>
      <c r="L2323" s="6">
        <v>0</v>
      </c>
      <c r="M2323" s="6">
        <v>0</v>
      </c>
      <c r="N2323" s="6" t="str">
        <f>""</f>
        <v/>
      </c>
      <c r="O2323" s="6">
        <v>24912</v>
      </c>
      <c r="P2323" s="6" t="s">
        <v>9655</v>
      </c>
      <c r="R2323" s="6" t="s">
        <v>5071</v>
      </c>
      <c r="S2323" s="6" t="s">
        <v>9657</v>
      </c>
      <c r="T2323" s="6">
        <v>0</v>
      </c>
      <c r="U2323" s="6">
        <v>0</v>
      </c>
      <c r="V2323" s="6">
        <v>0</v>
      </c>
      <c r="W2323" s="6">
        <v>0</v>
      </c>
      <c r="X2323" s="6" t="s">
        <v>169</v>
      </c>
      <c r="Z2323" s="6" t="s">
        <v>170</v>
      </c>
      <c r="AA2323" s="6" t="s">
        <v>171</v>
      </c>
      <c r="AB2323" s="6">
        <v>0</v>
      </c>
      <c r="AC2323" s="6" t="str">
        <f>""</f>
        <v/>
      </c>
      <c r="AS2323" s="6">
        <v>0</v>
      </c>
      <c r="AT2323" s="6">
        <v>0</v>
      </c>
    </row>
    <row r="2324" spans="2:46">
      <c r="B2324" s="6" t="s">
        <v>9653</v>
      </c>
      <c r="D2324" s="6" t="s">
        <v>8189</v>
      </c>
      <c r="F2324" s="6" t="s">
        <v>9658</v>
      </c>
      <c r="G2324" s="6" t="str">
        <f>"GC7F3HP06OGM"</f>
        <v>GC7F3HP06OGM</v>
      </c>
      <c r="H2324" s="6" t="s">
        <v>9659</v>
      </c>
      <c r="I2324" s="6" t="s">
        <v>9660</v>
      </c>
      <c r="J2324" s="6" t="str">
        <f>"HOOD ZIPUP OG_(M)"</f>
        <v>HOOD ZIPUP OG_(M)</v>
      </c>
      <c r="K2324" s="6">
        <v>0</v>
      </c>
      <c r="L2324" s="6">
        <v>0</v>
      </c>
      <c r="M2324" s="6">
        <v>0</v>
      </c>
      <c r="N2324" s="6" t="str">
        <f>""</f>
        <v/>
      </c>
      <c r="O2324" s="6">
        <v>24910</v>
      </c>
      <c r="P2324" s="6" t="s">
        <v>9659</v>
      </c>
      <c r="R2324" s="6" t="s">
        <v>5075</v>
      </c>
      <c r="S2324" s="6" t="s">
        <v>9661</v>
      </c>
      <c r="T2324" s="6">
        <v>0</v>
      </c>
      <c r="U2324" s="6">
        <v>0</v>
      </c>
      <c r="V2324" s="6">
        <v>0</v>
      </c>
      <c r="W2324" s="6">
        <v>0</v>
      </c>
      <c r="X2324" s="6" t="s">
        <v>169</v>
      </c>
      <c r="Z2324" s="6" t="s">
        <v>170</v>
      </c>
      <c r="AA2324" s="6" t="s">
        <v>171</v>
      </c>
      <c r="AB2324" s="6">
        <v>0</v>
      </c>
      <c r="AC2324" s="6" t="str">
        <f>""</f>
        <v/>
      </c>
      <c r="AS2324" s="6">
        <v>0</v>
      </c>
      <c r="AT2324" s="6">
        <v>0</v>
      </c>
    </row>
    <row r="2325" spans="2:46">
      <c r="B2325" s="6" t="s">
        <v>9653</v>
      </c>
      <c r="D2325" s="6" t="s">
        <v>8189</v>
      </c>
      <c r="F2325" s="6" t="s">
        <v>9662</v>
      </c>
      <c r="G2325" s="6" t="str">
        <f>"GC7F3HP05PPL"</f>
        <v>GC7F3HP05PPL</v>
      </c>
      <c r="H2325" s="6" t="s">
        <v>9663</v>
      </c>
      <c r="I2325" s="6" t="s">
        <v>9664</v>
      </c>
      <c r="J2325" s="6" t="str">
        <f>"HOOD ZIPUP PP_(L)"</f>
        <v>HOOD ZIPUP PP_(L)</v>
      </c>
      <c r="K2325" s="6">
        <v>0</v>
      </c>
      <c r="L2325" s="6">
        <v>0</v>
      </c>
      <c r="M2325" s="6">
        <v>0</v>
      </c>
      <c r="N2325" s="6" t="str">
        <f>""</f>
        <v/>
      </c>
      <c r="O2325" s="6">
        <v>24908</v>
      </c>
      <c r="P2325" s="6" t="s">
        <v>9663</v>
      </c>
      <c r="R2325" s="6" t="s">
        <v>9665</v>
      </c>
      <c r="S2325" s="6" t="s">
        <v>9666</v>
      </c>
      <c r="T2325" s="6">
        <v>0</v>
      </c>
      <c r="U2325" s="6">
        <v>0</v>
      </c>
      <c r="V2325" s="6">
        <v>0</v>
      </c>
      <c r="W2325" s="6">
        <v>0</v>
      </c>
      <c r="X2325" s="6" t="s">
        <v>169</v>
      </c>
      <c r="Z2325" s="6" t="s">
        <v>170</v>
      </c>
      <c r="AA2325" s="6" t="s">
        <v>171</v>
      </c>
      <c r="AB2325" s="6">
        <v>0</v>
      </c>
      <c r="AC2325" s="6" t="str">
        <f>""</f>
        <v/>
      </c>
      <c r="AS2325" s="6">
        <v>0</v>
      </c>
      <c r="AT2325" s="6">
        <v>0</v>
      </c>
    </row>
    <row r="2326" spans="2:46">
      <c r="B2326" s="6" t="s">
        <v>9653</v>
      </c>
      <c r="D2326" s="6" t="s">
        <v>8189</v>
      </c>
      <c r="F2326" s="6" t="s">
        <v>9667</v>
      </c>
      <c r="G2326" s="6" t="str">
        <f>"GC7F3HP05PPM"</f>
        <v>GC7F3HP05PPM</v>
      </c>
      <c r="H2326" s="6" t="s">
        <v>9668</v>
      </c>
      <c r="I2326" s="6" t="s">
        <v>9669</v>
      </c>
      <c r="J2326" s="6" t="str">
        <f>"HOOD ZIPUP PP_(M)"</f>
        <v>HOOD ZIPUP PP_(M)</v>
      </c>
      <c r="K2326" s="6">
        <v>0</v>
      </c>
      <c r="L2326" s="6">
        <v>0</v>
      </c>
      <c r="M2326" s="6">
        <v>0</v>
      </c>
      <c r="N2326" s="6" t="str">
        <f>""</f>
        <v/>
      </c>
      <c r="O2326" s="6">
        <v>24906</v>
      </c>
      <c r="P2326" s="6" t="s">
        <v>9668</v>
      </c>
      <c r="R2326" s="6" t="s">
        <v>9670</v>
      </c>
      <c r="S2326" s="6" t="s">
        <v>9671</v>
      </c>
      <c r="T2326" s="6">
        <v>0</v>
      </c>
      <c r="U2326" s="6">
        <v>0</v>
      </c>
      <c r="V2326" s="6">
        <v>0</v>
      </c>
      <c r="W2326" s="6">
        <v>0</v>
      </c>
      <c r="X2326" s="6" t="s">
        <v>169</v>
      </c>
      <c r="Z2326" s="6" t="s">
        <v>170</v>
      </c>
      <c r="AA2326" s="6" t="s">
        <v>171</v>
      </c>
      <c r="AB2326" s="6">
        <v>0</v>
      </c>
      <c r="AC2326" s="6" t="str">
        <f>""</f>
        <v/>
      </c>
      <c r="AS2326" s="6">
        <v>0</v>
      </c>
      <c r="AT2326" s="6">
        <v>0</v>
      </c>
    </row>
    <row r="2327" spans="2:46">
      <c r="B2327" s="6" t="s">
        <v>9653</v>
      </c>
      <c r="D2327" s="6" t="s">
        <v>8189</v>
      </c>
      <c r="F2327" s="6" t="s">
        <v>9672</v>
      </c>
      <c r="G2327" s="6" t="str">
        <f>"GC7F3HP04BLL"</f>
        <v>GC7F3HP04BLL</v>
      </c>
      <c r="H2327" s="6" t="s">
        <v>9673</v>
      </c>
      <c r="I2327" s="6" t="s">
        <v>9674</v>
      </c>
      <c r="J2327" s="6" t="str">
        <f>"HOOD ZIPUP BL_(L)"</f>
        <v>HOOD ZIPUP BL_(L)</v>
      </c>
      <c r="K2327" s="6">
        <v>0</v>
      </c>
      <c r="L2327" s="6">
        <v>0</v>
      </c>
      <c r="M2327" s="6">
        <v>0</v>
      </c>
      <c r="N2327" s="6" t="str">
        <f>""</f>
        <v/>
      </c>
      <c r="O2327" s="6">
        <v>24904</v>
      </c>
      <c r="P2327" s="6" t="s">
        <v>9673</v>
      </c>
      <c r="R2327" s="6" t="s">
        <v>5275</v>
      </c>
      <c r="S2327" s="6" t="s">
        <v>9675</v>
      </c>
      <c r="T2327" s="6">
        <v>0</v>
      </c>
      <c r="U2327" s="6">
        <v>0</v>
      </c>
      <c r="V2327" s="6">
        <v>0</v>
      </c>
      <c r="W2327" s="6">
        <v>0</v>
      </c>
      <c r="X2327" s="6" t="s">
        <v>169</v>
      </c>
      <c r="Z2327" s="6" t="s">
        <v>170</v>
      </c>
      <c r="AA2327" s="6" t="s">
        <v>171</v>
      </c>
      <c r="AB2327" s="6">
        <v>0</v>
      </c>
      <c r="AC2327" s="6" t="str">
        <f>""</f>
        <v/>
      </c>
      <c r="AS2327" s="6">
        <v>0</v>
      </c>
      <c r="AT2327" s="6">
        <v>0</v>
      </c>
    </row>
    <row r="2328" spans="2:46">
      <c r="B2328" s="6" t="s">
        <v>9653</v>
      </c>
      <c r="D2328" s="6" t="s">
        <v>8189</v>
      </c>
      <c r="F2328" s="6" t="s">
        <v>9676</v>
      </c>
      <c r="G2328" s="6" t="str">
        <f>"GC7F3HP04BLM"</f>
        <v>GC7F3HP04BLM</v>
      </c>
      <c r="H2328" s="6" t="s">
        <v>9677</v>
      </c>
      <c r="I2328" s="6" t="s">
        <v>9678</v>
      </c>
      <c r="J2328" s="6" t="str">
        <f>"HOOD ZIPUP BL_(M)"</f>
        <v>HOOD ZIPUP BL_(M)</v>
      </c>
      <c r="K2328" s="6">
        <v>0</v>
      </c>
      <c r="L2328" s="6">
        <v>0</v>
      </c>
      <c r="M2328" s="6">
        <v>0</v>
      </c>
      <c r="N2328" s="6" t="str">
        <f>""</f>
        <v/>
      </c>
      <c r="O2328" s="6">
        <v>24902</v>
      </c>
      <c r="P2328" s="6" t="s">
        <v>9677</v>
      </c>
      <c r="R2328" s="6" t="s">
        <v>5340</v>
      </c>
      <c r="S2328" s="6" t="s">
        <v>9679</v>
      </c>
      <c r="T2328" s="6">
        <v>0</v>
      </c>
      <c r="U2328" s="6">
        <v>0</v>
      </c>
      <c r="V2328" s="6">
        <v>0</v>
      </c>
      <c r="W2328" s="6">
        <v>0</v>
      </c>
      <c r="X2328" s="6" t="s">
        <v>169</v>
      </c>
      <c r="Z2328" s="6" t="s">
        <v>170</v>
      </c>
      <c r="AA2328" s="6" t="s">
        <v>171</v>
      </c>
      <c r="AB2328" s="6">
        <v>0</v>
      </c>
      <c r="AC2328" s="6" t="str">
        <f>""</f>
        <v/>
      </c>
      <c r="AS2328" s="6">
        <v>0</v>
      </c>
      <c r="AT2328" s="6">
        <v>0</v>
      </c>
    </row>
    <row r="2329" spans="2:46">
      <c r="B2329" s="6" t="s">
        <v>9653</v>
      </c>
      <c r="D2329" s="6" t="s">
        <v>8189</v>
      </c>
      <c r="F2329" s="6" t="s">
        <v>9680</v>
      </c>
      <c r="G2329" s="6" t="str">
        <f>"GC7F3HP03GYL"</f>
        <v>GC7F3HP03GYL</v>
      </c>
      <c r="H2329" s="6" t="s">
        <v>9681</v>
      </c>
      <c r="I2329" s="6" t="s">
        <v>9682</v>
      </c>
      <c r="J2329" s="6" t="str">
        <f>"HOOD ZIPUP GY_(L)"</f>
        <v>HOOD ZIPUP GY_(L)</v>
      </c>
      <c r="K2329" s="6">
        <v>0</v>
      </c>
      <c r="L2329" s="6">
        <v>0</v>
      </c>
      <c r="M2329" s="6">
        <v>0</v>
      </c>
      <c r="N2329" s="6" t="str">
        <f>""</f>
        <v/>
      </c>
      <c r="O2329" s="6">
        <v>24900</v>
      </c>
      <c r="P2329" s="6" t="s">
        <v>9681</v>
      </c>
      <c r="R2329" s="6" t="s">
        <v>5097</v>
      </c>
      <c r="S2329" s="6" t="s">
        <v>9683</v>
      </c>
      <c r="T2329" s="6">
        <v>0</v>
      </c>
      <c r="U2329" s="6">
        <v>0</v>
      </c>
      <c r="V2329" s="6">
        <v>0</v>
      </c>
      <c r="W2329" s="6">
        <v>0</v>
      </c>
      <c r="X2329" s="6" t="s">
        <v>169</v>
      </c>
      <c r="Z2329" s="6" t="s">
        <v>170</v>
      </c>
      <c r="AA2329" s="6" t="s">
        <v>171</v>
      </c>
      <c r="AB2329" s="6">
        <v>0</v>
      </c>
      <c r="AC2329" s="6" t="str">
        <f>""</f>
        <v/>
      </c>
      <c r="AS2329" s="6">
        <v>0</v>
      </c>
      <c r="AT2329" s="6">
        <v>0</v>
      </c>
    </row>
    <row r="2330" spans="2:46">
      <c r="B2330" s="6" t="s">
        <v>9653</v>
      </c>
      <c r="D2330" s="6" t="s">
        <v>8189</v>
      </c>
      <c r="F2330" s="6" t="s">
        <v>9684</v>
      </c>
      <c r="G2330" s="6" t="str">
        <f>"GC7F3HP03GYM"</f>
        <v>GC7F3HP03GYM</v>
      </c>
      <c r="H2330" s="6" t="s">
        <v>9685</v>
      </c>
      <c r="I2330" s="6" t="s">
        <v>9686</v>
      </c>
      <c r="J2330" s="6" t="str">
        <f>"HOOD ZIPUP GY_(M)"</f>
        <v>HOOD ZIPUP GY_(M)</v>
      </c>
      <c r="K2330" s="6">
        <v>0</v>
      </c>
      <c r="L2330" s="6">
        <v>0</v>
      </c>
      <c r="M2330" s="6">
        <v>0</v>
      </c>
      <c r="N2330" s="6" t="str">
        <f>""</f>
        <v/>
      </c>
      <c r="O2330" s="6">
        <v>24898</v>
      </c>
      <c r="P2330" s="6" t="s">
        <v>9685</v>
      </c>
      <c r="R2330" s="6" t="s">
        <v>5212</v>
      </c>
      <c r="S2330" s="6" t="s">
        <v>9687</v>
      </c>
      <c r="T2330" s="6">
        <v>0</v>
      </c>
      <c r="U2330" s="6">
        <v>0</v>
      </c>
      <c r="V2330" s="6">
        <v>0</v>
      </c>
      <c r="W2330" s="6">
        <v>0</v>
      </c>
      <c r="X2330" s="6" t="s">
        <v>169</v>
      </c>
      <c r="Z2330" s="6" t="s">
        <v>170</v>
      </c>
      <c r="AA2330" s="6" t="s">
        <v>171</v>
      </c>
      <c r="AB2330" s="6">
        <v>0</v>
      </c>
      <c r="AC2330" s="6" t="str">
        <f>""</f>
        <v/>
      </c>
      <c r="AS2330" s="6">
        <v>0</v>
      </c>
      <c r="AT2330" s="6">
        <v>0</v>
      </c>
    </row>
    <row r="2331" spans="2:46">
      <c r="B2331" s="6" t="s">
        <v>9653</v>
      </c>
      <c r="D2331" s="6" t="s">
        <v>8189</v>
      </c>
      <c r="F2331" s="6" t="s">
        <v>9688</v>
      </c>
      <c r="G2331" s="6" t="str">
        <f>"GC7F3HP02WHL"</f>
        <v>GC7F3HP02WHL</v>
      </c>
      <c r="H2331" s="6" t="s">
        <v>9689</v>
      </c>
      <c r="I2331" s="6" t="s">
        <v>9690</v>
      </c>
      <c r="J2331" s="6" t="str">
        <f>"HOOD ZIPUP WH_(L)"</f>
        <v>HOOD ZIPUP WH_(L)</v>
      </c>
      <c r="K2331" s="6">
        <v>0</v>
      </c>
      <c r="L2331" s="6">
        <v>0</v>
      </c>
      <c r="M2331" s="6">
        <v>0</v>
      </c>
      <c r="N2331" s="6" t="str">
        <f>""</f>
        <v/>
      </c>
      <c r="O2331" s="6">
        <v>24896</v>
      </c>
      <c r="P2331" s="6" t="s">
        <v>9689</v>
      </c>
      <c r="R2331" s="6" t="s">
        <v>9691</v>
      </c>
      <c r="S2331" s="6" t="s">
        <v>9692</v>
      </c>
      <c r="T2331" s="6">
        <v>0</v>
      </c>
      <c r="U2331" s="6">
        <v>0</v>
      </c>
      <c r="V2331" s="6">
        <v>0</v>
      </c>
      <c r="W2331" s="6">
        <v>0</v>
      </c>
      <c r="X2331" s="6" t="s">
        <v>169</v>
      </c>
      <c r="Z2331" s="6" t="s">
        <v>170</v>
      </c>
      <c r="AA2331" s="6" t="s">
        <v>171</v>
      </c>
      <c r="AB2331" s="6">
        <v>0</v>
      </c>
      <c r="AC2331" s="6" t="str">
        <f>""</f>
        <v/>
      </c>
      <c r="AS2331" s="6">
        <v>0</v>
      </c>
      <c r="AT2331" s="6">
        <v>0</v>
      </c>
    </row>
    <row r="2332" spans="2:46">
      <c r="B2332" s="6" t="s">
        <v>9653</v>
      </c>
      <c r="D2332" s="6" t="s">
        <v>8189</v>
      </c>
      <c r="F2332" s="6" t="s">
        <v>9693</v>
      </c>
      <c r="G2332" s="6" t="str">
        <f>"GC7F3HP02WHM"</f>
        <v>GC7F3HP02WHM</v>
      </c>
      <c r="H2332" s="6" t="s">
        <v>9694</v>
      </c>
      <c r="I2332" s="6" t="s">
        <v>9695</v>
      </c>
      <c r="J2332" s="6" t="str">
        <f>"HOOD ZIPUP WH_(M)"</f>
        <v>HOOD ZIPUP WH_(M)</v>
      </c>
      <c r="K2332" s="6">
        <v>0</v>
      </c>
      <c r="L2332" s="6">
        <v>0</v>
      </c>
      <c r="M2332" s="6">
        <v>0</v>
      </c>
      <c r="N2332" s="6" t="str">
        <f>""</f>
        <v/>
      </c>
      <c r="O2332" s="6">
        <v>24894</v>
      </c>
      <c r="P2332" s="6" t="s">
        <v>9694</v>
      </c>
      <c r="R2332" s="6" t="s">
        <v>9696</v>
      </c>
      <c r="S2332" s="6" t="s">
        <v>9697</v>
      </c>
      <c r="T2332" s="6">
        <v>0</v>
      </c>
      <c r="U2332" s="6">
        <v>0</v>
      </c>
      <c r="V2332" s="6">
        <v>0</v>
      </c>
      <c r="W2332" s="6">
        <v>0</v>
      </c>
      <c r="X2332" s="6" t="s">
        <v>169</v>
      </c>
      <c r="Z2332" s="6" t="s">
        <v>170</v>
      </c>
      <c r="AA2332" s="6" t="s">
        <v>171</v>
      </c>
      <c r="AB2332" s="6">
        <v>0</v>
      </c>
      <c r="AC2332" s="6" t="str">
        <f>""</f>
        <v/>
      </c>
      <c r="AS2332" s="6">
        <v>0</v>
      </c>
      <c r="AT2332" s="6">
        <v>0</v>
      </c>
    </row>
    <row r="2333" spans="2:46">
      <c r="B2333" s="6" t="s">
        <v>9653</v>
      </c>
      <c r="D2333" s="6" t="s">
        <v>8189</v>
      </c>
      <c r="F2333" s="6" t="s">
        <v>9698</v>
      </c>
      <c r="G2333" s="6" t="str">
        <f>"GC7F3HP01BKL"</f>
        <v>GC7F3HP01BKL</v>
      </c>
      <c r="H2333" s="6" t="s">
        <v>9699</v>
      </c>
      <c r="I2333" s="6" t="s">
        <v>9700</v>
      </c>
      <c r="J2333" s="6" t="str">
        <f>"HOOD ZIPUP BK_(L)"</f>
        <v>HOOD ZIPUP BK_(L)</v>
      </c>
      <c r="K2333" s="6">
        <v>0</v>
      </c>
      <c r="L2333" s="6">
        <v>0</v>
      </c>
      <c r="M2333" s="6">
        <v>0</v>
      </c>
      <c r="N2333" s="6" t="str">
        <f>""</f>
        <v/>
      </c>
      <c r="O2333" s="6">
        <v>24892</v>
      </c>
      <c r="P2333" s="6" t="s">
        <v>9699</v>
      </c>
      <c r="R2333" s="6" t="s">
        <v>5106</v>
      </c>
      <c r="S2333" s="6" t="s">
        <v>9701</v>
      </c>
      <c r="T2333" s="6">
        <v>0</v>
      </c>
      <c r="U2333" s="6">
        <v>0</v>
      </c>
      <c r="V2333" s="6">
        <v>0</v>
      </c>
      <c r="W2333" s="6">
        <v>0</v>
      </c>
      <c r="X2333" s="6" t="s">
        <v>169</v>
      </c>
      <c r="Z2333" s="6" t="s">
        <v>170</v>
      </c>
      <c r="AA2333" s="6" t="s">
        <v>171</v>
      </c>
      <c r="AB2333" s="6">
        <v>0</v>
      </c>
      <c r="AC2333" s="6" t="str">
        <f>""</f>
        <v/>
      </c>
      <c r="AS2333" s="6">
        <v>0</v>
      </c>
      <c r="AT2333" s="6">
        <v>0</v>
      </c>
    </row>
    <row r="2334" spans="2:46">
      <c r="B2334" s="6" t="s">
        <v>9653</v>
      </c>
      <c r="D2334" s="6" t="s">
        <v>8189</v>
      </c>
      <c r="F2334" s="6" t="s">
        <v>9702</v>
      </c>
      <c r="G2334" s="6" t="str">
        <f>"GC7F3HP01BKM"</f>
        <v>GC7F3HP01BKM</v>
      </c>
      <c r="H2334" s="6" t="s">
        <v>9703</v>
      </c>
      <c r="I2334" s="6" t="s">
        <v>9704</v>
      </c>
      <c r="J2334" s="6" t="str">
        <f>"HOOD ZIPUP BK_(M)"</f>
        <v>HOOD ZIPUP BK_(M)</v>
      </c>
      <c r="K2334" s="6">
        <v>0</v>
      </c>
      <c r="L2334" s="6">
        <v>0</v>
      </c>
      <c r="M2334" s="6">
        <v>0</v>
      </c>
      <c r="N2334" s="6" t="str">
        <f>""</f>
        <v/>
      </c>
      <c r="O2334" s="6">
        <v>24890</v>
      </c>
      <c r="P2334" s="6" t="s">
        <v>9703</v>
      </c>
      <c r="R2334" s="6" t="s">
        <v>601</v>
      </c>
      <c r="S2334" s="6" t="s">
        <v>9705</v>
      </c>
      <c r="T2334" s="6">
        <v>0</v>
      </c>
      <c r="U2334" s="6">
        <v>0</v>
      </c>
      <c r="V2334" s="6">
        <v>0</v>
      </c>
      <c r="W2334" s="6">
        <v>0</v>
      </c>
      <c r="X2334" s="6" t="s">
        <v>169</v>
      </c>
      <c r="Z2334" s="6" t="s">
        <v>170</v>
      </c>
      <c r="AA2334" s="6" t="s">
        <v>171</v>
      </c>
      <c r="AB2334" s="6">
        <v>0</v>
      </c>
      <c r="AC2334" s="6" t="str">
        <f>""</f>
        <v/>
      </c>
      <c r="AS2334" s="6">
        <v>0</v>
      </c>
      <c r="AT2334" s="6">
        <v>0</v>
      </c>
    </row>
    <row r="2335" spans="2:46">
      <c r="B2335" s="6" t="s">
        <v>9653</v>
      </c>
      <c r="D2335" s="6" t="s">
        <v>8189</v>
      </c>
      <c r="F2335" s="6" t="s">
        <v>9706</v>
      </c>
      <c r="G2335" s="6" t="str">
        <f>"GC7F3PT33NVXL"</f>
        <v>GC7F3PT33NVXL</v>
      </c>
      <c r="H2335" s="6" t="s">
        <v>9707</v>
      </c>
      <c r="I2335" s="6" t="s">
        <v>9708</v>
      </c>
      <c r="J2335" s="6" t="str">
        <f>"와이드팬츠 NAVY_(XL)"</f>
        <v>와이드팬츠 NAVY_(XL)</v>
      </c>
      <c r="K2335" s="6">
        <v>0</v>
      </c>
      <c r="L2335" s="6">
        <v>0</v>
      </c>
      <c r="M2335" s="6">
        <v>0</v>
      </c>
      <c r="N2335" s="6" t="str">
        <f>""</f>
        <v/>
      </c>
      <c r="O2335" s="6">
        <v>24888</v>
      </c>
      <c r="P2335" s="6" t="s">
        <v>9707</v>
      </c>
      <c r="R2335" s="6" t="s">
        <v>5544</v>
      </c>
      <c r="S2335" s="6" t="s">
        <v>9709</v>
      </c>
      <c r="T2335" s="6">
        <v>0</v>
      </c>
      <c r="U2335" s="6">
        <v>0</v>
      </c>
      <c r="V2335" s="6">
        <v>0</v>
      </c>
      <c r="W2335" s="6">
        <v>0</v>
      </c>
      <c r="X2335" s="6" t="s">
        <v>169</v>
      </c>
      <c r="Z2335" s="6" t="s">
        <v>170</v>
      </c>
      <c r="AA2335" s="6" t="s">
        <v>171</v>
      </c>
      <c r="AB2335" s="6">
        <v>0</v>
      </c>
      <c r="AC2335" s="6" t="str">
        <f>""</f>
        <v/>
      </c>
      <c r="AS2335" s="6">
        <v>0</v>
      </c>
      <c r="AT2335" s="6">
        <v>0</v>
      </c>
    </row>
    <row r="2336" spans="2:46">
      <c r="B2336" s="6" t="s">
        <v>9653</v>
      </c>
      <c r="D2336" s="6" t="s">
        <v>8189</v>
      </c>
      <c r="F2336" s="6" t="s">
        <v>9710</v>
      </c>
      <c r="G2336" s="6" t="str">
        <f>"GC7F3PT33NVL"</f>
        <v>GC7F3PT33NVL</v>
      </c>
      <c r="H2336" s="6" t="s">
        <v>9711</v>
      </c>
      <c r="I2336" s="6" t="s">
        <v>9712</v>
      </c>
      <c r="J2336" s="6" t="str">
        <f>"와이드팬츠 NAVY_(L)"</f>
        <v>와이드팬츠 NAVY_(L)</v>
      </c>
      <c r="K2336" s="6">
        <v>0</v>
      </c>
      <c r="L2336" s="6">
        <v>0</v>
      </c>
      <c r="M2336" s="6">
        <v>0</v>
      </c>
      <c r="N2336" s="6" t="str">
        <f>""</f>
        <v/>
      </c>
      <c r="O2336" s="6">
        <v>24886</v>
      </c>
      <c r="P2336" s="6" t="s">
        <v>9711</v>
      </c>
      <c r="R2336" s="6" t="s">
        <v>5089</v>
      </c>
      <c r="S2336" s="6" t="s">
        <v>9713</v>
      </c>
      <c r="T2336" s="6">
        <v>0</v>
      </c>
      <c r="U2336" s="6">
        <v>0</v>
      </c>
      <c r="V2336" s="6">
        <v>0</v>
      </c>
      <c r="W2336" s="6">
        <v>0</v>
      </c>
      <c r="X2336" s="6" t="s">
        <v>169</v>
      </c>
      <c r="Z2336" s="6" t="s">
        <v>170</v>
      </c>
      <c r="AA2336" s="6" t="s">
        <v>171</v>
      </c>
      <c r="AB2336" s="6">
        <v>0</v>
      </c>
      <c r="AC2336" s="6" t="str">
        <f>""</f>
        <v/>
      </c>
      <c r="AS2336" s="6">
        <v>0</v>
      </c>
      <c r="AT2336" s="6">
        <v>0</v>
      </c>
    </row>
    <row r="2337" spans="2:46">
      <c r="B2337" s="6" t="s">
        <v>9653</v>
      </c>
      <c r="D2337" s="6" t="s">
        <v>8189</v>
      </c>
      <c r="F2337" s="6" t="s">
        <v>9714</v>
      </c>
      <c r="G2337" s="6" t="str">
        <f>"GC7F3PT33NVM"</f>
        <v>GC7F3PT33NVM</v>
      </c>
      <c r="H2337" s="6" t="s">
        <v>9715</v>
      </c>
      <c r="I2337" s="6" t="s">
        <v>9716</v>
      </c>
      <c r="J2337" s="6" t="str">
        <f>"와이드팬츠 NAVY_(M)"</f>
        <v>와이드팬츠 NAVY_(M)</v>
      </c>
      <c r="K2337" s="6">
        <v>0</v>
      </c>
      <c r="L2337" s="6">
        <v>0</v>
      </c>
      <c r="M2337" s="6">
        <v>0</v>
      </c>
      <c r="N2337" s="6" t="str">
        <f>""</f>
        <v/>
      </c>
      <c r="O2337" s="6">
        <v>24884</v>
      </c>
      <c r="P2337" s="6" t="s">
        <v>9715</v>
      </c>
      <c r="R2337" s="6" t="s">
        <v>571</v>
      </c>
      <c r="S2337" s="6" t="s">
        <v>9717</v>
      </c>
      <c r="T2337" s="6">
        <v>0</v>
      </c>
      <c r="U2337" s="6">
        <v>0</v>
      </c>
      <c r="V2337" s="6">
        <v>0</v>
      </c>
      <c r="W2337" s="6">
        <v>0</v>
      </c>
      <c r="X2337" s="6" t="s">
        <v>169</v>
      </c>
      <c r="Z2337" s="6" t="s">
        <v>170</v>
      </c>
      <c r="AA2337" s="6" t="s">
        <v>171</v>
      </c>
      <c r="AB2337" s="6">
        <v>0</v>
      </c>
      <c r="AC2337" s="6" t="str">
        <f>""</f>
        <v/>
      </c>
      <c r="AS2337" s="6">
        <v>0</v>
      </c>
      <c r="AT2337" s="6">
        <v>0</v>
      </c>
    </row>
    <row r="2338" spans="2:46">
      <c r="B2338" s="6" t="s">
        <v>9653</v>
      </c>
      <c r="D2338" s="6" t="s">
        <v>8189</v>
      </c>
      <c r="F2338" s="6" t="s">
        <v>9718</v>
      </c>
      <c r="G2338" s="6" t="str">
        <f>"GC7F3PT32BKXL"</f>
        <v>GC7F3PT32BKXL</v>
      </c>
      <c r="H2338" s="6" t="s">
        <v>9719</v>
      </c>
      <c r="I2338" s="6" t="s">
        <v>9720</v>
      </c>
      <c r="J2338" s="6" t="str">
        <f>"와이드팬츠 BLACK_(XL)"</f>
        <v>와이드팬츠 BLACK_(XL)</v>
      </c>
      <c r="K2338" s="6">
        <v>0</v>
      </c>
      <c r="L2338" s="6">
        <v>0</v>
      </c>
      <c r="M2338" s="6">
        <v>0</v>
      </c>
      <c r="N2338" s="6" t="str">
        <f>""</f>
        <v/>
      </c>
      <c r="O2338" s="6">
        <v>24882</v>
      </c>
      <c r="P2338" s="6" t="s">
        <v>9719</v>
      </c>
      <c r="R2338" s="6" t="s">
        <v>9721</v>
      </c>
      <c r="S2338" s="6" t="s">
        <v>9722</v>
      </c>
      <c r="T2338" s="6">
        <v>0</v>
      </c>
      <c r="U2338" s="6">
        <v>0</v>
      </c>
      <c r="V2338" s="6">
        <v>0</v>
      </c>
      <c r="W2338" s="6">
        <v>0</v>
      </c>
      <c r="X2338" s="6" t="s">
        <v>169</v>
      </c>
      <c r="Z2338" s="6" t="s">
        <v>170</v>
      </c>
      <c r="AA2338" s="6" t="s">
        <v>171</v>
      </c>
      <c r="AB2338" s="6">
        <v>0</v>
      </c>
      <c r="AC2338" s="6" t="str">
        <f>""</f>
        <v/>
      </c>
      <c r="AS2338" s="6">
        <v>0</v>
      </c>
      <c r="AT2338" s="6">
        <v>0</v>
      </c>
    </row>
    <row r="2339" spans="2:46">
      <c r="B2339" s="6" t="s">
        <v>9653</v>
      </c>
      <c r="D2339" s="6" t="s">
        <v>8189</v>
      </c>
      <c r="F2339" s="6" t="s">
        <v>9723</v>
      </c>
      <c r="G2339" s="6" t="str">
        <f>"GC7F3PT32BKL"</f>
        <v>GC7F3PT32BKL</v>
      </c>
      <c r="H2339" s="6" t="s">
        <v>9724</v>
      </c>
      <c r="I2339" s="6" t="s">
        <v>9725</v>
      </c>
      <c r="J2339" s="6" t="str">
        <f>"와이드팬츠 BLACK_(L)"</f>
        <v>와이드팬츠 BLACK_(L)</v>
      </c>
      <c r="K2339" s="6">
        <v>0</v>
      </c>
      <c r="L2339" s="6">
        <v>0</v>
      </c>
      <c r="M2339" s="6">
        <v>0</v>
      </c>
      <c r="N2339" s="6" t="str">
        <f>""</f>
        <v/>
      </c>
      <c r="O2339" s="6">
        <v>24880</v>
      </c>
      <c r="P2339" s="6" t="s">
        <v>9724</v>
      </c>
      <c r="R2339" s="6" t="s">
        <v>5106</v>
      </c>
      <c r="S2339" s="6" t="s">
        <v>9726</v>
      </c>
      <c r="T2339" s="6">
        <v>0</v>
      </c>
      <c r="U2339" s="6">
        <v>0</v>
      </c>
      <c r="V2339" s="6">
        <v>0</v>
      </c>
      <c r="W2339" s="6">
        <v>0</v>
      </c>
      <c r="X2339" s="6" t="s">
        <v>169</v>
      </c>
      <c r="Z2339" s="6" t="s">
        <v>170</v>
      </c>
      <c r="AA2339" s="6" t="s">
        <v>171</v>
      </c>
      <c r="AB2339" s="6">
        <v>0</v>
      </c>
      <c r="AC2339" s="6" t="str">
        <f>""</f>
        <v/>
      </c>
      <c r="AS2339" s="6">
        <v>0</v>
      </c>
      <c r="AT2339" s="6">
        <v>0</v>
      </c>
    </row>
    <row r="2340" spans="2:46">
      <c r="B2340" s="6" t="s">
        <v>9653</v>
      </c>
      <c r="D2340" s="6" t="s">
        <v>8189</v>
      </c>
      <c r="F2340" s="6" t="s">
        <v>9727</v>
      </c>
      <c r="G2340" s="6" t="str">
        <f>"GC7F3PT32BKM"</f>
        <v>GC7F3PT32BKM</v>
      </c>
      <c r="H2340" s="6" t="s">
        <v>9728</v>
      </c>
      <c r="I2340" s="6" t="s">
        <v>9729</v>
      </c>
      <c r="J2340" s="6" t="str">
        <f>"와이드팬츠 BLACK_(M)"</f>
        <v>와이드팬츠 BLACK_(M)</v>
      </c>
      <c r="K2340" s="6">
        <v>0</v>
      </c>
      <c r="L2340" s="6">
        <v>0</v>
      </c>
      <c r="M2340" s="6">
        <v>0</v>
      </c>
      <c r="N2340" s="6" t="str">
        <f>""</f>
        <v/>
      </c>
      <c r="O2340" s="6">
        <v>24878</v>
      </c>
      <c r="P2340" s="6" t="s">
        <v>9728</v>
      </c>
      <c r="R2340" s="6" t="s">
        <v>601</v>
      </c>
      <c r="S2340" s="6" t="s">
        <v>9730</v>
      </c>
      <c r="T2340" s="6">
        <v>0</v>
      </c>
      <c r="U2340" s="6">
        <v>0</v>
      </c>
      <c r="V2340" s="6">
        <v>0</v>
      </c>
      <c r="W2340" s="6">
        <v>0</v>
      </c>
      <c r="X2340" s="6" t="s">
        <v>169</v>
      </c>
      <c r="Z2340" s="6" t="s">
        <v>170</v>
      </c>
      <c r="AA2340" s="6" t="s">
        <v>171</v>
      </c>
      <c r="AB2340" s="6">
        <v>0</v>
      </c>
      <c r="AC2340" s="6" t="str">
        <f>""</f>
        <v/>
      </c>
      <c r="AS2340" s="6">
        <v>0</v>
      </c>
      <c r="AT2340" s="6">
        <v>0</v>
      </c>
    </row>
    <row r="2341" spans="2:46">
      <c r="B2341" s="6" t="s">
        <v>9653</v>
      </c>
      <c r="D2341" s="6" t="s">
        <v>8189</v>
      </c>
      <c r="F2341" s="6" t="s">
        <v>9731</v>
      </c>
      <c r="G2341" s="6" t="str">
        <f>"GC7F3PT33KHXL"</f>
        <v>GC7F3PT33KHXL</v>
      </c>
      <c r="H2341" s="6" t="s">
        <v>9732</v>
      </c>
      <c r="I2341" s="6" t="s">
        <v>9733</v>
      </c>
      <c r="J2341" s="6" t="str">
        <f>"와이드팬츠 KHAKI_(XL)"</f>
        <v>와이드팬츠 KHAKI_(XL)</v>
      </c>
      <c r="K2341" s="6">
        <v>0</v>
      </c>
      <c r="L2341" s="6">
        <v>0</v>
      </c>
      <c r="M2341" s="6">
        <v>0</v>
      </c>
      <c r="N2341" s="6" t="str">
        <f>""</f>
        <v/>
      </c>
      <c r="O2341" s="6">
        <v>24876</v>
      </c>
      <c r="P2341" s="6" t="s">
        <v>9732</v>
      </c>
      <c r="R2341" s="6" t="s">
        <v>9734</v>
      </c>
      <c r="S2341" s="6" t="s">
        <v>9735</v>
      </c>
      <c r="T2341" s="6">
        <v>0</v>
      </c>
      <c r="U2341" s="6">
        <v>0</v>
      </c>
      <c r="V2341" s="6">
        <v>0</v>
      </c>
      <c r="W2341" s="6">
        <v>0</v>
      </c>
      <c r="X2341" s="6" t="s">
        <v>169</v>
      </c>
      <c r="Z2341" s="6" t="s">
        <v>170</v>
      </c>
      <c r="AA2341" s="6" t="s">
        <v>171</v>
      </c>
      <c r="AB2341" s="6">
        <v>0</v>
      </c>
      <c r="AC2341" s="6" t="str">
        <f>""</f>
        <v/>
      </c>
      <c r="AS2341" s="6">
        <v>0</v>
      </c>
      <c r="AT2341" s="6">
        <v>0</v>
      </c>
    </row>
    <row r="2342" spans="2:46">
      <c r="B2342" s="6" t="s">
        <v>9653</v>
      </c>
      <c r="D2342" s="6" t="s">
        <v>8189</v>
      </c>
      <c r="F2342" s="6" t="s">
        <v>9736</v>
      </c>
      <c r="G2342" s="6" t="str">
        <f>"GC7F3PT33KHL"</f>
        <v>GC7F3PT33KHL</v>
      </c>
      <c r="H2342" s="6" t="s">
        <v>9737</v>
      </c>
      <c r="I2342" s="6" t="s">
        <v>9738</v>
      </c>
      <c r="J2342" s="6" t="str">
        <f>"와이드팬츠 KHAKI_(L)"</f>
        <v>와이드팬츠 KHAKI_(L)</v>
      </c>
      <c r="K2342" s="6">
        <v>0</v>
      </c>
      <c r="L2342" s="6">
        <v>0</v>
      </c>
      <c r="M2342" s="6">
        <v>0</v>
      </c>
      <c r="N2342" s="6" t="str">
        <f>""</f>
        <v/>
      </c>
      <c r="O2342" s="6">
        <v>24874</v>
      </c>
      <c r="P2342" s="6" t="s">
        <v>9737</v>
      </c>
      <c r="R2342" s="6" t="s">
        <v>5080</v>
      </c>
      <c r="S2342" s="6" t="s">
        <v>9739</v>
      </c>
      <c r="T2342" s="6">
        <v>0</v>
      </c>
      <c r="U2342" s="6">
        <v>0</v>
      </c>
      <c r="V2342" s="6">
        <v>0</v>
      </c>
      <c r="W2342" s="6">
        <v>0</v>
      </c>
      <c r="X2342" s="6" t="s">
        <v>169</v>
      </c>
      <c r="Z2342" s="6" t="s">
        <v>170</v>
      </c>
      <c r="AA2342" s="6" t="s">
        <v>171</v>
      </c>
      <c r="AB2342" s="6">
        <v>0</v>
      </c>
      <c r="AC2342" s="6" t="str">
        <f>""</f>
        <v/>
      </c>
      <c r="AS2342" s="6">
        <v>0</v>
      </c>
      <c r="AT2342" s="6">
        <v>0</v>
      </c>
    </row>
    <row r="2343" spans="2:46">
      <c r="B2343" s="6" t="s">
        <v>9653</v>
      </c>
      <c r="D2343" s="6" t="s">
        <v>8189</v>
      </c>
      <c r="F2343" s="6" t="s">
        <v>9740</v>
      </c>
      <c r="G2343" s="6" t="str">
        <f>"GC7F3PT33KHM"</f>
        <v>GC7F3PT33KHM</v>
      </c>
      <c r="H2343" s="6" t="s">
        <v>9741</v>
      </c>
      <c r="I2343" s="6" t="s">
        <v>9742</v>
      </c>
      <c r="J2343" s="6" t="str">
        <f>"와이드팬츠 KHAKI_(M)"</f>
        <v>와이드팬츠 KHAKI_(M)</v>
      </c>
      <c r="K2343" s="6">
        <v>0</v>
      </c>
      <c r="L2343" s="6">
        <v>0</v>
      </c>
      <c r="M2343" s="6">
        <v>0</v>
      </c>
      <c r="N2343" s="6" t="str">
        <f>""</f>
        <v/>
      </c>
      <c r="O2343" s="6">
        <v>24872</v>
      </c>
      <c r="P2343" s="6" t="s">
        <v>9741</v>
      </c>
      <c r="R2343" s="6" t="s">
        <v>5084</v>
      </c>
      <c r="S2343" s="6" t="s">
        <v>9743</v>
      </c>
      <c r="T2343" s="6">
        <v>0</v>
      </c>
      <c r="U2343" s="6">
        <v>0</v>
      </c>
      <c r="V2343" s="6">
        <v>0</v>
      </c>
      <c r="W2343" s="6">
        <v>0</v>
      </c>
      <c r="X2343" s="6" t="s">
        <v>169</v>
      </c>
      <c r="Z2343" s="6" t="s">
        <v>170</v>
      </c>
      <c r="AA2343" s="6" t="s">
        <v>171</v>
      </c>
      <c r="AB2343" s="6">
        <v>0</v>
      </c>
      <c r="AC2343" s="6" t="str">
        <f>""</f>
        <v/>
      </c>
      <c r="AS2343" s="6">
        <v>0</v>
      </c>
      <c r="AT2343" s="6">
        <v>0</v>
      </c>
    </row>
    <row r="2344" spans="2:46">
      <c r="B2344" s="6" t="s">
        <v>9653</v>
      </c>
      <c r="D2344" s="6" t="s">
        <v>8189</v>
      </c>
      <c r="F2344" s="6" t="s">
        <v>9744</v>
      </c>
      <c r="G2344" s="6" t="str">
        <f>"GC7F3PT32BGXL"</f>
        <v>GC7F3PT32BGXL</v>
      </c>
      <c r="H2344" s="6" t="s">
        <v>9745</v>
      </c>
      <c r="I2344" s="6" t="s">
        <v>9746</v>
      </c>
      <c r="J2344" s="6" t="str">
        <f>"와이드팬츠 BEIGE_(XL)"</f>
        <v>와이드팬츠 BEIGE_(XL)</v>
      </c>
      <c r="K2344" s="6">
        <v>0</v>
      </c>
      <c r="L2344" s="6">
        <v>0</v>
      </c>
      <c r="M2344" s="6">
        <v>0</v>
      </c>
      <c r="N2344" s="6" t="str">
        <f>""</f>
        <v/>
      </c>
      <c r="O2344" s="6">
        <v>24870</v>
      </c>
      <c r="P2344" s="6" t="s">
        <v>9745</v>
      </c>
      <c r="R2344" s="6" t="s">
        <v>9747</v>
      </c>
      <c r="S2344" s="6" t="s">
        <v>9748</v>
      </c>
      <c r="T2344" s="6">
        <v>0</v>
      </c>
      <c r="U2344" s="6">
        <v>0</v>
      </c>
      <c r="V2344" s="6">
        <v>0</v>
      </c>
      <c r="W2344" s="6">
        <v>0</v>
      </c>
      <c r="X2344" s="6" t="s">
        <v>169</v>
      </c>
      <c r="Z2344" s="6" t="s">
        <v>170</v>
      </c>
      <c r="AA2344" s="6" t="s">
        <v>171</v>
      </c>
      <c r="AB2344" s="6">
        <v>0</v>
      </c>
      <c r="AC2344" s="6" t="str">
        <f>""</f>
        <v/>
      </c>
      <c r="AS2344" s="6">
        <v>0</v>
      </c>
      <c r="AT2344" s="6">
        <v>0</v>
      </c>
    </row>
    <row r="2345" spans="2:46">
      <c r="B2345" s="6" t="s">
        <v>9653</v>
      </c>
      <c r="D2345" s="6" t="s">
        <v>8189</v>
      </c>
      <c r="F2345" s="6" t="s">
        <v>9749</v>
      </c>
      <c r="G2345" s="6" t="str">
        <f>"GC7F3PT32BGL"</f>
        <v>GC7F3PT32BGL</v>
      </c>
      <c r="H2345" s="6" t="s">
        <v>9750</v>
      </c>
      <c r="I2345" s="6" t="s">
        <v>9751</v>
      </c>
      <c r="J2345" s="6" t="str">
        <f>"와이드팬츠 BEIGE_(L)"</f>
        <v>와이드팬츠 BEIGE_(L)</v>
      </c>
      <c r="K2345" s="6">
        <v>0</v>
      </c>
      <c r="L2345" s="6">
        <v>0</v>
      </c>
      <c r="M2345" s="6">
        <v>0</v>
      </c>
      <c r="N2345" s="6" t="str">
        <f>""</f>
        <v/>
      </c>
      <c r="O2345" s="6">
        <v>24868</v>
      </c>
      <c r="P2345" s="6" t="s">
        <v>9750</v>
      </c>
      <c r="R2345" s="6" t="s">
        <v>9752</v>
      </c>
      <c r="S2345" s="6" t="s">
        <v>9753</v>
      </c>
      <c r="T2345" s="6">
        <v>0</v>
      </c>
      <c r="U2345" s="6">
        <v>0</v>
      </c>
      <c r="V2345" s="6">
        <v>0</v>
      </c>
      <c r="W2345" s="6">
        <v>0</v>
      </c>
      <c r="X2345" s="6" t="s">
        <v>169</v>
      </c>
      <c r="Z2345" s="6" t="s">
        <v>170</v>
      </c>
      <c r="AA2345" s="6" t="s">
        <v>171</v>
      </c>
      <c r="AB2345" s="6">
        <v>0</v>
      </c>
      <c r="AC2345" s="6" t="str">
        <f>""</f>
        <v/>
      </c>
      <c r="AS2345" s="6">
        <v>0</v>
      </c>
      <c r="AT2345" s="6">
        <v>0</v>
      </c>
    </row>
    <row r="2346" spans="2:46">
      <c r="B2346" s="6" t="s">
        <v>9653</v>
      </c>
      <c r="D2346" s="6" t="s">
        <v>8189</v>
      </c>
      <c r="F2346" s="6" t="s">
        <v>9754</v>
      </c>
      <c r="G2346" s="6" t="str">
        <f>"GC7F3PT32BGM"</f>
        <v>GC7F3PT32BGM</v>
      </c>
      <c r="H2346" s="6" t="s">
        <v>9755</v>
      </c>
      <c r="I2346" s="6" t="s">
        <v>9756</v>
      </c>
      <c r="J2346" s="6" t="str">
        <f>"와이드팬츠 BEIGE_(M)"</f>
        <v>와이드팬츠 BEIGE_(M)</v>
      </c>
      <c r="K2346" s="6">
        <v>0</v>
      </c>
      <c r="L2346" s="6">
        <v>0</v>
      </c>
      <c r="M2346" s="6">
        <v>0</v>
      </c>
      <c r="N2346" s="6" t="str">
        <f>""</f>
        <v/>
      </c>
      <c r="O2346" s="6">
        <v>24866</v>
      </c>
      <c r="P2346" s="6" t="s">
        <v>9755</v>
      </c>
      <c r="R2346" s="6" t="s">
        <v>9757</v>
      </c>
      <c r="S2346" s="6" t="s">
        <v>9758</v>
      </c>
      <c r="T2346" s="6">
        <v>0</v>
      </c>
      <c r="U2346" s="6">
        <v>0</v>
      </c>
      <c r="V2346" s="6">
        <v>0</v>
      </c>
      <c r="W2346" s="6">
        <v>0</v>
      </c>
      <c r="X2346" s="6" t="s">
        <v>169</v>
      </c>
      <c r="Z2346" s="6" t="s">
        <v>170</v>
      </c>
      <c r="AA2346" s="6" t="s">
        <v>171</v>
      </c>
      <c r="AB2346" s="6">
        <v>0</v>
      </c>
      <c r="AC2346" s="6" t="str">
        <f>""</f>
        <v/>
      </c>
      <c r="AS2346" s="6">
        <v>0</v>
      </c>
      <c r="AT2346" s="6">
        <v>0</v>
      </c>
    </row>
    <row r="2347" spans="2:46">
      <c r="B2347" s="6" t="s">
        <v>9653</v>
      </c>
      <c r="D2347" s="6" t="s">
        <v>8189</v>
      </c>
      <c r="F2347" s="6" t="s">
        <v>9759</v>
      </c>
      <c r="G2347" s="6" t="str">
        <f>"GC7F3NB28RDL"</f>
        <v>GC7F3NB28RDL</v>
      </c>
      <c r="H2347" s="6" t="s">
        <v>9760</v>
      </c>
      <c r="I2347" s="6" t="s">
        <v>9761</v>
      </c>
      <c r="J2347" s="6" t="str">
        <f>"check Shirt RD_(L)"</f>
        <v>check Shirt RD_(L)</v>
      </c>
      <c r="K2347" s="6">
        <v>0</v>
      </c>
      <c r="L2347" s="6">
        <v>0</v>
      </c>
      <c r="M2347" s="6">
        <v>0</v>
      </c>
      <c r="N2347" s="6" t="str">
        <f>""</f>
        <v/>
      </c>
      <c r="O2347" s="6">
        <v>24864</v>
      </c>
      <c r="P2347" s="6" t="s">
        <v>9760</v>
      </c>
      <c r="R2347" s="6" t="s">
        <v>9762</v>
      </c>
      <c r="S2347" s="6" t="s">
        <v>9763</v>
      </c>
      <c r="T2347" s="6">
        <v>0</v>
      </c>
      <c r="U2347" s="6">
        <v>0</v>
      </c>
      <c r="V2347" s="6">
        <v>0</v>
      </c>
      <c r="W2347" s="6">
        <v>0</v>
      </c>
      <c r="X2347" s="6" t="s">
        <v>169</v>
      </c>
      <c r="Z2347" s="6" t="s">
        <v>170</v>
      </c>
      <c r="AA2347" s="6" t="s">
        <v>171</v>
      </c>
      <c r="AB2347" s="6">
        <v>0</v>
      </c>
      <c r="AC2347" s="6" t="str">
        <f>""</f>
        <v/>
      </c>
      <c r="AS2347" s="6">
        <v>0</v>
      </c>
      <c r="AT2347" s="6">
        <v>0</v>
      </c>
    </row>
    <row r="2348" spans="2:46">
      <c r="B2348" s="6" t="s">
        <v>9653</v>
      </c>
      <c r="D2348" s="6" t="s">
        <v>8189</v>
      </c>
      <c r="F2348" s="6" t="s">
        <v>9764</v>
      </c>
      <c r="G2348" s="6" t="str">
        <f>"GC7F3NB28RDM"</f>
        <v>GC7F3NB28RDM</v>
      </c>
      <c r="H2348" s="6" t="s">
        <v>9765</v>
      </c>
      <c r="I2348" s="6" t="s">
        <v>9766</v>
      </c>
      <c r="J2348" s="6" t="str">
        <f>"check Shirt RD_(M)"</f>
        <v>check Shirt RD_(M)</v>
      </c>
      <c r="K2348" s="6">
        <v>0</v>
      </c>
      <c r="L2348" s="6">
        <v>0</v>
      </c>
      <c r="M2348" s="6">
        <v>0</v>
      </c>
      <c r="N2348" s="6" t="str">
        <f>""</f>
        <v/>
      </c>
      <c r="O2348" s="6">
        <v>24862</v>
      </c>
      <c r="P2348" s="6" t="s">
        <v>9765</v>
      </c>
      <c r="R2348" s="6" t="s">
        <v>9767</v>
      </c>
      <c r="S2348" s="6" t="s">
        <v>9768</v>
      </c>
      <c r="T2348" s="6">
        <v>0</v>
      </c>
      <c r="U2348" s="6">
        <v>0</v>
      </c>
      <c r="V2348" s="6">
        <v>0</v>
      </c>
      <c r="W2348" s="6">
        <v>0</v>
      </c>
      <c r="X2348" s="6" t="s">
        <v>169</v>
      </c>
      <c r="Z2348" s="6" t="s">
        <v>170</v>
      </c>
      <c r="AA2348" s="6" t="s">
        <v>171</v>
      </c>
      <c r="AB2348" s="6">
        <v>0</v>
      </c>
      <c r="AC2348" s="6" t="str">
        <f>""</f>
        <v/>
      </c>
      <c r="AS2348" s="6">
        <v>0</v>
      </c>
      <c r="AT2348" s="6">
        <v>0</v>
      </c>
    </row>
    <row r="2349" spans="2:46">
      <c r="B2349" s="6" t="s">
        <v>9653</v>
      </c>
      <c r="D2349" s="6" t="s">
        <v>8189</v>
      </c>
      <c r="F2349" s="6" t="s">
        <v>9769</v>
      </c>
      <c r="G2349" s="6" t="str">
        <f>"GC7F3NB27GYL"</f>
        <v>GC7F3NB27GYL</v>
      </c>
      <c r="H2349" s="6" t="s">
        <v>9770</v>
      </c>
      <c r="I2349" s="6" t="s">
        <v>9771</v>
      </c>
      <c r="J2349" s="6" t="str">
        <f>"check Shirt Gray_(L)"</f>
        <v>check Shirt Gray_(L)</v>
      </c>
      <c r="K2349" s="6">
        <v>0</v>
      </c>
      <c r="L2349" s="6">
        <v>0</v>
      </c>
      <c r="M2349" s="6">
        <v>0</v>
      </c>
      <c r="N2349" s="6" t="str">
        <f>""</f>
        <v/>
      </c>
      <c r="O2349" s="6">
        <v>24860</v>
      </c>
      <c r="P2349" s="6" t="s">
        <v>9770</v>
      </c>
      <c r="R2349" s="6" t="s">
        <v>9772</v>
      </c>
      <c r="S2349" s="6" t="s">
        <v>9773</v>
      </c>
      <c r="T2349" s="6">
        <v>0</v>
      </c>
      <c r="U2349" s="6">
        <v>0</v>
      </c>
      <c r="V2349" s="6">
        <v>0</v>
      </c>
      <c r="W2349" s="6">
        <v>0</v>
      </c>
      <c r="X2349" s="6" t="s">
        <v>169</v>
      </c>
      <c r="Z2349" s="6" t="s">
        <v>170</v>
      </c>
      <c r="AA2349" s="6" t="s">
        <v>171</v>
      </c>
      <c r="AB2349" s="6">
        <v>0</v>
      </c>
      <c r="AC2349" s="6" t="str">
        <f>""</f>
        <v/>
      </c>
      <c r="AS2349" s="6">
        <v>0</v>
      </c>
      <c r="AT2349" s="6">
        <v>0</v>
      </c>
    </row>
    <row r="2350" spans="2:46">
      <c r="B2350" s="6" t="s">
        <v>9653</v>
      </c>
      <c r="D2350" s="6" t="s">
        <v>8189</v>
      </c>
      <c r="F2350" s="6" t="s">
        <v>9774</v>
      </c>
      <c r="G2350" s="6" t="str">
        <f>"GC7F3NB27GYM"</f>
        <v>GC7F3NB27GYM</v>
      </c>
      <c r="H2350" s="6" t="s">
        <v>9775</v>
      </c>
      <c r="I2350" s="6" t="s">
        <v>9776</v>
      </c>
      <c r="J2350" s="6" t="str">
        <f>"check Shirt Gray_(M)"</f>
        <v>check Shirt Gray_(M)</v>
      </c>
      <c r="K2350" s="6">
        <v>0</v>
      </c>
      <c r="L2350" s="6">
        <v>0</v>
      </c>
      <c r="M2350" s="6">
        <v>0</v>
      </c>
      <c r="N2350" s="6" t="str">
        <f>""</f>
        <v/>
      </c>
      <c r="O2350" s="6">
        <v>24858</v>
      </c>
      <c r="P2350" s="6" t="s">
        <v>9775</v>
      </c>
      <c r="R2350" s="6" t="s">
        <v>9777</v>
      </c>
      <c r="S2350" s="6" t="s">
        <v>9778</v>
      </c>
      <c r="T2350" s="6">
        <v>0</v>
      </c>
      <c r="U2350" s="6">
        <v>0</v>
      </c>
      <c r="V2350" s="6">
        <v>0</v>
      </c>
      <c r="W2350" s="6">
        <v>0</v>
      </c>
      <c r="X2350" s="6" t="s">
        <v>169</v>
      </c>
      <c r="Z2350" s="6" t="s">
        <v>170</v>
      </c>
      <c r="AA2350" s="6" t="s">
        <v>171</v>
      </c>
      <c r="AB2350" s="6">
        <v>0</v>
      </c>
      <c r="AC2350" s="6" t="str">
        <f>""</f>
        <v/>
      </c>
      <c r="AS2350" s="6">
        <v>0</v>
      </c>
      <c r="AT2350" s="6">
        <v>0</v>
      </c>
    </row>
    <row r="2351" spans="2:46">
      <c r="B2351" s="6" t="s">
        <v>9653</v>
      </c>
      <c r="D2351" s="6" t="s">
        <v>8189</v>
      </c>
      <c r="F2351" s="6" t="s">
        <v>9779</v>
      </c>
      <c r="G2351" s="6" t="str">
        <f>"GC7F3NB26GNL"</f>
        <v>GC7F3NB26GNL</v>
      </c>
      <c r="H2351" s="6" t="s">
        <v>9780</v>
      </c>
      <c r="I2351" s="6" t="s">
        <v>9781</v>
      </c>
      <c r="J2351" s="6" t="str">
        <f>"check Shirt GR_(L)"</f>
        <v>check Shirt GR_(L)</v>
      </c>
      <c r="K2351" s="6">
        <v>0</v>
      </c>
      <c r="L2351" s="6">
        <v>0</v>
      </c>
      <c r="M2351" s="6">
        <v>0</v>
      </c>
      <c r="N2351" s="6" t="str">
        <f>""</f>
        <v/>
      </c>
      <c r="O2351" s="6">
        <v>24856</v>
      </c>
      <c r="P2351" s="6" t="s">
        <v>9780</v>
      </c>
      <c r="R2351" s="6" t="s">
        <v>5406</v>
      </c>
      <c r="S2351" s="6" t="s">
        <v>9782</v>
      </c>
      <c r="T2351" s="6">
        <v>0</v>
      </c>
      <c r="U2351" s="6">
        <v>0</v>
      </c>
      <c r="V2351" s="6">
        <v>0</v>
      </c>
      <c r="W2351" s="6">
        <v>0</v>
      </c>
      <c r="X2351" s="6" t="s">
        <v>169</v>
      </c>
      <c r="Z2351" s="6" t="s">
        <v>170</v>
      </c>
      <c r="AA2351" s="6" t="s">
        <v>171</v>
      </c>
      <c r="AB2351" s="6">
        <v>0</v>
      </c>
      <c r="AC2351" s="6" t="str">
        <f>""</f>
        <v/>
      </c>
      <c r="AS2351" s="6">
        <v>0</v>
      </c>
      <c r="AT2351" s="6">
        <v>0</v>
      </c>
    </row>
    <row r="2352" spans="2:46">
      <c r="B2352" s="6" t="s">
        <v>9653</v>
      </c>
      <c r="D2352" s="6" t="s">
        <v>8189</v>
      </c>
      <c r="F2352" s="6" t="s">
        <v>9783</v>
      </c>
      <c r="G2352" s="6" t="str">
        <f>"GC7F3NB26GNM"</f>
        <v>GC7F3NB26GNM</v>
      </c>
      <c r="H2352" s="6" t="s">
        <v>9784</v>
      </c>
      <c r="I2352" s="6" t="s">
        <v>9785</v>
      </c>
      <c r="J2352" s="6" t="str">
        <f>"check Shirt GR_(M)"</f>
        <v>check Shirt GR_(M)</v>
      </c>
      <c r="K2352" s="6">
        <v>0</v>
      </c>
      <c r="L2352" s="6">
        <v>0</v>
      </c>
      <c r="M2352" s="6">
        <v>0</v>
      </c>
      <c r="N2352" s="6" t="str">
        <f>""</f>
        <v/>
      </c>
      <c r="O2352" s="6">
        <v>24854</v>
      </c>
      <c r="P2352" s="6" t="s">
        <v>9784</v>
      </c>
      <c r="R2352" s="6" t="s">
        <v>5649</v>
      </c>
      <c r="S2352" s="6" t="s">
        <v>9786</v>
      </c>
      <c r="T2352" s="6">
        <v>0</v>
      </c>
      <c r="U2352" s="6">
        <v>0</v>
      </c>
      <c r="V2352" s="6">
        <v>0</v>
      </c>
      <c r="W2352" s="6">
        <v>0</v>
      </c>
      <c r="X2352" s="6" t="s">
        <v>169</v>
      </c>
      <c r="Z2352" s="6" t="s">
        <v>170</v>
      </c>
      <c r="AA2352" s="6" t="s">
        <v>171</v>
      </c>
      <c r="AB2352" s="6">
        <v>0</v>
      </c>
      <c r="AC2352" s="6" t="str">
        <f>""</f>
        <v/>
      </c>
      <c r="AS2352" s="6">
        <v>0</v>
      </c>
      <c r="AT2352" s="6">
        <v>0</v>
      </c>
    </row>
    <row r="2353" spans="2:46">
      <c r="B2353" s="6" t="s">
        <v>9653</v>
      </c>
      <c r="D2353" s="6" t="s">
        <v>8189</v>
      </c>
      <c r="F2353" s="6" t="s">
        <v>9787</v>
      </c>
      <c r="G2353" s="6" t="str">
        <f>"GC7F3NB25NYL"</f>
        <v>GC7F3NB25NYL</v>
      </c>
      <c r="H2353" s="6" t="s">
        <v>9788</v>
      </c>
      <c r="I2353" s="6" t="s">
        <v>9789</v>
      </c>
      <c r="J2353" s="6" t="str">
        <f>"check Shirt NV_(L)"</f>
        <v>check Shirt NV_(L)</v>
      </c>
      <c r="K2353" s="6">
        <v>0</v>
      </c>
      <c r="L2353" s="6">
        <v>0</v>
      </c>
      <c r="M2353" s="6">
        <v>0</v>
      </c>
      <c r="N2353" s="6" t="str">
        <f>""</f>
        <v/>
      </c>
      <c r="O2353" s="6">
        <v>24852</v>
      </c>
      <c r="P2353" s="6" t="s">
        <v>9788</v>
      </c>
      <c r="R2353" s="6" t="s">
        <v>9772</v>
      </c>
      <c r="S2353" s="6" t="s">
        <v>9790</v>
      </c>
      <c r="T2353" s="6">
        <v>0</v>
      </c>
      <c r="U2353" s="6">
        <v>0</v>
      </c>
      <c r="V2353" s="6">
        <v>0</v>
      </c>
      <c r="W2353" s="6">
        <v>0</v>
      </c>
      <c r="X2353" s="6" t="s">
        <v>169</v>
      </c>
      <c r="Z2353" s="6" t="s">
        <v>170</v>
      </c>
      <c r="AA2353" s="6" t="s">
        <v>171</v>
      </c>
      <c r="AB2353" s="6">
        <v>0</v>
      </c>
      <c r="AC2353" s="6" t="str">
        <f>""</f>
        <v/>
      </c>
      <c r="AS2353" s="6">
        <v>0</v>
      </c>
      <c r="AT2353" s="6">
        <v>0</v>
      </c>
    </row>
    <row r="2354" spans="2:46">
      <c r="B2354" s="6" t="s">
        <v>9653</v>
      </c>
      <c r="D2354" s="6" t="s">
        <v>8189</v>
      </c>
      <c r="F2354" s="6" t="s">
        <v>9791</v>
      </c>
      <c r="G2354" s="6" t="str">
        <f>"GC7F3NB25NYM"</f>
        <v>GC7F3NB25NYM</v>
      </c>
      <c r="H2354" s="6" t="s">
        <v>9792</v>
      </c>
      <c r="I2354" s="6" t="s">
        <v>9793</v>
      </c>
      <c r="J2354" s="6" t="str">
        <f>"check Shirt NV_(M)"</f>
        <v>check Shirt NV_(M)</v>
      </c>
      <c r="K2354" s="6">
        <v>0</v>
      </c>
      <c r="L2354" s="6">
        <v>0</v>
      </c>
      <c r="M2354" s="6">
        <v>0</v>
      </c>
      <c r="N2354" s="6" t="str">
        <f>""</f>
        <v/>
      </c>
      <c r="O2354" s="6">
        <v>24850</v>
      </c>
      <c r="P2354" s="6" t="s">
        <v>9792</v>
      </c>
      <c r="R2354" s="6" t="s">
        <v>9777</v>
      </c>
      <c r="S2354" s="6" t="s">
        <v>9794</v>
      </c>
      <c r="T2354" s="6">
        <v>0</v>
      </c>
      <c r="U2354" s="6">
        <v>0</v>
      </c>
      <c r="V2354" s="6">
        <v>0</v>
      </c>
      <c r="W2354" s="6">
        <v>0</v>
      </c>
      <c r="X2354" s="6" t="s">
        <v>169</v>
      </c>
      <c r="Z2354" s="6" t="s">
        <v>170</v>
      </c>
      <c r="AA2354" s="6" t="s">
        <v>171</v>
      </c>
      <c r="AB2354" s="6">
        <v>0</v>
      </c>
      <c r="AC2354" s="6" t="str">
        <f>""</f>
        <v/>
      </c>
      <c r="AS2354" s="6">
        <v>0</v>
      </c>
      <c r="AT2354" s="6">
        <v>0</v>
      </c>
    </row>
    <row r="2355" spans="2:46">
      <c r="B2355" s="6" t="s">
        <v>9653</v>
      </c>
      <c r="D2355" s="6" t="s">
        <v>8189</v>
      </c>
      <c r="F2355" s="6" t="s">
        <v>9795</v>
      </c>
      <c r="G2355" s="6" t="str">
        <f>"GC7F3MM24GYL"</f>
        <v>GC7F3MM24GYL</v>
      </c>
      <c r="H2355" s="6" t="s">
        <v>9796</v>
      </c>
      <c r="I2355" s="6" t="s">
        <v>9797</v>
      </c>
      <c r="J2355" s="6" t="str">
        <f>"Shirt MTM Gray_(L)"</f>
        <v>Shirt MTM Gray_(L)</v>
      </c>
      <c r="K2355" s="6">
        <v>0</v>
      </c>
      <c r="L2355" s="6">
        <v>0</v>
      </c>
      <c r="M2355" s="6">
        <v>0</v>
      </c>
      <c r="N2355" s="6" t="str">
        <f>""</f>
        <v/>
      </c>
      <c r="O2355" s="6">
        <v>24848</v>
      </c>
      <c r="P2355" s="6" t="s">
        <v>9796</v>
      </c>
      <c r="R2355" s="6" t="s">
        <v>9798</v>
      </c>
      <c r="S2355" s="6" t="s">
        <v>9799</v>
      </c>
      <c r="T2355" s="6">
        <v>0</v>
      </c>
      <c r="U2355" s="6">
        <v>0</v>
      </c>
      <c r="V2355" s="6">
        <v>0</v>
      </c>
      <c r="W2355" s="6">
        <v>0</v>
      </c>
      <c r="X2355" s="6" t="s">
        <v>169</v>
      </c>
      <c r="Z2355" s="6" t="s">
        <v>170</v>
      </c>
      <c r="AA2355" s="6" t="s">
        <v>171</v>
      </c>
      <c r="AB2355" s="6">
        <v>0</v>
      </c>
      <c r="AC2355" s="6" t="str">
        <f>""</f>
        <v/>
      </c>
      <c r="AS2355" s="6">
        <v>0</v>
      </c>
      <c r="AT2355" s="6">
        <v>0</v>
      </c>
    </row>
    <row r="2356" spans="2:46">
      <c r="B2356" s="6" t="s">
        <v>9653</v>
      </c>
      <c r="D2356" s="6" t="s">
        <v>8189</v>
      </c>
      <c r="F2356" s="6" t="s">
        <v>9800</v>
      </c>
      <c r="G2356" s="6" t="str">
        <f>"GC7F3MM24GYM"</f>
        <v>GC7F3MM24GYM</v>
      </c>
      <c r="H2356" s="6" t="s">
        <v>9801</v>
      </c>
      <c r="I2356" s="6" t="s">
        <v>9802</v>
      </c>
      <c r="J2356" s="6" t="str">
        <f>"Shirt MTM Gray_(M)"</f>
        <v>Shirt MTM Gray_(M)</v>
      </c>
      <c r="K2356" s="6">
        <v>0</v>
      </c>
      <c r="L2356" s="6">
        <v>0</v>
      </c>
      <c r="M2356" s="6">
        <v>0</v>
      </c>
      <c r="N2356" s="6" t="str">
        <f>""</f>
        <v/>
      </c>
      <c r="O2356" s="6">
        <v>24846</v>
      </c>
      <c r="P2356" s="6" t="s">
        <v>9801</v>
      </c>
      <c r="R2356" s="6" t="s">
        <v>9803</v>
      </c>
      <c r="S2356" s="6" t="s">
        <v>9804</v>
      </c>
      <c r="T2356" s="6">
        <v>0</v>
      </c>
      <c r="U2356" s="6">
        <v>0</v>
      </c>
      <c r="V2356" s="6">
        <v>0</v>
      </c>
      <c r="W2356" s="6">
        <v>0</v>
      </c>
      <c r="X2356" s="6" t="s">
        <v>169</v>
      </c>
      <c r="Z2356" s="6" t="s">
        <v>170</v>
      </c>
      <c r="AA2356" s="6" t="s">
        <v>171</v>
      </c>
      <c r="AB2356" s="6">
        <v>0</v>
      </c>
      <c r="AC2356" s="6" t="str">
        <f>""</f>
        <v/>
      </c>
      <c r="AS2356" s="6">
        <v>0</v>
      </c>
      <c r="AT2356" s="6">
        <v>0</v>
      </c>
    </row>
    <row r="2357" spans="2:46">
      <c r="B2357" s="6" t="s">
        <v>9653</v>
      </c>
      <c r="D2357" s="6" t="s">
        <v>8189</v>
      </c>
      <c r="F2357" s="6" t="s">
        <v>9805</v>
      </c>
      <c r="G2357" s="6" t="str">
        <f>"GC7F3MM23KHL"</f>
        <v>GC7F3MM23KHL</v>
      </c>
      <c r="H2357" s="6" t="s">
        <v>9806</v>
      </c>
      <c r="I2357" s="6" t="s">
        <v>9807</v>
      </c>
      <c r="J2357" s="6" t="str">
        <f>"Shirt MTM kk_(L)"</f>
        <v>Shirt MTM kk_(L)</v>
      </c>
      <c r="K2357" s="6">
        <v>0</v>
      </c>
      <c r="L2357" s="6">
        <v>0</v>
      </c>
      <c r="M2357" s="6">
        <v>0</v>
      </c>
      <c r="N2357" s="6" t="str">
        <f>""</f>
        <v/>
      </c>
      <c r="O2357" s="6">
        <v>24844</v>
      </c>
      <c r="P2357" s="6" t="s">
        <v>9806</v>
      </c>
      <c r="R2357" s="6" t="s">
        <v>5080</v>
      </c>
      <c r="S2357" s="6" t="s">
        <v>9808</v>
      </c>
      <c r="T2357" s="6">
        <v>0</v>
      </c>
      <c r="U2357" s="6">
        <v>0</v>
      </c>
      <c r="V2357" s="6">
        <v>0</v>
      </c>
      <c r="W2357" s="6">
        <v>0</v>
      </c>
      <c r="X2357" s="6" t="s">
        <v>169</v>
      </c>
      <c r="Z2357" s="6" t="s">
        <v>170</v>
      </c>
      <c r="AA2357" s="6" t="s">
        <v>171</v>
      </c>
      <c r="AB2357" s="6">
        <v>0</v>
      </c>
      <c r="AC2357" s="6" t="str">
        <f>""</f>
        <v/>
      </c>
      <c r="AS2357" s="6">
        <v>0</v>
      </c>
      <c r="AT2357" s="6">
        <v>0</v>
      </c>
    </row>
    <row r="2358" spans="2:46">
      <c r="B2358" s="6" t="s">
        <v>9653</v>
      </c>
      <c r="D2358" s="6" t="s">
        <v>8189</v>
      </c>
      <c r="F2358" s="6" t="s">
        <v>9809</v>
      </c>
      <c r="G2358" s="6" t="str">
        <f>"GC7F3MM23KHM"</f>
        <v>GC7F3MM23KHM</v>
      </c>
      <c r="H2358" s="6" t="s">
        <v>9810</v>
      </c>
      <c r="I2358" s="6" t="s">
        <v>9811</v>
      </c>
      <c r="J2358" s="6" t="str">
        <f>"Shirt MTM kk_(M)"</f>
        <v>Shirt MTM kk_(M)</v>
      </c>
      <c r="K2358" s="6">
        <v>0</v>
      </c>
      <c r="L2358" s="6">
        <v>0</v>
      </c>
      <c r="M2358" s="6">
        <v>0</v>
      </c>
      <c r="N2358" s="6" t="str">
        <f>""</f>
        <v/>
      </c>
      <c r="O2358" s="6">
        <v>24842</v>
      </c>
      <c r="P2358" s="6" t="s">
        <v>9810</v>
      </c>
      <c r="R2358" s="6" t="s">
        <v>5084</v>
      </c>
      <c r="S2358" s="6" t="s">
        <v>9812</v>
      </c>
      <c r="T2358" s="6">
        <v>0</v>
      </c>
      <c r="U2358" s="6">
        <v>0</v>
      </c>
      <c r="V2358" s="6">
        <v>0</v>
      </c>
      <c r="W2358" s="6">
        <v>0</v>
      </c>
      <c r="X2358" s="6" t="s">
        <v>169</v>
      </c>
      <c r="Z2358" s="6" t="s">
        <v>170</v>
      </c>
      <c r="AA2358" s="6" t="s">
        <v>171</v>
      </c>
      <c r="AB2358" s="6">
        <v>0</v>
      </c>
      <c r="AC2358" s="6" t="str">
        <f>""</f>
        <v/>
      </c>
      <c r="AS2358" s="6">
        <v>0</v>
      </c>
      <c r="AT2358" s="6">
        <v>0</v>
      </c>
    </row>
    <row r="2359" spans="2:46">
      <c r="B2359" s="6" t="s">
        <v>9653</v>
      </c>
      <c r="D2359" s="6" t="s">
        <v>8189</v>
      </c>
      <c r="F2359" s="6" t="s">
        <v>9813</v>
      </c>
      <c r="G2359" s="6" t="str">
        <f>"GC7F3SC47WHF"</f>
        <v>GC7F3SC47WHF</v>
      </c>
      <c r="H2359" s="6" t="s">
        <v>9814</v>
      </c>
      <c r="I2359" s="6" t="s">
        <v>9815</v>
      </c>
      <c r="J2359" s="6" t="str">
        <f>"WAVE SOCKS _ RD"</f>
        <v>WAVE SOCKS _ RD</v>
      </c>
      <c r="K2359" s="6">
        <v>0</v>
      </c>
      <c r="L2359" s="6">
        <v>0</v>
      </c>
      <c r="M2359" s="6">
        <v>0</v>
      </c>
      <c r="N2359" s="6" t="str">
        <f>""</f>
        <v/>
      </c>
      <c r="O2359" s="6">
        <v>24840</v>
      </c>
      <c r="P2359" s="6" t="s">
        <v>9814</v>
      </c>
      <c r="R2359" s="6" t="s">
        <v>2309</v>
      </c>
      <c r="S2359" s="6" t="s">
        <v>9816</v>
      </c>
      <c r="T2359" s="6">
        <v>0</v>
      </c>
      <c r="U2359" s="6">
        <v>0</v>
      </c>
      <c r="V2359" s="6">
        <v>0</v>
      </c>
      <c r="W2359" s="6">
        <v>0</v>
      </c>
      <c r="X2359" s="6" t="s">
        <v>169</v>
      </c>
      <c r="Z2359" s="6" t="s">
        <v>170</v>
      </c>
      <c r="AA2359" s="6" t="s">
        <v>171</v>
      </c>
      <c r="AB2359" s="6">
        <v>0</v>
      </c>
      <c r="AC2359" s="6" t="str">
        <f>""</f>
        <v/>
      </c>
      <c r="AS2359" s="6">
        <v>0</v>
      </c>
      <c r="AT2359" s="6">
        <v>0</v>
      </c>
    </row>
    <row r="2360" spans="2:46">
      <c r="B2360" s="6" t="s">
        <v>9653</v>
      </c>
      <c r="D2360" s="6" t="s">
        <v>8189</v>
      </c>
      <c r="F2360" s="6" t="s">
        <v>9817</v>
      </c>
      <c r="G2360" s="6" t="str">
        <f>"GC7F3SC46WHF"</f>
        <v>GC7F3SC46WHF</v>
      </c>
      <c r="H2360" s="6" t="s">
        <v>9818</v>
      </c>
      <c r="I2360" s="6" t="s">
        <v>9819</v>
      </c>
      <c r="J2360" s="6" t="str">
        <f>"WAVE SOCKS _ BL"</f>
        <v>WAVE SOCKS _ BL</v>
      </c>
      <c r="K2360" s="6">
        <v>0</v>
      </c>
      <c r="L2360" s="6">
        <v>0</v>
      </c>
      <c r="M2360" s="6">
        <v>0</v>
      </c>
      <c r="N2360" s="6" t="str">
        <f>""</f>
        <v/>
      </c>
      <c r="O2360" s="6">
        <v>24838</v>
      </c>
      <c r="P2360" s="6" t="s">
        <v>9818</v>
      </c>
      <c r="R2360" s="6" t="s">
        <v>2175</v>
      </c>
      <c r="S2360" s="6" t="s">
        <v>9820</v>
      </c>
      <c r="T2360" s="6">
        <v>0</v>
      </c>
      <c r="U2360" s="6">
        <v>0</v>
      </c>
      <c r="V2360" s="6">
        <v>0</v>
      </c>
      <c r="W2360" s="6">
        <v>0</v>
      </c>
      <c r="X2360" s="6" t="s">
        <v>169</v>
      </c>
      <c r="Z2360" s="6" t="s">
        <v>170</v>
      </c>
      <c r="AA2360" s="6" t="s">
        <v>171</v>
      </c>
      <c r="AB2360" s="6">
        <v>0</v>
      </c>
      <c r="AC2360" s="6" t="str">
        <f>""</f>
        <v/>
      </c>
      <c r="AS2360" s="6">
        <v>0</v>
      </c>
      <c r="AT2360" s="6">
        <v>0</v>
      </c>
    </row>
    <row r="2361" spans="2:46">
      <c r="B2361" s="6" t="s">
        <v>9653</v>
      </c>
      <c r="D2361" s="6" t="s">
        <v>8189</v>
      </c>
      <c r="F2361" s="6" t="s">
        <v>9821</v>
      </c>
      <c r="G2361" s="6" t="str">
        <f>"GC7F3SC45WHF"</f>
        <v>GC7F3SC45WHF</v>
      </c>
      <c r="H2361" s="6" t="s">
        <v>9822</v>
      </c>
      <c r="I2361" s="6" t="s">
        <v>9823</v>
      </c>
      <c r="J2361" s="6" t="str">
        <f>"WAVE SOCKS _ BK"</f>
        <v>WAVE SOCKS _ BK</v>
      </c>
      <c r="K2361" s="6">
        <v>0</v>
      </c>
      <c r="L2361" s="6">
        <v>0</v>
      </c>
      <c r="M2361" s="6">
        <v>0</v>
      </c>
      <c r="N2361" s="6" t="str">
        <f>""</f>
        <v/>
      </c>
      <c r="O2361" s="6">
        <v>24836</v>
      </c>
      <c r="P2361" s="6" t="s">
        <v>9822</v>
      </c>
      <c r="R2361" s="6" t="s">
        <v>2106</v>
      </c>
      <c r="S2361" s="6" t="s">
        <v>9824</v>
      </c>
      <c r="T2361" s="6">
        <v>0</v>
      </c>
      <c r="U2361" s="6">
        <v>0</v>
      </c>
      <c r="V2361" s="6">
        <v>0</v>
      </c>
      <c r="W2361" s="6">
        <v>0</v>
      </c>
      <c r="X2361" s="6" t="s">
        <v>169</v>
      </c>
      <c r="Z2361" s="6" t="s">
        <v>170</v>
      </c>
      <c r="AA2361" s="6" t="s">
        <v>171</v>
      </c>
      <c r="AB2361" s="6">
        <v>0</v>
      </c>
      <c r="AC2361" s="6" t="str">
        <f>""</f>
        <v/>
      </c>
      <c r="AS2361" s="6">
        <v>0</v>
      </c>
      <c r="AT2361" s="6">
        <v>0</v>
      </c>
    </row>
    <row r="2362" spans="2:46">
      <c r="B2362" s="6" t="s">
        <v>9653</v>
      </c>
      <c r="D2362" s="6" t="s">
        <v>8189</v>
      </c>
      <c r="F2362" s="6" t="s">
        <v>9825</v>
      </c>
      <c r="G2362" s="6" t="str">
        <f>"GC7F3MC42RDF"</f>
        <v>GC7F3MC42RDF</v>
      </c>
      <c r="H2362" s="6" t="s">
        <v>9826</v>
      </c>
      <c r="I2362" s="6" t="s">
        <v>9827</v>
      </c>
      <c r="J2362" s="6" t="str">
        <f>"LIGHT SLEEVES LAYERED_RD"</f>
        <v>LIGHT SLEEVES LAYERED_RD</v>
      </c>
      <c r="K2362" s="6">
        <v>0</v>
      </c>
      <c r="L2362" s="6">
        <v>0</v>
      </c>
      <c r="M2362" s="6">
        <v>0</v>
      </c>
      <c r="N2362" s="6" t="str">
        <f>""</f>
        <v/>
      </c>
      <c r="O2362" s="6">
        <v>24834</v>
      </c>
      <c r="P2362" s="6" t="s">
        <v>9826</v>
      </c>
      <c r="R2362" s="6" t="s">
        <v>2309</v>
      </c>
      <c r="S2362" s="6" t="s">
        <v>9828</v>
      </c>
      <c r="T2362" s="6">
        <v>0</v>
      </c>
      <c r="U2362" s="6">
        <v>0</v>
      </c>
      <c r="V2362" s="6">
        <v>0</v>
      </c>
      <c r="W2362" s="6">
        <v>0</v>
      </c>
      <c r="X2362" s="6" t="s">
        <v>169</v>
      </c>
      <c r="Z2362" s="6" t="s">
        <v>170</v>
      </c>
      <c r="AA2362" s="6" t="s">
        <v>171</v>
      </c>
      <c r="AB2362" s="6">
        <v>0</v>
      </c>
      <c r="AC2362" s="6" t="str">
        <f>""</f>
        <v/>
      </c>
      <c r="AS2362" s="6">
        <v>0</v>
      </c>
      <c r="AT2362" s="6">
        <v>0</v>
      </c>
    </row>
    <row r="2363" spans="2:46">
      <c r="B2363" s="6" t="s">
        <v>9653</v>
      </c>
      <c r="D2363" s="6" t="s">
        <v>8189</v>
      </c>
      <c r="F2363" s="6" t="s">
        <v>9829</v>
      </c>
      <c r="G2363" s="6" t="str">
        <f>"GC7F3MC41BLF"</f>
        <v>GC7F3MC41BLF</v>
      </c>
      <c r="H2363" s="6" t="s">
        <v>9830</v>
      </c>
      <c r="I2363" s="6" t="s">
        <v>9831</v>
      </c>
      <c r="J2363" s="6" t="str">
        <f>"LIGHT SLEEVES LAYERED_BL"</f>
        <v>LIGHT SLEEVES LAYERED_BL</v>
      </c>
      <c r="K2363" s="6">
        <v>0</v>
      </c>
      <c r="L2363" s="6">
        <v>0</v>
      </c>
      <c r="M2363" s="6">
        <v>0</v>
      </c>
      <c r="N2363" s="6" t="str">
        <f>""</f>
        <v/>
      </c>
      <c r="O2363" s="6">
        <v>24832</v>
      </c>
      <c r="P2363" s="6" t="s">
        <v>9830</v>
      </c>
      <c r="R2363" s="6" t="s">
        <v>2175</v>
      </c>
      <c r="S2363" s="6" t="s">
        <v>9832</v>
      </c>
      <c r="T2363" s="6">
        <v>0</v>
      </c>
      <c r="U2363" s="6">
        <v>0</v>
      </c>
      <c r="V2363" s="6">
        <v>0</v>
      </c>
      <c r="W2363" s="6">
        <v>0</v>
      </c>
      <c r="X2363" s="6" t="s">
        <v>169</v>
      </c>
      <c r="Z2363" s="6" t="s">
        <v>170</v>
      </c>
      <c r="AA2363" s="6" t="s">
        <v>171</v>
      </c>
      <c r="AB2363" s="6">
        <v>0</v>
      </c>
      <c r="AC2363" s="6" t="str">
        <f>""</f>
        <v/>
      </c>
      <c r="AS2363" s="6">
        <v>0</v>
      </c>
      <c r="AT2363" s="6">
        <v>0</v>
      </c>
    </row>
    <row r="2364" spans="2:46">
      <c r="B2364" s="6" t="s">
        <v>9653</v>
      </c>
      <c r="D2364" s="6" t="s">
        <v>8189</v>
      </c>
      <c r="F2364" s="6" t="s">
        <v>9833</v>
      </c>
      <c r="G2364" s="6" t="str">
        <f>"GC7F3MC40BKF"</f>
        <v>GC7F3MC40BKF</v>
      </c>
      <c r="H2364" s="6" t="s">
        <v>9834</v>
      </c>
      <c r="I2364" s="6" t="s">
        <v>9835</v>
      </c>
      <c r="J2364" s="6" t="str">
        <f>"LIGHT SLEEVES LAYERED_BK"</f>
        <v>LIGHT SLEEVES LAYERED_BK</v>
      </c>
      <c r="K2364" s="6">
        <v>0</v>
      </c>
      <c r="L2364" s="6">
        <v>0</v>
      </c>
      <c r="M2364" s="6">
        <v>0</v>
      </c>
      <c r="N2364" s="6" t="str">
        <f>""</f>
        <v/>
      </c>
      <c r="O2364" s="6">
        <v>24830</v>
      </c>
      <c r="P2364" s="6" t="s">
        <v>9834</v>
      </c>
      <c r="R2364" s="6" t="s">
        <v>9836</v>
      </c>
      <c r="S2364" s="6" t="s">
        <v>9837</v>
      </c>
      <c r="T2364" s="6">
        <v>0</v>
      </c>
      <c r="U2364" s="6">
        <v>0</v>
      </c>
      <c r="V2364" s="6">
        <v>0</v>
      </c>
      <c r="W2364" s="6">
        <v>0</v>
      </c>
      <c r="X2364" s="6" t="s">
        <v>169</v>
      </c>
      <c r="Z2364" s="6" t="s">
        <v>170</v>
      </c>
      <c r="AA2364" s="6" t="s">
        <v>171</v>
      </c>
      <c r="AB2364" s="6">
        <v>0</v>
      </c>
      <c r="AC2364" s="6" t="str">
        <f>""</f>
        <v/>
      </c>
      <c r="AS2364" s="6">
        <v>0</v>
      </c>
      <c r="AT2364" s="6">
        <v>0</v>
      </c>
    </row>
    <row r="2365" spans="2:46">
      <c r="B2365" s="6" t="s">
        <v>9653</v>
      </c>
      <c r="D2365" s="6" t="s">
        <v>8189</v>
      </c>
      <c r="F2365" s="6" t="s">
        <v>9838</v>
      </c>
      <c r="G2365" s="6" t="str">
        <f>"GC7F3CP35BKF"</f>
        <v>GC7F3CP35BKF</v>
      </c>
      <c r="H2365" s="6" t="s">
        <v>9839</v>
      </c>
      <c r="I2365" s="6" t="s">
        <v>9840</v>
      </c>
      <c r="J2365" s="6" t="str">
        <f>"WAVE BALLCAP B(FRE)"</f>
        <v>WAVE BALLCAP B(FRE)</v>
      </c>
      <c r="K2365" s="6">
        <v>0</v>
      </c>
      <c r="L2365" s="6">
        <v>0</v>
      </c>
      <c r="M2365" s="6">
        <v>0</v>
      </c>
      <c r="N2365" s="6" t="str">
        <f>""</f>
        <v/>
      </c>
      <c r="O2365" s="6">
        <v>24828</v>
      </c>
      <c r="P2365" s="6" t="s">
        <v>9839</v>
      </c>
      <c r="R2365" s="6" t="s">
        <v>2106</v>
      </c>
      <c r="S2365" s="6" t="s">
        <v>9841</v>
      </c>
      <c r="T2365" s="6">
        <v>0</v>
      </c>
      <c r="U2365" s="6">
        <v>0</v>
      </c>
      <c r="V2365" s="6">
        <v>0</v>
      </c>
      <c r="W2365" s="6">
        <v>0</v>
      </c>
      <c r="X2365" s="6" t="s">
        <v>169</v>
      </c>
      <c r="Z2365" s="6" t="s">
        <v>170</v>
      </c>
      <c r="AA2365" s="6" t="s">
        <v>171</v>
      </c>
      <c r="AB2365" s="6">
        <v>0</v>
      </c>
      <c r="AC2365" s="6" t="str">
        <f>""</f>
        <v/>
      </c>
      <c r="AS2365" s="6">
        <v>0</v>
      </c>
      <c r="AT2365" s="6">
        <v>0</v>
      </c>
    </row>
    <row r="2366" spans="2:46">
      <c r="B2366" s="6" t="s">
        <v>9653</v>
      </c>
      <c r="D2366" s="6" t="s">
        <v>8189</v>
      </c>
      <c r="F2366" s="6" t="s">
        <v>9842</v>
      </c>
      <c r="G2366" s="6" t="str">
        <f>"GC7F3CP34WHF"</f>
        <v>GC7F3CP34WHF</v>
      </c>
      <c r="H2366" s="6" t="s">
        <v>9843</v>
      </c>
      <c r="I2366" s="6" t="s">
        <v>9844</v>
      </c>
      <c r="J2366" s="6" t="str">
        <f>"WAVE BALLCAP W(FRE)"</f>
        <v>WAVE BALLCAP W(FRE)</v>
      </c>
      <c r="K2366" s="6">
        <v>0</v>
      </c>
      <c r="L2366" s="6">
        <v>0</v>
      </c>
      <c r="M2366" s="6">
        <v>0</v>
      </c>
      <c r="N2366" s="6" t="str">
        <f>""</f>
        <v/>
      </c>
      <c r="O2366" s="6">
        <v>24826</v>
      </c>
      <c r="P2366" s="6" t="s">
        <v>9843</v>
      </c>
      <c r="R2366" s="6" t="s">
        <v>217</v>
      </c>
      <c r="S2366" s="6" t="s">
        <v>9845</v>
      </c>
      <c r="T2366" s="6">
        <v>0</v>
      </c>
      <c r="U2366" s="6">
        <v>0</v>
      </c>
      <c r="V2366" s="6">
        <v>0</v>
      </c>
      <c r="W2366" s="6">
        <v>0</v>
      </c>
      <c r="X2366" s="6" t="s">
        <v>169</v>
      </c>
      <c r="Z2366" s="6" t="s">
        <v>170</v>
      </c>
      <c r="AA2366" s="6" t="s">
        <v>171</v>
      </c>
      <c r="AB2366" s="6">
        <v>0</v>
      </c>
      <c r="AC2366" s="6" t="str">
        <f>""</f>
        <v/>
      </c>
      <c r="AS2366" s="6">
        <v>0</v>
      </c>
      <c r="AT2366" s="6">
        <v>0</v>
      </c>
    </row>
    <row r="2367" spans="2:46">
      <c r="B2367" s="6" t="s">
        <v>9653</v>
      </c>
      <c r="D2367" s="6" t="s">
        <v>8189</v>
      </c>
      <c r="F2367" s="6" t="s">
        <v>9846</v>
      </c>
      <c r="G2367" s="6" t="str">
        <f>"GC7F3PT31DBL"</f>
        <v>GC7F3PT31DBL</v>
      </c>
      <c r="H2367" s="6" t="s">
        <v>9847</v>
      </c>
      <c r="I2367" s="6" t="s">
        <v>9848</v>
      </c>
      <c r="J2367" s="6" t="str">
        <f>"Track Pants _ DB(L)"</f>
        <v>Track Pants _ DB(L)</v>
      </c>
      <c r="K2367" s="6">
        <v>0</v>
      </c>
      <c r="L2367" s="6">
        <v>0</v>
      </c>
      <c r="M2367" s="6">
        <v>0</v>
      </c>
      <c r="N2367" s="6" t="str">
        <f>""</f>
        <v/>
      </c>
      <c r="O2367" s="6">
        <v>24824</v>
      </c>
      <c r="P2367" s="6" t="s">
        <v>9847</v>
      </c>
      <c r="R2367" s="6" t="s">
        <v>5106</v>
      </c>
      <c r="S2367" s="6" t="s">
        <v>9849</v>
      </c>
      <c r="T2367" s="6">
        <v>0</v>
      </c>
      <c r="U2367" s="6">
        <v>0</v>
      </c>
      <c r="V2367" s="6">
        <v>0</v>
      </c>
      <c r="W2367" s="6">
        <v>0</v>
      </c>
      <c r="X2367" s="6" t="s">
        <v>169</v>
      </c>
      <c r="Z2367" s="6" t="s">
        <v>170</v>
      </c>
      <c r="AA2367" s="6" t="s">
        <v>171</v>
      </c>
      <c r="AB2367" s="6">
        <v>0</v>
      </c>
      <c r="AC2367" s="6" t="str">
        <f>""</f>
        <v/>
      </c>
      <c r="AS2367" s="6">
        <v>0</v>
      </c>
      <c r="AT2367" s="6">
        <v>0</v>
      </c>
    </row>
    <row r="2368" spans="2:46">
      <c r="B2368" s="6" t="s">
        <v>9653</v>
      </c>
      <c r="D2368" s="6" t="s">
        <v>8189</v>
      </c>
      <c r="F2368" s="6" t="s">
        <v>9850</v>
      </c>
      <c r="G2368" s="6" t="str">
        <f>"GC7F3PT31DBM"</f>
        <v>GC7F3PT31DBM</v>
      </c>
      <c r="H2368" s="6" t="s">
        <v>9851</v>
      </c>
      <c r="I2368" s="6" t="s">
        <v>9852</v>
      </c>
      <c r="J2368" s="6" t="str">
        <f>"Track Pants _ DB(M)"</f>
        <v>Track Pants _ DB(M)</v>
      </c>
      <c r="K2368" s="6">
        <v>0</v>
      </c>
      <c r="L2368" s="6">
        <v>0</v>
      </c>
      <c r="M2368" s="6">
        <v>0</v>
      </c>
      <c r="N2368" s="6" t="str">
        <f>""</f>
        <v/>
      </c>
      <c r="O2368" s="6">
        <v>24822</v>
      </c>
      <c r="P2368" s="6" t="s">
        <v>9851</v>
      </c>
      <c r="R2368" s="6" t="s">
        <v>601</v>
      </c>
      <c r="S2368" s="6" t="s">
        <v>9853</v>
      </c>
      <c r="T2368" s="6">
        <v>0</v>
      </c>
      <c r="U2368" s="6">
        <v>0</v>
      </c>
      <c r="V2368" s="6">
        <v>0</v>
      </c>
      <c r="W2368" s="6">
        <v>0</v>
      </c>
      <c r="X2368" s="6" t="s">
        <v>169</v>
      </c>
      <c r="Z2368" s="6" t="s">
        <v>170</v>
      </c>
      <c r="AA2368" s="6" t="s">
        <v>171</v>
      </c>
      <c r="AB2368" s="6">
        <v>0</v>
      </c>
      <c r="AC2368" s="6" t="str">
        <f>""</f>
        <v/>
      </c>
      <c r="AS2368" s="6">
        <v>0</v>
      </c>
      <c r="AT2368" s="6">
        <v>0</v>
      </c>
    </row>
    <row r="2369" spans="2:46">
      <c r="B2369" s="6" t="s">
        <v>9653</v>
      </c>
      <c r="D2369" s="6" t="s">
        <v>8189</v>
      </c>
      <c r="F2369" s="6" t="s">
        <v>9854</v>
      </c>
      <c r="G2369" s="6" t="str">
        <f>"GC7F3PT30GYL"</f>
        <v>GC7F3PT30GYL</v>
      </c>
      <c r="H2369" s="6" t="s">
        <v>9855</v>
      </c>
      <c r="I2369" s="6" t="s">
        <v>9856</v>
      </c>
      <c r="J2369" s="6" t="str">
        <f>"Track Pants _ Gray(L)"</f>
        <v>Track Pants _ Gray(L)</v>
      </c>
      <c r="K2369" s="6">
        <v>0</v>
      </c>
      <c r="L2369" s="6">
        <v>0</v>
      </c>
      <c r="M2369" s="6">
        <v>0</v>
      </c>
      <c r="N2369" s="6" t="str">
        <f>""</f>
        <v/>
      </c>
      <c r="O2369" s="6">
        <v>24820</v>
      </c>
      <c r="P2369" s="6" t="s">
        <v>9855</v>
      </c>
      <c r="R2369" s="6" t="s">
        <v>5736</v>
      </c>
      <c r="S2369" s="6" t="s">
        <v>9857</v>
      </c>
      <c r="T2369" s="6">
        <v>0</v>
      </c>
      <c r="U2369" s="6">
        <v>0</v>
      </c>
      <c r="V2369" s="6">
        <v>0</v>
      </c>
      <c r="W2369" s="6">
        <v>0</v>
      </c>
      <c r="X2369" s="6" t="s">
        <v>169</v>
      </c>
      <c r="Z2369" s="6" t="s">
        <v>170</v>
      </c>
      <c r="AA2369" s="6" t="s">
        <v>171</v>
      </c>
      <c r="AB2369" s="6">
        <v>0</v>
      </c>
      <c r="AC2369" s="6" t="str">
        <f>""</f>
        <v/>
      </c>
      <c r="AS2369" s="6">
        <v>0</v>
      </c>
      <c r="AT2369" s="6">
        <v>0</v>
      </c>
    </row>
    <row r="2370" spans="2:46">
      <c r="B2370" s="6" t="s">
        <v>9653</v>
      </c>
      <c r="D2370" s="6" t="s">
        <v>8189</v>
      </c>
      <c r="F2370" s="6" t="s">
        <v>9858</v>
      </c>
      <c r="G2370" s="6" t="str">
        <f>"GC7F3PT30GYM"</f>
        <v>GC7F3PT30GYM</v>
      </c>
      <c r="H2370" s="6" t="s">
        <v>9859</v>
      </c>
      <c r="I2370" s="6" t="s">
        <v>9860</v>
      </c>
      <c r="J2370" s="6" t="str">
        <f>"Track Pants _ Gray(M)"</f>
        <v>Track Pants _ Gray(M)</v>
      </c>
      <c r="K2370" s="6">
        <v>0</v>
      </c>
      <c r="L2370" s="6">
        <v>0</v>
      </c>
      <c r="M2370" s="6">
        <v>0</v>
      </c>
      <c r="N2370" s="6" t="str">
        <f>""</f>
        <v/>
      </c>
      <c r="O2370" s="6">
        <v>24818</v>
      </c>
      <c r="P2370" s="6" t="s">
        <v>9859</v>
      </c>
      <c r="R2370" s="6" t="s">
        <v>5747</v>
      </c>
      <c r="S2370" s="6" t="s">
        <v>9861</v>
      </c>
      <c r="T2370" s="6">
        <v>0</v>
      </c>
      <c r="U2370" s="6">
        <v>0</v>
      </c>
      <c r="V2370" s="6">
        <v>0</v>
      </c>
      <c r="W2370" s="6">
        <v>0</v>
      </c>
      <c r="X2370" s="6" t="s">
        <v>169</v>
      </c>
      <c r="Z2370" s="6" t="s">
        <v>170</v>
      </c>
      <c r="AA2370" s="6" t="s">
        <v>171</v>
      </c>
      <c r="AB2370" s="6">
        <v>0</v>
      </c>
      <c r="AC2370" s="6" t="str">
        <f>""</f>
        <v/>
      </c>
      <c r="AS2370" s="6">
        <v>0</v>
      </c>
      <c r="AT2370" s="6">
        <v>0</v>
      </c>
    </row>
    <row r="2371" spans="2:46">
      <c r="B2371" s="6" t="s">
        <v>9653</v>
      </c>
      <c r="D2371" s="6" t="s">
        <v>8189</v>
      </c>
      <c r="F2371" s="6" t="s">
        <v>9862</v>
      </c>
      <c r="G2371" s="6" t="str">
        <f>"GC7F3PT29BKL"</f>
        <v>GC7F3PT29BKL</v>
      </c>
      <c r="H2371" s="6" t="s">
        <v>9863</v>
      </c>
      <c r="I2371" s="6" t="s">
        <v>9864</v>
      </c>
      <c r="J2371" s="6" t="str">
        <f>"Track Pants _ B(L)"</f>
        <v>Track Pants _ B(L)</v>
      </c>
      <c r="K2371" s="6">
        <v>0</v>
      </c>
      <c r="L2371" s="6">
        <v>0</v>
      </c>
      <c r="M2371" s="6">
        <v>0</v>
      </c>
      <c r="N2371" s="6" t="str">
        <f>""</f>
        <v/>
      </c>
      <c r="O2371" s="6">
        <v>24816</v>
      </c>
      <c r="P2371" s="6" t="s">
        <v>9863</v>
      </c>
      <c r="R2371" s="6" t="s">
        <v>5106</v>
      </c>
      <c r="S2371" s="6" t="s">
        <v>9865</v>
      </c>
      <c r="T2371" s="6">
        <v>0</v>
      </c>
      <c r="U2371" s="6">
        <v>0</v>
      </c>
      <c r="V2371" s="6">
        <v>0</v>
      </c>
      <c r="W2371" s="6">
        <v>0</v>
      </c>
      <c r="X2371" s="6" t="s">
        <v>169</v>
      </c>
      <c r="Z2371" s="6" t="s">
        <v>170</v>
      </c>
      <c r="AA2371" s="6" t="s">
        <v>171</v>
      </c>
      <c r="AB2371" s="6">
        <v>0</v>
      </c>
      <c r="AC2371" s="6" t="str">
        <f>""</f>
        <v/>
      </c>
      <c r="AS2371" s="6">
        <v>0</v>
      </c>
      <c r="AT2371" s="6">
        <v>0</v>
      </c>
    </row>
    <row r="2372" spans="2:46">
      <c r="B2372" s="6" t="s">
        <v>9653</v>
      </c>
      <c r="D2372" s="6" t="s">
        <v>8189</v>
      </c>
      <c r="F2372" s="6" t="s">
        <v>9866</v>
      </c>
      <c r="G2372" s="6" t="str">
        <f>"GC7F3PT29BKM"</f>
        <v>GC7F3PT29BKM</v>
      </c>
      <c r="H2372" s="6" t="s">
        <v>9867</v>
      </c>
      <c r="I2372" s="6" t="s">
        <v>9868</v>
      </c>
      <c r="J2372" s="6" t="str">
        <f>"Track Pants _ B(M)"</f>
        <v>Track Pants _ B(M)</v>
      </c>
      <c r="K2372" s="6">
        <v>0</v>
      </c>
      <c r="L2372" s="6">
        <v>0</v>
      </c>
      <c r="M2372" s="6">
        <v>0</v>
      </c>
      <c r="N2372" s="6" t="str">
        <f>""</f>
        <v/>
      </c>
      <c r="O2372" s="6">
        <v>24814</v>
      </c>
      <c r="P2372" s="6" t="s">
        <v>9867</v>
      </c>
      <c r="R2372" s="6" t="s">
        <v>601</v>
      </c>
      <c r="S2372" s="6" t="s">
        <v>9869</v>
      </c>
      <c r="T2372" s="6">
        <v>0</v>
      </c>
      <c r="U2372" s="6">
        <v>0</v>
      </c>
      <c r="V2372" s="6">
        <v>0</v>
      </c>
      <c r="W2372" s="6">
        <v>0</v>
      </c>
      <c r="X2372" s="6" t="s">
        <v>169</v>
      </c>
      <c r="Z2372" s="6" t="s">
        <v>170</v>
      </c>
      <c r="AA2372" s="6" t="s">
        <v>171</v>
      </c>
      <c r="AB2372" s="6">
        <v>0</v>
      </c>
      <c r="AC2372" s="6" t="str">
        <f>""</f>
        <v/>
      </c>
      <c r="AS2372" s="6">
        <v>0</v>
      </c>
      <c r="AT2372" s="6">
        <v>0</v>
      </c>
    </row>
    <row r="2373" spans="2:46">
      <c r="B2373" s="6" t="s">
        <v>9653</v>
      </c>
      <c r="D2373" s="6" t="s">
        <v>8189</v>
      </c>
      <c r="F2373" s="6" t="s">
        <v>9870</v>
      </c>
      <c r="G2373" s="6" t="str">
        <f>"GC7F3MM22WHL"</f>
        <v>GC7F3MM22WHL</v>
      </c>
      <c r="H2373" s="6" t="s">
        <v>9871</v>
      </c>
      <c r="I2373" s="6" t="s">
        <v>9872</v>
      </c>
      <c r="J2373" s="6" t="str">
        <f>"Shirt MTM W_(L)"</f>
        <v>Shirt MTM W_(L)</v>
      </c>
      <c r="K2373" s="6">
        <v>0</v>
      </c>
      <c r="L2373" s="6">
        <v>0</v>
      </c>
      <c r="M2373" s="6">
        <v>0</v>
      </c>
      <c r="N2373" s="6" t="str">
        <f>""</f>
        <v/>
      </c>
      <c r="O2373" s="6">
        <v>24812</v>
      </c>
      <c r="P2373" s="6" t="s">
        <v>9871</v>
      </c>
      <c r="R2373" s="6" t="s">
        <v>9691</v>
      </c>
      <c r="S2373" s="6" t="s">
        <v>9873</v>
      </c>
      <c r="T2373" s="6">
        <v>0</v>
      </c>
      <c r="U2373" s="6">
        <v>0</v>
      </c>
      <c r="V2373" s="6">
        <v>0</v>
      </c>
      <c r="W2373" s="6">
        <v>0</v>
      </c>
      <c r="X2373" s="6" t="s">
        <v>169</v>
      </c>
      <c r="Z2373" s="6" t="s">
        <v>170</v>
      </c>
      <c r="AA2373" s="6" t="s">
        <v>171</v>
      </c>
      <c r="AB2373" s="6">
        <v>0</v>
      </c>
      <c r="AC2373" s="6" t="str">
        <f>""</f>
        <v/>
      </c>
      <c r="AS2373" s="6">
        <v>0</v>
      </c>
      <c r="AT2373" s="6">
        <v>0</v>
      </c>
    </row>
    <row r="2374" spans="2:46">
      <c r="B2374" s="6" t="s">
        <v>9653</v>
      </c>
      <c r="D2374" s="6" t="s">
        <v>8189</v>
      </c>
      <c r="F2374" s="6" t="s">
        <v>9874</v>
      </c>
      <c r="G2374" s="6" t="str">
        <f>"GC7F3MM22WHM"</f>
        <v>GC7F3MM22WHM</v>
      </c>
      <c r="H2374" s="6" t="s">
        <v>9875</v>
      </c>
      <c r="I2374" s="6" t="s">
        <v>9876</v>
      </c>
      <c r="J2374" s="6" t="str">
        <f>"Shirt MTM W_(M)"</f>
        <v>Shirt MTM W_(M)</v>
      </c>
      <c r="K2374" s="6">
        <v>0</v>
      </c>
      <c r="L2374" s="6">
        <v>0</v>
      </c>
      <c r="M2374" s="6">
        <v>0</v>
      </c>
      <c r="N2374" s="6" t="str">
        <f>""</f>
        <v/>
      </c>
      <c r="O2374" s="6">
        <v>24810</v>
      </c>
      <c r="P2374" s="6" t="s">
        <v>9875</v>
      </c>
      <c r="R2374" s="6" t="s">
        <v>9696</v>
      </c>
      <c r="S2374" s="6" t="s">
        <v>9877</v>
      </c>
      <c r="T2374" s="6">
        <v>0</v>
      </c>
      <c r="U2374" s="6">
        <v>0</v>
      </c>
      <c r="V2374" s="6">
        <v>0</v>
      </c>
      <c r="W2374" s="6">
        <v>0</v>
      </c>
      <c r="X2374" s="6" t="s">
        <v>169</v>
      </c>
      <c r="Z2374" s="6" t="s">
        <v>170</v>
      </c>
      <c r="AA2374" s="6" t="s">
        <v>171</v>
      </c>
      <c r="AB2374" s="6">
        <v>0</v>
      </c>
      <c r="AC2374" s="6" t="str">
        <f>""</f>
        <v/>
      </c>
      <c r="AS2374" s="6">
        <v>0</v>
      </c>
      <c r="AT2374" s="6">
        <v>0</v>
      </c>
    </row>
    <row r="2375" spans="2:46">
      <c r="B2375" s="6" t="s">
        <v>9653</v>
      </c>
      <c r="D2375" s="6" t="s">
        <v>8189</v>
      </c>
      <c r="F2375" s="6" t="s">
        <v>9878</v>
      </c>
      <c r="G2375" s="6" t="str">
        <f>"GC7F3MM21BKL"</f>
        <v>GC7F3MM21BKL</v>
      </c>
      <c r="H2375" s="6" t="s">
        <v>9879</v>
      </c>
      <c r="I2375" s="6" t="s">
        <v>9880</v>
      </c>
      <c r="J2375" s="6" t="str">
        <f>"Shirt MTM B_(L)"</f>
        <v>Shirt MTM B_(L)</v>
      </c>
      <c r="K2375" s="6">
        <v>0</v>
      </c>
      <c r="L2375" s="6">
        <v>0</v>
      </c>
      <c r="M2375" s="6">
        <v>0</v>
      </c>
      <c r="N2375" s="6" t="str">
        <f>""</f>
        <v/>
      </c>
      <c r="O2375" s="6">
        <v>24808</v>
      </c>
      <c r="P2375" s="6" t="s">
        <v>9879</v>
      </c>
      <c r="R2375" s="6" t="s">
        <v>5106</v>
      </c>
      <c r="S2375" s="6" t="s">
        <v>9881</v>
      </c>
      <c r="T2375" s="6">
        <v>0</v>
      </c>
      <c r="U2375" s="6">
        <v>0</v>
      </c>
      <c r="V2375" s="6">
        <v>0</v>
      </c>
      <c r="W2375" s="6">
        <v>0</v>
      </c>
      <c r="X2375" s="6" t="s">
        <v>169</v>
      </c>
      <c r="Z2375" s="6" t="s">
        <v>170</v>
      </c>
      <c r="AA2375" s="6" t="s">
        <v>171</v>
      </c>
      <c r="AB2375" s="6">
        <v>0</v>
      </c>
      <c r="AC2375" s="6" t="str">
        <f>""</f>
        <v/>
      </c>
      <c r="AS2375" s="6">
        <v>0</v>
      </c>
      <c r="AT2375" s="6">
        <v>0</v>
      </c>
    </row>
    <row r="2376" spans="2:46">
      <c r="B2376" s="6" t="s">
        <v>9653</v>
      </c>
      <c r="D2376" s="6" t="s">
        <v>8189</v>
      </c>
      <c r="F2376" s="6" t="s">
        <v>9882</v>
      </c>
      <c r="G2376" s="6" t="str">
        <f>"GC7F3MM21BKM"</f>
        <v>GC7F3MM21BKM</v>
      </c>
      <c r="H2376" s="6" t="s">
        <v>9883</v>
      </c>
      <c r="I2376" s="6" t="s">
        <v>9884</v>
      </c>
      <c r="J2376" s="6" t="str">
        <f>"Shirt MTM B_(M)"</f>
        <v>Shirt MTM B_(M)</v>
      </c>
      <c r="K2376" s="6">
        <v>0</v>
      </c>
      <c r="L2376" s="6">
        <v>0</v>
      </c>
      <c r="M2376" s="6">
        <v>0</v>
      </c>
      <c r="N2376" s="6" t="str">
        <f>""</f>
        <v/>
      </c>
      <c r="O2376" s="6">
        <v>24806</v>
      </c>
      <c r="P2376" s="6" t="s">
        <v>9883</v>
      </c>
      <c r="R2376" s="6" t="s">
        <v>601</v>
      </c>
      <c r="S2376" s="6" t="s">
        <v>9885</v>
      </c>
      <c r="T2376" s="6">
        <v>0</v>
      </c>
      <c r="U2376" s="6">
        <v>0</v>
      </c>
      <c r="V2376" s="6">
        <v>0</v>
      </c>
      <c r="W2376" s="6">
        <v>0</v>
      </c>
      <c r="X2376" s="6" t="s">
        <v>169</v>
      </c>
      <c r="Z2376" s="6" t="s">
        <v>170</v>
      </c>
      <c r="AA2376" s="6" t="s">
        <v>171</v>
      </c>
      <c r="AB2376" s="6">
        <v>0</v>
      </c>
      <c r="AC2376" s="6" t="str">
        <f>""</f>
        <v/>
      </c>
      <c r="AS2376" s="6">
        <v>0</v>
      </c>
      <c r="AT2376" s="6">
        <v>0</v>
      </c>
    </row>
    <row r="2377" spans="2:46">
      <c r="B2377" s="6" t="s">
        <v>9653</v>
      </c>
      <c r="D2377" s="6" t="s">
        <v>8189</v>
      </c>
      <c r="F2377" s="6" t="s">
        <v>9886</v>
      </c>
      <c r="G2377" s="6" t="str">
        <f>"GC7F3MM20PPL"</f>
        <v>GC7F3MM20PPL</v>
      </c>
      <c r="H2377" s="6" t="s">
        <v>9887</v>
      </c>
      <c r="I2377" s="6" t="s">
        <v>9888</v>
      </c>
      <c r="J2377" s="6" t="str">
        <f>"OVER Sleeve 7부_PP(L)"</f>
        <v>OVER Sleeve 7부_PP(L)</v>
      </c>
      <c r="K2377" s="6">
        <v>0</v>
      </c>
      <c r="L2377" s="6">
        <v>0</v>
      </c>
      <c r="M2377" s="6">
        <v>0</v>
      </c>
      <c r="N2377" s="6" t="str">
        <f>""</f>
        <v/>
      </c>
      <c r="O2377" s="6">
        <v>24804</v>
      </c>
      <c r="P2377" s="6" t="s">
        <v>9887</v>
      </c>
      <c r="R2377" s="6" t="s">
        <v>9665</v>
      </c>
      <c r="S2377" s="6" t="s">
        <v>9889</v>
      </c>
      <c r="T2377" s="6">
        <v>0</v>
      </c>
      <c r="U2377" s="6">
        <v>0</v>
      </c>
      <c r="V2377" s="6">
        <v>0</v>
      </c>
      <c r="W2377" s="6">
        <v>0</v>
      </c>
      <c r="X2377" s="6" t="s">
        <v>169</v>
      </c>
      <c r="Z2377" s="6" t="s">
        <v>170</v>
      </c>
      <c r="AA2377" s="6" t="s">
        <v>171</v>
      </c>
      <c r="AB2377" s="6">
        <v>0</v>
      </c>
      <c r="AC2377" s="6" t="str">
        <f>""</f>
        <v/>
      </c>
      <c r="AS2377" s="6">
        <v>0</v>
      </c>
      <c r="AT2377" s="6">
        <v>0</v>
      </c>
    </row>
    <row r="2378" spans="2:46">
      <c r="B2378" s="6" t="s">
        <v>9653</v>
      </c>
      <c r="D2378" s="6" t="s">
        <v>8189</v>
      </c>
      <c r="F2378" s="6" t="s">
        <v>9890</v>
      </c>
      <c r="G2378" s="6" t="str">
        <f>"GC7F3MM20PPM"</f>
        <v>GC7F3MM20PPM</v>
      </c>
      <c r="H2378" s="6" t="s">
        <v>9891</v>
      </c>
      <c r="I2378" s="6" t="s">
        <v>9892</v>
      </c>
      <c r="J2378" s="6" t="str">
        <f>"OVER Sleeve 7부_PP(M)"</f>
        <v>OVER Sleeve 7부_PP(M)</v>
      </c>
      <c r="K2378" s="6">
        <v>0</v>
      </c>
      <c r="L2378" s="6">
        <v>0</v>
      </c>
      <c r="M2378" s="6">
        <v>0</v>
      </c>
      <c r="N2378" s="6" t="str">
        <f>""</f>
        <v/>
      </c>
      <c r="O2378" s="6">
        <v>24802</v>
      </c>
      <c r="P2378" s="6" t="s">
        <v>9891</v>
      </c>
      <c r="R2378" s="6" t="s">
        <v>9670</v>
      </c>
      <c r="S2378" s="6" t="s">
        <v>9893</v>
      </c>
      <c r="T2378" s="6">
        <v>0</v>
      </c>
      <c r="U2378" s="6">
        <v>0</v>
      </c>
      <c r="V2378" s="6">
        <v>0</v>
      </c>
      <c r="W2378" s="6">
        <v>0</v>
      </c>
      <c r="X2378" s="6" t="s">
        <v>169</v>
      </c>
      <c r="Z2378" s="6" t="s">
        <v>170</v>
      </c>
      <c r="AA2378" s="6" t="s">
        <v>171</v>
      </c>
      <c r="AB2378" s="6">
        <v>0</v>
      </c>
      <c r="AC2378" s="6" t="str">
        <f>""</f>
        <v/>
      </c>
      <c r="AS2378" s="6">
        <v>0</v>
      </c>
      <c r="AT2378" s="6">
        <v>0</v>
      </c>
    </row>
    <row r="2379" spans="2:46">
      <c r="B2379" s="6" t="s">
        <v>9653</v>
      </c>
      <c r="D2379" s="6" t="s">
        <v>8189</v>
      </c>
      <c r="F2379" s="6" t="s">
        <v>9894</v>
      </c>
      <c r="G2379" s="6" t="str">
        <f>"GC7F3MM19WHL"</f>
        <v>GC7F3MM19WHL</v>
      </c>
      <c r="H2379" s="6" t="s">
        <v>9895</v>
      </c>
      <c r="I2379" s="6" t="s">
        <v>9896</v>
      </c>
      <c r="J2379" s="6" t="str">
        <f>"OVER Sleeve 7부_W(L)"</f>
        <v>OVER Sleeve 7부_W(L)</v>
      </c>
      <c r="K2379" s="6">
        <v>0</v>
      </c>
      <c r="L2379" s="6">
        <v>0</v>
      </c>
      <c r="M2379" s="6">
        <v>0</v>
      </c>
      <c r="N2379" s="6" t="str">
        <f>""</f>
        <v/>
      </c>
      <c r="O2379" s="6">
        <v>24800</v>
      </c>
      <c r="P2379" s="6" t="s">
        <v>9895</v>
      </c>
      <c r="R2379" s="6" t="s">
        <v>9691</v>
      </c>
      <c r="S2379" s="6" t="s">
        <v>9897</v>
      </c>
      <c r="T2379" s="6">
        <v>0</v>
      </c>
      <c r="U2379" s="6">
        <v>0</v>
      </c>
      <c r="V2379" s="6">
        <v>0</v>
      </c>
      <c r="W2379" s="6">
        <v>0</v>
      </c>
      <c r="X2379" s="6" t="s">
        <v>169</v>
      </c>
      <c r="Z2379" s="6" t="s">
        <v>170</v>
      </c>
      <c r="AA2379" s="6" t="s">
        <v>171</v>
      </c>
      <c r="AB2379" s="6">
        <v>0</v>
      </c>
      <c r="AC2379" s="6" t="str">
        <f>""</f>
        <v/>
      </c>
      <c r="AS2379" s="6">
        <v>0</v>
      </c>
      <c r="AT2379" s="6">
        <v>0</v>
      </c>
    </row>
    <row r="2380" spans="2:46">
      <c r="B2380" s="6" t="s">
        <v>9653</v>
      </c>
      <c r="D2380" s="6" t="s">
        <v>8189</v>
      </c>
      <c r="F2380" s="6" t="s">
        <v>9898</v>
      </c>
      <c r="G2380" s="6" t="str">
        <f>"GC7F3MM19WHM"</f>
        <v>GC7F3MM19WHM</v>
      </c>
      <c r="H2380" s="6" t="s">
        <v>9899</v>
      </c>
      <c r="I2380" s="6" t="s">
        <v>9900</v>
      </c>
      <c r="J2380" s="6" t="str">
        <f>"OVER Sleeve 7부_W(M)"</f>
        <v>OVER Sleeve 7부_W(M)</v>
      </c>
      <c r="K2380" s="6">
        <v>0</v>
      </c>
      <c r="L2380" s="6">
        <v>0</v>
      </c>
      <c r="M2380" s="6">
        <v>0</v>
      </c>
      <c r="N2380" s="6" t="str">
        <f>""</f>
        <v/>
      </c>
      <c r="O2380" s="6">
        <v>24798</v>
      </c>
      <c r="P2380" s="6" t="s">
        <v>9899</v>
      </c>
      <c r="R2380" s="6" t="s">
        <v>9696</v>
      </c>
      <c r="S2380" s="6" t="s">
        <v>9901</v>
      </c>
      <c r="T2380" s="6">
        <v>0</v>
      </c>
      <c r="U2380" s="6">
        <v>0</v>
      </c>
      <c r="V2380" s="6">
        <v>0</v>
      </c>
      <c r="W2380" s="6">
        <v>0</v>
      </c>
      <c r="X2380" s="6" t="s">
        <v>169</v>
      </c>
      <c r="Z2380" s="6" t="s">
        <v>170</v>
      </c>
      <c r="AA2380" s="6" t="s">
        <v>171</v>
      </c>
      <c r="AB2380" s="6">
        <v>0</v>
      </c>
      <c r="AC2380" s="6" t="str">
        <f>""</f>
        <v/>
      </c>
      <c r="AS2380" s="6">
        <v>0</v>
      </c>
      <c r="AT2380" s="6">
        <v>0</v>
      </c>
    </row>
    <row r="2381" spans="2:46">
      <c r="B2381" s="6" t="s">
        <v>9653</v>
      </c>
      <c r="D2381" s="6" t="s">
        <v>8189</v>
      </c>
      <c r="F2381" s="6" t="s">
        <v>9902</v>
      </c>
      <c r="G2381" s="6" t="str">
        <f>"GC7F3MM18BKL"</f>
        <v>GC7F3MM18BKL</v>
      </c>
      <c r="H2381" s="6" t="s">
        <v>9903</v>
      </c>
      <c r="I2381" s="6" t="s">
        <v>9904</v>
      </c>
      <c r="J2381" s="6" t="str">
        <f>"OVER Sleeve 7부_B(L)"</f>
        <v>OVER Sleeve 7부_B(L)</v>
      </c>
      <c r="K2381" s="6">
        <v>0</v>
      </c>
      <c r="L2381" s="6">
        <v>0</v>
      </c>
      <c r="M2381" s="6">
        <v>0</v>
      </c>
      <c r="N2381" s="6" t="str">
        <f>""</f>
        <v/>
      </c>
      <c r="O2381" s="6">
        <v>24796</v>
      </c>
      <c r="P2381" s="6" t="s">
        <v>9903</v>
      </c>
      <c r="R2381" s="6" t="s">
        <v>5106</v>
      </c>
      <c r="S2381" s="6" t="s">
        <v>9905</v>
      </c>
      <c r="T2381" s="6">
        <v>0</v>
      </c>
      <c r="U2381" s="6">
        <v>0</v>
      </c>
      <c r="V2381" s="6">
        <v>0</v>
      </c>
      <c r="W2381" s="6">
        <v>0</v>
      </c>
      <c r="X2381" s="6" t="s">
        <v>169</v>
      </c>
      <c r="Z2381" s="6" t="s">
        <v>170</v>
      </c>
      <c r="AA2381" s="6" t="s">
        <v>171</v>
      </c>
      <c r="AB2381" s="6">
        <v>0</v>
      </c>
      <c r="AC2381" s="6" t="str">
        <f>""</f>
        <v/>
      </c>
      <c r="AS2381" s="6">
        <v>0</v>
      </c>
      <c r="AT2381" s="6">
        <v>0</v>
      </c>
    </row>
    <row r="2382" spans="2:46">
      <c r="B2382" s="6" t="s">
        <v>9653</v>
      </c>
      <c r="D2382" s="6" t="s">
        <v>8189</v>
      </c>
      <c r="F2382" s="6" t="s">
        <v>9906</v>
      </c>
      <c r="G2382" s="6" t="str">
        <f>"GC7F3MM18BKM"</f>
        <v>GC7F3MM18BKM</v>
      </c>
      <c r="H2382" s="6" t="s">
        <v>9907</v>
      </c>
      <c r="I2382" s="6" t="s">
        <v>9908</v>
      </c>
      <c r="J2382" s="6" t="str">
        <f>"OVER Sleeve 7부_B(M)"</f>
        <v>OVER Sleeve 7부_B(M)</v>
      </c>
      <c r="K2382" s="6">
        <v>0</v>
      </c>
      <c r="L2382" s="6">
        <v>0</v>
      </c>
      <c r="M2382" s="6">
        <v>0</v>
      </c>
      <c r="N2382" s="6" t="str">
        <f>""</f>
        <v/>
      </c>
      <c r="O2382" s="6">
        <v>24794</v>
      </c>
      <c r="P2382" s="6" t="s">
        <v>9907</v>
      </c>
      <c r="R2382" s="6" t="s">
        <v>601</v>
      </c>
      <c r="S2382" s="6" t="s">
        <v>9909</v>
      </c>
      <c r="T2382" s="6">
        <v>0</v>
      </c>
      <c r="U2382" s="6">
        <v>0</v>
      </c>
      <c r="V2382" s="6">
        <v>0</v>
      </c>
      <c r="W2382" s="6">
        <v>0</v>
      </c>
      <c r="X2382" s="6" t="s">
        <v>169</v>
      </c>
      <c r="Z2382" s="6" t="s">
        <v>170</v>
      </c>
      <c r="AA2382" s="6" t="s">
        <v>171</v>
      </c>
      <c r="AB2382" s="6">
        <v>0</v>
      </c>
      <c r="AC2382" s="6" t="str">
        <f>""</f>
        <v/>
      </c>
      <c r="AS2382" s="6">
        <v>0</v>
      </c>
      <c r="AT2382" s="6">
        <v>0</v>
      </c>
    </row>
    <row r="2383" spans="2:46">
      <c r="B2383" s="6" t="s">
        <v>9653</v>
      </c>
      <c r="D2383" s="6" t="s">
        <v>8189</v>
      </c>
      <c r="F2383" s="6" t="s">
        <v>9910</v>
      </c>
      <c r="G2383" s="6" t="str">
        <f>"GC7F3MM17ORL"</f>
        <v>GC7F3MM17ORL</v>
      </c>
      <c r="H2383" s="6" t="s">
        <v>9911</v>
      </c>
      <c r="I2383" s="6" t="s">
        <v>9912</v>
      </c>
      <c r="J2383" s="6" t="str">
        <f>"OVER MTM _OG(L)"</f>
        <v>OVER MTM _OG(L)</v>
      </c>
      <c r="K2383" s="6">
        <v>0</v>
      </c>
      <c r="L2383" s="6">
        <v>0</v>
      </c>
      <c r="M2383" s="6">
        <v>0</v>
      </c>
      <c r="N2383" s="6" t="str">
        <f>""</f>
        <v/>
      </c>
      <c r="O2383" s="6">
        <v>24792</v>
      </c>
      <c r="P2383" s="6" t="s">
        <v>9911</v>
      </c>
      <c r="R2383" s="6" t="s">
        <v>5071</v>
      </c>
      <c r="S2383" s="6" t="s">
        <v>9913</v>
      </c>
      <c r="T2383" s="6">
        <v>0</v>
      </c>
      <c r="U2383" s="6">
        <v>0</v>
      </c>
      <c r="V2383" s="6">
        <v>0</v>
      </c>
      <c r="W2383" s="6">
        <v>0</v>
      </c>
      <c r="X2383" s="6" t="s">
        <v>169</v>
      </c>
      <c r="Z2383" s="6" t="s">
        <v>170</v>
      </c>
      <c r="AA2383" s="6" t="s">
        <v>171</v>
      </c>
      <c r="AB2383" s="6">
        <v>0</v>
      </c>
      <c r="AC2383" s="6" t="str">
        <f>""</f>
        <v/>
      </c>
      <c r="AS2383" s="6">
        <v>0</v>
      </c>
      <c r="AT2383" s="6">
        <v>0</v>
      </c>
    </row>
    <row r="2384" spans="2:46">
      <c r="B2384" s="6" t="s">
        <v>9653</v>
      </c>
      <c r="D2384" s="6" t="s">
        <v>8189</v>
      </c>
      <c r="F2384" s="6" t="s">
        <v>9914</v>
      </c>
      <c r="G2384" s="6" t="str">
        <f>"GC7F3MM17ORM"</f>
        <v>GC7F3MM17ORM</v>
      </c>
      <c r="H2384" s="6" t="s">
        <v>9915</v>
      </c>
      <c r="I2384" s="6" t="s">
        <v>9916</v>
      </c>
      <c r="J2384" s="6" t="str">
        <f>"OVER MTM _OG(M)"</f>
        <v>OVER MTM _OG(M)</v>
      </c>
      <c r="K2384" s="6">
        <v>0</v>
      </c>
      <c r="L2384" s="6">
        <v>0</v>
      </c>
      <c r="M2384" s="6">
        <v>0</v>
      </c>
      <c r="N2384" s="6" t="str">
        <f>""</f>
        <v/>
      </c>
      <c r="O2384" s="6">
        <v>24790</v>
      </c>
      <c r="P2384" s="6" t="s">
        <v>9915</v>
      </c>
      <c r="R2384" s="6" t="s">
        <v>5075</v>
      </c>
      <c r="S2384" s="6" t="s">
        <v>9917</v>
      </c>
      <c r="T2384" s="6">
        <v>0</v>
      </c>
      <c r="U2384" s="6">
        <v>0</v>
      </c>
      <c r="V2384" s="6">
        <v>0</v>
      </c>
      <c r="W2384" s="6">
        <v>0</v>
      </c>
      <c r="X2384" s="6" t="s">
        <v>169</v>
      </c>
      <c r="Z2384" s="6" t="s">
        <v>170</v>
      </c>
      <c r="AA2384" s="6" t="s">
        <v>171</v>
      </c>
      <c r="AB2384" s="6">
        <v>0</v>
      </c>
      <c r="AC2384" s="6" t="str">
        <f>""</f>
        <v/>
      </c>
      <c r="AS2384" s="6">
        <v>0</v>
      </c>
      <c r="AT2384" s="6">
        <v>0</v>
      </c>
    </row>
    <row r="2385" spans="2:46">
      <c r="B2385" s="6" t="s">
        <v>9653</v>
      </c>
      <c r="D2385" s="6" t="s">
        <v>8189</v>
      </c>
      <c r="F2385" s="6" t="s">
        <v>9918</v>
      </c>
      <c r="G2385" s="6" t="str">
        <f>"GC7F3MM16WHL"</f>
        <v>GC7F3MM16WHL</v>
      </c>
      <c r="H2385" s="6" t="s">
        <v>9919</v>
      </c>
      <c r="I2385" s="6" t="s">
        <v>9920</v>
      </c>
      <c r="J2385" s="6" t="str">
        <f>"OVER MTM _W(L)"</f>
        <v>OVER MTM _W(L)</v>
      </c>
      <c r="K2385" s="6">
        <v>0</v>
      </c>
      <c r="L2385" s="6">
        <v>0</v>
      </c>
      <c r="M2385" s="6">
        <v>0</v>
      </c>
      <c r="N2385" s="6" t="str">
        <f>""</f>
        <v/>
      </c>
      <c r="O2385" s="6">
        <v>24788</v>
      </c>
      <c r="P2385" s="6" t="s">
        <v>9919</v>
      </c>
      <c r="R2385" s="6" t="s">
        <v>9691</v>
      </c>
      <c r="S2385" s="6" t="s">
        <v>9921</v>
      </c>
      <c r="T2385" s="6">
        <v>0</v>
      </c>
      <c r="U2385" s="6">
        <v>0</v>
      </c>
      <c r="V2385" s="6">
        <v>0</v>
      </c>
      <c r="W2385" s="6">
        <v>0</v>
      </c>
      <c r="X2385" s="6" t="s">
        <v>169</v>
      </c>
      <c r="Z2385" s="6" t="s">
        <v>170</v>
      </c>
      <c r="AA2385" s="6" t="s">
        <v>171</v>
      </c>
      <c r="AB2385" s="6">
        <v>0</v>
      </c>
      <c r="AC2385" s="6" t="str">
        <f>""</f>
        <v/>
      </c>
      <c r="AS2385" s="6">
        <v>0</v>
      </c>
      <c r="AT2385" s="6">
        <v>0</v>
      </c>
    </row>
    <row r="2386" spans="2:46">
      <c r="B2386" s="6" t="s">
        <v>9653</v>
      </c>
      <c r="D2386" s="6" t="s">
        <v>8189</v>
      </c>
      <c r="F2386" s="6" t="s">
        <v>9922</v>
      </c>
      <c r="G2386" s="6" t="str">
        <f>"GC7F3MM16WHM"</f>
        <v>GC7F3MM16WHM</v>
      </c>
      <c r="H2386" s="6" t="s">
        <v>9923</v>
      </c>
      <c r="I2386" s="6" t="s">
        <v>9924</v>
      </c>
      <c r="J2386" s="6" t="str">
        <f>"OVER MTM _W(M)"</f>
        <v>OVER MTM _W(M)</v>
      </c>
      <c r="K2386" s="6">
        <v>0</v>
      </c>
      <c r="L2386" s="6">
        <v>0</v>
      </c>
      <c r="M2386" s="6">
        <v>0</v>
      </c>
      <c r="N2386" s="6" t="str">
        <f>""</f>
        <v/>
      </c>
      <c r="O2386" s="6">
        <v>24786</v>
      </c>
      <c r="P2386" s="6" t="s">
        <v>9923</v>
      </c>
      <c r="R2386" s="6" t="s">
        <v>9696</v>
      </c>
      <c r="S2386" s="6" t="s">
        <v>9925</v>
      </c>
      <c r="T2386" s="6">
        <v>0</v>
      </c>
      <c r="U2386" s="6">
        <v>0</v>
      </c>
      <c r="V2386" s="6">
        <v>0</v>
      </c>
      <c r="W2386" s="6">
        <v>0</v>
      </c>
      <c r="X2386" s="6" t="s">
        <v>169</v>
      </c>
      <c r="Z2386" s="6" t="s">
        <v>170</v>
      </c>
      <c r="AA2386" s="6" t="s">
        <v>171</v>
      </c>
      <c r="AB2386" s="6">
        <v>0</v>
      </c>
      <c r="AC2386" s="6" t="str">
        <f>""</f>
        <v/>
      </c>
      <c r="AS2386" s="6">
        <v>0</v>
      </c>
      <c r="AT2386" s="6">
        <v>0</v>
      </c>
    </row>
    <row r="2387" spans="2:46">
      <c r="B2387" s="6" t="s">
        <v>9653</v>
      </c>
      <c r="D2387" s="6" t="s">
        <v>8189</v>
      </c>
      <c r="F2387" s="6" t="s">
        <v>9926</v>
      </c>
      <c r="G2387" s="6" t="str">
        <f>"GC7F3MM15BKL"</f>
        <v>GC7F3MM15BKL</v>
      </c>
      <c r="H2387" s="6" t="s">
        <v>9927</v>
      </c>
      <c r="I2387" s="6" t="s">
        <v>9928</v>
      </c>
      <c r="J2387" s="6" t="str">
        <f>"OVER MTM _B(L)"</f>
        <v>OVER MTM _B(L)</v>
      </c>
      <c r="K2387" s="6">
        <v>0</v>
      </c>
      <c r="L2387" s="6">
        <v>0</v>
      </c>
      <c r="M2387" s="6">
        <v>0</v>
      </c>
      <c r="N2387" s="6" t="str">
        <f>""</f>
        <v/>
      </c>
      <c r="O2387" s="6">
        <v>24784</v>
      </c>
      <c r="P2387" s="6" t="s">
        <v>9927</v>
      </c>
      <c r="R2387" s="6" t="s">
        <v>5106</v>
      </c>
      <c r="S2387" s="6" t="s">
        <v>9929</v>
      </c>
      <c r="T2387" s="6">
        <v>0</v>
      </c>
      <c r="U2387" s="6">
        <v>0</v>
      </c>
      <c r="V2387" s="6">
        <v>0</v>
      </c>
      <c r="W2387" s="6">
        <v>0</v>
      </c>
      <c r="X2387" s="6" t="s">
        <v>169</v>
      </c>
      <c r="Z2387" s="6" t="s">
        <v>170</v>
      </c>
      <c r="AA2387" s="6" t="s">
        <v>171</v>
      </c>
      <c r="AB2387" s="6">
        <v>0</v>
      </c>
      <c r="AC2387" s="6" t="str">
        <f>""</f>
        <v/>
      </c>
      <c r="AS2387" s="6">
        <v>0</v>
      </c>
      <c r="AT2387" s="6">
        <v>0</v>
      </c>
    </row>
    <row r="2388" spans="2:46">
      <c r="B2388" s="6" t="s">
        <v>9653</v>
      </c>
      <c r="D2388" s="6" t="s">
        <v>8189</v>
      </c>
      <c r="F2388" s="6" t="s">
        <v>9930</v>
      </c>
      <c r="G2388" s="6" t="str">
        <f>"GC7F3MM15BKM"</f>
        <v>GC7F3MM15BKM</v>
      </c>
      <c r="H2388" s="6" t="s">
        <v>9931</v>
      </c>
      <c r="I2388" s="6" t="s">
        <v>9932</v>
      </c>
      <c r="J2388" s="6" t="str">
        <f>"OVER MTM _B(M)"</f>
        <v>OVER MTM _B(M)</v>
      </c>
      <c r="K2388" s="6">
        <v>0</v>
      </c>
      <c r="L2388" s="6">
        <v>0</v>
      </c>
      <c r="M2388" s="6">
        <v>0</v>
      </c>
      <c r="N2388" s="6" t="str">
        <f>""</f>
        <v/>
      </c>
      <c r="O2388" s="6">
        <v>24782</v>
      </c>
      <c r="P2388" s="6" t="s">
        <v>9931</v>
      </c>
      <c r="R2388" s="6" t="s">
        <v>601</v>
      </c>
      <c r="S2388" s="6" t="s">
        <v>9933</v>
      </c>
      <c r="T2388" s="6">
        <v>0</v>
      </c>
      <c r="U2388" s="6">
        <v>0</v>
      </c>
      <c r="V2388" s="6">
        <v>0</v>
      </c>
      <c r="W2388" s="6">
        <v>0</v>
      </c>
      <c r="X2388" s="6" t="s">
        <v>169</v>
      </c>
      <c r="Z2388" s="6" t="s">
        <v>170</v>
      </c>
      <c r="AA2388" s="6" t="s">
        <v>171</v>
      </c>
      <c r="AB2388" s="6">
        <v>0</v>
      </c>
      <c r="AC2388" s="6" t="str">
        <f>""</f>
        <v/>
      </c>
      <c r="AS2388" s="6">
        <v>0</v>
      </c>
      <c r="AT2388" s="6">
        <v>0</v>
      </c>
    </row>
    <row r="2389" spans="2:46">
      <c r="B2389" s="6" t="s">
        <v>9653</v>
      </c>
      <c r="D2389" s="6" t="s">
        <v>8189</v>
      </c>
      <c r="F2389" s="6" t="s">
        <v>9934</v>
      </c>
      <c r="G2389" s="6" t="str">
        <f>"GC7F3HD14GYL"</f>
        <v>GC7F3HD14GYL</v>
      </c>
      <c r="H2389" s="6" t="s">
        <v>9935</v>
      </c>
      <c r="I2389" s="6" t="s">
        <v>9936</v>
      </c>
      <c r="J2389" s="6" t="str">
        <f>"Loop HD_Gray(L)"</f>
        <v>Loop HD_Gray(L)</v>
      </c>
      <c r="K2389" s="6">
        <v>0</v>
      </c>
      <c r="L2389" s="6">
        <v>0</v>
      </c>
      <c r="M2389" s="6">
        <v>0</v>
      </c>
      <c r="N2389" s="6" t="str">
        <f>""</f>
        <v/>
      </c>
      <c r="O2389" s="6">
        <v>24780</v>
      </c>
      <c r="P2389" s="6" t="s">
        <v>9935</v>
      </c>
      <c r="R2389" s="6" t="s">
        <v>5097</v>
      </c>
      <c r="S2389" s="6" t="s">
        <v>9937</v>
      </c>
      <c r="T2389" s="6">
        <v>0</v>
      </c>
      <c r="U2389" s="6">
        <v>0</v>
      </c>
      <c r="V2389" s="6">
        <v>0</v>
      </c>
      <c r="W2389" s="6">
        <v>0</v>
      </c>
      <c r="X2389" s="6" t="s">
        <v>169</v>
      </c>
      <c r="Z2389" s="6" t="s">
        <v>170</v>
      </c>
      <c r="AA2389" s="6" t="s">
        <v>171</v>
      </c>
      <c r="AB2389" s="6">
        <v>0</v>
      </c>
      <c r="AC2389" s="6" t="str">
        <f>""</f>
        <v/>
      </c>
      <c r="AS2389" s="6">
        <v>0</v>
      </c>
      <c r="AT2389" s="6">
        <v>0</v>
      </c>
    </row>
    <row r="2390" spans="2:46">
      <c r="B2390" s="6" t="s">
        <v>9653</v>
      </c>
      <c r="D2390" s="6" t="s">
        <v>8189</v>
      </c>
      <c r="F2390" s="6" t="s">
        <v>9938</v>
      </c>
      <c r="G2390" s="6" t="str">
        <f>"GC7F3HD14GYM"</f>
        <v>GC7F3HD14GYM</v>
      </c>
      <c r="H2390" s="6" t="s">
        <v>9939</v>
      </c>
      <c r="I2390" s="6" t="s">
        <v>9940</v>
      </c>
      <c r="J2390" s="6" t="str">
        <f>"Loop HD_Gray(M)"</f>
        <v>Loop HD_Gray(M)</v>
      </c>
      <c r="K2390" s="6">
        <v>0</v>
      </c>
      <c r="L2390" s="6">
        <v>0</v>
      </c>
      <c r="M2390" s="6">
        <v>0</v>
      </c>
      <c r="N2390" s="6" t="str">
        <f>""</f>
        <v/>
      </c>
      <c r="O2390" s="6">
        <v>24778</v>
      </c>
      <c r="P2390" s="6" t="s">
        <v>9939</v>
      </c>
      <c r="R2390" s="6" t="s">
        <v>5212</v>
      </c>
      <c r="S2390" s="6" t="s">
        <v>9941</v>
      </c>
      <c r="T2390" s="6">
        <v>0</v>
      </c>
      <c r="U2390" s="6">
        <v>0</v>
      </c>
      <c r="V2390" s="6">
        <v>0</v>
      </c>
      <c r="W2390" s="6">
        <v>0</v>
      </c>
      <c r="X2390" s="6" t="s">
        <v>169</v>
      </c>
      <c r="Z2390" s="6" t="s">
        <v>170</v>
      </c>
      <c r="AA2390" s="6" t="s">
        <v>171</v>
      </c>
      <c r="AB2390" s="6">
        <v>0</v>
      </c>
      <c r="AC2390" s="6" t="str">
        <f>""</f>
        <v/>
      </c>
      <c r="AS2390" s="6">
        <v>0</v>
      </c>
      <c r="AT2390" s="6">
        <v>0</v>
      </c>
    </row>
    <row r="2391" spans="2:46">
      <c r="B2391" s="6" t="s">
        <v>9653</v>
      </c>
      <c r="D2391" s="6" t="s">
        <v>8189</v>
      </c>
      <c r="F2391" s="6" t="s">
        <v>9942</v>
      </c>
      <c r="G2391" s="6" t="str">
        <f>"GC7F3HD13BKL"</f>
        <v>GC7F3HD13BKL</v>
      </c>
      <c r="H2391" s="6" t="s">
        <v>9943</v>
      </c>
      <c r="I2391" s="6" t="s">
        <v>9944</v>
      </c>
      <c r="J2391" s="6" t="str">
        <f>"Loop HD_B(L)"</f>
        <v>Loop HD_B(L)</v>
      </c>
      <c r="K2391" s="6">
        <v>0</v>
      </c>
      <c r="L2391" s="6">
        <v>0</v>
      </c>
      <c r="M2391" s="6">
        <v>0</v>
      </c>
      <c r="N2391" s="6" t="str">
        <f>""</f>
        <v/>
      </c>
      <c r="O2391" s="6">
        <v>24776</v>
      </c>
      <c r="P2391" s="6" t="s">
        <v>9943</v>
      </c>
      <c r="R2391" s="6" t="s">
        <v>5106</v>
      </c>
      <c r="S2391" s="6" t="s">
        <v>9945</v>
      </c>
      <c r="T2391" s="6">
        <v>0</v>
      </c>
      <c r="U2391" s="6">
        <v>0</v>
      </c>
      <c r="V2391" s="6">
        <v>0</v>
      </c>
      <c r="W2391" s="6">
        <v>0</v>
      </c>
      <c r="X2391" s="6" t="s">
        <v>169</v>
      </c>
      <c r="Z2391" s="6" t="s">
        <v>170</v>
      </c>
      <c r="AA2391" s="6" t="s">
        <v>171</v>
      </c>
      <c r="AB2391" s="6">
        <v>0</v>
      </c>
      <c r="AC2391" s="6" t="str">
        <f>""</f>
        <v/>
      </c>
      <c r="AS2391" s="6">
        <v>0</v>
      </c>
      <c r="AT2391" s="6">
        <v>0</v>
      </c>
    </row>
    <row r="2392" spans="2:46">
      <c r="B2392" s="6" t="s">
        <v>9653</v>
      </c>
      <c r="D2392" s="6" t="s">
        <v>8189</v>
      </c>
      <c r="F2392" s="6" t="s">
        <v>9946</v>
      </c>
      <c r="G2392" s="6" t="str">
        <f>"GC7F3HD13BKM"</f>
        <v>GC7F3HD13BKM</v>
      </c>
      <c r="H2392" s="6" t="s">
        <v>9947</v>
      </c>
      <c r="I2392" s="6" t="s">
        <v>9948</v>
      </c>
      <c r="J2392" s="6" t="str">
        <f>"Loop HD_B(M)"</f>
        <v>Loop HD_B(M)</v>
      </c>
      <c r="K2392" s="6">
        <v>0</v>
      </c>
      <c r="L2392" s="6">
        <v>0</v>
      </c>
      <c r="M2392" s="6">
        <v>0</v>
      </c>
      <c r="N2392" s="6" t="str">
        <f>""</f>
        <v/>
      </c>
      <c r="O2392" s="6">
        <v>24774</v>
      </c>
      <c r="P2392" s="6" t="s">
        <v>9947</v>
      </c>
      <c r="R2392" s="6" t="s">
        <v>601</v>
      </c>
      <c r="S2392" s="6" t="s">
        <v>9949</v>
      </c>
      <c r="T2392" s="6">
        <v>0</v>
      </c>
      <c r="U2392" s="6">
        <v>0</v>
      </c>
      <c r="V2392" s="6">
        <v>0</v>
      </c>
      <c r="W2392" s="6">
        <v>0</v>
      </c>
      <c r="X2392" s="6" t="s">
        <v>169</v>
      </c>
      <c r="Z2392" s="6" t="s">
        <v>170</v>
      </c>
      <c r="AA2392" s="6" t="s">
        <v>171</v>
      </c>
      <c r="AB2392" s="6">
        <v>0</v>
      </c>
      <c r="AC2392" s="6" t="str">
        <f>""</f>
        <v/>
      </c>
      <c r="AS2392" s="6">
        <v>0</v>
      </c>
      <c r="AT2392" s="6">
        <v>0</v>
      </c>
    </row>
    <row r="2393" spans="2:46">
      <c r="B2393" s="6" t="s">
        <v>9653</v>
      </c>
      <c r="D2393" s="6" t="s">
        <v>8189</v>
      </c>
      <c r="F2393" s="6" t="s">
        <v>9950</v>
      </c>
      <c r="G2393" s="6" t="str">
        <f>"GC7F3MM12GYL"</f>
        <v>GC7F3MM12GYL</v>
      </c>
      <c r="H2393" s="6" t="s">
        <v>9951</v>
      </c>
      <c r="I2393" s="6" t="s">
        <v>9952</v>
      </c>
      <c r="J2393" s="6" t="str">
        <f>"Loop MTM_Gray(L)"</f>
        <v>Loop MTM_Gray(L)</v>
      </c>
      <c r="K2393" s="6">
        <v>0</v>
      </c>
      <c r="L2393" s="6">
        <v>0</v>
      </c>
      <c r="M2393" s="6">
        <v>0</v>
      </c>
      <c r="N2393" s="6" t="str">
        <f>""</f>
        <v/>
      </c>
      <c r="O2393" s="6">
        <v>24772</v>
      </c>
      <c r="P2393" s="6" t="s">
        <v>9951</v>
      </c>
      <c r="R2393" s="6" t="s">
        <v>5097</v>
      </c>
      <c r="S2393" s="6" t="s">
        <v>9953</v>
      </c>
      <c r="T2393" s="6">
        <v>0</v>
      </c>
      <c r="U2393" s="6">
        <v>0</v>
      </c>
      <c r="V2393" s="6">
        <v>0</v>
      </c>
      <c r="W2393" s="6">
        <v>0</v>
      </c>
      <c r="X2393" s="6" t="s">
        <v>169</v>
      </c>
      <c r="Z2393" s="6" t="s">
        <v>170</v>
      </c>
      <c r="AA2393" s="6" t="s">
        <v>171</v>
      </c>
      <c r="AB2393" s="6">
        <v>0</v>
      </c>
      <c r="AC2393" s="6" t="str">
        <f>""</f>
        <v/>
      </c>
      <c r="AS2393" s="6">
        <v>0</v>
      </c>
      <c r="AT2393" s="6">
        <v>0</v>
      </c>
    </row>
    <row r="2394" spans="2:46">
      <c r="B2394" s="6" t="s">
        <v>9653</v>
      </c>
      <c r="D2394" s="6" t="s">
        <v>8189</v>
      </c>
      <c r="F2394" s="6" t="s">
        <v>9954</v>
      </c>
      <c r="G2394" s="6" t="str">
        <f>"GC7F3MM12GYM"</f>
        <v>GC7F3MM12GYM</v>
      </c>
      <c r="H2394" s="6" t="s">
        <v>9955</v>
      </c>
      <c r="I2394" s="6" t="s">
        <v>9956</v>
      </c>
      <c r="J2394" s="6" t="str">
        <f>"Loop MTM_Gray(M)"</f>
        <v>Loop MTM_Gray(M)</v>
      </c>
      <c r="K2394" s="6">
        <v>0</v>
      </c>
      <c r="L2394" s="6">
        <v>0</v>
      </c>
      <c r="M2394" s="6">
        <v>0</v>
      </c>
      <c r="N2394" s="6" t="str">
        <f>""</f>
        <v/>
      </c>
      <c r="O2394" s="6">
        <v>24770</v>
      </c>
      <c r="P2394" s="6" t="s">
        <v>9955</v>
      </c>
      <c r="R2394" s="6" t="s">
        <v>5212</v>
      </c>
      <c r="S2394" s="6" t="s">
        <v>9957</v>
      </c>
      <c r="T2394" s="6">
        <v>0</v>
      </c>
      <c r="U2394" s="6">
        <v>0</v>
      </c>
      <c r="V2394" s="6">
        <v>0</v>
      </c>
      <c r="W2394" s="6">
        <v>0</v>
      </c>
      <c r="X2394" s="6" t="s">
        <v>169</v>
      </c>
      <c r="Z2394" s="6" t="s">
        <v>170</v>
      </c>
      <c r="AA2394" s="6" t="s">
        <v>171</v>
      </c>
      <c r="AB2394" s="6">
        <v>0</v>
      </c>
      <c r="AC2394" s="6" t="str">
        <f>""</f>
        <v/>
      </c>
      <c r="AS2394" s="6">
        <v>0</v>
      </c>
      <c r="AT2394" s="6">
        <v>0</v>
      </c>
    </row>
    <row r="2395" spans="2:46">
      <c r="B2395" s="6" t="s">
        <v>9653</v>
      </c>
      <c r="D2395" s="6" t="s">
        <v>8189</v>
      </c>
      <c r="F2395" s="6" t="s">
        <v>9958</v>
      </c>
      <c r="G2395" s="6" t="str">
        <f>"GC7F3MM11BKL"</f>
        <v>GC7F3MM11BKL</v>
      </c>
      <c r="H2395" s="6" t="s">
        <v>9959</v>
      </c>
      <c r="I2395" s="6" t="s">
        <v>9960</v>
      </c>
      <c r="J2395" s="6" t="str">
        <f>"Loop MTM_B(L)"</f>
        <v>Loop MTM_B(L)</v>
      </c>
      <c r="K2395" s="6">
        <v>0</v>
      </c>
      <c r="L2395" s="6">
        <v>0</v>
      </c>
      <c r="M2395" s="6">
        <v>0</v>
      </c>
      <c r="N2395" s="6" t="str">
        <f>""</f>
        <v/>
      </c>
      <c r="O2395" s="6">
        <v>24768</v>
      </c>
      <c r="P2395" s="6" t="s">
        <v>9959</v>
      </c>
      <c r="R2395" s="6" t="s">
        <v>5106</v>
      </c>
      <c r="S2395" s="6" t="s">
        <v>9961</v>
      </c>
      <c r="T2395" s="6">
        <v>0</v>
      </c>
      <c r="U2395" s="6">
        <v>0</v>
      </c>
      <c r="V2395" s="6">
        <v>0</v>
      </c>
      <c r="W2395" s="6">
        <v>0</v>
      </c>
      <c r="X2395" s="6" t="s">
        <v>169</v>
      </c>
      <c r="Z2395" s="6" t="s">
        <v>170</v>
      </c>
      <c r="AA2395" s="6" t="s">
        <v>171</v>
      </c>
      <c r="AB2395" s="6">
        <v>0</v>
      </c>
      <c r="AC2395" s="6" t="str">
        <f>""</f>
        <v/>
      </c>
      <c r="AS2395" s="6">
        <v>0</v>
      </c>
      <c r="AT2395" s="6">
        <v>0</v>
      </c>
    </row>
    <row r="2396" spans="2:46">
      <c r="B2396" s="6" t="s">
        <v>9653</v>
      </c>
      <c r="D2396" s="6" t="s">
        <v>8189</v>
      </c>
      <c r="F2396" s="6" t="s">
        <v>9962</v>
      </c>
      <c r="G2396" s="6" t="str">
        <f>"GC7F3MM11BKM"</f>
        <v>GC7F3MM11BKM</v>
      </c>
      <c r="H2396" s="6" t="s">
        <v>9963</v>
      </c>
      <c r="I2396" s="6" t="s">
        <v>9964</v>
      </c>
      <c r="J2396" s="6" t="str">
        <f>"Loop MTM_B(M)"</f>
        <v>Loop MTM_B(M)</v>
      </c>
      <c r="K2396" s="6">
        <v>0</v>
      </c>
      <c r="L2396" s="6">
        <v>0</v>
      </c>
      <c r="M2396" s="6">
        <v>0</v>
      </c>
      <c r="N2396" s="6" t="str">
        <f>""</f>
        <v/>
      </c>
      <c r="O2396" s="6">
        <v>24766</v>
      </c>
      <c r="P2396" s="6" t="s">
        <v>9963</v>
      </c>
      <c r="R2396" s="6" t="s">
        <v>601</v>
      </c>
      <c r="S2396" s="6" t="s">
        <v>9965</v>
      </c>
      <c r="T2396" s="6">
        <v>0</v>
      </c>
      <c r="U2396" s="6">
        <v>0</v>
      </c>
      <c r="V2396" s="6">
        <v>0</v>
      </c>
      <c r="W2396" s="6">
        <v>0</v>
      </c>
      <c r="X2396" s="6" t="s">
        <v>169</v>
      </c>
      <c r="Z2396" s="6" t="s">
        <v>170</v>
      </c>
      <c r="AA2396" s="6" t="s">
        <v>171</v>
      </c>
      <c r="AB2396" s="6">
        <v>0</v>
      </c>
      <c r="AC2396" s="6" t="str">
        <f>""</f>
        <v/>
      </c>
      <c r="AS2396" s="6">
        <v>0</v>
      </c>
      <c r="AT2396" s="6">
        <v>0</v>
      </c>
    </row>
    <row r="2397" spans="2:46">
      <c r="B2397" s="6" t="s">
        <v>9653</v>
      </c>
      <c r="D2397" s="6" t="s">
        <v>8189</v>
      </c>
      <c r="F2397" s="6" t="s">
        <v>9966</v>
      </c>
      <c r="G2397" s="6" t="str">
        <f>"GC7F3MM10WHL"</f>
        <v>GC7F3MM10WHL</v>
      </c>
      <c r="H2397" s="6" t="s">
        <v>9967</v>
      </c>
      <c r="I2397" s="6" t="s">
        <v>9968</v>
      </c>
      <c r="J2397" s="6" t="str">
        <f>"WAVE mtm_W(L)"</f>
        <v>WAVE mtm_W(L)</v>
      </c>
      <c r="K2397" s="6">
        <v>0</v>
      </c>
      <c r="L2397" s="6">
        <v>0</v>
      </c>
      <c r="M2397" s="6">
        <v>0</v>
      </c>
      <c r="N2397" s="6" t="str">
        <f>""</f>
        <v/>
      </c>
      <c r="O2397" s="6">
        <v>24764</v>
      </c>
      <c r="P2397" s="6" t="s">
        <v>9967</v>
      </c>
      <c r="R2397" s="6" t="s">
        <v>9691</v>
      </c>
      <c r="S2397" s="6" t="s">
        <v>9969</v>
      </c>
      <c r="T2397" s="6">
        <v>0</v>
      </c>
      <c r="U2397" s="6">
        <v>0</v>
      </c>
      <c r="V2397" s="6">
        <v>0</v>
      </c>
      <c r="W2397" s="6">
        <v>0</v>
      </c>
      <c r="X2397" s="6" t="s">
        <v>169</v>
      </c>
      <c r="Z2397" s="6" t="s">
        <v>170</v>
      </c>
      <c r="AA2397" s="6" t="s">
        <v>171</v>
      </c>
      <c r="AB2397" s="6">
        <v>0</v>
      </c>
      <c r="AC2397" s="6" t="str">
        <f>""</f>
        <v/>
      </c>
      <c r="AS2397" s="6">
        <v>0</v>
      </c>
      <c r="AT2397" s="6">
        <v>0</v>
      </c>
    </row>
    <row r="2398" spans="2:46">
      <c r="B2398" s="6" t="s">
        <v>9653</v>
      </c>
      <c r="D2398" s="6" t="s">
        <v>8189</v>
      </c>
      <c r="F2398" s="6" t="s">
        <v>9970</v>
      </c>
      <c r="G2398" s="6" t="str">
        <f>"GC7F3MM10WHM"</f>
        <v>GC7F3MM10WHM</v>
      </c>
      <c r="H2398" s="6" t="s">
        <v>9971</v>
      </c>
      <c r="I2398" s="6" t="s">
        <v>9972</v>
      </c>
      <c r="J2398" s="6" t="str">
        <f>"WAVE mtm_W(M)"</f>
        <v>WAVE mtm_W(M)</v>
      </c>
      <c r="K2398" s="6">
        <v>0</v>
      </c>
      <c r="L2398" s="6">
        <v>0</v>
      </c>
      <c r="M2398" s="6">
        <v>0</v>
      </c>
      <c r="N2398" s="6" t="str">
        <f>""</f>
        <v/>
      </c>
      <c r="O2398" s="6">
        <v>24762</v>
      </c>
      <c r="P2398" s="6" t="s">
        <v>9971</v>
      </c>
      <c r="R2398" s="6" t="s">
        <v>9696</v>
      </c>
      <c r="S2398" s="6" t="s">
        <v>9973</v>
      </c>
      <c r="T2398" s="6">
        <v>0</v>
      </c>
      <c r="U2398" s="6">
        <v>0</v>
      </c>
      <c r="V2398" s="6">
        <v>0</v>
      </c>
      <c r="W2398" s="6">
        <v>0</v>
      </c>
      <c r="X2398" s="6" t="s">
        <v>169</v>
      </c>
      <c r="Z2398" s="6" t="s">
        <v>170</v>
      </c>
      <c r="AA2398" s="6" t="s">
        <v>171</v>
      </c>
      <c r="AB2398" s="6">
        <v>0</v>
      </c>
      <c r="AC2398" s="6" t="str">
        <f>""</f>
        <v/>
      </c>
      <c r="AS2398" s="6">
        <v>0</v>
      </c>
      <c r="AT2398" s="6">
        <v>0</v>
      </c>
    </row>
    <row r="2399" spans="2:46">
      <c r="B2399" s="6" t="s">
        <v>9653</v>
      </c>
      <c r="D2399" s="6" t="s">
        <v>8189</v>
      </c>
      <c r="F2399" s="6" t="s">
        <v>9974</v>
      </c>
      <c r="G2399" s="6" t="str">
        <f>"GC7F3MM09DBL"</f>
        <v>GC7F3MM09DBL</v>
      </c>
      <c r="H2399" s="6" t="s">
        <v>9975</v>
      </c>
      <c r="I2399" s="6" t="s">
        <v>9976</v>
      </c>
      <c r="J2399" s="6" t="str">
        <f>"WAVE mtm_DB(L)"</f>
        <v>WAVE mtm_DB(L)</v>
      </c>
      <c r="K2399" s="6">
        <v>0</v>
      </c>
      <c r="L2399" s="6">
        <v>0</v>
      </c>
      <c r="M2399" s="6">
        <v>0</v>
      </c>
      <c r="N2399" s="6" t="str">
        <f>""</f>
        <v/>
      </c>
      <c r="O2399" s="6">
        <v>24760</v>
      </c>
      <c r="P2399" s="6" t="s">
        <v>9975</v>
      </c>
      <c r="R2399" s="6" t="s">
        <v>9977</v>
      </c>
      <c r="S2399" s="6" t="s">
        <v>9978</v>
      </c>
      <c r="T2399" s="6">
        <v>0</v>
      </c>
      <c r="U2399" s="6">
        <v>0</v>
      </c>
      <c r="V2399" s="6">
        <v>0</v>
      </c>
      <c r="W2399" s="6">
        <v>0</v>
      </c>
      <c r="X2399" s="6" t="s">
        <v>169</v>
      </c>
      <c r="Z2399" s="6" t="s">
        <v>170</v>
      </c>
      <c r="AA2399" s="6" t="s">
        <v>171</v>
      </c>
      <c r="AB2399" s="6">
        <v>0</v>
      </c>
      <c r="AC2399" s="6" t="str">
        <f>""</f>
        <v/>
      </c>
      <c r="AS2399" s="6">
        <v>0</v>
      </c>
      <c r="AT2399" s="6">
        <v>0</v>
      </c>
    </row>
    <row r="2400" spans="2:46">
      <c r="B2400" s="6" t="s">
        <v>9653</v>
      </c>
      <c r="D2400" s="6" t="s">
        <v>8189</v>
      </c>
      <c r="F2400" s="6" t="s">
        <v>9979</v>
      </c>
      <c r="G2400" s="6" t="str">
        <f>"GC7F3MM09DBM"</f>
        <v>GC7F3MM09DBM</v>
      </c>
      <c r="H2400" s="6" t="s">
        <v>9980</v>
      </c>
      <c r="I2400" s="6" t="s">
        <v>9981</v>
      </c>
      <c r="J2400" s="6" t="str">
        <f>"WAVE mtm_DB(M)"</f>
        <v>WAVE mtm_DB(M)</v>
      </c>
      <c r="K2400" s="6">
        <v>0</v>
      </c>
      <c r="L2400" s="6">
        <v>0</v>
      </c>
      <c r="M2400" s="6">
        <v>0</v>
      </c>
      <c r="N2400" s="6" t="str">
        <f>""</f>
        <v/>
      </c>
      <c r="O2400" s="6">
        <v>24758</v>
      </c>
      <c r="P2400" s="6" t="s">
        <v>9980</v>
      </c>
      <c r="R2400" s="6" t="s">
        <v>9982</v>
      </c>
      <c r="S2400" s="6" t="s">
        <v>9983</v>
      </c>
      <c r="T2400" s="6">
        <v>0</v>
      </c>
      <c r="U2400" s="6">
        <v>0</v>
      </c>
      <c r="V2400" s="6">
        <v>0</v>
      </c>
      <c r="W2400" s="6">
        <v>0</v>
      </c>
      <c r="X2400" s="6" t="s">
        <v>169</v>
      </c>
      <c r="Z2400" s="6" t="s">
        <v>170</v>
      </c>
      <c r="AA2400" s="6" t="s">
        <v>171</v>
      </c>
      <c r="AB2400" s="6">
        <v>0</v>
      </c>
      <c r="AC2400" s="6" t="str">
        <f>""</f>
        <v/>
      </c>
      <c r="AS2400" s="6">
        <v>0</v>
      </c>
      <c r="AT2400" s="6">
        <v>0</v>
      </c>
    </row>
    <row r="2401" spans="2:46">
      <c r="B2401" s="6" t="s">
        <v>9653</v>
      </c>
      <c r="D2401" s="6" t="s">
        <v>8189</v>
      </c>
      <c r="F2401" s="6" t="s">
        <v>9984</v>
      </c>
      <c r="G2401" s="6" t="str">
        <f>"GC7F3HD08RDL"</f>
        <v>GC7F3HD08RDL</v>
      </c>
      <c r="H2401" s="6" t="s">
        <v>9985</v>
      </c>
      <c r="I2401" s="6" t="s">
        <v>9986</v>
      </c>
      <c r="J2401" s="6" t="str">
        <f>"OGHD_RD(L)"</f>
        <v>OGHD_RD(L)</v>
      </c>
      <c r="K2401" s="6">
        <v>0</v>
      </c>
      <c r="L2401" s="6">
        <v>0</v>
      </c>
      <c r="M2401" s="6">
        <v>0</v>
      </c>
      <c r="N2401" s="6" t="str">
        <f>""</f>
        <v/>
      </c>
      <c r="O2401" s="6">
        <v>24756</v>
      </c>
      <c r="P2401" s="6" t="s">
        <v>9985</v>
      </c>
      <c r="R2401" s="6" t="s">
        <v>5398</v>
      </c>
      <c r="S2401" s="6" t="s">
        <v>9987</v>
      </c>
      <c r="T2401" s="6">
        <v>0</v>
      </c>
      <c r="U2401" s="6">
        <v>0</v>
      </c>
      <c r="V2401" s="6">
        <v>0</v>
      </c>
      <c r="W2401" s="6">
        <v>0</v>
      </c>
      <c r="X2401" s="6" t="s">
        <v>169</v>
      </c>
      <c r="Z2401" s="6" t="s">
        <v>170</v>
      </c>
      <c r="AA2401" s="6" t="s">
        <v>171</v>
      </c>
      <c r="AB2401" s="6">
        <v>0</v>
      </c>
      <c r="AC2401" s="6" t="str">
        <f>""</f>
        <v/>
      </c>
      <c r="AS2401" s="6">
        <v>0</v>
      </c>
      <c r="AT2401" s="6">
        <v>0</v>
      </c>
    </row>
    <row r="2402" spans="2:46">
      <c r="B2402" s="6" t="s">
        <v>9653</v>
      </c>
      <c r="D2402" s="6" t="s">
        <v>8189</v>
      </c>
      <c r="F2402" s="6" t="s">
        <v>9988</v>
      </c>
      <c r="G2402" s="6" t="str">
        <f>"GC7F3HD08RDM"</f>
        <v>GC7F3HD08RDM</v>
      </c>
      <c r="H2402" s="6" t="s">
        <v>9989</v>
      </c>
      <c r="I2402" s="6" t="s">
        <v>9990</v>
      </c>
      <c r="J2402" s="6" t="str">
        <f>"OGHD_RD(M)"</f>
        <v>OGHD_RD(M)</v>
      </c>
      <c r="K2402" s="6">
        <v>0</v>
      </c>
      <c r="L2402" s="6">
        <v>0</v>
      </c>
      <c r="M2402" s="6">
        <v>0</v>
      </c>
      <c r="N2402" s="6" t="str">
        <f>""</f>
        <v/>
      </c>
      <c r="O2402" s="6">
        <v>24754</v>
      </c>
      <c r="P2402" s="6" t="s">
        <v>9989</v>
      </c>
      <c r="R2402" s="6" t="s">
        <v>561</v>
      </c>
      <c r="S2402" s="6" t="s">
        <v>9991</v>
      </c>
      <c r="T2402" s="6">
        <v>0</v>
      </c>
      <c r="U2402" s="6">
        <v>0</v>
      </c>
      <c r="V2402" s="6">
        <v>0</v>
      </c>
      <c r="W2402" s="6">
        <v>0</v>
      </c>
      <c r="X2402" s="6" t="s">
        <v>169</v>
      </c>
      <c r="Z2402" s="6" t="s">
        <v>170</v>
      </c>
      <c r="AA2402" s="6" t="s">
        <v>171</v>
      </c>
      <c r="AB2402" s="6">
        <v>0</v>
      </c>
      <c r="AC2402" s="6" t="str">
        <f>""</f>
        <v/>
      </c>
      <c r="AS2402" s="6">
        <v>0</v>
      </c>
      <c r="AT2402" s="6">
        <v>0</v>
      </c>
    </row>
    <row r="2403" spans="2:46">
      <c r="B2403" s="6" t="s">
        <v>9653</v>
      </c>
      <c r="D2403" s="6" t="s">
        <v>8189</v>
      </c>
      <c r="F2403" s="6" t="s">
        <v>9992</v>
      </c>
      <c r="G2403" s="6" t="str">
        <f>"GC7F3HD07BLL"</f>
        <v>GC7F3HD07BLL</v>
      </c>
      <c r="H2403" s="6" t="s">
        <v>9993</v>
      </c>
      <c r="I2403" s="6" t="s">
        <v>9994</v>
      </c>
      <c r="J2403" s="6" t="str">
        <f>"OGHD_BL(L)"</f>
        <v>OGHD_BL(L)</v>
      </c>
      <c r="K2403" s="6">
        <v>0</v>
      </c>
      <c r="L2403" s="6">
        <v>0</v>
      </c>
      <c r="M2403" s="6">
        <v>0</v>
      </c>
      <c r="N2403" s="6" t="str">
        <f>""</f>
        <v/>
      </c>
      <c r="O2403" s="6">
        <v>24752</v>
      </c>
      <c r="P2403" s="6" t="s">
        <v>9993</v>
      </c>
      <c r="R2403" s="6" t="s">
        <v>5275</v>
      </c>
      <c r="S2403" s="6" t="s">
        <v>9995</v>
      </c>
      <c r="T2403" s="6">
        <v>0</v>
      </c>
      <c r="U2403" s="6">
        <v>0</v>
      </c>
      <c r="V2403" s="6">
        <v>0</v>
      </c>
      <c r="W2403" s="6">
        <v>0</v>
      </c>
      <c r="X2403" s="6" t="s">
        <v>169</v>
      </c>
      <c r="Z2403" s="6" t="s">
        <v>170</v>
      </c>
      <c r="AA2403" s="6" t="s">
        <v>171</v>
      </c>
      <c r="AB2403" s="6">
        <v>0</v>
      </c>
      <c r="AC2403" s="6" t="str">
        <f>""</f>
        <v/>
      </c>
      <c r="AS2403" s="6">
        <v>0</v>
      </c>
      <c r="AT2403" s="6">
        <v>0</v>
      </c>
    </row>
    <row r="2404" spans="2:46">
      <c r="B2404" s="6" t="s">
        <v>9653</v>
      </c>
      <c r="D2404" s="6" t="s">
        <v>8189</v>
      </c>
      <c r="F2404" s="6" t="s">
        <v>9996</v>
      </c>
      <c r="G2404" s="6" t="str">
        <f>"GC7F3HD07BLM"</f>
        <v>GC7F3HD07BLM</v>
      </c>
      <c r="H2404" s="6" t="s">
        <v>9997</v>
      </c>
      <c r="I2404" s="6" t="s">
        <v>9998</v>
      </c>
      <c r="J2404" s="6" t="str">
        <f>"OGHD_BL(M)"</f>
        <v>OGHD_BL(M)</v>
      </c>
      <c r="K2404" s="6">
        <v>0</v>
      </c>
      <c r="L2404" s="6">
        <v>0</v>
      </c>
      <c r="M2404" s="6">
        <v>0</v>
      </c>
      <c r="N2404" s="6" t="str">
        <f>""</f>
        <v/>
      </c>
      <c r="O2404" s="6">
        <v>24750</v>
      </c>
      <c r="P2404" s="6" t="s">
        <v>9997</v>
      </c>
      <c r="R2404" s="6" t="s">
        <v>5340</v>
      </c>
      <c r="S2404" s="6" t="s">
        <v>9999</v>
      </c>
      <c r="T2404" s="6">
        <v>0</v>
      </c>
      <c r="U2404" s="6">
        <v>0</v>
      </c>
      <c r="V2404" s="6">
        <v>0</v>
      </c>
      <c r="W2404" s="6">
        <v>0</v>
      </c>
      <c r="X2404" s="6" t="s">
        <v>169</v>
      </c>
      <c r="Z2404" s="6" t="s">
        <v>170</v>
      </c>
      <c r="AA2404" s="6" t="s">
        <v>171</v>
      </c>
      <c r="AB2404" s="6">
        <v>0</v>
      </c>
      <c r="AC2404" s="6" t="str">
        <f>""</f>
        <v/>
      </c>
      <c r="AS2404" s="6">
        <v>0</v>
      </c>
      <c r="AT2404" s="6">
        <v>0</v>
      </c>
    </row>
    <row r="2405" spans="2:46">
      <c r="B2405" s="6" t="s">
        <v>9653</v>
      </c>
      <c r="D2405" s="6" t="s">
        <v>8189</v>
      </c>
      <c r="F2405" s="6" t="s">
        <v>10000</v>
      </c>
      <c r="G2405" s="6" t="str">
        <f>"GC7F3HD06GNL"</f>
        <v>GC7F3HD06GNL</v>
      </c>
      <c r="H2405" s="6" t="s">
        <v>10001</v>
      </c>
      <c r="I2405" s="6" t="s">
        <v>10002</v>
      </c>
      <c r="J2405" s="6" t="str">
        <f>"OGHD_GR(L)"</f>
        <v>OGHD_GR(L)</v>
      </c>
      <c r="K2405" s="6">
        <v>0</v>
      </c>
      <c r="L2405" s="6">
        <v>0</v>
      </c>
      <c r="M2405" s="6">
        <v>0</v>
      </c>
      <c r="N2405" s="6" t="str">
        <f>""</f>
        <v/>
      </c>
      <c r="O2405" s="6">
        <v>24748</v>
      </c>
      <c r="P2405" s="6" t="s">
        <v>10001</v>
      </c>
      <c r="R2405" s="6" t="s">
        <v>5406</v>
      </c>
      <c r="S2405" s="6" t="s">
        <v>10003</v>
      </c>
      <c r="T2405" s="6">
        <v>0</v>
      </c>
      <c r="U2405" s="6">
        <v>0</v>
      </c>
      <c r="V2405" s="6">
        <v>0</v>
      </c>
      <c r="W2405" s="6">
        <v>0</v>
      </c>
      <c r="X2405" s="6" t="s">
        <v>169</v>
      </c>
      <c r="Z2405" s="6" t="s">
        <v>170</v>
      </c>
      <c r="AA2405" s="6" t="s">
        <v>171</v>
      </c>
      <c r="AB2405" s="6">
        <v>0</v>
      </c>
      <c r="AC2405" s="6" t="str">
        <f>""</f>
        <v/>
      </c>
      <c r="AS2405" s="6">
        <v>0</v>
      </c>
      <c r="AT2405" s="6">
        <v>0</v>
      </c>
    </row>
    <row r="2406" spans="2:46">
      <c r="B2406" s="6" t="s">
        <v>9653</v>
      </c>
      <c r="D2406" s="6" t="s">
        <v>8189</v>
      </c>
      <c r="F2406" s="6" t="s">
        <v>10004</v>
      </c>
      <c r="G2406" s="6" t="str">
        <f>"GC7F3HD06GNM"</f>
        <v>GC7F3HD06GNM</v>
      </c>
      <c r="H2406" s="6" t="s">
        <v>10005</v>
      </c>
      <c r="I2406" s="6" t="s">
        <v>10006</v>
      </c>
      <c r="J2406" s="6" t="str">
        <f>"OGHD_GR(M)"</f>
        <v>OGHD_GR(M)</v>
      </c>
      <c r="K2406" s="6">
        <v>0</v>
      </c>
      <c r="L2406" s="6">
        <v>0</v>
      </c>
      <c r="M2406" s="6">
        <v>0</v>
      </c>
      <c r="N2406" s="6" t="str">
        <f>""</f>
        <v/>
      </c>
      <c r="O2406" s="6">
        <v>24746</v>
      </c>
      <c r="P2406" s="6" t="s">
        <v>10005</v>
      </c>
      <c r="R2406" s="6" t="s">
        <v>5649</v>
      </c>
      <c r="S2406" s="6" t="s">
        <v>10007</v>
      </c>
      <c r="T2406" s="6">
        <v>0</v>
      </c>
      <c r="U2406" s="6">
        <v>0</v>
      </c>
      <c r="V2406" s="6">
        <v>0</v>
      </c>
      <c r="W2406" s="6">
        <v>0</v>
      </c>
      <c r="X2406" s="6" t="s">
        <v>169</v>
      </c>
      <c r="Z2406" s="6" t="s">
        <v>170</v>
      </c>
      <c r="AA2406" s="6" t="s">
        <v>171</v>
      </c>
      <c r="AB2406" s="6">
        <v>0</v>
      </c>
      <c r="AC2406" s="6" t="str">
        <f>""</f>
        <v/>
      </c>
      <c r="AS2406" s="6">
        <v>0</v>
      </c>
      <c r="AT2406" s="6">
        <v>0</v>
      </c>
    </row>
    <row r="2407" spans="2:46">
      <c r="B2407" s="6" t="s">
        <v>9653</v>
      </c>
      <c r="D2407" s="6" t="s">
        <v>8189</v>
      </c>
      <c r="F2407" s="6" t="s">
        <v>10008</v>
      </c>
      <c r="G2407" s="6" t="str">
        <f>"GC7F3HD05DBL"</f>
        <v>GC7F3HD05DBL</v>
      </c>
      <c r="H2407" s="6" t="s">
        <v>10009</v>
      </c>
      <c r="I2407" s="6" t="s">
        <v>10010</v>
      </c>
      <c r="J2407" s="6" t="str">
        <f>"OGHD_DB(L)"</f>
        <v>OGHD_DB(L)</v>
      </c>
      <c r="K2407" s="6">
        <v>0</v>
      </c>
      <c r="L2407" s="6">
        <v>0</v>
      </c>
      <c r="M2407" s="6">
        <v>0</v>
      </c>
      <c r="N2407" s="6" t="str">
        <f>""</f>
        <v/>
      </c>
      <c r="O2407" s="6">
        <v>24744</v>
      </c>
      <c r="P2407" s="6" t="s">
        <v>10009</v>
      </c>
      <c r="R2407" s="6" t="s">
        <v>9977</v>
      </c>
      <c r="S2407" s="6" t="s">
        <v>10011</v>
      </c>
      <c r="T2407" s="6">
        <v>0</v>
      </c>
      <c r="U2407" s="6">
        <v>0</v>
      </c>
      <c r="V2407" s="6">
        <v>0</v>
      </c>
      <c r="W2407" s="6">
        <v>0</v>
      </c>
      <c r="X2407" s="6" t="s">
        <v>169</v>
      </c>
      <c r="Z2407" s="6" t="s">
        <v>170</v>
      </c>
      <c r="AA2407" s="6" t="s">
        <v>171</v>
      </c>
      <c r="AB2407" s="6">
        <v>0</v>
      </c>
      <c r="AC2407" s="6" t="str">
        <f>""</f>
        <v/>
      </c>
      <c r="AS2407" s="6">
        <v>0</v>
      </c>
      <c r="AT2407" s="6">
        <v>0</v>
      </c>
    </row>
    <row r="2408" spans="2:46">
      <c r="B2408" s="6" t="s">
        <v>9653</v>
      </c>
      <c r="D2408" s="6" t="s">
        <v>8189</v>
      </c>
      <c r="F2408" s="6" t="s">
        <v>10012</v>
      </c>
      <c r="G2408" s="6" t="str">
        <f>"GC7F3HD05DBM"</f>
        <v>GC7F3HD05DBM</v>
      </c>
      <c r="H2408" s="6" t="s">
        <v>10013</v>
      </c>
      <c r="I2408" s="6" t="s">
        <v>10014</v>
      </c>
      <c r="J2408" s="6" t="str">
        <f>"OGHD_DB(M)"</f>
        <v>OGHD_DB(M)</v>
      </c>
      <c r="K2408" s="6">
        <v>0</v>
      </c>
      <c r="L2408" s="6">
        <v>0</v>
      </c>
      <c r="M2408" s="6">
        <v>0</v>
      </c>
      <c r="N2408" s="6" t="str">
        <f>""</f>
        <v/>
      </c>
      <c r="O2408" s="6">
        <v>24742</v>
      </c>
      <c r="P2408" s="6" t="s">
        <v>10013</v>
      </c>
      <c r="R2408" s="6" t="s">
        <v>9982</v>
      </c>
      <c r="S2408" s="6" t="s">
        <v>10015</v>
      </c>
      <c r="T2408" s="6">
        <v>0</v>
      </c>
      <c r="U2408" s="6">
        <v>0</v>
      </c>
      <c r="V2408" s="6">
        <v>0</v>
      </c>
      <c r="W2408" s="6">
        <v>0</v>
      </c>
      <c r="X2408" s="6" t="s">
        <v>169</v>
      </c>
      <c r="Z2408" s="6" t="s">
        <v>170</v>
      </c>
      <c r="AA2408" s="6" t="s">
        <v>171</v>
      </c>
      <c r="AB2408" s="6">
        <v>0</v>
      </c>
      <c r="AC2408" s="6" t="str">
        <f>""</f>
        <v/>
      </c>
      <c r="AS2408" s="6">
        <v>0</v>
      </c>
      <c r="AT2408" s="6">
        <v>0</v>
      </c>
    </row>
    <row r="2409" spans="2:46">
      <c r="B2409" s="6" t="s">
        <v>9653</v>
      </c>
      <c r="D2409" s="6" t="s">
        <v>8189</v>
      </c>
      <c r="F2409" s="6" t="s">
        <v>10016</v>
      </c>
      <c r="G2409" s="6" t="str">
        <f>"GC7F3MM04MUL"</f>
        <v>GC7F3MM04MUL</v>
      </c>
      <c r="H2409" s="6" t="s">
        <v>10017</v>
      </c>
      <c r="I2409" s="6" t="s">
        <v>10018</v>
      </c>
      <c r="J2409" s="6" t="str">
        <f>"OGM_MU(L)"</f>
        <v>OGM_MU(L)</v>
      </c>
      <c r="K2409" s="6">
        <v>0</v>
      </c>
      <c r="L2409" s="6">
        <v>0</v>
      </c>
      <c r="M2409" s="6">
        <v>0</v>
      </c>
      <c r="N2409" s="6" t="str">
        <f>""</f>
        <v/>
      </c>
      <c r="O2409" s="6">
        <v>24740</v>
      </c>
      <c r="P2409" s="6" t="s">
        <v>10017</v>
      </c>
      <c r="R2409" s="6" t="s">
        <v>10019</v>
      </c>
      <c r="S2409" s="6" t="s">
        <v>10020</v>
      </c>
      <c r="T2409" s="6">
        <v>0</v>
      </c>
      <c r="U2409" s="6">
        <v>0</v>
      </c>
      <c r="V2409" s="6">
        <v>0</v>
      </c>
      <c r="W2409" s="6">
        <v>0</v>
      </c>
      <c r="X2409" s="6" t="s">
        <v>169</v>
      </c>
      <c r="Z2409" s="6" t="s">
        <v>170</v>
      </c>
      <c r="AA2409" s="6" t="s">
        <v>171</v>
      </c>
      <c r="AB2409" s="6">
        <v>0</v>
      </c>
      <c r="AC2409" s="6" t="str">
        <f>""</f>
        <v/>
      </c>
      <c r="AS2409" s="6">
        <v>0</v>
      </c>
      <c r="AT2409" s="6">
        <v>0</v>
      </c>
    </row>
    <row r="2410" spans="2:46">
      <c r="B2410" s="6" t="s">
        <v>9653</v>
      </c>
      <c r="D2410" s="6" t="s">
        <v>8189</v>
      </c>
      <c r="F2410" s="6" t="s">
        <v>10021</v>
      </c>
      <c r="G2410" s="6" t="str">
        <f>"GC7F3MM04MUM"</f>
        <v>GC7F3MM04MUM</v>
      </c>
      <c r="H2410" s="6" t="s">
        <v>10022</v>
      </c>
      <c r="I2410" s="6" t="s">
        <v>10023</v>
      </c>
      <c r="J2410" s="6" t="str">
        <f>"OGM_MU(M)"</f>
        <v>OGM_MU(M)</v>
      </c>
      <c r="K2410" s="6">
        <v>0</v>
      </c>
      <c r="L2410" s="6">
        <v>0</v>
      </c>
      <c r="M2410" s="6">
        <v>0</v>
      </c>
      <c r="N2410" s="6" t="str">
        <f>""</f>
        <v/>
      </c>
      <c r="O2410" s="6">
        <v>24738</v>
      </c>
      <c r="P2410" s="6" t="s">
        <v>10022</v>
      </c>
      <c r="R2410" s="6" t="s">
        <v>10024</v>
      </c>
      <c r="S2410" s="6" t="s">
        <v>10025</v>
      </c>
      <c r="T2410" s="6">
        <v>0</v>
      </c>
      <c r="U2410" s="6">
        <v>0</v>
      </c>
      <c r="V2410" s="6">
        <v>0</v>
      </c>
      <c r="W2410" s="6">
        <v>0</v>
      </c>
      <c r="X2410" s="6" t="s">
        <v>169</v>
      </c>
      <c r="Z2410" s="6" t="s">
        <v>170</v>
      </c>
      <c r="AA2410" s="6" t="s">
        <v>171</v>
      </c>
      <c r="AB2410" s="6">
        <v>0</v>
      </c>
      <c r="AC2410" s="6" t="str">
        <f>""</f>
        <v/>
      </c>
      <c r="AS2410" s="6">
        <v>0</v>
      </c>
      <c r="AT2410" s="6">
        <v>0</v>
      </c>
    </row>
    <row r="2411" spans="2:46">
      <c r="B2411" s="6" t="s">
        <v>9653</v>
      </c>
      <c r="D2411" s="6" t="s">
        <v>8189</v>
      </c>
      <c r="F2411" s="6" t="s">
        <v>10026</v>
      </c>
      <c r="G2411" s="6" t="str">
        <f>"GC7F3MM03NYL"</f>
        <v>GC7F3MM03NYL</v>
      </c>
      <c r="H2411" s="6" t="s">
        <v>10027</v>
      </c>
      <c r="I2411" s="6" t="s">
        <v>10028</v>
      </c>
      <c r="J2411" s="6" t="str">
        <f>"OGM_NY(L)"</f>
        <v>OGM_NY(L)</v>
      </c>
      <c r="K2411" s="6">
        <v>0</v>
      </c>
      <c r="L2411" s="6">
        <v>0</v>
      </c>
      <c r="M2411" s="6">
        <v>0</v>
      </c>
      <c r="N2411" s="6" t="str">
        <f>""</f>
        <v/>
      </c>
      <c r="O2411" s="6">
        <v>24736</v>
      </c>
      <c r="P2411" s="6" t="s">
        <v>10027</v>
      </c>
      <c r="R2411" s="6" t="s">
        <v>9772</v>
      </c>
      <c r="S2411" s="6" t="s">
        <v>10029</v>
      </c>
      <c r="T2411" s="6">
        <v>0</v>
      </c>
      <c r="U2411" s="6">
        <v>0</v>
      </c>
      <c r="V2411" s="6">
        <v>0</v>
      </c>
      <c r="W2411" s="6">
        <v>0</v>
      </c>
      <c r="X2411" s="6" t="s">
        <v>169</v>
      </c>
      <c r="Z2411" s="6" t="s">
        <v>170</v>
      </c>
      <c r="AA2411" s="6" t="s">
        <v>171</v>
      </c>
      <c r="AB2411" s="6">
        <v>0</v>
      </c>
      <c r="AC2411" s="6" t="str">
        <f>""</f>
        <v/>
      </c>
      <c r="AS2411" s="6">
        <v>0</v>
      </c>
      <c r="AT2411" s="6">
        <v>0</v>
      </c>
    </row>
    <row r="2412" spans="2:46">
      <c r="B2412" s="6" t="s">
        <v>9653</v>
      </c>
      <c r="D2412" s="6" t="s">
        <v>8189</v>
      </c>
      <c r="F2412" s="6" t="s">
        <v>10030</v>
      </c>
      <c r="G2412" s="6" t="str">
        <f>"GC7F3MM03NYM"</f>
        <v>GC7F3MM03NYM</v>
      </c>
      <c r="H2412" s="6" t="s">
        <v>10031</v>
      </c>
      <c r="I2412" s="6" t="s">
        <v>10032</v>
      </c>
      <c r="J2412" s="6" t="str">
        <f>"OGM_NY(M)"</f>
        <v>OGM_NY(M)</v>
      </c>
      <c r="K2412" s="6">
        <v>0</v>
      </c>
      <c r="L2412" s="6">
        <v>0</v>
      </c>
      <c r="M2412" s="6">
        <v>0</v>
      </c>
      <c r="N2412" s="6" t="str">
        <f>""</f>
        <v/>
      </c>
      <c r="O2412" s="6">
        <v>24734</v>
      </c>
      <c r="P2412" s="6" t="s">
        <v>10031</v>
      </c>
      <c r="R2412" s="6" t="s">
        <v>9777</v>
      </c>
      <c r="S2412" s="6" t="s">
        <v>10033</v>
      </c>
      <c r="T2412" s="6">
        <v>0</v>
      </c>
      <c r="U2412" s="6">
        <v>0</v>
      </c>
      <c r="V2412" s="6">
        <v>0</v>
      </c>
      <c r="W2412" s="6">
        <v>0</v>
      </c>
      <c r="X2412" s="6" t="s">
        <v>169</v>
      </c>
      <c r="Z2412" s="6" t="s">
        <v>170</v>
      </c>
      <c r="AA2412" s="6" t="s">
        <v>171</v>
      </c>
      <c r="AB2412" s="6">
        <v>0</v>
      </c>
      <c r="AC2412" s="6" t="str">
        <f>""</f>
        <v/>
      </c>
      <c r="AS2412" s="6">
        <v>0</v>
      </c>
      <c r="AT2412" s="6">
        <v>0</v>
      </c>
    </row>
    <row r="2413" spans="2:46">
      <c r="B2413" s="6" t="s">
        <v>9653</v>
      </c>
      <c r="D2413" s="6" t="s">
        <v>8189</v>
      </c>
      <c r="F2413" s="6" t="s">
        <v>10034</v>
      </c>
      <c r="G2413" s="6" t="str">
        <f>"GC7F3MM02DBL"</f>
        <v>GC7F3MM02DBL</v>
      </c>
      <c r="H2413" s="6" t="s">
        <v>10035</v>
      </c>
      <c r="I2413" s="6" t="s">
        <v>10036</v>
      </c>
      <c r="J2413" s="6" t="str">
        <f>"OGM_DB(L)"</f>
        <v>OGM_DB(L)</v>
      </c>
      <c r="K2413" s="6">
        <v>0</v>
      </c>
      <c r="L2413" s="6">
        <v>0</v>
      </c>
      <c r="M2413" s="6">
        <v>0</v>
      </c>
      <c r="N2413" s="6" t="str">
        <f>""</f>
        <v/>
      </c>
      <c r="O2413" s="6">
        <v>24732</v>
      </c>
      <c r="P2413" s="6" t="s">
        <v>10035</v>
      </c>
      <c r="R2413" s="6" t="s">
        <v>9977</v>
      </c>
      <c r="S2413" s="6" t="s">
        <v>10037</v>
      </c>
      <c r="T2413" s="6">
        <v>0</v>
      </c>
      <c r="U2413" s="6">
        <v>0</v>
      </c>
      <c r="V2413" s="6">
        <v>0</v>
      </c>
      <c r="W2413" s="6">
        <v>0</v>
      </c>
      <c r="X2413" s="6" t="s">
        <v>169</v>
      </c>
      <c r="Z2413" s="6" t="s">
        <v>170</v>
      </c>
      <c r="AA2413" s="6" t="s">
        <v>171</v>
      </c>
      <c r="AB2413" s="6">
        <v>0</v>
      </c>
      <c r="AC2413" s="6" t="str">
        <f>""</f>
        <v/>
      </c>
      <c r="AS2413" s="6">
        <v>0</v>
      </c>
      <c r="AT2413" s="6">
        <v>0</v>
      </c>
    </row>
    <row r="2414" spans="2:46">
      <c r="B2414" s="6" t="s">
        <v>9653</v>
      </c>
      <c r="D2414" s="6" t="s">
        <v>8189</v>
      </c>
      <c r="F2414" s="6" t="s">
        <v>10038</v>
      </c>
      <c r="G2414" s="6" t="str">
        <f>"GC7F3MM02DBM"</f>
        <v>GC7F3MM02DBM</v>
      </c>
      <c r="H2414" s="6" t="s">
        <v>10039</v>
      </c>
      <c r="I2414" s="6" t="s">
        <v>10040</v>
      </c>
      <c r="J2414" s="6" t="str">
        <f>"OGM_DB(M)"</f>
        <v>OGM_DB(M)</v>
      </c>
      <c r="K2414" s="6">
        <v>0</v>
      </c>
      <c r="L2414" s="6">
        <v>0</v>
      </c>
      <c r="M2414" s="6">
        <v>0</v>
      </c>
      <c r="N2414" s="6" t="str">
        <f>""</f>
        <v/>
      </c>
      <c r="O2414" s="6">
        <v>24730</v>
      </c>
      <c r="P2414" s="6" t="s">
        <v>10039</v>
      </c>
      <c r="R2414" s="6" t="s">
        <v>9982</v>
      </c>
      <c r="S2414" s="6" t="s">
        <v>10041</v>
      </c>
      <c r="T2414" s="6">
        <v>0</v>
      </c>
      <c r="U2414" s="6">
        <v>0</v>
      </c>
      <c r="V2414" s="6">
        <v>0</v>
      </c>
      <c r="W2414" s="6">
        <v>0</v>
      </c>
      <c r="X2414" s="6" t="s">
        <v>169</v>
      </c>
      <c r="Z2414" s="6" t="s">
        <v>170</v>
      </c>
      <c r="AA2414" s="6" t="s">
        <v>171</v>
      </c>
      <c r="AB2414" s="6">
        <v>0</v>
      </c>
      <c r="AC2414" s="6" t="str">
        <f>""</f>
        <v/>
      </c>
      <c r="AS2414" s="6">
        <v>0</v>
      </c>
      <c r="AT2414" s="6">
        <v>0</v>
      </c>
    </row>
    <row r="2415" spans="2:46">
      <c r="B2415" s="6" t="s">
        <v>9653</v>
      </c>
      <c r="D2415" s="6" t="s">
        <v>8189</v>
      </c>
      <c r="F2415" s="6" t="s">
        <v>10042</v>
      </c>
      <c r="G2415" s="6" t="str">
        <f>"GC7F3MM01IVL"</f>
        <v>GC7F3MM01IVL</v>
      </c>
      <c r="I2415" s="6" t="s">
        <v>10043</v>
      </c>
      <c r="J2415" s="6" t="str">
        <f>"OGM_iv(L)"</f>
        <v>OGM_iv(L)</v>
      </c>
      <c r="K2415" s="6">
        <v>0</v>
      </c>
      <c r="L2415" s="6">
        <v>0</v>
      </c>
      <c r="M2415" s="6">
        <v>0</v>
      </c>
      <c r="N2415" s="6" t="str">
        <f>""</f>
        <v/>
      </c>
      <c r="O2415" s="6">
        <v>24728</v>
      </c>
      <c r="P2415" s="6" t="s">
        <v>10044</v>
      </c>
      <c r="R2415" s="6" t="s">
        <v>10045</v>
      </c>
      <c r="S2415" s="6" t="s">
        <v>10046</v>
      </c>
      <c r="T2415" s="6">
        <v>1</v>
      </c>
      <c r="U2415" s="6">
        <v>0</v>
      </c>
      <c r="V2415" s="6">
        <v>0</v>
      </c>
      <c r="W2415" s="6">
        <v>0</v>
      </c>
      <c r="X2415" s="6" t="s">
        <v>169</v>
      </c>
      <c r="Z2415" s="6" t="s">
        <v>170</v>
      </c>
      <c r="AA2415" s="6" t="s">
        <v>171</v>
      </c>
      <c r="AB2415" s="6">
        <v>0</v>
      </c>
      <c r="AC2415" s="6" t="str">
        <f>"KEY-007"</f>
        <v>KEY-007</v>
      </c>
      <c r="AQ2415" s="6" t="str">
        <f>""</f>
        <v/>
      </c>
      <c r="AR2415" s="6" t="s">
        <v>1584</v>
      </c>
      <c r="AS2415" s="6">
        <v>0</v>
      </c>
      <c r="AT2415" s="6">
        <v>1</v>
      </c>
    </row>
    <row r="2416" spans="2:46">
      <c r="B2416" s="6" t="s">
        <v>9653</v>
      </c>
      <c r="D2416" s="6" t="s">
        <v>8189</v>
      </c>
      <c r="F2416" s="6" t="s">
        <v>10047</v>
      </c>
      <c r="G2416" s="6" t="str">
        <f>"GC7F3MM01IVM"</f>
        <v>GC7F3MM01IVM</v>
      </c>
      <c r="H2416" s="6" t="s">
        <v>10048</v>
      </c>
      <c r="I2416" s="6" t="s">
        <v>10049</v>
      </c>
      <c r="J2416" s="6" t="str">
        <f>"OGM_iv(M)"</f>
        <v>OGM_iv(M)</v>
      </c>
      <c r="K2416" s="6">
        <v>0</v>
      </c>
      <c r="L2416" s="6">
        <v>0</v>
      </c>
      <c r="M2416" s="6">
        <v>0</v>
      </c>
      <c r="N2416" s="6" t="str">
        <f>""</f>
        <v/>
      </c>
      <c r="O2416" s="6">
        <v>24726</v>
      </c>
      <c r="P2416" s="6" t="s">
        <v>10048</v>
      </c>
      <c r="R2416" s="6" t="s">
        <v>179</v>
      </c>
      <c r="S2416" s="6" t="s">
        <v>10050</v>
      </c>
      <c r="T2416" s="6">
        <v>0</v>
      </c>
      <c r="U2416" s="6">
        <v>0</v>
      </c>
      <c r="V2416" s="6">
        <v>0</v>
      </c>
      <c r="W2416" s="6">
        <v>0</v>
      </c>
      <c r="X2416" s="6" t="s">
        <v>169</v>
      </c>
      <c r="Z2416" s="6" t="s">
        <v>170</v>
      </c>
      <c r="AA2416" s="6" t="s">
        <v>171</v>
      </c>
      <c r="AB2416" s="6">
        <v>0</v>
      </c>
      <c r="AC2416" s="6" t="str">
        <f>""</f>
        <v/>
      </c>
      <c r="AS2416" s="6">
        <v>0</v>
      </c>
      <c r="AT2416" s="6">
        <v>0</v>
      </c>
    </row>
    <row r="2417" spans="2:46">
      <c r="B2417" s="6" t="s">
        <v>9653</v>
      </c>
      <c r="D2417" s="6" t="s">
        <v>8189</v>
      </c>
      <c r="F2417" s="6" t="s">
        <v>10051</v>
      </c>
      <c r="G2417" s="6" t="str">
        <f>"16FW16"</f>
        <v>16FW16</v>
      </c>
      <c r="H2417" s="6" t="s">
        <v>10052</v>
      </c>
      <c r="I2417" s="6" t="s">
        <v>10053</v>
      </c>
      <c r="J2417" s="6" t="str">
        <f>"16-[wool Knit] NOON Blue"</f>
        <v>16-[wool Knit] NOON Blue</v>
      </c>
      <c r="K2417" s="6">
        <v>0</v>
      </c>
      <c r="L2417" s="6">
        <v>0</v>
      </c>
      <c r="M2417" s="6">
        <v>0</v>
      </c>
      <c r="N2417" s="6" t="str">
        <f>""</f>
        <v/>
      </c>
      <c r="O2417" s="6">
        <v>24724</v>
      </c>
      <c r="P2417" s="6" t="s">
        <v>10052</v>
      </c>
      <c r="R2417" s="6" t="s">
        <v>2175</v>
      </c>
      <c r="S2417" s="6" t="s">
        <v>10054</v>
      </c>
      <c r="T2417" s="6">
        <v>0</v>
      </c>
      <c r="U2417" s="6">
        <v>0</v>
      </c>
      <c r="V2417" s="6">
        <v>0</v>
      </c>
      <c r="W2417" s="6">
        <v>0</v>
      </c>
      <c r="X2417" s="6" t="s">
        <v>169</v>
      </c>
      <c r="Z2417" s="6" t="s">
        <v>170</v>
      </c>
      <c r="AA2417" s="6" t="s">
        <v>171</v>
      </c>
      <c r="AB2417" s="6">
        <v>0</v>
      </c>
      <c r="AC2417" s="6" t="str">
        <f>""</f>
        <v/>
      </c>
      <c r="AS2417" s="6">
        <v>0</v>
      </c>
      <c r="AT2417" s="6">
        <v>0</v>
      </c>
    </row>
    <row r="2418" spans="2:46">
      <c r="B2418" s="6" t="s">
        <v>9653</v>
      </c>
      <c r="D2418" s="6" t="s">
        <v>8189</v>
      </c>
      <c r="F2418" s="6" t="s">
        <v>10055</v>
      </c>
      <c r="G2418" s="6" t="str">
        <f>"16FW12"</f>
        <v>16FW12</v>
      </c>
      <c r="H2418" s="6" t="s">
        <v>10056</v>
      </c>
      <c r="I2418" s="6" t="s">
        <v>10057</v>
      </c>
      <c r="J2418" s="6" t="str">
        <f>"12-Original Gray Hoodie"</f>
        <v>12-Original Gray Hoodie</v>
      </c>
      <c r="K2418" s="6">
        <v>0</v>
      </c>
      <c r="L2418" s="6">
        <v>0</v>
      </c>
      <c r="M2418" s="6">
        <v>0</v>
      </c>
      <c r="N2418" s="6" t="str">
        <f>""</f>
        <v/>
      </c>
      <c r="O2418" s="6">
        <v>24722</v>
      </c>
      <c r="P2418" s="6" t="s">
        <v>10056</v>
      </c>
      <c r="R2418" s="6" t="s">
        <v>10058</v>
      </c>
      <c r="S2418" s="6" t="s">
        <v>10059</v>
      </c>
      <c r="T2418" s="6">
        <v>0</v>
      </c>
      <c r="U2418" s="6">
        <v>0</v>
      </c>
      <c r="V2418" s="6">
        <v>0</v>
      </c>
      <c r="W2418" s="6">
        <v>0</v>
      </c>
      <c r="X2418" s="6" t="s">
        <v>169</v>
      </c>
      <c r="Z2418" s="6" t="s">
        <v>170</v>
      </c>
      <c r="AA2418" s="6" t="s">
        <v>171</v>
      </c>
      <c r="AB2418" s="6">
        <v>0</v>
      </c>
      <c r="AC2418" s="6" t="str">
        <f>""</f>
        <v/>
      </c>
      <c r="AS2418" s="6">
        <v>0</v>
      </c>
      <c r="AT2418" s="6">
        <v>0</v>
      </c>
    </row>
    <row r="2419" spans="2:46">
      <c r="B2419" s="6" t="s">
        <v>9653</v>
      </c>
      <c r="D2419" s="6" t="s">
        <v>8189</v>
      </c>
      <c r="F2419" s="6" t="s">
        <v>10060</v>
      </c>
      <c r="G2419" s="6" t="str">
        <f>"16FW09"</f>
        <v>16FW09</v>
      </c>
      <c r="H2419" s="6" t="s">
        <v>10061</v>
      </c>
      <c r="I2419" s="6" t="s">
        <v>10062</v>
      </c>
      <c r="J2419" s="6" t="str">
        <f>"9-Original Beige"</f>
        <v>9-Original Beige</v>
      </c>
      <c r="K2419" s="6">
        <v>0</v>
      </c>
      <c r="L2419" s="6">
        <v>0</v>
      </c>
      <c r="M2419" s="6">
        <v>0</v>
      </c>
      <c r="N2419" s="6" t="str">
        <f>""</f>
        <v/>
      </c>
      <c r="O2419" s="6">
        <v>24720</v>
      </c>
      <c r="P2419" s="6" t="s">
        <v>10061</v>
      </c>
      <c r="R2419" s="6" t="s">
        <v>10063</v>
      </c>
      <c r="S2419" s="6" t="s">
        <v>10064</v>
      </c>
      <c r="T2419" s="6">
        <v>0</v>
      </c>
      <c r="U2419" s="6">
        <v>0</v>
      </c>
      <c r="V2419" s="6">
        <v>0</v>
      </c>
      <c r="W2419" s="6">
        <v>0</v>
      </c>
      <c r="X2419" s="6" t="s">
        <v>169</v>
      </c>
      <c r="Z2419" s="6" t="s">
        <v>170</v>
      </c>
      <c r="AA2419" s="6" t="s">
        <v>171</v>
      </c>
      <c r="AB2419" s="6">
        <v>0</v>
      </c>
      <c r="AC2419" s="6" t="str">
        <f>""</f>
        <v/>
      </c>
      <c r="AS2419" s="6">
        <v>0</v>
      </c>
      <c r="AT2419" s="6">
        <v>0</v>
      </c>
    </row>
    <row r="2420" spans="2:46">
      <c r="B2420" s="6" t="s">
        <v>9653</v>
      </c>
      <c r="D2420" s="6" t="s">
        <v>8189</v>
      </c>
      <c r="F2420" s="6" t="s">
        <v>10065</v>
      </c>
      <c r="G2420" s="6" t="str">
        <f>"16FW19"</f>
        <v>16FW19</v>
      </c>
      <c r="H2420" s="6" t="s">
        <v>10066</v>
      </c>
      <c r="I2420" s="6" t="s">
        <v>10067</v>
      </c>
      <c r="J2420" s="6" t="str">
        <f>"19-[wool Knit] NOON mustard pola"</f>
        <v>19-[wool Knit] NOON mustard pola</v>
      </c>
      <c r="K2420" s="6">
        <v>0</v>
      </c>
      <c r="L2420" s="6">
        <v>0</v>
      </c>
      <c r="M2420" s="6">
        <v>0</v>
      </c>
      <c r="N2420" s="6" t="str">
        <f>""</f>
        <v/>
      </c>
      <c r="O2420" s="6">
        <v>24718</v>
      </c>
      <c r="P2420" s="6" t="s">
        <v>10066</v>
      </c>
      <c r="R2420" s="6" t="s">
        <v>2369</v>
      </c>
      <c r="S2420" s="6" t="s">
        <v>10068</v>
      </c>
      <c r="T2420" s="6">
        <v>0</v>
      </c>
      <c r="U2420" s="6">
        <v>0</v>
      </c>
      <c r="V2420" s="6">
        <v>0</v>
      </c>
      <c r="W2420" s="6">
        <v>0</v>
      </c>
      <c r="X2420" s="6" t="s">
        <v>169</v>
      </c>
      <c r="Z2420" s="6" t="s">
        <v>170</v>
      </c>
      <c r="AA2420" s="6" t="s">
        <v>171</v>
      </c>
      <c r="AB2420" s="6">
        <v>0</v>
      </c>
      <c r="AC2420" s="6" t="str">
        <f>""</f>
        <v/>
      </c>
      <c r="AS2420" s="6">
        <v>0</v>
      </c>
      <c r="AT2420" s="6">
        <v>0</v>
      </c>
    </row>
    <row r="2421" spans="2:46">
      <c r="B2421" s="6" t="s">
        <v>9653</v>
      </c>
      <c r="D2421" s="6" t="s">
        <v>8189</v>
      </c>
      <c r="F2421" s="6" t="s">
        <v>10069</v>
      </c>
      <c r="G2421" s="6" t="str">
        <f>"17SS0416"</f>
        <v>17SS0416</v>
      </c>
      <c r="H2421" s="6" t="s">
        <v>10070</v>
      </c>
      <c r="I2421" s="6" t="s">
        <v>10071</v>
      </c>
      <c r="J2421" s="6" t="str">
        <f>"16. Amen (black)"</f>
        <v>16. Amen (black)</v>
      </c>
      <c r="K2421" s="6">
        <v>0</v>
      </c>
      <c r="L2421" s="6">
        <v>0</v>
      </c>
      <c r="M2421" s="6">
        <v>0</v>
      </c>
      <c r="N2421" s="6" t="str">
        <f>""</f>
        <v/>
      </c>
      <c r="O2421" s="6">
        <v>24716</v>
      </c>
      <c r="P2421" s="6" t="s">
        <v>10070</v>
      </c>
      <c r="R2421" s="6" t="s">
        <v>188</v>
      </c>
      <c r="S2421" s="6" t="s">
        <v>10072</v>
      </c>
      <c r="T2421" s="6">
        <v>0</v>
      </c>
      <c r="U2421" s="6">
        <v>0</v>
      </c>
      <c r="V2421" s="6">
        <v>0</v>
      </c>
      <c r="W2421" s="6">
        <v>0</v>
      </c>
      <c r="X2421" s="6" t="s">
        <v>169</v>
      </c>
      <c r="Z2421" s="6" t="s">
        <v>170</v>
      </c>
      <c r="AA2421" s="6" t="s">
        <v>171</v>
      </c>
      <c r="AB2421" s="6">
        <v>0</v>
      </c>
      <c r="AC2421" s="6" t="str">
        <f>""</f>
        <v/>
      </c>
      <c r="AS2421" s="6">
        <v>0</v>
      </c>
      <c r="AT2421" s="6">
        <v>0</v>
      </c>
    </row>
    <row r="2422" spans="2:46">
      <c r="B2422" s="6" t="s">
        <v>9653</v>
      </c>
      <c r="D2422" s="6" t="s">
        <v>8189</v>
      </c>
      <c r="F2422" s="6" t="s">
        <v>10073</v>
      </c>
      <c r="G2422" s="6" t="str">
        <f>"16FW14"</f>
        <v>16FW14</v>
      </c>
      <c r="H2422" s="6" t="s">
        <v>10074</v>
      </c>
      <c r="I2422" s="6" t="s">
        <v>10075</v>
      </c>
      <c r="J2422" s="6" t="str">
        <f>"14- NOON Red Hoodie"</f>
        <v>14- NOON Red Hoodie</v>
      </c>
      <c r="K2422" s="6">
        <v>0</v>
      </c>
      <c r="L2422" s="6">
        <v>0</v>
      </c>
      <c r="M2422" s="6">
        <v>0</v>
      </c>
      <c r="N2422" s="6" t="str">
        <f>""</f>
        <v/>
      </c>
      <c r="O2422" s="6">
        <v>24714</v>
      </c>
      <c r="P2422" s="6" t="s">
        <v>10074</v>
      </c>
      <c r="R2422" s="6" t="s">
        <v>2309</v>
      </c>
      <c r="S2422" s="6" t="s">
        <v>10076</v>
      </c>
      <c r="T2422" s="6">
        <v>0</v>
      </c>
      <c r="U2422" s="6">
        <v>0</v>
      </c>
      <c r="V2422" s="6">
        <v>0</v>
      </c>
      <c r="W2422" s="6">
        <v>0</v>
      </c>
      <c r="X2422" s="6" t="s">
        <v>169</v>
      </c>
      <c r="Z2422" s="6" t="s">
        <v>170</v>
      </c>
      <c r="AA2422" s="6" t="s">
        <v>171</v>
      </c>
      <c r="AB2422" s="6">
        <v>0</v>
      </c>
      <c r="AC2422" s="6" t="str">
        <f>""</f>
        <v/>
      </c>
      <c r="AS2422" s="6">
        <v>0</v>
      </c>
      <c r="AT2422" s="6">
        <v>0</v>
      </c>
    </row>
    <row r="2423" spans="2:46">
      <c r="B2423" s="6" t="s">
        <v>9653</v>
      </c>
      <c r="D2423" s="6" t="s">
        <v>8189</v>
      </c>
      <c r="F2423" s="6" t="s">
        <v>10077</v>
      </c>
      <c r="G2423" s="6" t="str">
        <f>"16FW08"</f>
        <v>16FW08</v>
      </c>
      <c r="H2423" s="6" t="s">
        <v>10078</v>
      </c>
      <c r="I2423" s="6" t="s">
        <v>10079</v>
      </c>
      <c r="J2423" s="6" t="str">
        <f>"8- Original Navy"</f>
        <v>8- Original Navy</v>
      </c>
      <c r="K2423" s="6">
        <v>0</v>
      </c>
      <c r="L2423" s="6">
        <v>0</v>
      </c>
      <c r="M2423" s="6">
        <v>0</v>
      </c>
      <c r="N2423" s="6" t="str">
        <f>""</f>
        <v/>
      </c>
      <c r="O2423" s="6">
        <v>24712</v>
      </c>
      <c r="P2423" s="6" t="s">
        <v>10078</v>
      </c>
      <c r="R2423" s="6" t="s">
        <v>2111</v>
      </c>
      <c r="S2423" s="6" t="s">
        <v>10080</v>
      </c>
      <c r="T2423" s="6">
        <v>0</v>
      </c>
      <c r="U2423" s="6">
        <v>0</v>
      </c>
      <c r="V2423" s="6">
        <v>0</v>
      </c>
      <c r="W2423" s="6">
        <v>0</v>
      </c>
      <c r="X2423" s="6" t="s">
        <v>169</v>
      </c>
      <c r="Z2423" s="6" t="s">
        <v>170</v>
      </c>
      <c r="AA2423" s="6" t="s">
        <v>171</v>
      </c>
      <c r="AB2423" s="6">
        <v>0</v>
      </c>
      <c r="AC2423" s="6" t="str">
        <f>""</f>
        <v/>
      </c>
      <c r="AS2423" s="6">
        <v>0</v>
      </c>
      <c r="AT2423" s="6">
        <v>0</v>
      </c>
    </row>
    <row r="2424" spans="2:46">
      <c r="B2424" s="6" t="s">
        <v>9653</v>
      </c>
      <c r="D2424" s="6" t="s">
        <v>8189</v>
      </c>
      <c r="F2424" s="6" t="s">
        <v>10081</v>
      </c>
      <c r="G2424" s="6" t="str">
        <f>"16FW01"</f>
        <v>16FW01</v>
      </c>
      <c r="H2424" s="6" t="s">
        <v>10082</v>
      </c>
      <c r="I2424" s="6" t="s">
        <v>10083</v>
      </c>
      <c r="J2424" s="6" t="str">
        <f>"1-NOON Blue T"</f>
        <v>1-NOON Blue T</v>
      </c>
      <c r="K2424" s="6">
        <v>0</v>
      </c>
      <c r="L2424" s="6">
        <v>0</v>
      </c>
      <c r="M2424" s="6">
        <v>0</v>
      </c>
      <c r="N2424" s="6" t="str">
        <f>""</f>
        <v/>
      </c>
      <c r="O2424" s="6">
        <v>24710</v>
      </c>
      <c r="P2424" s="6" t="s">
        <v>10082</v>
      </c>
      <c r="R2424" s="6" t="s">
        <v>2175</v>
      </c>
      <c r="S2424" s="6" t="s">
        <v>10084</v>
      </c>
      <c r="T2424" s="6">
        <v>0</v>
      </c>
      <c r="U2424" s="6">
        <v>0</v>
      </c>
      <c r="V2424" s="6">
        <v>0</v>
      </c>
      <c r="W2424" s="6">
        <v>0</v>
      </c>
      <c r="X2424" s="6" t="s">
        <v>169</v>
      </c>
      <c r="Z2424" s="6" t="s">
        <v>170</v>
      </c>
      <c r="AA2424" s="6" t="s">
        <v>171</v>
      </c>
      <c r="AB2424" s="6">
        <v>0</v>
      </c>
      <c r="AC2424" s="6" t="str">
        <f>""</f>
        <v/>
      </c>
      <c r="AS2424" s="6">
        <v>0</v>
      </c>
      <c r="AT2424" s="6">
        <v>0</v>
      </c>
    </row>
    <row r="2425" spans="2:46">
      <c r="B2425" s="6" t="s">
        <v>9653</v>
      </c>
      <c r="D2425" s="6" t="s">
        <v>8189</v>
      </c>
      <c r="F2425" s="6" t="s">
        <v>10085</v>
      </c>
      <c r="G2425" s="6" t="str">
        <f>"17SS0410"</f>
        <v>17SS0410</v>
      </c>
      <c r="H2425" s="6" t="s">
        <v>10086</v>
      </c>
      <c r="I2425" s="6" t="s">
        <v>10087</v>
      </c>
      <c r="J2425" s="6" t="str">
        <f>"THE BIBLE (GRAY)"</f>
        <v>THE BIBLE (GRAY)</v>
      </c>
      <c r="K2425" s="6">
        <v>0</v>
      </c>
      <c r="L2425" s="6">
        <v>0</v>
      </c>
      <c r="M2425" s="6">
        <v>0</v>
      </c>
      <c r="N2425" s="6" t="str">
        <f>""</f>
        <v/>
      </c>
      <c r="O2425" s="6">
        <v>24708</v>
      </c>
      <c r="P2425" s="6" t="s">
        <v>10086</v>
      </c>
      <c r="R2425" s="6" t="s">
        <v>5747</v>
      </c>
      <c r="S2425" s="6" t="s">
        <v>10088</v>
      </c>
      <c r="T2425" s="6">
        <v>0</v>
      </c>
      <c r="U2425" s="6">
        <v>0</v>
      </c>
      <c r="V2425" s="6">
        <v>0</v>
      </c>
      <c r="W2425" s="6">
        <v>0</v>
      </c>
      <c r="X2425" s="6" t="s">
        <v>169</v>
      </c>
      <c r="Z2425" s="6" t="s">
        <v>170</v>
      </c>
      <c r="AA2425" s="6" t="s">
        <v>171</v>
      </c>
      <c r="AB2425" s="6">
        <v>0</v>
      </c>
      <c r="AC2425" s="6" t="str">
        <f>""</f>
        <v/>
      </c>
      <c r="AS2425" s="6">
        <v>0</v>
      </c>
      <c r="AT2425" s="6">
        <v>0</v>
      </c>
    </row>
    <row r="2426" spans="2:46">
      <c r="B2426" s="6" t="s">
        <v>9653</v>
      </c>
      <c r="D2426" s="6" t="s">
        <v>8189</v>
      </c>
      <c r="F2426" s="6" t="s">
        <v>10089</v>
      </c>
      <c r="G2426" s="6" t="str">
        <f>"17SS0409"</f>
        <v>17SS0409</v>
      </c>
      <c r="H2426" s="6" t="s">
        <v>10090</v>
      </c>
      <c r="I2426" s="6" t="s">
        <v>10091</v>
      </c>
      <c r="J2426" s="6" t="str">
        <f>"THE BIBLE (WHITE)"</f>
        <v>THE BIBLE (WHITE)</v>
      </c>
      <c r="K2426" s="6">
        <v>0</v>
      </c>
      <c r="L2426" s="6">
        <v>0</v>
      </c>
      <c r="M2426" s="6">
        <v>0</v>
      </c>
      <c r="N2426" s="6" t="str">
        <f>""</f>
        <v/>
      </c>
      <c r="O2426" s="6">
        <v>24706</v>
      </c>
      <c r="P2426" s="6" t="s">
        <v>10090</v>
      </c>
      <c r="R2426" s="6" t="s">
        <v>9696</v>
      </c>
      <c r="S2426" s="6" t="s">
        <v>10092</v>
      </c>
      <c r="T2426" s="6">
        <v>0</v>
      </c>
      <c r="U2426" s="6">
        <v>0</v>
      </c>
      <c r="V2426" s="6">
        <v>0</v>
      </c>
      <c r="W2426" s="6">
        <v>0</v>
      </c>
      <c r="X2426" s="6" t="s">
        <v>169</v>
      </c>
      <c r="Z2426" s="6" t="s">
        <v>170</v>
      </c>
      <c r="AA2426" s="6" t="s">
        <v>171</v>
      </c>
      <c r="AB2426" s="6">
        <v>0</v>
      </c>
      <c r="AC2426" s="6" t="str">
        <f>""</f>
        <v/>
      </c>
      <c r="AS2426" s="6">
        <v>0</v>
      </c>
      <c r="AT2426" s="6">
        <v>0</v>
      </c>
    </row>
    <row r="2427" spans="2:46">
      <c r="B2427" s="6" t="s">
        <v>9653</v>
      </c>
      <c r="D2427" s="6" t="s">
        <v>8189</v>
      </c>
      <c r="F2427" s="6" t="s">
        <v>10093</v>
      </c>
      <c r="G2427" s="6" t="str">
        <f>"17SS0418"</f>
        <v>17SS0418</v>
      </c>
      <c r="H2427" s="6" t="s">
        <v>10094</v>
      </c>
      <c r="I2427" s="6" t="s">
        <v>10095</v>
      </c>
      <c r="J2427" s="6" t="str">
        <f>"SCAR (Gray)"</f>
        <v>SCAR (Gray)</v>
      </c>
      <c r="K2427" s="6">
        <v>0</v>
      </c>
      <c r="L2427" s="6">
        <v>0</v>
      </c>
      <c r="M2427" s="6">
        <v>0</v>
      </c>
      <c r="N2427" s="6" t="str">
        <f>""</f>
        <v/>
      </c>
      <c r="O2427" s="6">
        <v>24704</v>
      </c>
      <c r="P2427" s="6" t="s">
        <v>10094</v>
      </c>
      <c r="R2427" s="6" t="s">
        <v>9803</v>
      </c>
      <c r="S2427" s="6" t="s">
        <v>10096</v>
      </c>
      <c r="T2427" s="6">
        <v>0</v>
      </c>
      <c r="U2427" s="6">
        <v>0</v>
      </c>
      <c r="V2427" s="6">
        <v>0</v>
      </c>
      <c r="W2427" s="6">
        <v>0</v>
      </c>
      <c r="X2427" s="6" t="s">
        <v>169</v>
      </c>
      <c r="Z2427" s="6" t="s">
        <v>170</v>
      </c>
      <c r="AA2427" s="6" t="s">
        <v>171</v>
      </c>
      <c r="AB2427" s="6">
        <v>0</v>
      </c>
      <c r="AC2427" s="6" t="str">
        <f>""</f>
        <v/>
      </c>
      <c r="AS2427" s="6">
        <v>0</v>
      </c>
      <c r="AT2427" s="6">
        <v>0</v>
      </c>
    </row>
    <row r="2428" spans="2:46">
      <c r="B2428" s="6" t="s">
        <v>9653</v>
      </c>
      <c r="D2428" s="6" t="s">
        <v>8189</v>
      </c>
      <c r="F2428" s="6" t="s">
        <v>10097</v>
      </c>
      <c r="G2428" s="6" t="str">
        <f>"17SS0407"</f>
        <v>17SS0407</v>
      </c>
      <c r="H2428" s="6" t="s">
        <v>10098</v>
      </c>
      <c r="I2428" s="6" t="s">
        <v>10099</v>
      </c>
      <c r="J2428" s="6" t="str">
        <f>"Tears (white) 공용"</f>
        <v>Tears (white) 공용</v>
      </c>
      <c r="K2428" s="6">
        <v>0</v>
      </c>
      <c r="L2428" s="6">
        <v>0</v>
      </c>
      <c r="M2428" s="6">
        <v>0</v>
      </c>
      <c r="N2428" s="6" t="str">
        <f>""</f>
        <v/>
      </c>
      <c r="O2428" s="6">
        <v>24702</v>
      </c>
      <c r="P2428" s="6" t="s">
        <v>10098</v>
      </c>
      <c r="R2428" s="6" t="s">
        <v>9691</v>
      </c>
      <c r="S2428" s="6" t="s">
        <v>10100</v>
      </c>
      <c r="T2428" s="6">
        <v>0</v>
      </c>
      <c r="U2428" s="6">
        <v>0</v>
      </c>
      <c r="V2428" s="6">
        <v>0</v>
      </c>
      <c r="W2428" s="6">
        <v>0</v>
      </c>
      <c r="X2428" s="6" t="s">
        <v>169</v>
      </c>
      <c r="Z2428" s="6" t="s">
        <v>170</v>
      </c>
      <c r="AA2428" s="6" t="s">
        <v>171</v>
      </c>
      <c r="AB2428" s="6">
        <v>0</v>
      </c>
      <c r="AC2428" s="6" t="str">
        <f>""</f>
        <v/>
      </c>
      <c r="AS2428" s="6">
        <v>0</v>
      </c>
      <c r="AT2428" s="6">
        <v>0</v>
      </c>
    </row>
    <row r="2429" spans="2:46">
      <c r="B2429" s="6" t="s">
        <v>9653</v>
      </c>
      <c r="D2429" s="6" t="s">
        <v>8189</v>
      </c>
      <c r="F2429" s="6" t="s">
        <v>10101</v>
      </c>
      <c r="G2429" s="6" t="str">
        <f>"17SS0408"</f>
        <v>17SS0408</v>
      </c>
      <c r="I2429" s="6" t="s">
        <v>10102</v>
      </c>
      <c r="J2429" s="6" t="str">
        <f>"Tears (NAVY)"</f>
        <v>Tears (NAVY)</v>
      </c>
      <c r="K2429" s="6">
        <v>0</v>
      </c>
      <c r="L2429" s="6">
        <v>0</v>
      </c>
      <c r="M2429" s="6">
        <v>0</v>
      </c>
      <c r="N2429" s="6" t="str">
        <f>""</f>
        <v/>
      </c>
      <c r="O2429" s="6">
        <v>24700</v>
      </c>
      <c r="P2429" s="6" t="s">
        <v>10103</v>
      </c>
      <c r="R2429" s="6" t="s">
        <v>5764</v>
      </c>
      <c r="S2429" s="6" t="s">
        <v>10104</v>
      </c>
      <c r="T2429" s="6">
        <v>1</v>
      </c>
      <c r="U2429" s="6">
        <v>0</v>
      </c>
      <c r="V2429" s="6">
        <v>0</v>
      </c>
      <c r="W2429" s="6">
        <v>0</v>
      </c>
      <c r="X2429" s="6" t="s">
        <v>169</v>
      </c>
      <c r="Z2429" s="6" t="s">
        <v>170</v>
      </c>
      <c r="AA2429" s="6" t="s">
        <v>171</v>
      </c>
      <c r="AB2429" s="6">
        <v>0</v>
      </c>
      <c r="AC2429" s="6" t="str">
        <f>"KEY-016"</f>
        <v>KEY-016</v>
      </c>
      <c r="AQ2429" s="6" t="str">
        <f>""</f>
        <v/>
      </c>
      <c r="AR2429" s="6" t="s">
        <v>1567</v>
      </c>
      <c r="AS2429" s="6">
        <v>0</v>
      </c>
      <c r="AT2429" s="6">
        <v>1</v>
      </c>
    </row>
    <row r="2430" spans="2:46">
      <c r="B2430" s="6" t="s">
        <v>9653</v>
      </c>
      <c r="D2430" s="6" t="s">
        <v>8189</v>
      </c>
      <c r="F2430" s="6" t="s">
        <v>10105</v>
      </c>
      <c r="G2430" s="6" t="str">
        <f>"17SS0405"</f>
        <v>17SS0405</v>
      </c>
      <c r="I2430" s="6" t="s">
        <v>10106</v>
      </c>
      <c r="J2430" s="6" t="str">
        <f>"ROMANS CROSS (WHITE)"</f>
        <v>ROMANS CROSS (WHITE)</v>
      </c>
      <c r="K2430" s="6">
        <v>0</v>
      </c>
      <c r="L2430" s="6">
        <v>0</v>
      </c>
      <c r="M2430" s="6">
        <v>0</v>
      </c>
      <c r="N2430" s="6" t="str">
        <f>""</f>
        <v/>
      </c>
      <c r="O2430" s="6">
        <v>24698</v>
      </c>
      <c r="P2430" s="6" t="s">
        <v>10107</v>
      </c>
      <c r="R2430" s="6" t="s">
        <v>10108</v>
      </c>
      <c r="S2430" s="6" t="s">
        <v>10109</v>
      </c>
      <c r="T2430" s="6">
        <v>1</v>
      </c>
      <c r="U2430" s="6">
        <v>0</v>
      </c>
      <c r="V2430" s="6">
        <v>0</v>
      </c>
      <c r="W2430" s="6">
        <v>0</v>
      </c>
      <c r="X2430" s="6" t="s">
        <v>169</v>
      </c>
      <c r="Z2430" s="6" t="s">
        <v>170</v>
      </c>
      <c r="AA2430" s="6" t="s">
        <v>171</v>
      </c>
      <c r="AB2430" s="6">
        <v>0</v>
      </c>
      <c r="AC2430" s="6" t="str">
        <f>"KEY-014"</f>
        <v>KEY-014</v>
      </c>
      <c r="AQ2430" s="6" t="str">
        <f>""</f>
        <v/>
      </c>
      <c r="AR2430" s="6" t="s">
        <v>1584</v>
      </c>
      <c r="AS2430" s="6">
        <v>0</v>
      </c>
      <c r="AT2430" s="6">
        <v>1</v>
      </c>
    </row>
    <row r="2431" spans="2:46">
      <c r="B2431" s="6" t="s">
        <v>9653</v>
      </c>
      <c r="D2431" s="6" t="s">
        <v>8189</v>
      </c>
      <c r="F2431" s="6" t="s">
        <v>10110</v>
      </c>
      <c r="G2431" s="6" t="str">
        <f>"17SS0401"</f>
        <v>17SS0401</v>
      </c>
      <c r="I2431" s="6" t="s">
        <v>10111</v>
      </c>
      <c r="J2431" s="6" t="str">
        <f>"STITCH (WHITE/BLACK)"</f>
        <v>STITCH (WHITE/BLACK)</v>
      </c>
      <c r="K2431" s="6">
        <v>0</v>
      </c>
      <c r="L2431" s="6">
        <v>0</v>
      </c>
      <c r="M2431" s="6">
        <v>0</v>
      </c>
      <c r="N2431" s="6" t="str">
        <f>""</f>
        <v/>
      </c>
      <c r="O2431" s="6">
        <v>24696</v>
      </c>
      <c r="P2431" s="6" t="s">
        <v>10112</v>
      </c>
      <c r="R2431" s="6" t="s">
        <v>10108</v>
      </c>
      <c r="S2431" s="6" t="s">
        <v>10113</v>
      </c>
      <c r="T2431" s="6">
        <v>1</v>
      </c>
      <c r="U2431" s="6">
        <v>0</v>
      </c>
      <c r="V2431" s="6">
        <v>0</v>
      </c>
      <c r="W2431" s="6">
        <v>0</v>
      </c>
      <c r="X2431" s="6" t="s">
        <v>169</v>
      </c>
      <c r="Z2431" s="6" t="s">
        <v>170</v>
      </c>
      <c r="AA2431" s="6" t="s">
        <v>171</v>
      </c>
      <c r="AB2431" s="6">
        <v>0</v>
      </c>
      <c r="AC2431" s="6" t="str">
        <f>"KEY-013"</f>
        <v>KEY-013</v>
      </c>
      <c r="AQ2431" s="6" t="str">
        <f>""</f>
        <v/>
      </c>
      <c r="AR2431" s="6" t="s">
        <v>1584</v>
      </c>
      <c r="AS2431" s="6">
        <v>0</v>
      </c>
      <c r="AT2431" s="6">
        <v>2</v>
      </c>
    </row>
    <row r="2432" spans="2:46">
      <c r="B2432" s="6" t="s">
        <v>9653</v>
      </c>
      <c r="D2432" s="6" t="s">
        <v>8189</v>
      </c>
      <c r="F2432" s="6" t="s">
        <v>10114</v>
      </c>
      <c r="G2432" s="6" t="str">
        <f>"17SS0406"</f>
        <v>17SS0406</v>
      </c>
      <c r="H2432" s="6" t="s">
        <v>10115</v>
      </c>
      <c r="I2432" s="6" t="s">
        <v>10116</v>
      </c>
      <c r="J2432" s="6" t="str">
        <f>"ROMANS T CROSS (BLACK)"</f>
        <v>ROMANS T CROSS (BLACK)</v>
      </c>
      <c r="K2432" s="6">
        <v>0</v>
      </c>
      <c r="L2432" s="6">
        <v>0</v>
      </c>
      <c r="M2432" s="6">
        <v>0</v>
      </c>
      <c r="N2432" s="6" t="str">
        <f>""</f>
        <v/>
      </c>
      <c r="O2432" s="6">
        <v>24694</v>
      </c>
      <c r="P2432" s="6" t="s">
        <v>10115</v>
      </c>
      <c r="R2432" s="6" t="s">
        <v>5106</v>
      </c>
      <c r="S2432" s="6" t="s">
        <v>10117</v>
      </c>
      <c r="T2432" s="6">
        <v>0</v>
      </c>
      <c r="U2432" s="6">
        <v>0</v>
      </c>
      <c r="V2432" s="6">
        <v>0</v>
      </c>
      <c r="W2432" s="6">
        <v>0</v>
      </c>
      <c r="X2432" s="6" t="s">
        <v>169</v>
      </c>
      <c r="Z2432" s="6" t="s">
        <v>170</v>
      </c>
      <c r="AA2432" s="6" t="s">
        <v>171</v>
      </c>
      <c r="AB2432" s="6">
        <v>0</v>
      </c>
      <c r="AC2432" s="6" t="str">
        <f>""</f>
        <v/>
      </c>
      <c r="AS2432" s="6">
        <v>0</v>
      </c>
      <c r="AT2432" s="6">
        <v>0</v>
      </c>
    </row>
    <row r="2433" spans="2:46">
      <c r="B2433" s="6" t="s">
        <v>10118</v>
      </c>
      <c r="D2433" s="6" t="s">
        <v>8189</v>
      </c>
      <c r="F2433" s="6" t="s">
        <v>10119</v>
      </c>
      <c r="G2433" s="6" t="str">
        <f>"GE17SSER01CRFR"</f>
        <v>GE17SSER01CRFR</v>
      </c>
      <c r="H2433" s="6" t="s">
        <v>10120</v>
      </c>
      <c r="I2433" s="6" t="s">
        <v>10121</v>
      </c>
      <c r="J2433" s="6" t="str">
        <f>"TL901CR"</f>
        <v>TL901CR</v>
      </c>
      <c r="K2433" s="6">
        <v>0</v>
      </c>
      <c r="L2433" s="6">
        <v>0</v>
      </c>
      <c r="M2433" s="6">
        <v>0</v>
      </c>
      <c r="N2433" s="6" t="str">
        <f>""</f>
        <v/>
      </c>
      <c r="O2433" s="6">
        <v>24692</v>
      </c>
      <c r="P2433" s="6" t="s">
        <v>10121</v>
      </c>
      <c r="R2433" s="6" t="s">
        <v>10122</v>
      </c>
      <c r="S2433" s="6" t="s">
        <v>10123</v>
      </c>
      <c r="T2433" s="6">
        <v>0</v>
      </c>
      <c r="U2433" s="6">
        <v>0</v>
      </c>
      <c r="V2433" s="6">
        <v>0</v>
      </c>
      <c r="W2433" s="6">
        <v>0</v>
      </c>
      <c r="X2433" s="6" t="s">
        <v>169</v>
      </c>
      <c r="Z2433" s="6" t="s">
        <v>170</v>
      </c>
      <c r="AA2433" s="6" t="s">
        <v>171</v>
      </c>
      <c r="AB2433" s="6">
        <v>0</v>
      </c>
      <c r="AC2433" s="6" t="str">
        <f>""</f>
        <v/>
      </c>
      <c r="AS2433" s="6">
        <v>0</v>
      </c>
      <c r="AT2433" s="6">
        <v>0</v>
      </c>
    </row>
    <row r="2434" spans="2:46">
      <c r="B2434" s="6" t="s">
        <v>10118</v>
      </c>
      <c r="D2434" s="6" t="s">
        <v>8189</v>
      </c>
      <c r="F2434" s="6" t="s">
        <v>10124</v>
      </c>
      <c r="G2434" s="6" t="str">
        <f>"GE17SSNC05CRFR"</f>
        <v>GE17SSNC05CRFR</v>
      </c>
      <c r="H2434" s="6" t="s">
        <v>10125</v>
      </c>
      <c r="I2434" s="6" t="s">
        <v>10126</v>
      </c>
      <c r="J2434" s="6" t="str">
        <f>"WN705CR"</f>
        <v>WN705CR</v>
      </c>
      <c r="K2434" s="6">
        <v>0</v>
      </c>
      <c r="L2434" s="6">
        <v>0</v>
      </c>
      <c r="M2434" s="6">
        <v>0</v>
      </c>
      <c r="N2434" s="6" t="str">
        <f>""</f>
        <v/>
      </c>
      <c r="O2434" s="6">
        <v>24690</v>
      </c>
      <c r="P2434" s="6" t="s">
        <v>10126</v>
      </c>
      <c r="R2434" s="6" t="s">
        <v>10127</v>
      </c>
      <c r="S2434" s="6" t="s">
        <v>10128</v>
      </c>
      <c r="T2434" s="6">
        <v>0</v>
      </c>
      <c r="U2434" s="6">
        <v>0</v>
      </c>
      <c r="V2434" s="6">
        <v>0</v>
      </c>
      <c r="W2434" s="6">
        <v>0</v>
      </c>
      <c r="X2434" s="6" t="s">
        <v>169</v>
      </c>
      <c r="Z2434" s="6" t="s">
        <v>170</v>
      </c>
      <c r="AA2434" s="6" t="s">
        <v>171</v>
      </c>
      <c r="AB2434" s="6">
        <v>0</v>
      </c>
      <c r="AC2434" s="6" t="str">
        <f>""</f>
        <v/>
      </c>
      <c r="AS2434" s="6">
        <v>0</v>
      </c>
      <c r="AT2434" s="6">
        <v>0</v>
      </c>
    </row>
    <row r="2435" spans="2:46">
      <c r="B2435" s="6" t="s">
        <v>10118</v>
      </c>
      <c r="D2435" s="6" t="s">
        <v>8189</v>
      </c>
      <c r="F2435" s="6" t="s">
        <v>10129</v>
      </c>
      <c r="G2435" s="6" t="str">
        <f>"GE18SSBC01JQFR"</f>
        <v>GE18SSBC01JQFR</v>
      </c>
      <c r="H2435" s="6" t="s">
        <v>10130</v>
      </c>
      <c r="I2435" s="6" t="s">
        <v>10131</v>
      </c>
      <c r="J2435" s="6" t="str">
        <f>"NR100JQ"</f>
        <v>NR100JQ</v>
      </c>
      <c r="K2435" s="6">
        <v>0</v>
      </c>
      <c r="L2435" s="6">
        <v>0</v>
      </c>
      <c r="M2435" s="6">
        <v>0</v>
      </c>
      <c r="N2435" s="6" t="str">
        <f>""</f>
        <v/>
      </c>
      <c r="O2435" s="6">
        <v>24688</v>
      </c>
      <c r="P2435" s="6" t="s">
        <v>10131</v>
      </c>
      <c r="R2435" s="6" t="s">
        <v>10132</v>
      </c>
      <c r="S2435" s="6" t="s">
        <v>10133</v>
      </c>
      <c r="T2435" s="6">
        <v>0</v>
      </c>
      <c r="U2435" s="6">
        <v>0</v>
      </c>
      <c r="V2435" s="6">
        <v>0</v>
      </c>
      <c r="W2435" s="6">
        <v>0</v>
      </c>
      <c r="X2435" s="6" t="s">
        <v>169</v>
      </c>
      <c r="Z2435" s="6" t="s">
        <v>170</v>
      </c>
      <c r="AA2435" s="6" t="s">
        <v>171</v>
      </c>
      <c r="AB2435" s="6">
        <v>0</v>
      </c>
      <c r="AC2435" s="6" t="str">
        <f>""</f>
        <v/>
      </c>
      <c r="AS2435" s="6">
        <v>0</v>
      </c>
      <c r="AT2435" s="6">
        <v>0</v>
      </c>
    </row>
    <row r="2436" spans="2:46">
      <c r="B2436" s="6" t="s">
        <v>10118</v>
      </c>
      <c r="D2436" s="6" t="s">
        <v>8189</v>
      </c>
      <c r="F2436" s="6" t="s">
        <v>10134</v>
      </c>
      <c r="G2436" s="6" t="str">
        <f>"GE18SSRN01YEFR"</f>
        <v>GE18SSRN01YEFR</v>
      </c>
      <c r="H2436" s="6" t="s">
        <v>10135</v>
      </c>
      <c r="I2436" s="6" t="s">
        <v>10136</v>
      </c>
      <c r="J2436" s="6" t="str">
        <f>"NR200YE"</f>
        <v>NR200YE</v>
      </c>
      <c r="K2436" s="6">
        <v>0</v>
      </c>
      <c r="L2436" s="6">
        <v>0</v>
      </c>
      <c r="M2436" s="6">
        <v>0</v>
      </c>
      <c r="N2436" s="6" t="str">
        <f>""</f>
        <v/>
      </c>
      <c r="O2436" s="6">
        <v>24686</v>
      </c>
      <c r="P2436" s="6" t="s">
        <v>10136</v>
      </c>
      <c r="R2436" s="6" t="s">
        <v>2570</v>
      </c>
      <c r="S2436" s="6" t="s">
        <v>10137</v>
      </c>
      <c r="T2436" s="6">
        <v>0</v>
      </c>
      <c r="U2436" s="6">
        <v>0</v>
      </c>
      <c r="V2436" s="6">
        <v>0</v>
      </c>
      <c r="W2436" s="6">
        <v>0</v>
      </c>
      <c r="X2436" s="6" t="s">
        <v>169</v>
      </c>
      <c r="Z2436" s="6" t="s">
        <v>170</v>
      </c>
      <c r="AA2436" s="6" t="s">
        <v>171</v>
      </c>
      <c r="AB2436" s="6">
        <v>0</v>
      </c>
      <c r="AC2436" s="6" t="str">
        <f>""</f>
        <v/>
      </c>
      <c r="AS2436" s="6">
        <v>0</v>
      </c>
      <c r="AT2436" s="6">
        <v>0</v>
      </c>
    </row>
    <row r="2437" spans="2:46">
      <c r="B2437" s="6" t="s">
        <v>10118</v>
      </c>
      <c r="D2437" s="6" t="s">
        <v>8189</v>
      </c>
      <c r="F2437" s="6" t="s">
        <v>10138</v>
      </c>
      <c r="G2437" s="6" t="str">
        <f>"GE18SSBR03GDFR"</f>
        <v>GE18SSBR03GDFR</v>
      </c>
      <c r="H2437" s="6" t="s">
        <v>10139</v>
      </c>
      <c r="I2437" s="6" t="s">
        <v>10140</v>
      </c>
      <c r="J2437" s="6" t="str">
        <f>"NR501GD"</f>
        <v>NR501GD</v>
      </c>
      <c r="K2437" s="6">
        <v>0</v>
      </c>
      <c r="L2437" s="6">
        <v>0</v>
      </c>
      <c r="M2437" s="6">
        <v>0</v>
      </c>
      <c r="N2437" s="6" t="str">
        <f>""</f>
        <v/>
      </c>
      <c r="O2437" s="6">
        <v>24684</v>
      </c>
      <c r="P2437" s="6" t="s">
        <v>10140</v>
      </c>
      <c r="R2437" s="6" t="s">
        <v>8326</v>
      </c>
      <c r="S2437" s="6" t="s">
        <v>10141</v>
      </c>
      <c r="T2437" s="6">
        <v>0</v>
      </c>
      <c r="U2437" s="6">
        <v>0</v>
      </c>
      <c r="V2437" s="6">
        <v>0</v>
      </c>
      <c r="W2437" s="6">
        <v>0</v>
      </c>
      <c r="X2437" s="6" t="s">
        <v>169</v>
      </c>
      <c r="Z2437" s="6" t="s">
        <v>170</v>
      </c>
      <c r="AA2437" s="6" t="s">
        <v>171</v>
      </c>
      <c r="AB2437" s="6">
        <v>0</v>
      </c>
      <c r="AC2437" s="6" t="str">
        <f>""</f>
        <v/>
      </c>
      <c r="AS2437" s="6">
        <v>0</v>
      </c>
      <c r="AT2437" s="6">
        <v>0</v>
      </c>
    </row>
    <row r="2438" spans="2:46">
      <c r="B2438" s="6" t="s">
        <v>10118</v>
      </c>
      <c r="D2438" s="6" t="s">
        <v>8189</v>
      </c>
      <c r="F2438" s="6" t="s">
        <v>10142</v>
      </c>
      <c r="G2438" s="6" t="str">
        <f>"GE18SSBR02RDFR"</f>
        <v>GE18SSBR02RDFR</v>
      </c>
      <c r="H2438" s="6" t="s">
        <v>10143</v>
      </c>
      <c r="I2438" s="6" t="s">
        <v>10144</v>
      </c>
      <c r="J2438" s="6" t="str">
        <f>"NR500RD"</f>
        <v>NR500RD</v>
      </c>
      <c r="K2438" s="6">
        <v>0</v>
      </c>
      <c r="L2438" s="6">
        <v>0</v>
      </c>
      <c r="M2438" s="6">
        <v>0</v>
      </c>
      <c r="N2438" s="6" t="str">
        <f>""</f>
        <v/>
      </c>
      <c r="O2438" s="6">
        <v>24682</v>
      </c>
      <c r="P2438" s="6" t="s">
        <v>10144</v>
      </c>
      <c r="R2438" s="6" t="s">
        <v>2309</v>
      </c>
      <c r="S2438" s="6" t="s">
        <v>10145</v>
      </c>
      <c r="T2438" s="6">
        <v>0</v>
      </c>
      <c r="U2438" s="6">
        <v>0</v>
      </c>
      <c r="V2438" s="6">
        <v>0</v>
      </c>
      <c r="W2438" s="6">
        <v>0</v>
      </c>
      <c r="X2438" s="6" t="s">
        <v>169</v>
      </c>
      <c r="Z2438" s="6" t="s">
        <v>170</v>
      </c>
      <c r="AA2438" s="6" t="s">
        <v>171</v>
      </c>
      <c r="AB2438" s="6">
        <v>0</v>
      </c>
      <c r="AC2438" s="6" t="str">
        <f>""</f>
        <v/>
      </c>
      <c r="AS2438" s="6">
        <v>0</v>
      </c>
      <c r="AT2438" s="6">
        <v>0</v>
      </c>
    </row>
    <row r="2439" spans="2:46">
      <c r="B2439" s="6" t="s">
        <v>10118</v>
      </c>
      <c r="D2439" s="6" t="s">
        <v>8189</v>
      </c>
      <c r="F2439" s="6" t="s">
        <v>10146</v>
      </c>
      <c r="G2439" s="6" t="str">
        <f>"GE18SSBR01GRFR"</f>
        <v>GE18SSBR01GRFR</v>
      </c>
      <c r="H2439" s="6" t="s">
        <v>10147</v>
      </c>
      <c r="I2439" s="6" t="s">
        <v>10148</v>
      </c>
      <c r="J2439" s="6" t="str">
        <f>"NR500GR"</f>
        <v>NR500GR</v>
      </c>
      <c r="K2439" s="6">
        <v>0</v>
      </c>
      <c r="L2439" s="6">
        <v>0</v>
      </c>
      <c r="M2439" s="6">
        <v>0</v>
      </c>
      <c r="N2439" s="6" t="str">
        <f>""</f>
        <v/>
      </c>
      <c r="O2439" s="6">
        <v>24680</v>
      </c>
      <c r="P2439" s="6" t="s">
        <v>10148</v>
      </c>
      <c r="R2439" s="6" t="s">
        <v>2512</v>
      </c>
      <c r="S2439" s="6" t="s">
        <v>10149</v>
      </c>
      <c r="T2439" s="6">
        <v>0</v>
      </c>
      <c r="U2439" s="6">
        <v>0</v>
      </c>
      <c r="V2439" s="6">
        <v>0</v>
      </c>
      <c r="W2439" s="6">
        <v>0</v>
      </c>
      <c r="X2439" s="6" t="s">
        <v>169</v>
      </c>
      <c r="Z2439" s="6" t="s">
        <v>170</v>
      </c>
      <c r="AA2439" s="6" t="s">
        <v>171</v>
      </c>
      <c r="AB2439" s="6">
        <v>0</v>
      </c>
      <c r="AC2439" s="6" t="str">
        <f>""</f>
        <v/>
      </c>
      <c r="AS2439" s="6">
        <v>0</v>
      </c>
      <c r="AT2439" s="6">
        <v>0</v>
      </c>
    </row>
    <row r="2440" spans="2:46">
      <c r="B2440" s="6" t="s">
        <v>10118</v>
      </c>
      <c r="D2440" s="6" t="s">
        <v>8189</v>
      </c>
      <c r="F2440" s="6" t="s">
        <v>10150</v>
      </c>
      <c r="G2440" s="6" t="str">
        <f>"GE18SSHP03GDFR"</f>
        <v>GE18SSHP03GDFR</v>
      </c>
      <c r="H2440" s="6" t="s">
        <v>10151</v>
      </c>
      <c r="I2440" s="6" t="s">
        <v>10152</v>
      </c>
      <c r="J2440" s="6" t="str">
        <f>"NR805GD"</f>
        <v>NR805GD</v>
      </c>
      <c r="K2440" s="6">
        <v>0</v>
      </c>
      <c r="L2440" s="6">
        <v>0</v>
      </c>
      <c r="M2440" s="6">
        <v>0</v>
      </c>
      <c r="N2440" s="6" t="str">
        <f>""</f>
        <v/>
      </c>
      <c r="O2440" s="6">
        <v>24678</v>
      </c>
      <c r="P2440" s="6" t="s">
        <v>10152</v>
      </c>
      <c r="R2440" s="6" t="s">
        <v>10153</v>
      </c>
      <c r="S2440" s="6" t="s">
        <v>10154</v>
      </c>
      <c r="T2440" s="6">
        <v>0</v>
      </c>
      <c r="U2440" s="6">
        <v>0</v>
      </c>
      <c r="V2440" s="6">
        <v>0</v>
      </c>
      <c r="W2440" s="6">
        <v>0</v>
      </c>
      <c r="X2440" s="6" t="s">
        <v>169</v>
      </c>
      <c r="Z2440" s="6" t="s">
        <v>170</v>
      </c>
      <c r="AA2440" s="6" t="s">
        <v>171</v>
      </c>
      <c r="AB2440" s="6">
        <v>0</v>
      </c>
      <c r="AC2440" s="6" t="str">
        <f>""</f>
        <v/>
      </c>
      <c r="AS2440" s="6">
        <v>0</v>
      </c>
      <c r="AT2440" s="6">
        <v>0</v>
      </c>
    </row>
    <row r="2441" spans="2:46">
      <c r="B2441" s="6" t="s">
        <v>10118</v>
      </c>
      <c r="D2441" s="6" t="s">
        <v>8189</v>
      </c>
      <c r="F2441" s="6" t="s">
        <v>10155</v>
      </c>
      <c r="G2441" s="6" t="str">
        <f>"GE18SSHP02CRFR"</f>
        <v>GE18SSHP02CRFR</v>
      </c>
      <c r="H2441" s="6" t="s">
        <v>10156</v>
      </c>
      <c r="I2441" s="6" t="s">
        <v>10157</v>
      </c>
      <c r="J2441" s="6" t="str">
        <f>"NR804CR"</f>
        <v>NR804CR</v>
      </c>
      <c r="K2441" s="6">
        <v>0</v>
      </c>
      <c r="L2441" s="6">
        <v>0</v>
      </c>
      <c r="M2441" s="6">
        <v>0</v>
      </c>
      <c r="N2441" s="6" t="str">
        <f>""</f>
        <v/>
      </c>
      <c r="O2441" s="6">
        <v>24676</v>
      </c>
      <c r="P2441" s="6" t="s">
        <v>10157</v>
      </c>
      <c r="R2441" s="6" t="s">
        <v>10122</v>
      </c>
      <c r="S2441" s="6" t="s">
        <v>10158</v>
      </c>
      <c r="T2441" s="6">
        <v>0</v>
      </c>
      <c r="U2441" s="6">
        <v>0</v>
      </c>
      <c r="V2441" s="6">
        <v>0</v>
      </c>
      <c r="W2441" s="6">
        <v>0</v>
      </c>
      <c r="X2441" s="6" t="s">
        <v>169</v>
      </c>
      <c r="Z2441" s="6" t="s">
        <v>170</v>
      </c>
      <c r="AA2441" s="6" t="s">
        <v>171</v>
      </c>
      <c r="AB2441" s="6">
        <v>0</v>
      </c>
      <c r="AC2441" s="6" t="str">
        <f>""</f>
        <v/>
      </c>
      <c r="AS2441" s="6">
        <v>0</v>
      </c>
      <c r="AT2441" s="6">
        <v>0</v>
      </c>
    </row>
    <row r="2442" spans="2:46">
      <c r="B2442" s="6" t="s">
        <v>10118</v>
      </c>
      <c r="D2442" s="6" t="s">
        <v>8189</v>
      </c>
      <c r="F2442" s="6" t="s">
        <v>10159</v>
      </c>
      <c r="G2442" s="6" t="str">
        <f>"GE18SSHP01WHFR"</f>
        <v>GE18SSHP01WHFR</v>
      </c>
      <c r="H2442" s="6" t="s">
        <v>10160</v>
      </c>
      <c r="I2442" s="6" t="s">
        <v>10161</v>
      </c>
      <c r="J2442" s="6" t="str">
        <f>"NR803WH"</f>
        <v>NR803WH</v>
      </c>
      <c r="K2442" s="6">
        <v>0</v>
      </c>
      <c r="L2442" s="6">
        <v>0</v>
      </c>
      <c r="M2442" s="6">
        <v>0</v>
      </c>
      <c r="N2442" s="6" t="str">
        <f>""</f>
        <v/>
      </c>
      <c r="O2442" s="6">
        <v>24674</v>
      </c>
      <c r="P2442" s="6" t="s">
        <v>10161</v>
      </c>
      <c r="R2442" s="6" t="s">
        <v>2167</v>
      </c>
      <c r="S2442" s="6" t="s">
        <v>10162</v>
      </c>
      <c r="T2442" s="6">
        <v>0</v>
      </c>
      <c r="U2442" s="6">
        <v>0</v>
      </c>
      <c r="V2442" s="6">
        <v>0</v>
      </c>
      <c r="W2442" s="6">
        <v>0</v>
      </c>
      <c r="X2442" s="6" t="s">
        <v>169</v>
      </c>
      <c r="Z2442" s="6" t="s">
        <v>170</v>
      </c>
      <c r="AA2442" s="6" t="s">
        <v>171</v>
      </c>
      <c r="AB2442" s="6">
        <v>0</v>
      </c>
      <c r="AC2442" s="6" t="str">
        <f>""</f>
        <v/>
      </c>
      <c r="AS2442" s="6">
        <v>0</v>
      </c>
      <c r="AT2442" s="6">
        <v>0</v>
      </c>
    </row>
    <row r="2443" spans="2:46">
      <c r="B2443" s="6" t="s">
        <v>10118</v>
      </c>
      <c r="D2443" s="6" t="s">
        <v>8189</v>
      </c>
      <c r="F2443" s="6" t="s">
        <v>10163</v>
      </c>
      <c r="G2443" s="6" t="str">
        <f>"GE18SSHB03GD"</f>
        <v>GE18SSHB03GD</v>
      </c>
      <c r="H2443" s="6" t="s">
        <v>10164</v>
      </c>
      <c r="I2443" s="6" t="s">
        <v>10165</v>
      </c>
      <c r="J2443" s="6" t="str">
        <f>"NR802GD"</f>
        <v>NR802GD</v>
      </c>
      <c r="K2443" s="6">
        <v>0</v>
      </c>
      <c r="L2443" s="6">
        <v>0</v>
      </c>
      <c r="M2443" s="6">
        <v>0</v>
      </c>
      <c r="N2443" s="6" t="str">
        <f>""</f>
        <v/>
      </c>
      <c r="O2443" s="6">
        <v>24672</v>
      </c>
      <c r="P2443" s="6" t="s">
        <v>10165</v>
      </c>
      <c r="R2443" s="6" t="s">
        <v>8326</v>
      </c>
      <c r="S2443" s="6" t="s">
        <v>10166</v>
      </c>
      <c r="T2443" s="6">
        <v>0</v>
      </c>
      <c r="U2443" s="6">
        <v>0</v>
      </c>
      <c r="V2443" s="6">
        <v>0</v>
      </c>
      <c r="W2443" s="6">
        <v>0</v>
      </c>
      <c r="X2443" s="6" t="s">
        <v>169</v>
      </c>
      <c r="Z2443" s="6" t="s">
        <v>170</v>
      </c>
      <c r="AA2443" s="6" t="s">
        <v>171</v>
      </c>
      <c r="AB2443" s="6">
        <v>0</v>
      </c>
      <c r="AC2443" s="6" t="str">
        <f>""</f>
        <v/>
      </c>
      <c r="AS2443" s="6">
        <v>0</v>
      </c>
      <c r="AT2443" s="6">
        <v>0</v>
      </c>
    </row>
    <row r="2444" spans="2:46">
      <c r="B2444" s="6" t="s">
        <v>10118</v>
      </c>
      <c r="D2444" s="6" t="s">
        <v>8189</v>
      </c>
      <c r="F2444" s="6" t="s">
        <v>10167</v>
      </c>
      <c r="G2444" s="6" t="str">
        <f>"GE18SSHB02GDFR"</f>
        <v>GE18SSHB02GDFR</v>
      </c>
      <c r="H2444" s="6" t="s">
        <v>10168</v>
      </c>
      <c r="I2444" s="6" t="s">
        <v>10169</v>
      </c>
      <c r="J2444" s="6" t="str">
        <f>"NR801GD"</f>
        <v>NR801GD</v>
      </c>
      <c r="K2444" s="6">
        <v>0</v>
      </c>
      <c r="L2444" s="6">
        <v>0</v>
      </c>
      <c r="M2444" s="6">
        <v>0</v>
      </c>
      <c r="N2444" s="6" t="str">
        <f>""</f>
        <v/>
      </c>
      <c r="O2444" s="6">
        <v>24670</v>
      </c>
      <c r="P2444" s="6" t="s">
        <v>10169</v>
      </c>
      <c r="R2444" s="6" t="s">
        <v>8326</v>
      </c>
      <c r="S2444" s="6" t="s">
        <v>10170</v>
      </c>
      <c r="T2444" s="6">
        <v>0</v>
      </c>
      <c r="U2444" s="6">
        <v>0</v>
      </c>
      <c r="V2444" s="6">
        <v>0</v>
      </c>
      <c r="W2444" s="6">
        <v>0</v>
      </c>
      <c r="X2444" s="6" t="s">
        <v>169</v>
      </c>
      <c r="Z2444" s="6" t="s">
        <v>170</v>
      </c>
      <c r="AA2444" s="6" t="s">
        <v>171</v>
      </c>
      <c r="AB2444" s="6">
        <v>0</v>
      </c>
      <c r="AC2444" s="6" t="str">
        <f>""</f>
        <v/>
      </c>
      <c r="AS2444" s="6">
        <v>0</v>
      </c>
      <c r="AT2444" s="6">
        <v>0</v>
      </c>
    </row>
    <row r="2445" spans="2:46">
      <c r="B2445" s="6" t="s">
        <v>10118</v>
      </c>
      <c r="D2445" s="6" t="s">
        <v>8189</v>
      </c>
      <c r="F2445" s="6" t="s">
        <v>10171</v>
      </c>
      <c r="G2445" s="6" t="str">
        <f>"GE18SSHB01GDFR"</f>
        <v>GE18SSHB01GDFR</v>
      </c>
      <c r="H2445" s="6" t="s">
        <v>10172</v>
      </c>
      <c r="I2445" s="6" t="s">
        <v>10173</v>
      </c>
      <c r="J2445" s="6" t="str">
        <f>"NR800GD"</f>
        <v>NR800GD</v>
      </c>
      <c r="K2445" s="6">
        <v>0</v>
      </c>
      <c r="L2445" s="6">
        <v>0</v>
      </c>
      <c r="M2445" s="6">
        <v>0</v>
      </c>
      <c r="N2445" s="6" t="str">
        <f>""</f>
        <v/>
      </c>
      <c r="O2445" s="6">
        <v>24668</v>
      </c>
      <c r="P2445" s="6" t="s">
        <v>10173</v>
      </c>
      <c r="R2445" s="6" t="s">
        <v>8326</v>
      </c>
      <c r="S2445" s="6" t="s">
        <v>10174</v>
      </c>
      <c r="T2445" s="6">
        <v>0</v>
      </c>
      <c r="U2445" s="6">
        <v>0</v>
      </c>
      <c r="V2445" s="6">
        <v>0</v>
      </c>
      <c r="W2445" s="6">
        <v>0</v>
      </c>
      <c r="X2445" s="6" t="s">
        <v>169</v>
      </c>
      <c r="Z2445" s="6" t="s">
        <v>170</v>
      </c>
      <c r="AA2445" s="6" t="s">
        <v>171</v>
      </c>
      <c r="AB2445" s="6">
        <v>0</v>
      </c>
      <c r="AC2445" s="6" t="str">
        <f>""</f>
        <v/>
      </c>
      <c r="AS2445" s="6">
        <v>0</v>
      </c>
      <c r="AT2445" s="6">
        <v>0</v>
      </c>
    </row>
    <row r="2446" spans="2:46">
      <c r="B2446" s="6" t="s">
        <v>10118</v>
      </c>
      <c r="D2446" s="6" t="s">
        <v>8189</v>
      </c>
      <c r="F2446" s="6" t="s">
        <v>10175</v>
      </c>
      <c r="G2446" s="6" t="str">
        <f>"GE18SSNC01WHFR"</f>
        <v>GE18SSNC01WHFR</v>
      </c>
      <c r="H2446" s="6" t="s">
        <v>10176</v>
      </c>
      <c r="I2446" s="6" t="s">
        <v>10177</v>
      </c>
      <c r="J2446" s="6" t="str">
        <f>"NR700WH"</f>
        <v>NR700WH</v>
      </c>
      <c r="K2446" s="6">
        <v>0</v>
      </c>
      <c r="L2446" s="6">
        <v>0</v>
      </c>
      <c r="M2446" s="6">
        <v>0</v>
      </c>
      <c r="N2446" s="6" t="str">
        <f>""</f>
        <v/>
      </c>
      <c r="O2446" s="6">
        <v>24666</v>
      </c>
      <c r="P2446" s="6" t="s">
        <v>10177</v>
      </c>
      <c r="R2446" s="6" t="s">
        <v>2167</v>
      </c>
      <c r="S2446" s="6" t="s">
        <v>10178</v>
      </c>
      <c r="T2446" s="6">
        <v>0</v>
      </c>
      <c r="U2446" s="6">
        <v>0</v>
      </c>
      <c r="V2446" s="6">
        <v>0</v>
      </c>
      <c r="W2446" s="6">
        <v>0</v>
      </c>
      <c r="X2446" s="6" t="s">
        <v>169</v>
      </c>
      <c r="Z2446" s="6" t="s">
        <v>170</v>
      </c>
      <c r="AA2446" s="6" t="s">
        <v>171</v>
      </c>
      <c r="AB2446" s="6">
        <v>0</v>
      </c>
      <c r="AC2446" s="6" t="str">
        <f>""</f>
        <v/>
      </c>
      <c r="AS2446" s="6">
        <v>0</v>
      </c>
      <c r="AT2446" s="6">
        <v>0</v>
      </c>
    </row>
    <row r="2447" spans="2:46">
      <c r="B2447" s="6" t="s">
        <v>10118</v>
      </c>
      <c r="D2447" s="6" t="s">
        <v>8189</v>
      </c>
      <c r="F2447" s="6" t="s">
        <v>10179</v>
      </c>
      <c r="G2447" s="6" t="str">
        <f>"GE18SSER22YEFR"</f>
        <v>GE18SSER22YEFR</v>
      </c>
      <c r="H2447" s="6" t="s">
        <v>10180</v>
      </c>
      <c r="I2447" s="6" t="s">
        <v>10181</v>
      </c>
      <c r="J2447" s="6" t="str">
        <f>"SO900YE"</f>
        <v>SO900YE</v>
      </c>
      <c r="K2447" s="6">
        <v>0</v>
      </c>
      <c r="L2447" s="6">
        <v>0</v>
      </c>
      <c r="M2447" s="6">
        <v>0</v>
      </c>
      <c r="N2447" s="6" t="str">
        <f>""</f>
        <v/>
      </c>
      <c r="O2447" s="6">
        <v>24664</v>
      </c>
      <c r="P2447" s="6" t="s">
        <v>10181</v>
      </c>
      <c r="R2447" s="6" t="s">
        <v>2570</v>
      </c>
      <c r="S2447" s="6" t="s">
        <v>10182</v>
      </c>
      <c r="T2447" s="6">
        <v>0</v>
      </c>
      <c r="U2447" s="6">
        <v>0</v>
      </c>
      <c r="V2447" s="6">
        <v>0</v>
      </c>
      <c r="W2447" s="6">
        <v>0</v>
      </c>
      <c r="X2447" s="6" t="s">
        <v>169</v>
      </c>
      <c r="Z2447" s="6" t="s">
        <v>170</v>
      </c>
      <c r="AA2447" s="6" t="s">
        <v>171</v>
      </c>
      <c r="AB2447" s="6">
        <v>0</v>
      </c>
      <c r="AC2447" s="6" t="str">
        <f>""</f>
        <v/>
      </c>
      <c r="AS2447" s="6">
        <v>0</v>
      </c>
      <c r="AT2447" s="6">
        <v>0</v>
      </c>
    </row>
    <row r="2448" spans="2:46">
      <c r="B2448" s="6" t="s">
        <v>10118</v>
      </c>
      <c r="D2448" s="6" t="s">
        <v>8189</v>
      </c>
      <c r="F2448" s="6" t="s">
        <v>10183</v>
      </c>
      <c r="G2448" s="6" t="str">
        <f>"GE18SSER21RDFR"</f>
        <v>GE18SSER21RDFR</v>
      </c>
      <c r="H2448" s="6" t="s">
        <v>10184</v>
      </c>
      <c r="I2448" s="6" t="s">
        <v>10185</v>
      </c>
      <c r="J2448" s="6" t="str">
        <f>"NR930RD"</f>
        <v>NR930RD</v>
      </c>
      <c r="K2448" s="6">
        <v>0</v>
      </c>
      <c r="L2448" s="6">
        <v>0</v>
      </c>
      <c r="M2448" s="6">
        <v>0</v>
      </c>
      <c r="N2448" s="6" t="str">
        <f>""</f>
        <v/>
      </c>
      <c r="O2448" s="6">
        <v>24662</v>
      </c>
      <c r="P2448" s="6" t="s">
        <v>10185</v>
      </c>
      <c r="R2448" s="6" t="s">
        <v>2309</v>
      </c>
      <c r="S2448" s="6" t="s">
        <v>10186</v>
      </c>
      <c r="T2448" s="6">
        <v>0</v>
      </c>
      <c r="U2448" s="6">
        <v>0</v>
      </c>
      <c r="V2448" s="6">
        <v>0</v>
      </c>
      <c r="W2448" s="6">
        <v>0</v>
      </c>
      <c r="X2448" s="6" t="s">
        <v>169</v>
      </c>
      <c r="Z2448" s="6" t="s">
        <v>170</v>
      </c>
      <c r="AA2448" s="6" t="s">
        <v>171</v>
      </c>
      <c r="AB2448" s="6">
        <v>0</v>
      </c>
      <c r="AC2448" s="6" t="str">
        <f>""</f>
        <v/>
      </c>
      <c r="AS2448" s="6">
        <v>0</v>
      </c>
      <c r="AT2448" s="6">
        <v>0</v>
      </c>
    </row>
    <row r="2449" spans="2:46">
      <c r="B2449" s="6" t="s">
        <v>10118</v>
      </c>
      <c r="D2449" s="6" t="s">
        <v>8189</v>
      </c>
      <c r="F2449" s="6" t="s">
        <v>10187</v>
      </c>
      <c r="G2449" s="6" t="str">
        <f>"GE18SSER20CRFR"</f>
        <v>GE18SSER20CRFR</v>
      </c>
      <c r="H2449" s="6" t="s">
        <v>10188</v>
      </c>
      <c r="I2449" s="6" t="s">
        <v>10189</v>
      </c>
      <c r="J2449" s="6" t="str">
        <f>"NR929CR"</f>
        <v>NR929CR</v>
      </c>
      <c r="K2449" s="6">
        <v>0</v>
      </c>
      <c r="L2449" s="6">
        <v>0</v>
      </c>
      <c r="M2449" s="6">
        <v>0</v>
      </c>
      <c r="N2449" s="6" t="str">
        <f>""</f>
        <v/>
      </c>
      <c r="O2449" s="6">
        <v>24660</v>
      </c>
      <c r="P2449" s="6" t="s">
        <v>10189</v>
      </c>
      <c r="R2449" s="6" t="s">
        <v>10122</v>
      </c>
      <c r="S2449" s="6" t="s">
        <v>10190</v>
      </c>
      <c r="T2449" s="6">
        <v>0</v>
      </c>
      <c r="U2449" s="6">
        <v>0</v>
      </c>
      <c r="V2449" s="6">
        <v>0</v>
      </c>
      <c r="W2449" s="6">
        <v>0</v>
      </c>
      <c r="X2449" s="6" t="s">
        <v>169</v>
      </c>
      <c r="Z2449" s="6" t="s">
        <v>170</v>
      </c>
      <c r="AA2449" s="6" t="s">
        <v>171</v>
      </c>
      <c r="AB2449" s="6">
        <v>0</v>
      </c>
      <c r="AC2449" s="6" t="str">
        <f>""</f>
        <v/>
      </c>
      <c r="AS2449" s="6">
        <v>0</v>
      </c>
      <c r="AT2449" s="6">
        <v>0</v>
      </c>
    </row>
    <row r="2450" spans="2:46">
      <c r="B2450" s="6" t="s">
        <v>10118</v>
      </c>
      <c r="D2450" s="6" t="s">
        <v>8189</v>
      </c>
      <c r="F2450" s="6" t="s">
        <v>10191</v>
      </c>
      <c r="G2450" s="6" t="str">
        <f>"GE18SSER20BUFR"</f>
        <v>GE18SSER20BUFR</v>
      </c>
      <c r="H2450" s="6" t="s">
        <v>10192</v>
      </c>
      <c r="I2450" s="6" t="s">
        <v>10193</v>
      </c>
      <c r="J2450" s="6" t="str">
        <f>"NR929BU"</f>
        <v>NR929BU</v>
      </c>
      <c r="K2450" s="6">
        <v>0</v>
      </c>
      <c r="L2450" s="6">
        <v>0</v>
      </c>
      <c r="M2450" s="6">
        <v>0</v>
      </c>
      <c r="N2450" s="6" t="str">
        <f>""</f>
        <v/>
      </c>
      <c r="O2450" s="6">
        <v>24658</v>
      </c>
      <c r="P2450" s="6" t="s">
        <v>10193</v>
      </c>
      <c r="R2450" s="6" t="s">
        <v>2175</v>
      </c>
      <c r="S2450" s="6" t="s">
        <v>10194</v>
      </c>
      <c r="T2450" s="6">
        <v>0</v>
      </c>
      <c r="U2450" s="6">
        <v>0</v>
      </c>
      <c r="V2450" s="6">
        <v>0</v>
      </c>
      <c r="W2450" s="6">
        <v>0</v>
      </c>
      <c r="X2450" s="6" t="s">
        <v>169</v>
      </c>
      <c r="Z2450" s="6" t="s">
        <v>170</v>
      </c>
      <c r="AA2450" s="6" t="s">
        <v>171</v>
      </c>
      <c r="AB2450" s="6">
        <v>0</v>
      </c>
      <c r="AC2450" s="6" t="str">
        <f>""</f>
        <v/>
      </c>
      <c r="AS2450" s="6">
        <v>0</v>
      </c>
      <c r="AT2450" s="6">
        <v>0</v>
      </c>
    </row>
    <row r="2451" spans="2:46">
      <c r="B2451" s="6" t="s">
        <v>10118</v>
      </c>
      <c r="D2451" s="6" t="s">
        <v>8189</v>
      </c>
      <c r="F2451" s="6" t="s">
        <v>10195</v>
      </c>
      <c r="G2451" s="6" t="str">
        <f>"GE18SSER19WHFR"</f>
        <v>GE18SSER19WHFR</v>
      </c>
      <c r="H2451" s="6" t="s">
        <v>10196</v>
      </c>
      <c r="I2451" s="6" t="s">
        <v>10197</v>
      </c>
      <c r="J2451" s="6" t="str">
        <f>"NR923WH"</f>
        <v>NR923WH</v>
      </c>
      <c r="K2451" s="6">
        <v>0</v>
      </c>
      <c r="L2451" s="6">
        <v>0</v>
      </c>
      <c r="M2451" s="6">
        <v>0</v>
      </c>
      <c r="N2451" s="6" t="str">
        <f>""</f>
        <v/>
      </c>
      <c r="O2451" s="6">
        <v>24656</v>
      </c>
      <c r="P2451" s="6" t="s">
        <v>10197</v>
      </c>
      <c r="R2451" s="6" t="s">
        <v>2167</v>
      </c>
      <c r="S2451" s="6" t="s">
        <v>10198</v>
      </c>
      <c r="T2451" s="6">
        <v>0</v>
      </c>
      <c r="U2451" s="6">
        <v>0</v>
      </c>
      <c r="V2451" s="6">
        <v>0</v>
      </c>
      <c r="W2451" s="6">
        <v>0</v>
      </c>
      <c r="X2451" s="6" t="s">
        <v>169</v>
      </c>
      <c r="Z2451" s="6" t="s">
        <v>170</v>
      </c>
      <c r="AA2451" s="6" t="s">
        <v>171</v>
      </c>
      <c r="AB2451" s="6">
        <v>0</v>
      </c>
      <c r="AC2451" s="6" t="str">
        <f>""</f>
        <v/>
      </c>
      <c r="AS2451" s="6">
        <v>0</v>
      </c>
      <c r="AT2451" s="6">
        <v>0</v>
      </c>
    </row>
    <row r="2452" spans="2:46">
      <c r="B2452" s="6" t="s">
        <v>10118</v>
      </c>
      <c r="D2452" s="6" t="s">
        <v>8189</v>
      </c>
      <c r="F2452" s="6" t="s">
        <v>10199</v>
      </c>
      <c r="G2452" s="6" t="str">
        <f>"GE18SSER18WHFR"</f>
        <v>GE18SSER18WHFR</v>
      </c>
      <c r="H2452" s="6" t="s">
        <v>10200</v>
      </c>
      <c r="I2452" s="6" t="s">
        <v>10201</v>
      </c>
      <c r="J2452" s="6" t="str">
        <f>"NR922WH"</f>
        <v>NR922WH</v>
      </c>
      <c r="K2452" s="6">
        <v>0</v>
      </c>
      <c r="L2452" s="6">
        <v>0</v>
      </c>
      <c r="M2452" s="6">
        <v>0</v>
      </c>
      <c r="N2452" s="6" t="str">
        <f>""</f>
        <v/>
      </c>
      <c r="O2452" s="6">
        <v>24654</v>
      </c>
      <c r="P2452" s="6" t="s">
        <v>10201</v>
      </c>
      <c r="R2452" s="6" t="s">
        <v>2167</v>
      </c>
      <c r="S2452" s="6" t="s">
        <v>10202</v>
      </c>
      <c r="T2452" s="6">
        <v>0</v>
      </c>
      <c r="U2452" s="6">
        <v>0</v>
      </c>
      <c r="V2452" s="6">
        <v>0</v>
      </c>
      <c r="W2452" s="6">
        <v>0</v>
      </c>
      <c r="X2452" s="6" t="s">
        <v>169</v>
      </c>
      <c r="Z2452" s="6" t="s">
        <v>170</v>
      </c>
      <c r="AA2452" s="6" t="s">
        <v>171</v>
      </c>
      <c r="AB2452" s="6">
        <v>0</v>
      </c>
      <c r="AC2452" s="6" t="str">
        <f>""</f>
        <v/>
      </c>
      <c r="AS2452" s="6">
        <v>0</v>
      </c>
      <c r="AT2452" s="6">
        <v>0</v>
      </c>
    </row>
    <row r="2453" spans="2:46">
      <c r="B2453" s="6" t="s">
        <v>10118</v>
      </c>
      <c r="D2453" s="6" t="s">
        <v>8189</v>
      </c>
      <c r="F2453" s="6" t="s">
        <v>10203</v>
      </c>
      <c r="G2453" s="6" t="str">
        <f>"GE18SSER17WHFR"</f>
        <v>GE18SSER17WHFR</v>
      </c>
      <c r="H2453" s="6" t="s">
        <v>10204</v>
      </c>
      <c r="I2453" s="6" t="s">
        <v>10205</v>
      </c>
      <c r="J2453" s="6" t="str">
        <f>"NR921WH"</f>
        <v>NR921WH</v>
      </c>
      <c r="K2453" s="6">
        <v>0</v>
      </c>
      <c r="L2453" s="6">
        <v>0</v>
      </c>
      <c r="M2453" s="6">
        <v>0</v>
      </c>
      <c r="N2453" s="6" t="str">
        <f>""</f>
        <v/>
      </c>
      <c r="O2453" s="6">
        <v>24652</v>
      </c>
      <c r="P2453" s="6" t="s">
        <v>10205</v>
      </c>
      <c r="R2453" s="6" t="s">
        <v>2167</v>
      </c>
      <c r="S2453" s="6" t="s">
        <v>10206</v>
      </c>
      <c r="T2453" s="6">
        <v>0</v>
      </c>
      <c r="U2453" s="6">
        <v>0</v>
      </c>
      <c r="V2453" s="6">
        <v>0</v>
      </c>
      <c r="W2453" s="6">
        <v>0</v>
      </c>
      <c r="X2453" s="6" t="s">
        <v>169</v>
      </c>
      <c r="Z2453" s="6" t="s">
        <v>170</v>
      </c>
      <c r="AA2453" s="6" t="s">
        <v>171</v>
      </c>
      <c r="AB2453" s="6">
        <v>0</v>
      </c>
      <c r="AC2453" s="6" t="str">
        <f>""</f>
        <v/>
      </c>
      <c r="AS2453" s="6">
        <v>0</v>
      </c>
      <c r="AT2453" s="6">
        <v>0</v>
      </c>
    </row>
    <row r="2454" spans="2:46">
      <c r="B2454" s="6" t="s">
        <v>10118</v>
      </c>
      <c r="D2454" s="6" t="s">
        <v>8189</v>
      </c>
      <c r="F2454" s="6" t="s">
        <v>10207</v>
      </c>
      <c r="G2454" s="6" t="str">
        <f>"GE18SSER16WHFR"</f>
        <v>GE18SSER16WHFR</v>
      </c>
      <c r="H2454" s="6" t="s">
        <v>10208</v>
      </c>
      <c r="I2454" s="6" t="s">
        <v>10209</v>
      </c>
      <c r="J2454" s="6" t="str">
        <f>"NR919WH"</f>
        <v>NR919WH</v>
      </c>
      <c r="K2454" s="6">
        <v>0</v>
      </c>
      <c r="L2454" s="6">
        <v>0</v>
      </c>
      <c r="M2454" s="6">
        <v>0</v>
      </c>
      <c r="N2454" s="6" t="str">
        <f>""</f>
        <v/>
      </c>
      <c r="O2454" s="6">
        <v>24650</v>
      </c>
      <c r="P2454" s="6" t="s">
        <v>10209</v>
      </c>
      <c r="R2454" s="6" t="s">
        <v>2167</v>
      </c>
      <c r="S2454" s="6" t="s">
        <v>10210</v>
      </c>
      <c r="T2454" s="6">
        <v>0</v>
      </c>
      <c r="U2454" s="6">
        <v>0</v>
      </c>
      <c r="V2454" s="6">
        <v>0</v>
      </c>
      <c r="W2454" s="6">
        <v>0</v>
      </c>
      <c r="X2454" s="6" t="s">
        <v>169</v>
      </c>
      <c r="Z2454" s="6" t="s">
        <v>170</v>
      </c>
      <c r="AA2454" s="6" t="s">
        <v>171</v>
      </c>
      <c r="AB2454" s="6">
        <v>0</v>
      </c>
      <c r="AC2454" s="6" t="str">
        <f>""</f>
        <v/>
      </c>
      <c r="AS2454" s="6">
        <v>0</v>
      </c>
      <c r="AT2454" s="6">
        <v>0</v>
      </c>
    </row>
    <row r="2455" spans="2:46">
      <c r="B2455" s="6" t="s">
        <v>10118</v>
      </c>
      <c r="D2455" s="6" t="s">
        <v>8189</v>
      </c>
      <c r="F2455" s="6" t="s">
        <v>10211</v>
      </c>
      <c r="G2455" s="6" t="str">
        <f>"GE18SSER15WHFR"</f>
        <v>GE18SSER15WHFR</v>
      </c>
      <c r="H2455" s="6" t="s">
        <v>10212</v>
      </c>
      <c r="I2455" s="6" t="s">
        <v>10213</v>
      </c>
      <c r="J2455" s="6" t="str">
        <f>"NR917WH"</f>
        <v>NR917WH</v>
      </c>
      <c r="K2455" s="6">
        <v>0</v>
      </c>
      <c r="L2455" s="6">
        <v>0</v>
      </c>
      <c r="M2455" s="6">
        <v>0</v>
      </c>
      <c r="N2455" s="6" t="str">
        <f>""</f>
        <v/>
      </c>
      <c r="O2455" s="6">
        <v>24648</v>
      </c>
      <c r="P2455" s="6" t="s">
        <v>10213</v>
      </c>
      <c r="R2455" s="6" t="s">
        <v>2167</v>
      </c>
      <c r="S2455" s="6" t="s">
        <v>10214</v>
      </c>
      <c r="T2455" s="6">
        <v>0</v>
      </c>
      <c r="U2455" s="6">
        <v>0</v>
      </c>
      <c r="V2455" s="6">
        <v>0</v>
      </c>
      <c r="W2455" s="6">
        <v>0</v>
      </c>
      <c r="X2455" s="6" t="s">
        <v>169</v>
      </c>
      <c r="Z2455" s="6" t="s">
        <v>170</v>
      </c>
      <c r="AA2455" s="6" t="s">
        <v>171</v>
      </c>
      <c r="AB2455" s="6">
        <v>0</v>
      </c>
      <c r="AC2455" s="6" t="str">
        <f>""</f>
        <v/>
      </c>
      <c r="AS2455" s="6">
        <v>0</v>
      </c>
      <c r="AT2455" s="6">
        <v>0</v>
      </c>
    </row>
    <row r="2456" spans="2:46">
      <c r="B2456" s="6" t="s">
        <v>10118</v>
      </c>
      <c r="D2456" s="6" t="s">
        <v>8189</v>
      </c>
      <c r="F2456" s="6" t="s">
        <v>10215</v>
      </c>
      <c r="G2456" s="6" t="str">
        <f>"GE18SSER14CRFR"</f>
        <v>GE18SSER14CRFR</v>
      </c>
      <c r="H2456" s="6" t="s">
        <v>10216</v>
      </c>
      <c r="I2456" s="6" t="s">
        <v>10217</v>
      </c>
      <c r="J2456" s="6" t="str">
        <f>"NR916CR"</f>
        <v>NR916CR</v>
      </c>
      <c r="K2456" s="6">
        <v>0</v>
      </c>
      <c r="L2456" s="6">
        <v>0</v>
      </c>
      <c r="M2456" s="6">
        <v>0</v>
      </c>
      <c r="N2456" s="6" t="str">
        <f>""</f>
        <v/>
      </c>
      <c r="O2456" s="6">
        <v>24646</v>
      </c>
      <c r="P2456" s="6" t="s">
        <v>10217</v>
      </c>
      <c r="R2456" s="6" t="s">
        <v>10122</v>
      </c>
      <c r="S2456" s="6" t="s">
        <v>10218</v>
      </c>
      <c r="T2456" s="6">
        <v>0</v>
      </c>
      <c r="U2456" s="6">
        <v>0</v>
      </c>
      <c r="V2456" s="6">
        <v>0</v>
      </c>
      <c r="W2456" s="6">
        <v>0</v>
      </c>
      <c r="X2456" s="6" t="s">
        <v>169</v>
      </c>
      <c r="Z2456" s="6" t="s">
        <v>170</v>
      </c>
      <c r="AA2456" s="6" t="s">
        <v>171</v>
      </c>
      <c r="AB2456" s="6">
        <v>0</v>
      </c>
      <c r="AC2456" s="6" t="str">
        <f>""</f>
        <v/>
      </c>
      <c r="AS2456" s="6">
        <v>0</v>
      </c>
      <c r="AT2456" s="6">
        <v>0</v>
      </c>
    </row>
    <row r="2457" spans="2:46">
      <c r="B2457" s="6" t="s">
        <v>10118</v>
      </c>
      <c r="D2457" s="6" t="s">
        <v>8189</v>
      </c>
      <c r="F2457" s="6" t="s">
        <v>10219</v>
      </c>
      <c r="G2457" s="6" t="str">
        <f>"GE18SSER13CRFR"</f>
        <v>GE18SSER13CRFR</v>
      </c>
      <c r="H2457" s="6" t="s">
        <v>10220</v>
      </c>
      <c r="I2457" s="6" t="s">
        <v>10221</v>
      </c>
      <c r="J2457" s="6" t="str">
        <f>"NR915CR"</f>
        <v>NR915CR</v>
      </c>
      <c r="K2457" s="6">
        <v>0</v>
      </c>
      <c r="L2457" s="6">
        <v>0</v>
      </c>
      <c r="M2457" s="6">
        <v>0</v>
      </c>
      <c r="N2457" s="6" t="str">
        <f>""</f>
        <v/>
      </c>
      <c r="O2457" s="6">
        <v>24644</v>
      </c>
      <c r="P2457" s="6" t="s">
        <v>10221</v>
      </c>
      <c r="R2457" s="6" t="s">
        <v>10122</v>
      </c>
      <c r="S2457" s="6" t="s">
        <v>10222</v>
      </c>
      <c r="T2457" s="6">
        <v>0</v>
      </c>
      <c r="U2457" s="6">
        <v>0</v>
      </c>
      <c r="V2457" s="6">
        <v>0</v>
      </c>
      <c r="W2457" s="6">
        <v>0</v>
      </c>
      <c r="X2457" s="6" t="s">
        <v>169</v>
      </c>
      <c r="Z2457" s="6" t="s">
        <v>170</v>
      </c>
      <c r="AA2457" s="6" t="s">
        <v>171</v>
      </c>
      <c r="AB2457" s="6">
        <v>0</v>
      </c>
      <c r="AC2457" s="6" t="str">
        <f>""</f>
        <v/>
      </c>
      <c r="AS2457" s="6">
        <v>0</v>
      </c>
      <c r="AT2457" s="6">
        <v>0</v>
      </c>
    </row>
    <row r="2458" spans="2:46">
      <c r="B2458" s="6" t="s">
        <v>10118</v>
      </c>
      <c r="D2458" s="6" t="s">
        <v>8189</v>
      </c>
      <c r="F2458" s="6" t="s">
        <v>10223</v>
      </c>
      <c r="G2458" s="6" t="str">
        <f>"GE18SSER12BUFR"</f>
        <v>GE18SSER12BUFR</v>
      </c>
      <c r="H2458" s="6" t="s">
        <v>10224</v>
      </c>
      <c r="I2458" s="6" t="s">
        <v>10225</v>
      </c>
      <c r="J2458" s="6" t="str">
        <f>"NR914BU"</f>
        <v>NR914BU</v>
      </c>
      <c r="K2458" s="6">
        <v>0</v>
      </c>
      <c r="L2458" s="6">
        <v>0</v>
      </c>
      <c r="M2458" s="6">
        <v>0</v>
      </c>
      <c r="N2458" s="6" t="str">
        <f>""</f>
        <v/>
      </c>
      <c r="O2458" s="6">
        <v>24642</v>
      </c>
      <c r="P2458" s="6" t="s">
        <v>10225</v>
      </c>
      <c r="R2458" s="6" t="s">
        <v>2175</v>
      </c>
      <c r="S2458" s="6" t="s">
        <v>10226</v>
      </c>
      <c r="T2458" s="6">
        <v>0</v>
      </c>
      <c r="U2458" s="6">
        <v>0</v>
      </c>
      <c r="V2458" s="6">
        <v>0</v>
      </c>
      <c r="W2458" s="6">
        <v>0</v>
      </c>
      <c r="X2458" s="6" t="s">
        <v>169</v>
      </c>
      <c r="Z2458" s="6" t="s">
        <v>170</v>
      </c>
      <c r="AA2458" s="6" t="s">
        <v>171</v>
      </c>
      <c r="AB2458" s="6">
        <v>0</v>
      </c>
      <c r="AC2458" s="6" t="str">
        <f>""</f>
        <v/>
      </c>
      <c r="AS2458" s="6">
        <v>0</v>
      </c>
      <c r="AT2458" s="6">
        <v>0</v>
      </c>
    </row>
    <row r="2459" spans="2:46">
      <c r="B2459" s="6" t="s">
        <v>10118</v>
      </c>
      <c r="D2459" s="6" t="s">
        <v>8189</v>
      </c>
      <c r="F2459" s="6" t="s">
        <v>10227</v>
      </c>
      <c r="G2459" s="6" t="str">
        <f>"GE18SSER11BUFR"</f>
        <v>GE18SSER11BUFR</v>
      </c>
      <c r="H2459" s="6" t="s">
        <v>10228</v>
      </c>
      <c r="I2459" s="6" t="s">
        <v>10229</v>
      </c>
      <c r="J2459" s="6" t="str">
        <f>"NR911BU"</f>
        <v>NR911BU</v>
      </c>
      <c r="K2459" s="6">
        <v>0</v>
      </c>
      <c r="L2459" s="6">
        <v>0</v>
      </c>
      <c r="M2459" s="6">
        <v>0</v>
      </c>
      <c r="N2459" s="6" t="str">
        <f>""</f>
        <v/>
      </c>
      <c r="O2459" s="6">
        <v>24640</v>
      </c>
      <c r="P2459" s="6" t="s">
        <v>10229</v>
      </c>
      <c r="R2459" s="6" t="s">
        <v>2175</v>
      </c>
      <c r="S2459" s="6" t="s">
        <v>10230</v>
      </c>
      <c r="T2459" s="6">
        <v>0</v>
      </c>
      <c r="U2459" s="6">
        <v>0</v>
      </c>
      <c r="V2459" s="6">
        <v>0</v>
      </c>
      <c r="W2459" s="6">
        <v>0</v>
      </c>
      <c r="X2459" s="6" t="s">
        <v>169</v>
      </c>
      <c r="Z2459" s="6" t="s">
        <v>170</v>
      </c>
      <c r="AA2459" s="6" t="s">
        <v>171</v>
      </c>
      <c r="AB2459" s="6">
        <v>0</v>
      </c>
      <c r="AC2459" s="6" t="str">
        <f>""</f>
        <v/>
      </c>
      <c r="AS2459" s="6">
        <v>0</v>
      </c>
      <c r="AT2459" s="6">
        <v>0</v>
      </c>
    </row>
    <row r="2460" spans="2:46">
      <c r="B2460" s="6" t="s">
        <v>10118</v>
      </c>
      <c r="D2460" s="6" t="s">
        <v>8189</v>
      </c>
      <c r="F2460" s="6" t="s">
        <v>10231</v>
      </c>
      <c r="G2460" s="6" t="str">
        <f>"GE18SSER11YEFR"</f>
        <v>GE18SSER11YEFR</v>
      </c>
      <c r="H2460" s="6" t="s">
        <v>10232</v>
      </c>
      <c r="I2460" s="6" t="s">
        <v>10233</v>
      </c>
      <c r="J2460" s="6" t="str">
        <f>"NR911YE"</f>
        <v>NR911YE</v>
      </c>
      <c r="K2460" s="6">
        <v>0</v>
      </c>
      <c r="L2460" s="6">
        <v>0</v>
      </c>
      <c r="M2460" s="6">
        <v>0</v>
      </c>
      <c r="N2460" s="6" t="str">
        <f>""</f>
        <v/>
      </c>
      <c r="O2460" s="6">
        <v>24638</v>
      </c>
      <c r="P2460" s="6" t="s">
        <v>10233</v>
      </c>
      <c r="R2460" s="6" t="s">
        <v>2570</v>
      </c>
      <c r="S2460" s="6" t="s">
        <v>10234</v>
      </c>
      <c r="T2460" s="6">
        <v>0</v>
      </c>
      <c r="U2460" s="6">
        <v>0</v>
      </c>
      <c r="V2460" s="6">
        <v>0</v>
      </c>
      <c r="W2460" s="6">
        <v>0</v>
      </c>
      <c r="X2460" s="6" t="s">
        <v>169</v>
      </c>
      <c r="Z2460" s="6" t="s">
        <v>170</v>
      </c>
      <c r="AA2460" s="6" t="s">
        <v>171</v>
      </c>
      <c r="AB2460" s="6">
        <v>0</v>
      </c>
      <c r="AC2460" s="6" t="str">
        <f>""</f>
        <v/>
      </c>
      <c r="AS2460" s="6">
        <v>0</v>
      </c>
      <c r="AT2460" s="6">
        <v>0</v>
      </c>
    </row>
    <row r="2461" spans="2:46">
      <c r="B2461" s="6" t="s">
        <v>10118</v>
      </c>
      <c r="D2461" s="6" t="s">
        <v>8189</v>
      </c>
      <c r="F2461" s="6" t="s">
        <v>10235</v>
      </c>
      <c r="G2461" s="6" t="str">
        <f>"GE18SSER10YEFR"</f>
        <v>GE18SSER10YEFR</v>
      </c>
      <c r="H2461" s="6" t="s">
        <v>10236</v>
      </c>
      <c r="I2461" s="6" t="s">
        <v>10237</v>
      </c>
      <c r="J2461" s="6" t="str">
        <f>"NR910YE"</f>
        <v>NR910YE</v>
      </c>
      <c r="K2461" s="6">
        <v>0</v>
      </c>
      <c r="L2461" s="6">
        <v>0</v>
      </c>
      <c r="M2461" s="6">
        <v>0</v>
      </c>
      <c r="N2461" s="6" t="str">
        <f>""</f>
        <v/>
      </c>
      <c r="O2461" s="6">
        <v>24636</v>
      </c>
      <c r="P2461" s="6" t="s">
        <v>10237</v>
      </c>
      <c r="R2461" s="6" t="s">
        <v>2570</v>
      </c>
      <c r="S2461" s="6" t="s">
        <v>10238</v>
      </c>
      <c r="T2461" s="6">
        <v>0</v>
      </c>
      <c r="U2461" s="6">
        <v>0</v>
      </c>
      <c r="V2461" s="6">
        <v>0</v>
      </c>
      <c r="W2461" s="6">
        <v>0</v>
      </c>
      <c r="X2461" s="6" t="s">
        <v>169</v>
      </c>
      <c r="Z2461" s="6" t="s">
        <v>170</v>
      </c>
      <c r="AA2461" s="6" t="s">
        <v>171</v>
      </c>
      <c r="AB2461" s="6">
        <v>0</v>
      </c>
      <c r="AC2461" s="6" t="str">
        <f>""</f>
        <v/>
      </c>
      <c r="AS2461" s="6">
        <v>0</v>
      </c>
      <c r="AT2461" s="6">
        <v>0</v>
      </c>
    </row>
    <row r="2462" spans="2:46">
      <c r="B2462" s="6" t="s">
        <v>10118</v>
      </c>
      <c r="D2462" s="6" t="s">
        <v>8189</v>
      </c>
      <c r="F2462" s="6" t="s">
        <v>10239</v>
      </c>
      <c r="G2462" s="6" t="str">
        <f>"GE18SSER09YEFR"</f>
        <v>GE18SSER09YEFR</v>
      </c>
      <c r="H2462" s="6" t="s">
        <v>10240</v>
      </c>
      <c r="I2462" s="6" t="s">
        <v>10241</v>
      </c>
      <c r="J2462" s="6" t="str">
        <f>"NR909YE"</f>
        <v>NR909YE</v>
      </c>
      <c r="K2462" s="6">
        <v>0</v>
      </c>
      <c r="L2462" s="6">
        <v>0</v>
      </c>
      <c r="M2462" s="6">
        <v>0</v>
      </c>
      <c r="N2462" s="6" t="str">
        <f>""</f>
        <v/>
      </c>
      <c r="O2462" s="6">
        <v>24634</v>
      </c>
      <c r="P2462" s="6" t="s">
        <v>10241</v>
      </c>
      <c r="R2462" s="6" t="s">
        <v>2570</v>
      </c>
      <c r="S2462" s="6" t="s">
        <v>10242</v>
      </c>
      <c r="T2462" s="6">
        <v>0</v>
      </c>
      <c r="U2462" s="6">
        <v>0</v>
      </c>
      <c r="V2462" s="6">
        <v>0</v>
      </c>
      <c r="W2462" s="6">
        <v>0</v>
      </c>
      <c r="X2462" s="6" t="s">
        <v>169</v>
      </c>
      <c r="Z2462" s="6" t="s">
        <v>170</v>
      </c>
      <c r="AA2462" s="6" t="s">
        <v>171</v>
      </c>
      <c r="AB2462" s="6">
        <v>0</v>
      </c>
      <c r="AC2462" s="6" t="str">
        <f>""</f>
        <v/>
      </c>
      <c r="AS2462" s="6">
        <v>0</v>
      </c>
      <c r="AT2462" s="6">
        <v>0</v>
      </c>
    </row>
    <row r="2463" spans="2:46">
      <c r="B2463" s="6" t="s">
        <v>10118</v>
      </c>
      <c r="D2463" s="6" t="s">
        <v>8189</v>
      </c>
      <c r="F2463" s="6" t="s">
        <v>10243</v>
      </c>
      <c r="G2463" s="6" t="str">
        <f>"GE18SSER08YEFR"</f>
        <v>GE18SSER08YEFR</v>
      </c>
      <c r="H2463" s="6" t="s">
        <v>10244</v>
      </c>
      <c r="I2463" s="6" t="s">
        <v>10245</v>
      </c>
      <c r="J2463" s="6" t="str">
        <f>"NR908YE"</f>
        <v>NR908YE</v>
      </c>
      <c r="K2463" s="6">
        <v>0</v>
      </c>
      <c r="L2463" s="6">
        <v>0</v>
      </c>
      <c r="M2463" s="6">
        <v>0</v>
      </c>
      <c r="N2463" s="6" t="str">
        <f>""</f>
        <v/>
      </c>
      <c r="O2463" s="6">
        <v>24632</v>
      </c>
      <c r="P2463" s="6" t="s">
        <v>10245</v>
      </c>
      <c r="R2463" s="6" t="s">
        <v>2570</v>
      </c>
      <c r="S2463" s="6" t="s">
        <v>10246</v>
      </c>
      <c r="T2463" s="6">
        <v>0</v>
      </c>
      <c r="U2463" s="6">
        <v>0</v>
      </c>
      <c r="V2463" s="6">
        <v>0</v>
      </c>
      <c r="W2463" s="6">
        <v>0</v>
      </c>
      <c r="X2463" s="6" t="s">
        <v>169</v>
      </c>
      <c r="Z2463" s="6" t="s">
        <v>170</v>
      </c>
      <c r="AA2463" s="6" t="s">
        <v>171</v>
      </c>
      <c r="AB2463" s="6">
        <v>0</v>
      </c>
      <c r="AC2463" s="6" t="str">
        <f>""</f>
        <v/>
      </c>
      <c r="AS2463" s="6">
        <v>0</v>
      </c>
      <c r="AT2463" s="6">
        <v>0</v>
      </c>
    </row>
    <row r="2464" spans="2:46">
      <c r="B2464" s="6" t="s">
        <v>10118</v>
      </c>
      <c r="D2464" s="6" t="s">
        <v>8189</v>
      </c>
      <c r="F2464" s="6" t="s">
        <v>10247</v>
      </c>
      <c r="G2464" s="6" t="str">
        <f>"GE18SSER07YEFR"</f>
        <v>GE18SSER07YEFR</v>
      </c>
      <c r="H2464" s="6" t="s">
        <v>10248</v>
      </c>
      <c r="I2464" s="6" t="s">
        <v>10249</v>
      </c>
      <c r="J2464" s="6" t="str">
        <f>"NR907YE"</f>
        <v>NR907YE</v>
      </c>
      <c r="K2464" s="6">
        <v>0</v>
      </c>
      <c r="L2464" s="6">
        <v>0</v>
      </c>
      <c r="M2464" s="6">
        <v>0</v>
      </c>
      <c r="N2464" s="6" t="str">
        <f>""</f>
        <v/>
      </c>
      <c r="O2464" s="6">
        <v>24630</v>
      </c>
      <c r="P2464" s="6" t="s">
        <v>10249</v>
      </c>
      <c r="R2464" s="6" t="s">
        <v>2570</v>
      </c>
      <c r="S2464" s="6" t="s">
        <v>10250</v>
      </c>
      <c r="T2464" s="6">
        <v>0</v>
      </c>
      <c r="U2464" s="6">
        <v>0</v>
      </c>
      <c r="V2464" s="6">
        <v>0</v>
      </c>
      <c r="W2464" s="6">
        <v>0</v>
      </c>
      <c r="X2464" s="6" t="s">
        <v>169</v>
      </c>
      <c r="Z2464" s="6" t="s">
        <v>170</v>
      </c>
      <c r="AA2464" s="6" t="s">
        <v>171</v>
      </c>
      <c r="AB2464" s="6">
        <v>0</v>
      </c>
      <c r="AC2464" s="6" t="str">
        <f>""</f>
        <v/>
      </c>
      <c r="AS2464" s="6">
        <v>0</v>
      </c>
      <c r="AT2464" s="6">
        <v>0</v>
      </c>
    </row>
    <row r="2465" spans="2:46">
      <c r="B2465" s="6" t="s">
        <v>10118</v>
      </c>
      <c r="D2465" s="6" t="s">
        <v>8189</v>
      </c>
      <c r="F2465" s="6" t="s">
        <v>10251</v>
      </c>
      <c r="G2465" s="6" t="str">
        <f>"GE18SSER06WHFR"</f>
        <v>GE18SSER06WHFR</v>
      </c>
      <c r="H2465" s="6" t="s">
        <v>10252</v>
      </c>
      <c r="I2465" s="6" t="s">
        <v>10253</v>
      </c>
      <c r="J2465" s="6" t="str">
        <f>"NR906WH"</f>
        <v>NR906WH</v>
      </c>
      <c r="K2465" s="6">
        <v>0</v>
      </c>
      <c r="L2465" s="6">
        <v>0</v>
      </c>
      <c r="M2465" s="6">
        <v>0</v>
      </c>
      <c r="N2465" s="6" t="str">
        <f>""</f>
        <v/>
      </c>
      <c r="O2465" s="6">
        <v>24628</v>
      </c>
      <c r="P2465" s="6" t="s">
        <v>10253</v>
      </c>
      <c r="R2465" s="6" t="s">
        <v>2167</v>
      </c>
      <c r="S2465" s="6" t="s">
        <v>10254</v>
      </c>
      <c r="T2465" s="6">
        <v>0</v>
      </c>
      <c r="U2465" s="6">
        <v>0</v>
      </c>
      <c r="V2465" s="6">
        <v>0</v>
      </c>
      <c r="W2465" s="6">
        <v>0</v>
      </c>
      <c r="X2465" s="6" t="s">
        <v>169</v>
      </c>
      <c r="Z2465" s="6" t="s">
        <v>170</v>
      </c>
      <c r="AA2465" s="6" t="s">
        <v>171</v>
      </c>
      <c r="AB2465" s="6">
        <v>0</v>
      </c>
      <c r="AC2465" s="6" t="str">
        <f>""</f>
        <v/>
      </c>
      <c r="AS2465" s="6">
        <v>0</v>
      </c>
      <c r="AT2465" s="6">
        <v>0</v>
      </c>
    </row>
    <row r="2466" spans="2:46">
      <c r="B2466" s="6" t="s">
        <v>10118</v>
      </c>
      <c r="D2466" s="6" t="s">
        <v>8189</v>
      </c>
      <c r="F2466" s="6" t="s">
        <v>10255</v>
      </c>
      <c r="G2466" s="6" t="str">
        <f>"GE18SSER05YEFR"</f>
        <v>GE18SSER05YEFR</v>
      </c>
      <c r="H2466" s="6" t="s">
        <v>10256</v>
      </c>
      <c r="I2466" s="6" t="s">
        <v>10257</v>
      </c>
      <c r="J2466" s="6" t="str">
        <f>"NR901YE"</f>
        <v>NR901YE</v>
      </c>
      <c r="K2466" s="6">
        <v>0</v>
      </c>
      <c r="L2466" s="6">
        <v>0</v>
      </c>
      <c r="M2466" s="6">
        <v>0</v>
      </c>
      <c r="N2466" s="6" t="str">
        <f>""</f>
        <v/>
      </c>
      <c r="O2466" s="6">
        <v>24626</v>
      </c>
      <c r="P2466" s="6" t="s">
        <v>10257</v>
      </c>
      <c r="R2466" s="6" t="s">
        <v>2570</v>
      </c>
      <c r="S2466" s="6" t="s">
        <v>10258</v>
      </c>
      <c r="T2466" s="6">
        <v>0</v>
      </c>
      <c r="U2466" s="6">
        <v>0</v>
      </c>
      <c r="V2466" s="6">
        <v>0</v>
      </c>
      <c r="W2466" s="6">
        <v>0</v>
      </c>
      <c r="X2466" s="6" t="s">
        <v>169</v>
      </c>
      <c r="Z2466" s="6" t="s">
        <v>170</v>
      </c>
      <c r="AA2466" s="6" t="s">
        <v>171</v>
      </c>
      <c r="AB2466" s="6">
        <v>0</v>
      </c>
      <c r="AC2466" s="6" t="str">
        <f>""</f>
        <v/>
      </c>
      <c r="AS2466" s="6">
        <v>0</v>
      </c>
      <c r="AT2466" s="6">
        <v>0</v>
      </c>
    </row>
    <row r="2467" spans="2:46">
      <c r="B2467" s="6" t="s">
        <v>10118</v>
      </c>
      <c r="D2467" s="6" t="s">
        <v>8189</v>
      </c>
      <c r="F2467" s="6" t="s">
        <v>10259</v>
      </c>
      <c r="G2467" s="6" t="str">
        <f>"GE18SSER04WHFR"</f>
        <v>GE18SSER04WHFR</v>
      </c>
      <c r="H2467" s="6" t="s">
        <v>10260</v>
      </c>
      <c r="I2467" s="6" t="s">
        <v>10261</v>
      </c>
      <c r="J2467" s="6" t="str">
        <f>"NR918WH"</f>
        <v>NR918WH</v>
      </c>
      <c r="K2467" s="6">
        <v>0</v>
      </c>
      <c r="L2467" s="6">
        <v>0</v>
      </c>
      <c r="M2467" s="6">
        <v>0</v>
      </c>
      <c r="N2467" s="6" t="str">
        <f>""</f>
        <v/>
      </c>
      <c r="O2467" s="6">
        <v>24624</v>
      </c>
      <c r="P2467" s="6" t="s">
        <v>10261</v>
      </c>
      <c r="R2467" s="6" t="s">
        <v>2167</v>
      </c>
      <c r="S2467" s="6" t="s">
        <v>10262</v>
      </c>
      <c r="T2467" s="6">
        <v>0</v>
      </c>
      <c r="U2467" s="6">
        <v>0</v>
      </c>
      <c r="V2467" s="6">
        <v>0</v>
      </c>
      <c r="W2467" s="6">
        <v>0</v>
      </c>
      <c r="X2467" s="6" t="s">
        <v>169</v>
      </c>
      <c r="Z2467" s="6" t="s">
        <v>170</v>
      </c>
      <c r="AA2467" s="6" t="s">
        <v>171</v>
      </c>
      <c r="AB2467" s="6">
        <v>0</v>
      </c>
      <c r="AC2467" s="6" t="str">
        <f>""</f>
        <v/>
      </c>
      <c r="AS2467" s="6">
        <v>0</v>
      </c>
      <c r="AT2467" s="6">
        <v>0</v>
      </c>
    </row>
    <row r="2468" spans="2:46">
      <c r="B2468" s="6" t="s">
        <v>10118</v>
      </c>
      <c r="D2468" s="6" t="s">
        <v>8189</v>
      </c>
      <c r="F2468" s="6" t="s">
        <v>10263</v>
      </c>
      <c r="G2468" s="6" t="str">
        <f>"GE18SSER03WHFR"</f>
        <v>GE18SSER03WHFR</v>
      </c>
      <c r="H2468" s="6" t="s">
        <v>10264</v>
      </c>
      <c r="I2468" s="6" t="s">
        <v>10265</v>
      </c>
      <c r="J2468" s="6" t="str">
        <f>"NR903WH"</f>
        <v>NR903WH</v>
      </c>
      <c r="K2468" s="6">
        <v>0</v>
      </c>
      <c r="L2468" s="6">
        <v>0</v>
      </c>
      <c r="M2468" s="6">
        <v>0</v>
      </c>
      <c r="N2468" s="6" t="str">
        <f>""</f>
        <v/>
      </c>
      <c r="O2468" s="6">
        <v>24622</v>
      </c>
      <c r="P2468" s="6" t="s">
        <v>10265</v>
      </c>
      <c r="R2468" s="6" t="s">
        <v>2570</v>
      </c>
      <c r="S2468" s="6" t="s">
        <v>10266</v>
      </c>
      <c r="T2468" s="6">
        <v>0</v>
      </c>
      <c r="U2468" s="6">
        <v>0</v>
      </c>
      <c r="V2468" s="6">
        <v>0</v>
      </c>
      <c r="W2468" s="6">
        <v>0</v>
      </c>
      <c r="X2468" s="6" t="s">
        <v>169</v>
      </c>
      <c r="Z2468" s="6" t="s">
        <v>170</v>
      </c>
      <c r="AA2468" s="6" t="s">
        <v>171</v>
      </c>
      <c r="AB2468" s="6">
        <v>0</v>
      </c>
      <c r="AC2468" s="6" t="str">
        <f>""</f>
        <v/>
      </c>
      <c r="AS2468" s="6">
        <v>0</v>
      </c>
      <c r="AT2468" s="6">
        <v>0</v>
      </c>
    </row>
    <row r="2469" spans="2:46">
      <c r="B2469" s="6" t="s">
        <v>10118</v>
      </c>
      <c r="D2469" s="6" t="s">
        <v>8189</v>
      </c>
      <c r="F2469" s="6" t="s">
        <v>10267</v>
      </c>
      <c r="G2469" s="6" t="str">
        <f>"GE18SSER02YEFR"</f>
        <v>GE18SSER02YEFR</v>
      </c>
      <c r="H2469" s="6" t="s">
        <v>10268</v>
      </c>
      <c r="I2469" s="6" t="s">
        <v>10269</v>
      </c>
      <c r="J2469" s="6" t="str">
        <f>"NR900YE"</f>
        <v>NR900YE</v>
      </c>
      <c r="K2469" s="6">
        <v>0</v>
      </c>
      <c r="L2469" s="6">
        <v>0</v>
      </c>
      <c r="M2469" s="6">
        <v>0</v>
      </c>
      <c r="N2469" s="6" t="str">
        <f>""</f>
        <v/>
      </c>
      <c r="O2469" s="6">
        <v>24620</v>
      </c>
      <c r="P2469" s="6" t="s">
        <v>10269</v>
      </c>
      <c r="R2469" s="6" t="s">
        <v>2570</v>
      </c>
      <c r="S2469" s="6" t="s">
        <v>10270</v>
      </c>
      <c r="T2469" s="6">
        <v>0</v>
      </c>
      <c r="U2469" s="6">
        <v>0</v>
      </c>
      <c r="V2469" s="6">
        <v>0</v>
      </c>
      <c r="W2469" s="6">
        <v>0</v>
      </c>
      <c r="X2469" s="6" t="s">
        <v>169</v>
      </c>
      <c r="Z2469" s="6" t="s">
        <v>170</v>
      </c>
      <c r="AA2469" s="6" t="s">
        <v>171</v>
      </c>
      <c r="AB2469" s="6">
        <v>0</v>
      </c>
      <c r="AC2469" s="6" t="str">
        <f>""</f>
        <v/>
      </c>
      <c r="AS2469" s="6">
        <v>0</v>
      </c>
      <c r="AT2469" s="6">
        <v>0</v>
      </c>
    </row>
    <row r="2470" spans="2:46">
      <c r="B2470" s="6" t="s">
        <v>10118</v>
      </c>
      <c r="D2470" s="6" t="s">
        <v>8189</v>
      </c>
      <c r="F2470" s="6" t="s">
        <v>10271</v>
      </c>
      <c r="G2470" s="6" t="str">
        <f>"GE18SSER01WHFR"</f>
        <v>GE18SSER01WHFR</v>
      </c>
      <c r="H2470" s="6" t="s">
        <v>10272</v>
      </c>
      <c r="I2470" s="6" t="s">
        <v>10273</v>
      </c>
      <c r="J2470" s="6" t="str">
        <f>"NR902WH"</f>
        <v>NR902WH</v>
      </c>
      <c r="K2470" s="6">
        <v>0</v>
      </c>
      <c r="L2470" s="6">
        <v>0</v>
      </c>
      <c r="M2470" s="6">
        <v>0</v>
      </c>
      <c r="N2470" s="6" t="str">
        <f>""</f>
        <v/>
      </c>
      <c r="O2470" s="6">
        <v>24618</v>
      </c>
      <c r="P2470" s="6" t="s">
        <v>10273</v>
      </c>
      <c r="R2470" s="6" t="s">
        <v>2167</v>
      </c>
      <c r="S2470" s="6" t="s">
        <v>10274</v>
      </c>
      <c r="T2470" s="6">
        <v>0</v>
      </c>
      <c r="U2470" s="6">
        <v>0</v>
      </c>
      <c r="V2470" s="6">
        <v>0</v>
      </c>
      <c r="W2470" s="6">
        <v>0</v>
      </c>
      <c r="X2470" s="6" t="s">
        <v>169</v>
      </c>
      <c r="Z2470" s="6" t="s">
        <v>170</v>
      </c>
      <c r="AA2470" s="6" t="s">
        <v>171</v>
      </c>
      <c r="AB2470" s="6">
        <v>0</v>
      </c>
      <c r="AC2470" s="6" t="str">
        <f>""</f>
        <v/>
      </c>
      <c r="AS2470" s="6">
        <v>0</v>
      </c>
      <c r="AT2470" s="6">
        <v>0</v>
      </c>
    </row>
    <row r="2471" spans="2:46">
      <c r="B2471" s="6" t="s">
        <v>10118</v>
      </c>
      <c r="D2471" s="6" t="s">
        <v>8189</v>
      </c>
      <c r="F2471" s="6" t="s">
        <v>10275</v>
      </c>
      <c r="G2471" s="6" t="str">
        <f>"GE17SSER02GDFR"</f>
        <v>GE17SSER02GDFR</v>
      </c>
      <c r="H2471" s="6" t="s">
        <v>10276</v>
      </c>
      <c r="I2471" s="6" t="s">
        <v>10277</v>
      </c>
      <c r="J2471" s="6" t="str">
        <f>"WN902GD"</f>
        <v>WN902GD</v>
      </c>
      <c r="K2471" s="6">
        <v>0</v>
      </c>
      <c r="L2471" s="6">
        <v>0</v>
      </c>
      <c r="M2471" s="6">
        <v>0</v>
      </c>
      <c r="N2471" s="6" t="str">
        <f>""</f>
        <v/>
      </c>
      <c r="O2471" s="6">
        <v>24616</v>
      </c>
      <c r="P2471" s="6" t="s">
        <v>10277</v>
      </c>
      <c r="R2471" s="6" t="s">
        <v>10277</v>
      </c>
      <c r="S2471" s="6" t="s">
        <v>10278</v>
      </c>
      <c r="T2471" s="6">
        <v>0</v>
      </c>
      <c r="U2471" s="6">
        <v>0</v>
      </c>
      <c r="V2471" s="6">
        <v>0</v>
      </c>
      <c r="W2471" s="6">
        <v>0</v>
      </c>
      <c r="X2471" s="6" t="s">
        <v>169</v>
      </c>
      <c r="Z2471" s="6" t="s">
        <v>170</v>
      </c>
      <c r="AA2471" s="6" t="s">
        <v>171</v>
      </c>
      <c r="AB2471" s="6">
        <v>0</v>
      </c>
      <c r="AC2471" s="6" t="str">
        <f>""</f>
        <v/>
      </c>
      <c r="AS2471" s="6">
        <v>0</v>
      </c>
      <c r="AT2471" s="6">
        <v>0</v>
      </c>
    </row>
    <row r="2472" spans="2:46">
      <c r="B2472" s="6" t="s">
        <v>10118</v>
      </c>
      <c r="D2472" s="6" t="s">
        <v>8189</v>
      </c>
      <c r="F2472" s="6" t="s">
        <v>10279</v>
      </c>
      <c r="G2472" s="6" t="str">
        <f>"GE17SSBG01GDFR"</f>
        <v>GE17SSBG01GDFR</v>
      </c>
      <c r="H2472" s="6" t="s">
        <v>10280</v>
      </c>
      <c r="I2472" s="6" t="s">
        <v>10281</v>
      </c>
      <c r="J2472" s="6" t="str">
        <f>"WN501GD"</f>
        <v>WN501GD</v>
      </c>
      <c r="K2472" s="6">
        <v>0</v>
      </c>
      <c r="L2472" s="6">
        <v>0</v>
      </c>
      <c r="M2472" s="6">
        <v>0</v>
      </c>
      <c r="N2472" s="6" t="str">
        <f>""</f>
        <v/>
      </c>
      <c r="O2472" s="6">
        <v>24614</v>
      </c>
      <c r="P2472" s="6" t="s">
        <v>10281</v>
      </c>
      <c r="R2472" s="6" t="s">
        <v>8326</v>
      </c>
      <c r="S2472" s="6" t="s">
        <v>10282</v>
      </c>
      <c r="T2472" s="6">
        <v>0</v>
      </c>
      <c r="U2472" s="6">
        <v>0</v>
      </c>
      <c r="V2472" s="6">
        <v>0</v>
      </c>
      <c r="W2472" s="6">
        <v>0</v>
      </c>
      <c r="X2472" s="6" t="s">
        <v>169</v>
      </c>
      <c r="Z2472" s="6" t="s">
        <v>170</v>
      </c>
      <c r="AA2472" s="6" t="s">
        <v>171</v>
      </c>
      <c r="AB2472" s="6">
        <v>0</v>
      </c>
      <c r="AC2472" s="6" t="str">
        <f>""</f>
        <v/>
      </c>
      <c r="AS2472" s="6">
        <v>0</v>
      </c>
      <c r="AT2472" s="6">
        <v>0</v>
      </c>
    </row>
    <row r="2473" spans="2:46">
      <c r="B2473" s="6" t="s">
        <v>10118</v>
      </c>
      <c r="D2473" s="6" t="s">
        <v>8189</v>
      </c>
      <c r="F2473" s="6" t="s">
        <v>10283</v>
      </c>
      <c r="G2473" s="6" t="str">
        <f>"GE17SSER01LSFR"</f>
        <v>GE17SSER01LSFR</v>
      </c>
      <c r="H2473" s="6" t="s">
        <v>10284</v>
      </c>
      <c r="I2473" s="6" t="s">
        <v>10285</v>
      </c>
      <c r="J2473" s="6" t="str">
        <f>"TL901LS"</f>
        <v>TL901LS</v>
      </c>
      <c r="K2473" s="6">
        <v>0</v>
      </c>
      <c r="L2473" s="6">
        <v>0</v>
      </c>
      <c r="M2473" s="6">
        <v>0</v>
      </c>
      <c r="N2473" s="6" t="str">
        <f>""</f>
        <v/>
      </c>
      <c r="O2473" s="6">
        <v>24612</v>
      </c>
      <c r="P2473" s="6" t="s">
        <v>10285</v>
      </c>
      <c r="R2473" s="6" t="s">
        <v>10286</v>
      </c>
      <c r="S2473" s="6" t="s">
        <v>10287</v>
      </c>
      <c r="T2473" s="6">
        <v>0</v>
      </c>
      <c r="U2473" s="6">
        <v>0</v>
      </c>
      <c r="V2473" s="6">
        <v>0</v>
      </c>
      <c r="W2473" s="6">
        <v>0</v>
      </c>
      <c r="X2473" s="6" t="s">
        <v>169</v>
      </c>
      <c r="Z2473" s="6" t="s">
        <v>170</v>
      </c>
      <c r="AA2473" s="6" t="s">
        <v>171</v>
      </c>
      <c r="AB2473" s="6">
        <v>0</v>
      </c>
      <c r="AC2473" s="6" t="str">
        <f>""</f>
        <v/>
      </c>
      <c r="AS2473" s="6">
        <v>0</v>
      </c>
      <c r="AT2473" s="6">
        <v>0</v>
      </c>
    </row>
    <row r="2474" spans="2:46">
      <c r="B2474" s="6" t="s">
        <v>10118</v>
      </c>
      <c r="D2474" s="6" t="s">
        <v>8189</v>
      </c>
      <c r="F2474" s="6" t="s">
        <v>10288</v>
      </c>
      <c r="G2474" s="6" t="str">
        <f>"GE17SSER10WHFR"</f>
        <v>GE17SSER10WHFR</v>
      </c>
      <c r="H2474" s="6" t="s">
        <v>10289</v>
      </c>
      <c r="I2474" s="6" t="s">
        <v>10290</v>
      </c>
      <c r="J2474" s="6" t="str">
        <f>"SL910WH"</f>
        <v>SL910WH</v>
      </c>
      <c r="K2474" s="6">
        <v>0</v>
      </c>
      <c r="L2474" s="6">
        <v>0</v>
      </c>
      <c r="M2474" s="6">
        <v>0</v>
      </c>
      <c r="N2474" s="6" t="str">
        <f>""</f>
        <v/>
      </c>
      <c r="O2474" s="6">
        <v>24610</v>
      </c>
      <c r="P2474" s="6" t="s">
        <v>10290</v>
      </c>
      <c r="R2474" s="6" t="s">
        <v>3097</v>
      </c>
      <c r="S2474" s="6" t="s">
        <v>10291</v>
      </c>
      <c r="T2474" s="6">
        <v>0</v>
      </c>
      <c r="U2474" s="6">
        <v>0</v>
      </c>
      <c r="V2474" s="6">
        <v>0</v>
      </c>
      <c r="W2474" s="6">
        <v>0</v>
      </c>
      <c r="X2474" s="6" t="s">
        <v>169</v>
      </c>
      <c r="Z2474" s="6" t="s">
        <v>170</v>
      </c>
      <c r="AA2474" s="6" t="s">
        <v>171</v>
      </c>
      <c r="AB2474" s="6">
        <v>0</v>
      </c>
      <c r="AC2474" s="6" t="str">
        <f>""</f>
        <v/>
      </c>
      <c r="AS2474" s="6">
        <v>0</v>
      </c>
      <c r="AT2474" s="6">
        <v>0</v>
      </c>
    </row>
    <row r="2475" spans="2:46">
      <c r="B2475" s="6" t="s">
        <v>10118</v>
      </c>
      <c r="D2475" s="6" t="s">
        <v>8189</v>
      </c>
      <c r="F2475" s="6" t="s">
        <v>10292</v>
      </c>
      <c r="G2475" s="6" t="str">
        <f>"GE17SSER00LSFR"</f>
        <v>GE17SSER00LSFR</v>
      </c>
      <c r="H2475" s="6" t="s">
        <v>10293</v>
      </c>
      <c r="I2475" s="6" t="s">
        <v>10294</v>
      </c>
      <c r="J2475" s="6" t="str">
        <f>"TL900LS"</f>
        <v>TL900LS</v>
      </c>
      <c r="K2475" s="6">
        <v>0</v>
      </c>
      <c r="L2475" s="6">
        <v>0</v>
      </c>
      <c r="M2475" s="6">
        <v>0</v>
      </c>
      <c r="N2475" s="6" t="str">
        <f>""</f>
        <v/>
      </c>
      <c r="O2475" s="6">
        <v>24608</v>
      </c>
      <c r="P2475" s="6" t="s">
        <v>10294</v>
      </c>
      <c r="R2475" s="6" t="s">
        <v>10295</v>
      </c>
      <c r="S2475" s="6" t="s">
        <v>10296</v>
      </c>
      <c r="T2475" s="6">
        <v>0</v>
      </c>
      <c r="U2475" s="6">
        <v>0</v>
      </c>
      <c r="V2475" s="6">
        <v>0</v>
      </c>
      <c r="W2475" s="6">
        <v>0</v>
      </c>
      <c r="X2475" s="6" t="s">
        <v>169</v>
      </c>
      <c r="Z2475" s="6" t="s">
        <v>170</v>
      </c>
      <c r="AA2475" s="6" t="s">
        <v>171</v>
      </c>
      <c r="AB2475" s="6">
        <v>0</v>
      </c>
      <c r="AC2475" s="6" t="str">
        <f>""</f>
        <v/>
      </c>
      <c r="AS2475" s="6">
        <v>0</v>
      </c>
      <c r="AT2475" s="6">
        <v>1</v>
      </c>
    </row>
    <row r="2476" spans="2:46">
      <c r="B2476" s="6" t="s">
        <v>10118</v>
      </c>
      <c r="D2476" s="6" t="s">
        <v>8189</v>
      </c>
      <c r="F2476" s="6" t="s">
        <v>10297</v>
      </c>
      <c r="G2476" s="6" t="str">
        <f>"GE17SSER20LSFR"</f>
        <v>GE17SSER20LSFR</v>
      </c>
      <c r="H2476" s="6" t="s">
        <v>10298</v>
      </c>
      <c r="I2476" s="6" t="s">
        <v>10299</v>
      </c>
      <c r="J2476" s="6" t="str">
        <f>"TL920LS"</f>
        <v>TL920LS</v>
      </c>
      <c r="K2476" s="6">
        <v>0</v>
      </c>
      <c r="L2476" s="6">
        <v>0</v>
      </c>
      <c r="M2476" s="6">
        <v>0</v>
      </c>
      <c r="N2476" s="6" t="str">
        <f>""</f>
        <v/>
      </c>
      <c r="O2476" s="6">
        <v>24606</v>
      </c>
      <c r="P2476" s="6" t="s">
        <v>10299</v>
      </c>
      <c r="R2476" s="6" t="s">
        <v>10300</v>
      </c>
      <c r="S2476" s="6" t="s">
        <v>10301</v>
      </c>
      <c r="T2476" s="6">
        <v>0</v>
      </c>
      <c r="U2476" s="6">
        <v>0</v>
      </c>
      <c r="V2476" s="6">
        <v>0</v>
      </c>
      <c r="W2476" s="6">
        <v>0</v>
      </c>
      <c r="X2476" s="6" t="s">
        <v>169</v>
      </c>
      <c r="Z2476" s="6" t="s">
        <v>170</v>
      </c>
      <c r="AA2476" s="6" t="s">
        <v>171</v>
      </c>
      <c r="AB2476" s="6">
        <v>0</v>
      </c>
      <c r="AC2476" s="6" t="str">
        <f>""</f>
        <v/>
      </c>
      <c r="AS2476" s="6">
        <v>0</v>
      </c>
      <c r="AT2476" s="6">
        <v>0</v>
      </c>
    </row>
    <row r="2477" spans="2:46">
      <c r="B2477" s="6" t="s">
        <v>10118</v>
      </c>
      <c r="D2477" s="6" t="s">
        <v>8189</v>
      </c>
      <c r="F2477" s="6" t="s">
        <v>10302</v>
      </c>
      <c r="G2477" s="6" t="str">
        <f>"GE17SSBC01LSFR"</f>
        <v>GE17SSBC01LSFR</v>
      </c>
      <c r="H2477" s="6" t="s">
        <v>10303</v>
      </c>
      <c r="I2477" s="6" t="s">
        <v>10304</v>
      </c>
      <c r="J2477" s="6" t="str">
        <f>"TL101LS"</f>
        <v>TL101LS</v>
      </c>
      <c r="K2477" s="6">
        <v>0</v>
      </c>
      <c r="L2477" s="6">
        <v>0</v>
      </c>
      <c r="M2477" s="6">
        <v>0</v>
      </c>
      <c r="N2477" s="6" t="str">
        <f>""</f>
        <v/>
      </c>
      <c r="O2477" s="6">
        <v>24604</v>
      </c>
      <c r="P2477" s="6" t="s">
        <v>10304</v>
      </c>
      <c r="R2477" s="6" t="s">
        <v>10300</v>
      </c>
      <c r="S2477" s="6" t="s">
        <v>10305</v>
      </c>
      <c r="T2477" s="6">
        <v>0</v>
      </c>
      <c r="U2477" s="6">
        <v>0</v>
      </c>
      <c r="V2477" s="6">
        <v>0</v>
      </c>
      <c r="W2477" s="6">
        <v>0</v>
      </c>
      <c r="X2477" s="6" t="s">
        <v>169</v>
      </c>
      <c r="Z2477" s="6" t="s">
        <v>170</v>
      </c>
      <c r="AA2477" s="6" t="s">
        <v>171</v>
      </c>
      <c r="AB2477" s="6">
        <v>0</v>
      </c>
      <c r="AC2477" s="6" t="str">
        <f>""</f>
        <v/>
      </c>
      <c r="AS2477" s="6">
        <v>0</v>
      </c>
      <c r="AT2477" s="6">
        <v>0</v>
      </c>
    </row>
    <row r="2478" spans="2:46">
      <c r="B2478" s="6" t="s">
        <v>10306</v>
      </c>
      <c r="D2478" s="6" t="s">
        <v>8189</v>
      </c>
      <c r="F2478" s="6" t="s">
        <v>10307</v>
      </c>
      <c r="G2478" s="6" t="str">
        <f>"BV0TES"</f>
        <v>BV0TES</v>
      </c>
      <c r="I2478" s="6" t="s">
        <v>10308</v>
      </c>
      <c r="J2478" s="6" t="str">
        <f>"Triangle Earrings Gold"</f>
        <v>Triangle Earrings Gold</v>
      </c>
      <c r="K2478" s="6">
        <v>0</v>
      </c>
      <c r="L2478" s="6">
        <v>0</v>
      </c>
      <c r="M2478" s="6">
        <v>0</v>
      </c>
      <c r="N2478" s="6" t="str">
        <f>""</f>
        <v/>
      </c>
      <c r="O2478" s="6">
        <v>24602</v>
      </c>
      <c r="P2478" s="6" t="s">
        <v>10309</v>
      </c>
      <c r="R2478" s="6" t="s">
        <v>10310</v>
      </c>
      <c r="S2478" s="6" t="s">
        <v>10311</v>
      </c>
      <c r="T2478" s="6">
        <v>3</v>
      </c>
      <c r="U2478" s="6">
        <v>0</v>
      </c>
      <c r="V2478" s="6">
        <v>0</v>
      </c>
      <c r="W2478" s="6">
        <v>0</v>
      </c>
      <c r="X2478" s="6" t="s">
        <v>169</v>
      </c>
      <c r="Z2478" s="6" t="s">
        <v>170</v>
      </c>
      <c r="AA2478" s="6" t="s">
        <v>171</v>
      </c>
      <c r="AB2478" s="6">
        <v>0</v>
      </c>
      <c r="AC2478" s="6" t="str">
        <f t="shared" ref="AC2478:AC2504" si="13">"KEY-002"</f>
        <v>KEY-002</v>
      </c>
      <c r="AQ2478" s="6" t="str">
        <f>""</f>
        <v/>
      </c>
      <c r="AR2478" s="6" t="s">
        <v>1584</v>
      </c>
      <c r="AS2478" s="6">
        <v>0</v>
      </c>
      <c r="AT2478" s="6">
        <v>3</v>
      </c>
    </row>
    <row r="2479" spans="2:46">
      <c r="B2479" s="6" t="s">
        <v>10306</v>
      </c>
      <c r="D2479" s="6" t="s">
        <v>8189</v>
      </c>
      <c r="F2479" s="6" t="s">
        <v>10312</v>
      </c>
      <c r="G2479" s="6" t="str">
        <f>"BV0TEG"</f>
        <v>BV0TEG</v>
      </c>
      <c r="I2479" s="6" t="s">
        <v>10313</v>
      </c>
      <c r="J2479" s="6" t="str">
        <f>"Triangle Earrings Silver"</f>
        <v>Triangle Earrings Silver</v>
      </c>
      <c r="K2479" s="6">
        <v>0</v>
      </c>
      <c r="L2479" s="6">
        <v>0</v>
      </c>
      <c r="M2479" s="6">
        <v>0</v>
      </c>
      <c r="N2479" s="6" t="str">
        <f>""</f>
        <v/>
      </c>
      <c r="O2479" s="6">
        <v>24600</v>
      </c>
      <c r="P2479" s="6" t="s">
        <v>10314</v>
      </c>
      <c r="R2479" s="6" t="s">
        <v>10315</v>
      </c>
      <c r="S2479" s="6" t="s">
        <v>10316</v>
      </c>
      <c r="T2479" s="6">
        <v>0</v>
      </c>
      <c r="U2479" s="6">
        <v>0</v>
      </c>
      <c r="V2479" s="6">
        <v>0</v>
      </c>
      <c r="W2479" s="6">
        <v>0</v>
      </c>
      <c r="X2479" s="6" t="s">
        <v>169</v>
      </c>
      <c r="Z2479" s="6" t="s">
        <v>170</v>
      </c>
      <c r="AA2479" s="6" t="s">
        <v>171</v>
      </c>
      <c r="AB2479" s="6">
        <v>0</v>
      </c>
      <c r="AC2479" s="6" t="str">
        <f t="shared" si="13"/>
        <v>KEY-002</v>
      </c>
      <c r="AQ2479" s="6" t="str">
        <f>""</f>
        <v/>
      </c>
      <c r="AR2479" s="6" t="s">
        <v>1584</v>
      </c>
      <c r="AS2479" s="6">
        <v>0</v>
      </c>
      <c r="AT2479" s="6">
        <v>0</v>
      </c>
    </row>
    <row r="2480" spans="2:46">
      <c r="B2480" s="6" t="s">
        <v>10306</v>
      </c>
      <c r="D2480" s="6" t="s">
        <v>8189</v>
      </c>
      <c r="F2480" s="6" t="s">
        <v>10317</v>
      </c>
      <c r="G2480" s="6" t="str">
        <f>"BL0LG0S"</f>
        <v>BL0LG0S</v>
      </c>
      <c r="I2480" s="6" t="s">
        <v>10318</v>
      </c>
      <c r="J2480" s="6" t="str">
        <f>"BL_LOGO_SILVER"</f>
        <v>BL_LOGO_SILVER</v>
      </c>
      <c r="K2480" s="6">
        <v>0</v>
      </c>
      <c r="L2480" s="6">
        <v>0</v>
      </c>
      <c r="M2480" s="6">
        <v>0</v>
      </c>
      <c r="N2480" s="6" t="str">
        <f>""</f>
        <v/>
      </c>
      <c r="O2480" s="6">
        <v>24598</v>
      </c>
      <c r="P2480" s="6" t="s">
        <v>10319</v>
      </c>
      <c r="R2480" s="6" t="s">
        <v>10320</v>
      </c>
      <c r="S2480" s="6" t="s">
        <v>10321</v>
      </c>
      <c r="T2480" s="6">
        <v>3</v>
      </c>
      <c r="U2480" s="6">
        <v>0</v>
      </c>
      <c r="V2480" s="6">
        <v>0</v>
      </c>
      <c r="W2480" s="6">
        <v>0</v>
      </c>
      <c r="X2480" s="6" t="s">
        <v>169</v>
      </c>
      <c r="Z2480" s="6" t="s">
        <v>170</v>
      </c>
      <c r="AA2480" s="6" t="s">
        <v>171</v>
      </c>
      <c r="AB2480" s="6">
        <v>0</v>
      </c>
      <c r="AC2480" s="6" t="str">
        <f t="shared" si="13"/>
        <v>KEY-002</v>
      </c>
      <c r="AQ2480" s="6" t="str">
        <f>""</f>
        <v/>
      </c>
      <c r="AR2480" s="6" t="s">
        <v>1584</v>
      </c>
      <c r="AS2480" s="6">
        <v>0</v>
      </c>
      <c r="AT2480" s="6">
        <v>3</v>
      </c>
    </row>
    <row r="2481" spans="2:46">
      <c r="B2481" s="6" t="s">
        <v>10306</v>
      </c>
      <c r="D2481" s="6" t="s">
        <v>8189</v>
      </c>
      <c r="F2481" s="6" t="s">
        <v>10322</v>
      </c>
      <c r="G2481" s="6" t="str">
        <f>"BL0LG0G"</f>
        <v>BL0LG0G</v>
      </c>
      <c r="I2481" s="6" t="s">
        <v>10323</v>
      </c>
      <c r="J2481" s="6" t="str">
        <f>"BL_LOGO_GOLD"</f>
        <v>BL_LOGO_GOLD</v>
      </c>
      <c r="K2481" s="6">
        <v>0</v>
      </c>
      <c r="L2481" s="6">
        <v>0</v>
      </c>
      <c r="M2481" s="6">
        <v>0</v>
      </c>
      <c r="N2481" s="6" t="str">
        <f>""</f>
        <v/>
      </c>
      <c r="O2481" s="6">
        <v>24596</v>
      </c>
      <c r="P2481" s="6" t="s">
        <v>10324</v>
      </c>
      <c r="R2481" s="6" t="s">
        <v>10310</v>
      </c>
      <c r="S2481" s="6" t="s">
        <v>10325</v>
      </c>
      <c r="T2481" s="6">
        <v>5</v>
      </c>
      <c r="U2481" s="6">
        <v>0</v>
      </c>
      <c r="V2481" s="6">
        <v>0</v>
      </c>
      <c r="W2481" s="6">
        <v>0</v>
      </c>
      <c r="X2481" s="6" t="s">
        <v>169</v>
      </c>
      <c r="Z2481" s="6" t="s">
        <v>170</v>
      </c>
      <c r="AA2481" s="6" t="s">
        <v>171</v>
      </c>
      <c r="AB2481" s="6">
        <v>0</v>
      </c>
      <c r="AC2481" s="6" t="str">
        <f t="shared" si="13"/>
        <v>KEY-002</v>
      </c>
      <c r="AQ2481" s="6" t="str">
        <f>""</f>
        <v/>
      </c>
      <c r="AR2481" s="6" t="s">
        <v>1584</v>
      </c>
      <c r="AS2481" s="6">
        <v>0</v>
      </c>
      <c r="AT2481" s="6">
        <v>5</v>
      </c>
    </row>
    <row r="2482" spans="2:46">
      <c r="B2482" s="6" t="s">
        <v>10306</v>
      </c>
      <c r="D2482" s="6" t="s">
        <v>8189</v>
      </c>
      <c r="F2482" s="6" t="s">
        <v>10326</v>
      </c>
      <c r="G2482" s="6" t="str">
        <f>"BL0SQ0S"</f>
        <v>BL0SQ0S</v>
      </c>
      <c r="I2482" s="6" t="s">
        <v>10327</v>
      </c>
      <c r="J2482" s="6" t="str">
        <f>"BL_SQUARE_SILVER"</f>
        <v>BL_SQUARE_SILVER</v>
      </c>
      <c r="K2482" s="6">
        <v>0</v>
      </c>
      <c r="L2482" s="6">
        <v>0</v>
      </c>
      <c r="M2482" s="6">
        <v>0</v>
      </c>
      <c r="N2482" s="6" t="str">
        <f>""</f>
        <v/>
      </c>
      <c r="O2482" s="6">
        <v>24594</v>
      </c>
      <c r="P2482" s="6" t="s">
        <v>10328</v>
      </c>
      <c r="R2482" s="6" t="s">
        <v>10320</v>
      </c>
      <c r="S2482" s="6" t="s">
        <v>10329</v>
      </c>
      <c r="T2482" s="6">
        <v>4</v>
      </c>
      <c r="U2482" s="6">
        <v>0</v>
      </c>
      <c r="V2482" s="6">
        <v>0</v>
      </c>
      <c r="W2482" s="6">
        <v>0</v>
      </c>
      <c r="X2482" s="6" t="s">
        <v>169</v>
      </c>
      <c r="Z2482" s="6" t="s">
        <v>170</v>
      </c>
      <c r="AA2482" s="6" t="s">
        <v>171</v>
      </c>
      <c r="AB2482" s="6">
        <v>0</v>
      </c>
      <c r="AC2482" s="6" t="str">
        <f t="shared" si="13"/>
        <v>KEY-002</v>
      </c>
      <c r="AQ2482" s="6" t="str">
        <f>""</f>
        <v/>
      </c>
      <c r="AR2482" s="6" t="s">
        <v>1584</v>
      </c>
      <c r="AS2482" s="6">
        <v>0</v>
      </c>
      <c r="AT2482" s="6">
        <v>4</v>
      </c>
    </row>
    <row r="2483" spans="2:46">
      <c r="B2483" s="6" t="s">
        <v>10306</v>
      </c>
      <c r="D2483" s="6" t="s">
        <v>8189</v>
      </c>
      <c r="F2483" s="6" t="s">
        <v>10330</v>
      </c>
      <c r="G2483" s="6" t="str">
        <f>"BL0SQ0G"</f>
        <v>BL0SQ0G</v>
      </c>
      <c r="I2483" s="6" t="s">
        <v>10331</v>
      </c>
      <c r="J2483" s="6" t="str">
        <f>"BL_SQUARE_GOLD"</f>
        <v>BL_SQUARE_GOLD</v>
      </c>
      <c r="K2483" s="6">
        <v>0</v>
      </c>
      <c r="L2483" s="6">
        <v>0</v>
      </c>
      <c r="M2483" s="6">
        <v>0</v>
      </c>
      <c r="N2483" s="6" t="str">
        <f>""</f>
        <v/>
      </c>
      <c r="O2483" s="6">
        <v>24592</v>
      </c>
      <c r="P2483" s="6" t="s">
        <v>10332</v>
      </c>
      <c r="R2483" s="6" t="s">
        <v>10310</v>
      </c>
      <c r="S2483" s="6" t="s">
        <v>10333</v>
      </c>
      <c r="T2483" s="6">
        <v>3</v>
      </c>
      <c r="U2483" s="6">
        <v>0</v>
      </c>
      <c r="V2483" s="6">
        <v>0</v>
      </c>
      <c r="W2483" s="6">
        <v>0</v>
      </c>
      <c r="X2483" s="6" t="s">
        <v>169</v>
      </c>
      <c r="Z2483" s="6" t="s">
        <v>170</v>
      </c>
      <c r="AA2483" s="6" t="s">
        <v>171</v>
      </c>
      <c r="AB2483" s="6">
        <v>0</v>
      </c>
      <c r="AC2483" s="6" t="str">
        <f t="shared" si="13"/>
        <v>KEY-002</v>
      </c>
      <c r="AQ2483" s="6" t="str">
        <f>""</f>
        <v/>
      </c>
      <c r="AR2483" s="6" t="s">
        <v>1584</v>
      </c>
      <c r="AS2483" s="6">
        <v>0</v>
      </c>
      <c r="AT2483" s="6">
        <v>3</v>
      </c>
    </row>
    <row r="2484" spans="2:46">
      <c r="B2484" s="6" t="s">
        <v>10306</v>
      </c>
      <c r="D2484" s="6" t="s">
        <v>8189</v>
      </c>
      <c r="F2484" s="6" t="s">
        <v>10334</v>
      </c>
      <c r="G2484" s="6" t="str">
        <f>"BL0RT0S"</f>
        <v>BL0RT0S</v>
      </c>
      <c r="I2484" s="6" t="s">
        <v>10335</v>
      </c>
      <c r="J2484" s="6" t="str">
        <f>"BL_RT_SILVER"</f>
        <v>BL_RT_SILVER</v>
      </c>
      <c r="K2484" s="6">
        <v>0</v>
      </c>
      <c r="L2484" s="6">
        <v>0</v>
      </c>
      <c r="M2484" s="6">
        <v>0</v>
      </c>
      <c r="N2484" s="6" t="str">
        <f>""</f>
        <v/>
      </c>
      <c r="O2484" s="6">
        <v>24590</v>
      </c>
      <c r="P2484" s="6" t="s">
        <v>10336</v>
      </c>
      <c r="R2484" s="6" t="s">
        <v>10320</v>
      </c>
      <c r="S2484" s="6" t="s">
        <v>10337</v>
      </c>
      <c r="T2484" s="6">
        <v>5</v>
      </c>
      <c r="U2484" s="6">
        <v>0</v>
      </c>
      <c r="V2484" s="6">
        <v>0</v>
      </c>
      <c r="W2484" s="6">
        <v>0</v>
      </c>
      <c r="X2484" s="6" t="s">
        <v>169</v>
      </c>
      <c r="Z2484" s="6" t="s">
        <v>170</v>
      </c>
      <c r="AA2484" s="6" t="s">
        <v>171</v>
      </c>
      <c r="AB2484" s="6">
        <v>0</v>
      </c>
      <c r="AC2484" s="6" t="str">
        <f t="shared" si="13"/>
        <v>KEY-002</v>
      </c>
      <c r="AQ2484" s="6" t="str">
        <f>""</f>
        <v/>
      </c>
      <c r="AR2484" s="6" t="s">
        <v>1584</v>
      </c>
      <c r="AS2484" s="6">
        <v>0</v>
      </c>
      <c r="AT2484" s="6">
        <v>5</v>
      </c>
    </row>
    <row r="2485" spans="2:46">
      <c r="B2485" s="6" t="s">
        <v>10306</v>
      </c>
      <c r="D2485" s="6" t="s">
        <v>8189</v>
      </c>
      <c r="F2485" s="6" t="s">
        <v>10338</v>
      </c>
      <c r="G2485" s="6" t="str">
        <f>"BL0RT0G"</f>
        <v>BL0RT0G</v>
      </c>
      <c r="I2485" s="6" t="s">
        <v>10339</v>
      </c>
      <c r="J2485" s="6" t="str">
        <f>"BL_RT_GOLD"</f>
        <v>BL_RT_GOLD</v>
      </c>
      <c r="K2485" s="6">
        <v>0</v>
      </c>
      <c r="L2485" s="6">
        <v>0</v>
      </c>
      <c r="M2485" s="6">
        <v>0</v>
      </c>
      <c r="N2485" s="6" t="str">
        <f>""</f>
        <v/>
      </c>
      <c r="O2485" s="6">
        <v>24588</v>
      </c>
      <c r="P2485" s="6" t="s">
        <v>10340</v>
      </c>
      <c r="R2485" s="6" t="s">
        <v>10310</v>
      </c>
      <c r="S2485" s="6" t="s">
        <v>10341</v>
      </c>
      <c r="T2485" s="6">
        <v>5</v>
      </c>
      <c r="U2485" s="6">
        <v>0</v>
      </c>
      <c r="V2485" s="6">
        <v>0</v>
      </c>
      <c r="W2485" s="6">
        <v>0</v>
      </c>
      <c r="X2485" s="6" t="s">
        <v>169</v>
      </c>
      <c r="Z2485" s="6" t="s">
        <v>170</v>
      </c>
      <c r="AA2485" s="6" t="s">
        <v>171</v>
      </c>
      <c r="AB2485" s="6">
        <v>0</v>
      </c>
      <c r="AC2485" s="6" t="str">
        <f t="shared" si="13"/>
        <v>KEY-002</v>
      </c>
      <c r="AQ2485" s="6" t="str">
        <f>""</f>
        <v/>
      </c>
      <c r="AR2485" s="6" t="s">
        <v>1584</v>
      </c>
      <c r="AS2485" s="6">
        <v>0</v>
      </c>
      <c r="AT2485" s="6">
        <v>5</v>
      </c>
    </row>
    <row r="2486" spans="2:46">
      <c r="B2486" s="6" t="s">
        <v>10306</v>
      </c>
      <c r="D2486" s="6" t="s">
        <v>8189</v>
      </c>
      <c r="F2486" s="6" t="s">
        <v>10342</v>
      </c>
      <c r="G2486" s="6" t="str">
        <f>"BVRTS028"</f>
        <v>BVRTS028</v>
      </c>
      <c r="I2486" s="6" t="s">
        <v>10343</v>
      </c>
      <c r="J2486" s="6" t="str">
        <f t="shared" ref="J2486:J2495" si="14">"Rectang Single"</f>
        <v>Rectang Single</v>
      </c>
      <c r="K2486" s="6">
        <v>0</v>
      </c>
      <c r="L2486" s="6">
        <v>0</v>
      </c>
      <c r="M2486" s="6">
        <v>0</v>
      </c>
      <c r="N2486" s="6" t="str">
        <f>""</f>
        <v/>
      </c>
      <c r="O2486" s="6">
        <v>24586</v>
      </c>
      <c r="P2486" s="6" t="s">
        <v>10344</v>
      </c>
      <c r="R2486" s="6" t="s">
        <v>10345</v>
      </c>
      <c r="S2486" s="6" t="s">
        <v>10346</v>
      </c>
      <c r="T2486" s="6">
        <v>4</v>
      </c>
      <c r="U2486" s="6">
        <v>0</v>
      </c>
      <c r="V2486" s="6">
        <v>0</v>
      </c>
      <c r="W2486" s="6">
        <v>0</v>
      </c>
      <c r="X2486" s="6" t="s">
        <v>169</v>
      </c>
      <c r="Z2486" s="6" t="s">
        <v>170</v>
      </c>
      <c r="AA2486" s="6" t="s">
        <v>171</v>
      </c>
      <c r="AB2486" s="6">
        <v>0</v>
      </c>
      <c r="AC2486" s="6" t="str">
        <f t="shared" si="13"/>
        <v>KEY-002</v>
      </c>
      <c r="AQ2486" s="6" t="str">
        <f>""</f>
        <v/>
      </c>
      <c r="AR2486" s="6" t="s">
        <v>1584</v>
      </c>
      <c r="AS2486" s="6">
        <v>0</v>
      </c>
      <c r="AT2486" s="6">
        <v>4</v>
      </c>
    </row>
    <row r="2487" spans="2:46">
      <c r="B2487" s="6" t="s">
        <v>10306</v>
      </c>
      <c r="D2487" s="6" t="s">
        <v>8189</v>
      </c>
      <c r="F2487" s="6" t="s">
        <v>10347</v>
      </c>
      <c r="G2487" s="6" t="str">
        <f>"BVRTS020"</f>
        <v>BVRTS020</v>
      </c>
      <c r="I2487" s="6" t="s">
        <v>10343</v>
      </c>
      <c r="J2487" s="6" t="str">
        <f t="shared" si="14"/>
        <v>Rectang Single</v>
      </c>
      <c r="K2487" s="6">
        <v>0</v>
      </c>
      <c r="L2487" s="6">
        <v>0</v>
      </c>
      <c r="M2487" s="6">
        <v>0</v>
      </c>
      <c r="N2487" s="6" t="str">
        <f>""</f>
        <v/>
      </c>
      <c r="O2487" s="6">
        <v>24585</v>
      </c>
      <c r="P2487" s="6" t="s">
        <v>10348</v>
      </c>
      <c r="R2487" s="6" t="s">
        <v>10349</v>
      </c>
      <c r="S2487" s="6" t="s">
        <v>10350</v>
      </c>
      <c r="T2487" s="6">
        <v>5</v>
      </c>
      <c r="U2487" s="6">
        <v>0</v>
      </c>
      <c r="V2487" s="6">
        <v>0</v>
      </c>
      <c r="W2487" s="6">
        <v>0</v>
      </c>
      <c r="X2487" s="6" t="s">
        <v>169</v>
      </c>
      <c r="Z2487" s="6" t="s">
        <v>170</v>
      </c>
      <c r="AA2487" s="6" t="s">
        <v>171</v>
      </c>
      <c r="AB2487" s="6">
        <v>0</v>
      </c>
      <c r="AC2487" s="6" t="str">
        <f t="shared" si="13"/>
        <v>KEY-002</v>
      </c>
      <c r="AQ2487" s="6" t="str">
        <f>""</f>
        <v/>
      </c>
      <c r="AR2487" s="6" t="s">
        <v>1584</v>
      </c>
      <c r="AS2487" s="6">
        <v>0</v>
      </c>
      <c r="AT2487" s="6">
        <v>5</v>
      </c>
    </row>
    <row r="2488" spans="2:46">
      <c r="B2488" s="6" t="s">
        <v>10306</v>
      </c>
      <c r="D2488" s="6" t="s">
        <v>8189</v>
      </c>
      <c r="F2488" s="6" t="s">
        <v>10351</v>
      </c>
      <c r="G2488" s="6" t="str">
        <f>"BVRTS018"</f>
        <v>BVRTS018</v>
      </c>
      <c r="I2488" s="6" t="s">
        <v>10343</v>
      </c>
      <c r="J2488" s="6" t="str">
        <f t="shared" si="14"/>
        <v>Rectang Single</v>
      </c>
      <c r="K2488" s="6">
        <v>0</v>
      </c>
      <c r="L2488" s="6">
        <v>0</v>
      </c>
      <c r="M2488" s="6">
        <v>0</v>
      </c>
      <c r="N2488" s="6" t="str">
        <f>""</f>
        <v/>
      </c>
      <c r="O2488" s="6">
        <v>24584</v>
      </c>
      <c r="P2488" s="6" t="s">
        <v>10352</v>
      </c>
      <c r="R2488" s="6" t="s">
        <v>10353</v>
      </c>
      <c r="S2488" s="6" t="s">
        <v>10354</v>
      </c>
      <c r="T2488" s="6">
        <v>5</v>
      </c>
      <c r="U2488" s="6">
        <v>0</v>
      </c>
      <c r="V2488" s="6">
        <v>0</v>
      </c>
      <c r="W2488" s="6">
        <v>0</v>
      </c>
      <c r="X2488" s="6" t="s">
        <v>169</v>
      </c>
      <c r="Z2488" s="6" t="s">
        <v>170</v>
      </c>
      <c r="AA2488" s="6" t="s">
        <v>171</v>
      </c>
      <c r="AB2488" s="6">
        <v>0</v>
      </c>
      <c r="AC2488" s="6" t="str">
        <f t="shared" si="13"/>
        <v>KEY-002</v>
      </c>
      <c r="AQ2488" s="6" t="str">
        <f>""</f>
        <v/>
      </c>
      <c r="AR2488" s="6" t="s">
        <v>1584</v>
      </c>
      <c r="AS2488" s="6">
        <v>0</v>
      </c>
      <c r="AT2488" s="6">
        <v>5</v>
      </c>
    </row>
    <row r="2489" spans="2:46">
      <c r="B2489" s="6" t="s">
        <v>10306</v>
      </c>
      <c r="D2489" s="6" t="s">
        <v>8189</v>
      </c>
      <c r="F2489" s="6" t="s">
        <v>10355</v>
      </c>
      <c r="G2489" s="6" t="str">
        <f>"BVRTS016"</f>
        <v>BVRTS016</v>
      </c>
      <c r="I2489" s="6" t="s">
        <v>10343</v>
      </c>
      <c r="J2489" s="6" t="str">
        <f t="shared" si="14"/>
        <v>Rectang Single</v>
      </c>
      <c r="K2489" s="6">
        <v>0</v>
      </c>
      <c r="L2489" s="6">
        <v>0</v>
      </c>
      <c r="M2489" s="6">
        <v>0</v>
      </c>
      <c r="N2489" s="6" t="str">
        <f>""</f>
        <v/>
      </c>
      <c r="O2489" s="6">
        <v>24583</v>
      </c>
      <c r="P2489" s="6" t="s">
        <v>10356</v>
      </c>
      <c r="R2489" s="6" t="s">
        <v>10357</v>
      </c>
      <c r="S2489" s="6" t="s">
        <v>10358</v>
      </c>
      <c r="T2489" s="6">
        <v>3</v>
      </c>
      <c r="U2489" s="6">
        <v>0</v>
      </c>
      <c r="V2489" s="6">
        <v>0</v>
      </c>
      <c r="W2489" s="6">
        <v>0</v>
      </c>
      <c r="X2489" s="6" t="s">
        <v>169</v>
      </c>
      <c r="Z2489" s="6" t="s">
        <v>170</v>
      </c>
      <c r="AA2489" s="6" t="s">
        <v>171</v>
      </c>
      <c r="AB2489" s="6">
        <v>0</v>
      </c>
      <c r="AC2489" s="6" t="str">
        <f t="shared" si="13"/>
        <v>KEY-002</v>
      </c>
      <c r="AQ2489" s="6" t="str">
        <f>""</f>
        <v/>
      </c>
      <c r="AR2489" s="6" t="s">
        <v>1584</v>
      </c>
      <c r="AS2489" s="6">
        <v>0</v>
      </c>
      <c r="AT2489" s="6">
        <v>3</v>
      </c>
    </row>
    <row r="2490" spans="2:46">
      <c r="B2490" s="6" t="s">
        <v>10306</v>
      </c>
      <c r="D2490" s="6" t="s">
        <v>8189</v>
      </c>
      <c r="F2490" s="6" t="s">
        <v>10359</v>
      </c>
      <c r="G2490" s="6" t="str">
        <f>"BVRTS015"</f>
        <v>BVRTS015</v>
      </c>
      <c r="I2490" s="6" t="s">
        <v>10343</v>
      </c>
      <c r="J2490" s="6" t="str">
        <f t="shared" si="14"/>
        <v>Rectang Single</v>
      </c>
      <c r="K2490" s="6">
        <v>0</v>
      </c>
      <c r="L2490" s="6">
        <v>0</v>
      </c>
      <c r="M2490" s="6">
        <v>0</v>
      </c>
      <c r="N2490" s="6" t="str">
        <f>""</f>
        <v/>
      </c>
      <c r="O2490" s="6">
        <v>24582</v>
      </c>
      <c r="P2490" s="6" t="s">
        <v>10360</v>
      </c>
      <c r="R2490" s="6" t="s">
        <v>10361</v>
      </c>
      <c r="S2490" s="6" t="s">
        <v>10362</v>
      </c>
      <c r="T2490" s="6">
        <v>5</v>
      </c>
      <c r="U2490" s="6">
        <v>0</v>
      </c>
      <c r="V2490" s="6">
        <v>0</v>
      </c>
      <c r="W2490" s="6">
        <v>0</v>
      </c>
      <c r="X2490" s="6" t="s">
        <v>169</v>
      </c>
      <c r="Z2490" s="6" t="s">
        <v>170</v>
      </c>
      <c r="AA2490" s="6" t="s">
        <v>171</v>
      </c>
      <c r="AB2490" s="6">
        <v>0</v>
      </c>
      <c r="AC2490" s="6" t="str">
        <f t="shared" si="13"/>
        <v>KEY-002</v>
      </c>
      <c r="AQ2490" s="6" t="str">
        <f>""</f>
        <v/>
      </c>
      <c r="AR2490" s="6" t="s">
        <v>1584</v>
      </c>
      <c r="AS2490" s="6">
        <v>0</v>
      </c>
      <c r="AT2490" s="6">
        <v>5</v>
      </c>
    </row>
    <row r="2491" spans="2:46">
      <c r="B2491" s="6" t="s">
        <v>10306</v>
      </c>
      <c r="D2491" s="6" t="s">
        <v>8189</v>
      </c>
      <c r="F2491" s="6" t="s">
        <v>10363</v>
      </c>
      <c r="G2491" s="6" t="str">
        <f>"BVRTS011"</f>
        <v>BVRTS011</v>
      </c>
      <c r="I2491" s="6" t="s">
        <v>10343</v>
      </c>
      <c r="J2491" s="6" t="str">
        <f t="shared" si="14"/>
        <v>Rectang Single</v>
      </c>
      <c r="K2491" s="6">
        <v>0</v>
      </c>
      <c r="L2491" s="6">
        <v>0</v>
      </c>
      <c r="M2491" s="6">
        <v>0</v>
      </c>
      <c r="N2491" s="6" t="str">
        <f>""</f>
        <v/>
      </c>
      <c r="O2491" s="6">
        <v>24581</v>
      </c>
      <c r="P2491" s="6" t="s">
        <v>10364</v>
      </c>
      <c r="R2491" s="6" t="s">
        <v>10365</v>
      </c>
      <c r="S2491" s="6" t="s">
        <v>10366</v>
      </c>
      <c r="T2491" s="6">
        <v>5</v>
      </c>
      <c r="U2491" s="6">
        <v>0</v>
      </c>
      <c r="V2491" s="6">
        <v>0</v>
      </c>
      <c r="W2491" s="6">
        <v>0</v>
      </c>
      <c r="X2491" s="6" t="s">
        <v>169</v>
      </c>
      <c r="Z2491" s="6" t="s">
        <v>170</v>
      </c>
      <c r="AA2491" s="6" t="s">
        <v>171</v>
      </c>
      <c r="AB2491" s="6">
        <v>0</v>
      </c>
      <c r="AC2491" s="6" t="str">
        <f t="shared" si="13"/>
        <v>KEY-002</v>
      </c>
      <c r="AQ2491" s="6" t="str">
        <f>""</f>
        <v/>
      </c>
      <c r="AR2491" s="6" t="s">
        <v>1584</v>
      </c>
      <c r="AS2491" s="6">
        <v>0</v>
      </c>
      <c r="AT2491" s="6">
        <v>5</v>
      </c>
    </row>
    <row r="2492" spans="2:46">
      <c r="B2492" s="6" t="s">
        <v>10306</v>
      </c>
      <c r="D2492" s="6" t="s">
        <v>8189</v>
      </c>
      <c r="F2492" s="6" t="s">
        <v>10367</v>
      </c>
      <c r="G2492" s="6" t="str">
        <f>"BVRTS010"</f>
        <v>BVRTS010</v>
      </c>
      <c r="I2492" s="6" t="s">
        <v>10343</v>
      </c>
      <c r="J2492" s="6" t="str">
        <f t="shared" si="14"/>
        <v>Rectang Single</v>
      </c>
      <c r="K2492" s="6">
        <v>0</v>
      </c>
      <c r="L2492" s="6">
        <v>0</v>
      </c>
      <c r="M2492" s="6">
        <v>0</v>
      </c>
      <c r="N2492" s="6" t="str">
        <f>""</f>
        <v/>
      </c>
      <c r="O2492" s="6">
        <v>24580</v>
      </c>
      <c r="P2492" s="6" t="s">
        <v>10368</v>
      </c>
      <c r="R2492" s="6" t="s">
        <v>10369</v>
      </c>
      <c r="S2492" s="6" t="s">
        <v>10370</v>
      </c>
      <c r="T2492" s="6">
        <v>5</v>
      </c>
      <c r="U2492" s="6">
        <v>0</v>
      </c>
      <c r="V2492" s="6">
        <v>0</v>
      </c>
      <c r="W2492" s="6">
        <v>0</v>
      </c>
      <c r="X2492" s="6" t="s">
        <v>169</v>
      </c>
      <c r="Z2492" s="6" t="s">
        <v>170</v>
      </c>
      <c r="AA2492" s="6" t="s">
        <v>171</v>
      </c>
      <c r="AB2492" s="6">
        <v>0</v>
      </c>
      <c r="AC2492" s="6" t="str">
        <f t="shared" si="13"/>
        <v>KEY-002</v>
      </c>
      <c r="AQ2492" s="6" t="str">
        <f>""</f>
        <v/>
      </c>
      <c r="AR2492" s="6" t="s">
        <v>1584</v>
      </c>
      <c r="AS2492" s="6">
        <v>0</v>
      </c>
      <c r="AT2492" s="6">
        <v>5</v>
      </c>
    </row>
    <row r="2493" spans="2:46">
      <c r="B2493" s="6" t="s">
        <v>10306</v>
      </c>
      <c r="D2493" s="6" t="s">
        <v>8189</v>
      </c>
      <c r="F2493" s="6" t="s">
        <v>10371</v>
      </c>
      <c r="G2493" s="6" t="str">
        <f>"BVRTS07"</f>
        <v>BVRTS07</v>
      </c>
      <c r="I2493" s="6" t="s">
        <v>10343</v>
      </c>
      <c r="J2493" s="6" t="str">
        <f t="shared" si="14"/>
        <v>Rectang Single</v>
      </c>
      <c r="K2493" s="6">
        <v>0</v>
      </c>
      <c r="L2493" s="6">
        <v>0</v>
      </c>
      <c r="M2493" s="6">
        <v>0</v>
      </c>
      <c r="N2493" s="6" t="str">
        <f>""</f>
        <v/>
      </c>
      <c r="O2493" s="6">
        <v>24579</v>
      </c>
      <c r="P2493" s="6" t="s">
        <v>10372</v>
      </c>
      <c r="R2493" s="6" t="s">
        <v>10373</v>
      </c>
      <c r="S2493" s="6" t="s">
        <v>10374</v>
      </c>
      <c r="T2493" s="6">
        <v>5</v>
      </c>
      <c r="U2493" s="6">
        <v>0</v>
      </c>
      <c r="V2493" s="6">
        <v>0</v>
      </c>
      <c r="W2493" s="6">
        <v>0</v>
      </c>
      <c r="X2493" s="6" t="s">
        <v>169</v>
      </c>
      <c r="Z2493" s="6" t="s">
        <v>170</v>
      </c>
      <c r="AA2493" s="6" t="s">
        <v>171</v>
      </c>
      <c r="AB2493" s="6">
        <v>0</v>
      </c>
      <c r="AC2493" s="6" t="str">
        <f t="shared" si="13"/>
        <v>KEY-002</v>
      </c>
      <c r="AQ2493" s="6" t="str">
        <f>""</f>
        <v/>
      </c>
      <c r="AR2493" s="6" t="s">
        <v>1584</v>
      </c>
      <c r="AS2493" s="6">
        <v>0</v>
      </c>
      <c r="AT2493" s="6">
        <v>5</v>
      </c>
    </row>
    <row r="2494" spans="2:46">
      <c r="B2494" s="6" t="s">
        <v>10306</v>
      </c>
      <c r="D2494" s="6" t="s">
        <v>8189</v>
      </c>
      <c r="F2494" s="6" t="s">
        <v>10375</v>
      </c>
      <c r="G2494" s="6" t="str">
        <f>"BVRTS06"</f>
        <v>BVRTS06</v>
      </c>
      <c r="I2494" s="6" t="s">
        <v>10343</v>
      </c>
      <c r="J2494" s="6" t="str">
        <f t="shared" si="14"/>
        <v>Rectang Single</v>
      </c>
      <c r="K2494" s="6">
        <v>0</v>
      </c>
      <c r="L2494" s="6">
        <v>0</v>
      </c>
      <c r="M2494" s="6">
        <v>0</v>
      </c>
      <c r="N2494" s="6" t="str">
        <f>""</f>
        <v/>
      </c>
      <c r="O2494" s="6">
        <v>24578</v>
      </c>
      <c r="P2494" s="6" t="s">
        <v>10376</v>
      </c>
      <c r="R2494" s="6" t="s">
        <v>10377</v>
      </c>
      <c r="S2494" s="6" t="s">
        <v>10378</v>
      </c>
      <c r="T2494" s="6">
        <v>5</v>
      </c>
      <c r="U2494" s="6">
        <v>0</v>
      </c>
      <c r="V2494" s="6">
        <v>0</v>
      </c>
      <c r="W2494" s="6">
        <v>0</v>
      </c>
      <c r="X2494" s="6" t="s">
        <v>169</v>
      </c>
      <c r="Z2494" s="6" t="s">
        <v>170</v>
      </c>
      <c r="AA2494" s="6" t="s">
        <v>171</v>
      </c>
      <c r="AB2494" s="6">
        <v>0</v>
      </c>
      <c r="AC2494" s="6" t="str">
        <f t="shared" si="13"/>
        <v>KEY-002</v>
      </c>
      <c r="AQ2494" s="6" t="str">
        <f>""</f>
        <v/>
      </c>
      <c r="AR2494" s="6" t="s">
        <v>1584</v>
      </c>
      <c r="AS2494" s="6">
        <v>0</v>
      </c>
      <c r="AT2494" s="6">
        <v>5</v>
      </c>
    </row>
    <row r="2495" spans="2:46">
      <c r="B2495" s="6" t="s">
        <v>10306</v>
      </c>
      <c r="D2495" s="6" t="s">
        <v>8189</v>
      </c>
      <c r="F2495" s="6" t="s">
        <v>10379</v>
      </c>
      <c r="G2495" s="6" t="str">
        <f>"BVRTS01"</f>
        <v>BVRTS01</v>
      </c>
      <c r="I2495" s="6" t="s">
        <v>10343</v>
      </c>
      <c r="J2495" s="6" t="str">
        <f t="shared" si="14"/>
        <v>Rectang Single</v>
      </c>
      <c r="K2495" s="6">
        <v>0</v>
      </c>
      <c r="L2495" s="6">
        <v>0</v>
      </c>
      <c r="M2495" s="6">
        <v>0</v>
      </c>
      <c r="N2495" s="6" t="str">
        <f>""</f>
        <v/>
      </c>
      <c r="O2495" s="6">
        <v>24577</v>
      </c>
      <c r="P2495" s="6" t="s">
        <v>10380</v>
      </c>
      <c r="R2495" s="6" t="s">
        <v>10381</v>
      </c>
      <c r="S2495" s="6" t="s">
        <v>10382</v>
      </c>
      <c r="T2495" s="6">
        <v>5</v>
      </c>
      <c r="U2495" s="6">
        <v>0</v>
      </c>
      <c r="V2495" s="6">
        <v>0</v>
      </c>
      <c r="W2495" s="6">
        <v>0</v>
      </c>
      <c r="X2495" s="6" t="s">
        <v>169</v>
      </c>
      <c r="Z2495" s="6" t="s">
        <v>170</v>
      </c>
      <c r="AA2495" s="6" t="s">
        <v>171</v>
      </c>
      <c r="AB2495" s="6">
        <v>0</v>
      </c>
      <c r="AC2495" s="6" t="str">
        <f t="shared" si="13"/>
        <v>KEY-002</v>
      </c>
      <c r="AQ2495" s="6" t="str">
        <f>""</f>
        <v/>
      </c>
      <c r="AR2495" s="6" t="s">
        <v>1584</v>
      </c>
      <c r="AS2495" s="6">
        <v>0</v>
      </c>
      <c r="AT2495" s="6">
        <v>5</v>
      </c>
    </row>
    <row r="2496" spans="2:46">
      <c r="B2496" s="6" t="s">
        <v>10306</v>
      </c>
      <c r="D2496" s="6" t="s">
        <v>8189</v>
      </c>
      <c r="F2496" s="6" t="s">
        <v>10383</v>
      </c>
      <c r="G2496" s="6" t="str">
        <f>"BVRTD033"</f>
        <v>BVRTD033</v>
      </c>
      <c r="I2496" s="6" t="s">
        <v>10384</v>
      </c>
      <c r="J2496" s="6" t="str">
        <f t="shared" ref="J2496:J2505" si="15">"Rectang Double"</f>
        <v>Rectang Double</v>
      </c>
      <c r="K2496" s="6">
        <v>0</v>
      </c>
      <c r="L2496" s="6">
        <v>0</v>
      </c>
      <c r="M2496" s="6">
        <v>0</v>
      </c>
      <c r="N2496" s="6" t="str">
        <f>""</f>
        <v/>
      </c>
      <c r="O2496" s="6">
        <v>24575</v>
      </c>
      <c r="P2496" s="6" t="s">
        <v>10385</v>
      </c>
      <c r="R2496" s="6" t="s">
        <v>10386</v>
      </c>
      <c r="S2496" s="6" t="s">
        <v>10387</v>
      </c>
      <c r="T2496" s="6">
        <v>4</v>
      </c>
      <c r="U2496" s="6">
        <v>0</v>
      </c>
      <c r="V2496" s="6">
        <v>0</v>
      </c>
      <c r="W2496" s="6">
        <v>0</v>
      </c>
      <c r="X2496" s="6" t="s">
        <v>169</v>
      </c>
      <c r="Z2496" s="6" t="s">
        <v>170</v>
      </c>
      <c r="AA2496" s="6" t="s">
        <v>171</v>
      </c>
      <c r="AB2496" s="6">
        <v>0</v>
      </c>
      <c r="AC2496" s="6" t="str">
        <f t="shared" si="13"/>
        <v>KEY-002</v>
      </c>
      <c r="AQ2496" s="6" t="str">
        <f>""</f>
        <v/>
      </c>
      <c r="AR2496" s="6" t="s">
        <v>1584</v>
      </c>
      <c r="AS2496" s="6">
        <v>0</v>
      </c>
      <c r="AT2496" s="6">
        <v>4</v>
      </c>
    </row>
    <row r="2497" spans="2:46">
      <c r="B2497" s="6" t="s">
        <v>10306</v>
      </c>
      <c r="D2497" s="6" t="s">
        <v>8189</v>
      </c>
      <c r="F2497" s="6" t="s">
        <v>10388</v>
      </c>
      <c r="G2497" s="6" t="str">
        <f>"BVRTD031"</f>
        <v>BVRTD031</v>
      </c>
      <c r="I2497" s="6" t="s">
        <v>10384</v>
      </c>
      <c r="J2497" s="6" t="str">
        <f t="shared" si="15"/>
        <v>Rectang Double</v>
      </c>
      <c r="K2497" s="6">
        <v>0</v>
      </c>
      <c r="L2497" s="6">
        <v>0</v>
      </c>
      <c r="M2497" s="6">
        <v>0</v>
      </c>
      <c r="N2497" s="6" t="str">
        <f>""</f>
        <v/>
      </c>
      <c r="O2497" s="6">
        <v>24574</v>
      </c>
      <c r="P2497" s="6" t="s">
        <v>10389</v>
      </c>
      <c r="R2497" s="6" t="s">
        <v>10390</v>
      </c>
      <c r="S2497" s="6" t="s">
        <v>10391</v>
      </c>
      <c r="T2497" s="6">
        <v>4</v>
      </c>
      <c r="U2497" s="6">
        <v>0</v>
      </c>
      <c r="V2497" s="6">
        <v>0</v>
      </c>
      <c r="W2497" s="6">
        <v>0</v>
      </c>
      <c r="X2497" s="6" t="s">
        <v>169</v>
      </c>
      <c r="Z2497" s="6" t="s">
        <v>170</v>
      </c>
      <c r="AA2497" s="6" t="s">
        <v>171</v>
      </c>
      <c r="AB2497" s="6">
        <v>0</v>
      </c>
      <c r="AC2497" s="6" t="str">
        <f t="shared" si="13"/>
        <v>KEY-002</v>
      </c>
      <c r="AQ2497" s="6" t="str">
        <f>""</f>
        <v/>
      </c>
      <c r="AR2497" s="6" t="s">
        <v>1584</v>
      </c>
      <c r="AS2497" s="6">
        <v>0</v>
      </c>
      <c r="AT2497" s="6">
        <v>4</v>
      </c>
    </row>
    <row r="2498" spans="2:46">
      <c r="B2498" s="6" t="s">
        <v>10306</v>
      </c>
      <c r="D2498" s="6" t="s">
        <v>8189</v>
      </c>
      <c r="F2498" s="6" t="s">
        <v>10392</v>
      </c>
      <c r="G2498" s="6" t="str">
        <f>"BVRTD030"</f>
        <v>BVRTD030</v>
      </c>
      <c r="I2498" s="6" t="s">
        <v>10384</v>
      </c>
      <c r="J2498" s="6" t="str">
        <f t="shared" si="15"/>
        <v>Rectang Double</v>
      </c>
      <c r="K2498" s="6">
        <v>0</v>
      </c>
      <c r="L2498" s="6">
        <v>0</v>
      </c>
      <c r="M2498" s="6">
        <v>0</v>
      </c>
      <c r="N2498" s="6" t="str">
        <f>""</f>
        <v/>
      </c>
      <c r="O2498" s="6">
        <v>24573</v>
      </c>
      <c r="P2498" s="6" t="s">
        <v>10393</v>
      </c>
      <c r="R2498" s="6" t="s">
        <v>10394</v>
      </c>
      <c r="S2498" s="6" t="s">
        <v>10395</v>
      </c>
      <c r="T2498" s="6">
        <v>4</v>
      </c>
      <c r="U2498" s="6">
        <v>0</v>
      </c>
      <c r="V2498" s="6">
        <v>0</v>
      </c>
      <c r="W2498" s="6">
        <v>0</v>
      </c>
      <c r="X2498" s="6" t="s">
        <v>169</v>
      </c>
      <c r="Z2498" s="6" t="s">
        <v>170</v>
      </c>
      <c r="AA2498" s="6" t="s">
        <v>171</v>
      </c>
      <c r="AB2498" s="6">
        <v>0</v>
      </c>
      <c r="AC2498" s="6" t="str">
        <f t="shared" si="13"/>
        <v>KEY-002</v>
      </c>
      <c r="AQ2498" s="6" t="str">
        <f>""</f>
        <v/>
      </c>
      <c r="AR2498" s="6" t="s">
        <v>1584</v>
      </c>
      <c r="AS2498" s="6">
        <v>0</v>
      </c>
      <c r="AT2498" s="6">
        <v>4</v>
      </c>
    </row>
    <row r="2499" spans="2:46">
      <c r="B2499" s="6" t="s">
        <v>10306</v>
      </c>
      <c r="D2499" s="6" t="s">
        <v>8189</v>
      </c>
      <c r="F2499" s="6" t="s">
        <v>10396</v>
      </c>
      <c r="G2499" s="6" t="str">
        <f>"BVRTD017"</f>
        <v>BVRTD017</v>
      </c>
      <c r="I2499" s="6" t="s">
        <v>10384</v>
      </c>
      <c r="J2499" s="6" t="str">
        <f t="shared" si="15"/>
        <v>Rectang Double</v>
      </c>
      <c r="K2499" s="6">
        <v>0</v>
      </c>
      <c r="L2499" s="6">
        <v>0</v>
      </c>
      <c r="M2499" s="6">
        <v>0</v>
      </c>
      <c r="N2499" s="6" t="str">
        <f>""</f>
        <v/>
      </c>
      <c r="O2499" s="6">
        <v>24572</v>
      </c>
      <c r="P2499" s="6" t="s">
        <v>10397</v>
      </c>
      <c r="R2499" s="6" t="s">
        <v>10398</v>
      </c>
      <c r="S2499" s="6" t="s">
        <v>10399</v>
      </c>
      <c r="T2499" s="6">
        <v>4</v>
      </c>
      <c r="U2499" s="6">
        <v>0</v>
      </c>
      <c r="V2499" s="6">
        <v>0</v>
      </c>
      <c r="W2499" s="6">
        <v>0</v>
      </c>
      <c r="X2499" s="6" t="s">
        <v>169</v>
      </c>
      <c r="Z2499" s="6" t="s">
        <v>170</v>
      </c>
      <c r="AA2499" s="6" t="s">
        <v>171</v>
      </c>
      <c r="AB2499" s="6">
        <v>0</v>
      </c>
      <c r="AC2499" s="6" t="str">
        <f t="shared" si="13"/>
        <v>KEY-002</v>
      </c>
      <c r="AQ2499" s="6" t="str">
        <f>""</f>
        <v/>
      </c>
      <c r="AR2499" s="6" t="s">
        <v>1584</v>
      </c>
      <c r="AS2499" s="6">
        <v>0</v>
      </c>
      <c r="AT2499" s="6">
        <v>4</v>
      </c>
    </row>
    <row r="2500" spans="2:46">
      <c r="B2500" s="6" t="s">
        <v>10306</v>
      </c>
      <c r="D2500" s="6" t="s">
        <v>8189</v>
      </c>
      <c r="F2500" s="6" t="s">
        <v>10400</v>
      </c>
      <c r="G2500" s="6" t="str">
        <f>"BVRTD014"</f>
        <v>BVRTD014</v>
      </c>
      <c r="I2500" s="6" t="s">
        <v>10384</v>
      </c>
      <c r="J2500" s="6" t="str">
        <f t="shared" si="15"/>
        <v>Rectang Double</v>
      </c>
      <c r="K2500" s="6">
        <v>0</v>
      </c>
      <c r="L2500" s="6">
        <v>0</v>
      </c>
      <c r="M2500" s="6">
        <v>0</v>
      </c>
      <c r="N2500" s="6" t="str">
        <f>""</f>
        <v/>
      </c>
      <c r="O2500" s="6">
        <v>24571</v>
      </c>
      <c r="P2500" s="6" t="s">
        <v>10401</v>
      </c>
      <c r="R2500" s="6" t="s">
        <v>10402</v>
      </c>
      <c r="S2500" s="6" t="s">
        <v>10403</v>
      </c>
      <c r="T2500" s="6">
        <v>1</v>
      </c>
      <c r="U2500" s="6">
        <v>0</v>
      </c>
      <c r="V2500" s="6">
        <v>0</v>
      </c>
      <c r="W2500" s="6">
        <v>0</v>
      </c>
      <c r="X2500" s="6" t="s">
        <v>169</v>
      </c>
      <c r="Z2500" s="6" t="s">
        <v>170</v>
      </c>
      <c r="AA2500" s="6" t="s">
        <v>171</v>
      </c>
      <c r="AB2500" s="6">
        <v>0</v>
      </c>
      <c r="AC2500" s="6" t="str">
        <f t="shared" si="13"/>
        <v>KEY-002</v>
      </c>
      <c r="AQ2500" s="6" t="str">
        <f>""</f>
        <v/>
      </c>
      <c r="AR2500" s="6" t="s">
        <v>1584</v>
      </c>
      <c r="AS2500" s="6">
        <v>0</v>
      </c>
      <c r="AT2500" s="6">
        <v>1</v>
      </c>
    </row>
    <row r="2501" spans="2:46">
      <c r="B2501" s="6" t="s">
        <v>10306</v>
      </c>
      <c r="D2501" s="6" t="s">
        <v>8189</v>
      </c>
      <c r="F2501" s="6" t="s">
        <v>10404</v>
      </c>
      <c r="G2501" s="6" t="str">
        <f>"BVRTD05"</f>
        <v>BVRTD05</v>
      </c>
      <c r="I2501" s="6" t="s">
        <v>10384</v>
      </c>
      <c r="J2501" s="6" t="str">
        <f t="shared" si="15"/>
        <v>Rectang Double</v>
      </c>
      <c r="K2501" s="6">
        <v>0</v>
      </c>
      <c r="L2501" s="6">
        <v>0</v>
      </c>
      <c r="M2501" s="6">
        <v>0</v>
      </c>
      <c r="N2501" s="6" t="str">
        <f>""</f>
        <v/>
      </c>
      <c r="O2501" s="6">
        <v>24570</v>
      </c>
      <c r="P2501" s="6" t="s">
        <v>10405</v>
      </c>
      <c r="R2501" s="6" t="s">
        <v>10406</v>
      </c>
      <c r="S2501" s="6" t="s">
        <v>10407</v>
      </c>
      <c r="T2501" s="6">
        <v>5</v>
      </c>
      <c r="U2501" s="6">
        <v>0</v>
      </c>
      <c r="V2501" s="6">
        <v>0</v>
      </c>
      <c r="W2501" s="6">
        <v>0</v>
      </c>
      <c r="X2501" s="6" t="s">
        <v>169</v>
      </c>
      <c r="Z2501" s="6" t="s">
        <v>170</v>
      </c>
      <c r="AA2501" s="6" t="s">
        <v>171</v>
      </c>
      <c r="AB2501" s="6">
        <v>0</v>
      </c>
      <c r="AC2501" s="6" t="str">
        <f t="shared" si="13"/>
        <v>KEY-002</v>
      </c>
      <c r="AQ2501" s="6" t="str">
        <f>""</f>
        <v/>
      </c>
      <c r="AR2501" s="6" t="s">
        <v>1584</v>
      </c>
      <c r="AS2501" s="6">
        <v>0</v>
      </c>
      <c r="AT2501" s="6">
        <v>5</v>
      </c>
    </row>
    <row r="2502" spans="2:46">
      <c r="B2502" s="6" t="s">
        <v>10306</v>
      </c>
      <c r="D2502" s="6" t="s">
        <v>8189</v>
      </c>
      <c r="F2502" s="6" t="s">
        <v>10408</v>
      </c>
      <c r="G2502" s="6" t="str">
        <f>"BVRTD04"</f>
        <v>BVRTD04</v>
      </c>
      <c r="I2502" s="6" t="s">
        <v>10384</v>
      </c>
      <c r="J2502" s="6" t="str">
        <f t="shared" si="15"/>
        <v>Rectang Double</v>
      </c>
      <c r="K2502" s="6">
        <v>0</v>
      </c>
      <c r="L2502" s="6">
        <v>0</v>
      </c>
      <c r="M2502" s="6">
        <v>0</v>
      </c>
      <c r="N2502" s="6" t="str">
        <f>""</f>
        <v/>
      </c>
      <c r="O2502" s="6">
        <v>24569</v>
      </c>
      <c r="P2502" s="6" t="s">
        <v>10409</v>
      </c>
      <c r="R2502" s="6" t="s">
        <v>10410</v>
      </c>
      <c r="S2502" s="6" t="s">
        <v>10411</v>
      </c>
      <c r="T2502" s="6">
        <v>4</v>
      </c>
      <c r="U2502" s="6">
        <v>0</v>
      </c>
      <c r="V2502" s="6">
        <v>0</v>
      </c>
      <c r="W2502" s="6">
        <v>0</v>
      </c>
      <c r="X2502" s="6" t="s">
        <v>169</v>
      </c>
      <c r="Z2502" s="6" t="s">
        <v>170</v>
      </c>
      <c r="AA2502" s="6" t="s">
        <v>171</v>
      </c>
      <c r="AB2502" s="6">
        <v>0</v>
      </c>
      <c r="AC2502" s="6" t="str">
        <f t="shared" si="13"/>
        <v>KEY-002</v>
      </c>
      <c r="AQ2502" s="6" t="str">
        <f>""</f>
        <v/>
      </c>
      <c r="AR2502" s="6" t="s">
        <v>1584</v>
      </c>
      <c r="AS2502" s="6">
        <v>0</v>
      </c>
      <c r="AT2502" s="6">
        <v>4</v>
      </c>
    </row>
    <row r="2503" spans="2:46">
      <c r="B2503" s="6" t="s">
        <v>10306</v>
      </c>
      <c r="D2503" s="6" t="s">
        <v>8189</v>
      </c>
      <c r="F2503" s="6" t="s">
        <v>10412</v>
      </c>
      <c r="G2503" s="6" t="str">
        <f>"BVRTD03"</f>
        <v>BVRTD03</v>
      </c>
      <c r="I2503" s="6" t="s">
        <v>10384</v>
      </c>
      <c r="J2503" s="6" t="str">
        <f t="shared" si="15"/>
        <v>Rectang Double</v>
      </c>
      <c r="K2503" s="6">
        <v>0</v>
      </c>
      <c r="L2503" s="6">
        <v>0</v>
      </c>
      <c r="M2503" s="6">
        <v>0</v>
      </c>
      <c r="N2503" s="6" t="str">
        <f>""</f>
        <v/>
      </c>
      <c r="O2503" s="6">
        <v>24568</v>
      </c>
      <c r="P2503" s="6" t="s">
        <v>10413</v>
      </c>
      <c r="R2503" s="6" t="s">
        <v>10414</v>
      </c>
      <c r="S2503" s="6" t="s">
        <v>10415</v>
      </c>
      <c r="T2503" s="6">
        <v>5</v>
      </c>
      <c r="U2503" s="6">
        <v>0</v>
      </c>
      <c r="V2503" s="6">
        <v>0</v>
      </c>
      <c r="W2503" s="6">
        <v>0</v>
      </c>
      <c r="X2503" s="6" t="s">
        <v>169</v>
      </c>
      <c r="Z2503" s="6" t="s">
        <v>170</v>
      </c>
      <c r="AA2503" s="6" t="s">
        <v>171</v>
      </c>
      <c r="AB2503" s="6">
        <v>0</v>
      </c>
      <c r="AC2503" s="6" t="str">
        <f t="shared" si="13"/>
        <v>KEY-002</v>
      </c>
      <c r="AQ2503" s="6" t="str">
        <f>""</f>
        <v/>
      </c>
      <c r="AR2503" s="6" t="s">
        <v>1584</v>
      </c>
      <c r="AS2503" s="6">
        <v>0</v>
      </c>
      <c r="AT2503" s="6">
        <v>5</v>
      </c>
    </row>
    <row r="2504" spans="2:46">
      <c r="B2504" s="6" t="s">
        <v>10306</v>
      </c>
      <c r="D2504" s="6" t="s">
        <v>8189</v>
      </c>
      <c r="F2504" s="6" t="s">
        <v>10416</v>
      </c>
      <c r="G2504" s="6" t="str">
        <f>"BVRTD02"</f>
        <v>BVRTD02</v>
      </c>
      <c r="I2504" s="6" t="s">
        <v>10384</v>
      </c>
      <c r="J2504" s="6" t="str">
        <f t="shared" si="15"/>
        <v>Rectang Double</v>
      </c>
      <c r="K2504" s="6">
        <v>0</v>
      </c>
      <c r="L2504" s="6">
        <v>0</v>
      </c>
      <c r="M2504" s="6">
        <v>0</v>
      </c>
      <c r="N2504" s="6" t="str">
        <f>""</f>
        <v/>
      </c>
      <c r="O2504" s="6">
        <v>24567</v>
      </c>
      <c r="P2504" s="6" t="s">
        <v>10417</v>
      </c>
      <c r="R2504" s="6" t="s">
        <v>10418</v>
      </c>
      <c r="S2504" s="6" t="s">
        <v>10419</v>
      </c>
      <c r="T2504" s="6">
        <v>4</v>
      </c>
      <c r="U2504" s="6">
        <v>0</v>
      </c>
      <c r="V2504" s="6">
        <v>0</v>
      </c>
      <c r="W2504" s="6">
        <v>0</v>
      </c>
      <c r="X2504" s="6" t="s">
        <v>169</v>
      </c>
      <c r="Z2504" s="6" t="s">
        <v>170</v>
      </c>
      <c r="AA2504" s="6" t="s">
        <v>171</v>
      </c>
      <c r="AB2504" s="6">
        <v>0</v>
      </c>
      <c r="AC2504" s="6" t="str">
        <f t="shared" si="13"/>
        <v>KEY-002</v>
      </c>
      <c r="AQ2504" s="6" t="str">
        <f>""</f>
        <v/>
      </c>
      <c r="AR2504" s="6" t="s">
        <v>1584</v>
      </c>
      <c r="AS2504" s="6">
        <v>0</v>
      </c>
      <c r="AT2504" s="6">
        <v>4</v>
      </c>
    </row>
    <row r="2505" spans="2:46">
      <c r="B2505" s="6" t="s">
        <v>10306</v>
      </c>
      <c r="D2505" s="6" t="s">
        <v>8189</v>
      </c>
      <c r="F2505" s="6" t="s">
        <v>10420</v>
      </c>
      <c r="G2505" s="6" t="str">
        <f>"BVRTD01"</f>
        <v>BVRTD01</v>
      </c>
      <c r="H2505" s="6" t="s">
        <v>10421</v>
      </c>
      <c r="I2505" s="6" t="s">
        <v>10384</v>
      </c>
      <c r="J2505" s="6" t="str">
        <f t="shared" si="15"/>
        <v>Rectang Double</v>
      </c>
      <c r="K2505" s="6">
        <v>0</v>
      </c>
      <c r="L2505" s="6">
        <v>0</v>
      </c>
      <c r="M2505" s="6">
        <v>0</v>
      </c>
      <c r="N2505" s="6" t="str">
        <f>""</f>
        <v/>
      </c>
      <c r="O2505" s="6">
        <v>24566</v>
      </c>
      <c r="P2505" s="6" t="s">
        <v>10422</v>
      </c>
      <c r="R2505" s="6" t="s">
        <v>10423</v>
      </c>
      <c r="S2505" s="6" t="s">
        <v>10424</v>
      </c>
      <c r="T2505" s="6">
        <v>0</v>
      </c>
      <c r="U2505" s="6">
        <v>0</v>
      </c>
      <c r="V2505" s="6">
        <v>0</v>
      </c>
      <c r="W2505" s="6">
        <v>0</v>
      </c>
      <c r="X2505" s="6" t="s">
        <v>169</v>
      </c>
      <c r="Z2505" s="6" t="s">
        <v>170</v>
      </c>
      <c r="AA2505" s="6" t="s">
        <v>171</v>
      </c>
      <c r="AB2505" s="6">
        <v>0</v>
      </c>
      <c r="AC2505" s="6" t="str">
        <f>""</f>
        <v/>
      </c>
      <c r="AS2505" s="6">
        <v>0</v>
      </c>
      <c r="AT2505" s="6">
        <v>0</v>
      </c>
    </row>
    <row r="2506" spans="2:46">
      <c r="B2506" s="6" t="s">
        <v>109</v>
      </c>
      <c r="D2506" s="6" t="s">
        <v>8189</v>
      </c>
      <c r="F2506" s="6" t="s">
        <v>10425</v>
      </c>
      <c r="G2506" s="6" t="str">
        <f>"3174112112775208"</f>
        <v>3174112112775208</v>
      </c>
      <c r="H2506" s="6">
        <v>3174112112775200</v>
      </c>
      <c r="I2506" s="6" t="s">
        <v>10426</v>
      </c>
      <c r="J2506" s="6" t="str">
        <f>"BASIC RUFFLE COAT BROWN"</f>
        <v>BASIC RUFFLE COAT BROWN</v>
      </c>
      <c r="K2506" s="6">
        <v>0</v>
      </c>
      <c r="L2506" s="6">
        <v>0</v>
      </c>
      <c r="M2506" s="6">
        <v>0</v>
      </c>
      <c r="N2506" s="6" t="str">
        <f>""</f>
        <v/>
      </c>
      <c r="O2506" s="6">
        <v>24564</v>
      </c>
      <c r="P2506" s="6" t="s">
        <v>10427</v>
      </c>
      <c r="R2506" s="6" t="s">
        <v>2119</v>
      </c>
      <c r="S2506" s="6" t="s">
        <v>10428</v>
      </c>
      <c r="T2506" s="6">
        <v>0</v>
      </c>
      <c r="U2506" s="6">
        <v>0</v>
      </c>
      <c r="V2506" s="6">
        <v>0</v>
      </c>
      <c r="W2506" s="6">
        <v>0</v>
      </c>
      <c r="X2506" s="6" t="s">
        <v>169</v>
      </c>
      <c r="Z2506" s="6" t="s">
        <v>170</v>
      </c>
      <c r="AA2506" s="6" t="s">
        <v>171</v>
      </c>
      <c r="AB2506" s="6">
        <v>0</v>
      </c>
      <c r="AC2506" s="6" t="str">
        <f>""</f>
        <v/>
      </c>
      <c r="AS2506" s="6">
        <v>0</v>
      </c>
      <c r="AT2506" s="6">
        <v>0</v>
      </c>
    </row>
    <row r="2507" spans="2:46">
      <c r="B2507" s="6" t="s">
        <v>109</v>
      </c>
      <c r="D2507" s="6" t="s">
        <v>8189</v>
      </c>
      <c r="F2507" s="6" t="s">
        <v>10429</v>
      </c>
      <c r="G2507" s="6" t="str">
        <f>"3174132102899208"</f>
        <v>3174132102899208</v>
      </c>
      <c r="H2507" s="6">
        <v>3174132102899200</v>
      </c>
      <c r="I2507" s="6" t="s">
        <v>10430</v>
      </c>
      <c r="J2507" s="6" t="str">
        <f>"TWO WAY MUSTANG BLACK"</f>
        <v>TWO WAY MUSTANG BLACK</v>
      </c>
      <c r="K2507" s="6">
        <v>0</v>
      </c>
      <c r="L2507" s="6">
        <v>0</v>
      </c>
      <c r="M2507" s="6">
        <v>0</v>
      </c>
      <c r="N2507" s="6" t="str">
        <f>""</f>
        <v/>
      </c>
      <c r="O2507" s="6">
        <v>24562</v>
      </c>
      <c r="P2507" s="6" t="s">
        <v>10431</v>
      </c>
      <c r="R2507" s="6" t="s">
        <v>2106</v>
      </c>
      <c r="S2507" s="6" t="s">
        <v>10432</v>
      </c>
      <c r="T2507" s="6">
        <v>0</v>
      </c>
      <c r="U2507" s="6">
        <v>0</v>
      </c>
      <c r="V2507" s="6">
        <v>0</v>
      </c>
      <c r="W2507" s="6">
        <v>0</v>
      </c>
      <c r="X2507" s="6" t="s">
        <v>169</v>
      </c>
      <c r="Z2507" s="6" t="s">
        <v>170</v>
      </c>
      <c r="AA2507" s="6" t="s">
        <v>171</v>
      </c>
      <c r="AB2507" s="6">
        <v>0</v>
      </c>
      <c r="AC2507" s="6" t="str">
        <f>""</f>
        <v/>
      </c>
      <c r="AS2507" s="6">
        <v>0</v>
      </c>
      <c r="AT2507" s="6">
        <v>0</v>
      </c>
    </row>
    <row r="2508" spans="2:46">
      <c r="B2508" s="6" t="s">
        <v>109</v>
      </c>
      <c r="D2508" s="6" t="s">
        <v>8189</v>
      </c>
      <c r="F2508" s="6" t="s">
        <v>10433</v>
      </c>
      <c r="G2508" s="6" t="str">
        <f>"3174252105495120"</f>
        <v>3174252105495120</v>
      </c>
      <c r="H2508" s="6">
        <v>3174252105495120</v>
      </c>
      <c r="I2508" s="6" t="s">
        <v>10434</v>
      </c>
      <c r="J2508" s="6" t="str">
        <f>"SAILOR SHIRTS ONEPIECE GREY"</f>
        <v>SAILOR SHIRTS ONEPIECE GREY</v>
      </c>
      <c r="K2508" s="6">
        <v>0</v>
      </c>
      <c r="L2508" s="6">
        <v>0</v>
      </c>
      <c r="M2508" s="6">
        <v>0</v>
      </c>
      <c r="N2508" s="6" t="str">
        <f>""</f>
        <v/>
      </c>
      <c r="O2508" s="6">
        <v>24560</v>
      </c>
      <c r="P2508" s="6" t="s">
        <v>10435</v>
      </c>
      <c r="R2508" s="6" t="s">
        <v>2187</v>
      </c>
      <c r="S2508" s="6" t="s">
        <v>10436</v>
      </c>
      <c r="T2508" s="6">
        <v>0</v>
      </c>
      <c r="U2508" s="6">
        <v>0</v>
      </c>
      <c r="V2508" s="6">
        <v>0</v>
      </c>
      <c r="W2508" s="6">
        <v>0</v>
      </c>
      <c r="X2508" s="6" t="s">
        <v>169</v>
      </c>
      <c r="Z2508" s="6" t="s">
        <v>170</v>
      </c>
      <c r="AA2508" s="6" t="s">
        <v>171</v>
      </c>
      <c r="AB2508" s="6">
        <v>0</v>
      </c>
      <c r="AC2508" s="6" t="str">
        <f>""</f>
        <v/>
      </c>
      <c r="AS2508" s="6">
        <v>0</v>
      </c>
      <c r="AT2508" s="6">
        <v>0</v>
      </c>
    </row>
    <row r="2509" spans="2:46">
      <c r="B2509" s="6" t="s">
        <v>109</v>
      </c>
      <c r="D2509" s="6" t="s">
        <v>8189</v>
      </c>
      <c r="F2509" s="6" t="s">
        <v>10437</v>
      </c>
      <c r="G2509" s="6" t="str">
        <f>"3174252105499120"</f>
        <v>3174252105499120</v>
      </c>
      <c r="H2509" s="6">
        <v>3174252105499120</v>
      </c>
      <c r="I2509" s="6" t="s">
        <v>10438</v>
      </c>
      <c r="J2509" s="6" t="str">
        <f>"SAILOR SHIRTS ONEPIECE BLACK"</f>
        <v>SAILOR SHIRTS ONEPIECE BLACK</v>
      </c>
      <c r="K2509" s="6">
        <v>0</v>
      </c>
      <c r="L2509" s="6">
        <v>0</v>
      </c>
      <c r="M2509" s="6">
        <v>0</v>
      </c>
      <c r="N2509" s="6" t="str">
        <f>""</f>
        <v/>
      </c>
      <c r="O2509" s="6">
        <v>24558</v>
      </c>
      <c r="P2509" s="6" t="s">
        <v>10439</v>
      </c>
      <c r="R2509" s="6" t="s">
        <v>2106</v>
      </c>
      <c r="S2509" s="6" t="s">
        <v>10440</v>
      </c>
      <c r="T2509" s="6">
        <v>0</v>
      </c>
      <c r="U2509" s="6">
        <v>0</v>
      </c>
      <c r="V2509" s="6">
        <v>0</v>
      </c>
      <c r="W2509" s="6">
        <v>0</v>
      </c>
      <c r="X2509" s="6" t="s">
        <v>169</v>
      </c>
      <c r="Z2509" s="6" t="s">
        <v>170</v>
      </c>
      <c r="AA2509" s="6" t="s">
        <v>171</v>
      </c>
      <c r="AB2509" s="6">
        <v>0</v>
      </c>
      <c r="AC2509" s="6" t="str">
        <f>""</f>
        <v/>
      </c>
      <c r="AS2509" s="6">
        <v>0</v>
      </c>
      <c r="AT2509" s="6">
        <v>0</v>
      </c>
    </row>
    <row r="2510" spans="2:46">
      <c r="B2510" s="6" t="s">
        <v>109</v>
      </c>
      <c r="D2510" s="6" t="s">
        <v>8189</v>
      </c>
      <c r="F2510" s="6" t="s">
        <v>10441</v>
      </c>
      <c r="G2510" s="6" t="str">
        <f>"3174252106199208"</f>
        <v>3174252106199208</v>
      </c>
      <c r="H2510" s="6">
        <v>3174252106199200</v>
      </c>
      <c r="I2510" s="6" t="s">
        <v>10442</v>
      </c>
      <c r="J2510" s="6" t="str">
        <f>"DIAGONAL ONEPIECE BLACK"</f>
        <v>DIAGONAL ONEPIECE BLACK</v>
      </c>
      <c r="K2510" s="6">
        <v>0</v>
      </c>
      <c r="L2510" s="6">
        <v>0</v>
      </c>
      <c r="M2510" s="6">
        <v>0</v>
      </c>
      <c r="N2510" s="6" t="str">
        <f>""</f>
        <v/>
      </c>
      <c r="O2510" s="6">
        <v>24556</v>
      </c>
      <c r="P2510" s="6" t="s">
        <v>10443</v>
      </c>
      <c r="R2510" s="6" t="s">
        <v>2106</v>
      </c>
      <c r="S2510" s="6" t="s">
        <v>10444</v>
      </c>
      <c r="T2510" s="6">
        <v>0</v>
      </c>
      <c r="U2510" s="6">
        <v>0</v>
      </c>
      <c r="V2510" s="6">
        <v>0</v>
      </c>
      <c r="W2510" s="6">
        <v>0</v>
      </c>
      <c r="X2510" s="6" t="s">
        <v>169</v>
      </c>
      <c r="Z2510" s="6" t="s">
        <v>170</v>
      </c>
      <c r="AA2510" s="6" t="s">
        <v>171</v>
      </c>
      <c r="AB2510" s="6">
        <v>0</v>
      </c>
      <c r="AC2510" s="6" t="str">
        <f>""</f>
        <v/>
      </c>
      <c r="AS2510" s="6">
        <v>0</v>
      </c>
      <c r="AT2510" s="6">
        <v>0</v>
      </c>
    </row>
    <row r="2511" spans="2:46">
      <c r="B2511" s="6" t="s">
        <v>109</v>
      </c>
      <c r="D2511" s="6" t="s">
        <v>8189</v>
      </c>
      <c r="F2511" s="6" t="s">
        <v>10445</v>
      </c>
      <c r="G2511" s="6" t="str">
        <f>"3174252106175208"</f>
        <v>3174252106175208</v>
      </c>
      <c r="H2511" s="6">
        <v>3174252106175200</v>
      </c>
      <c r="I2511" s="6" t="s">
        <v>10446</v>
      </c>
      <c r="J2511" s="6" t="str">
        <f>"DIAGONAL ONEPIECE BROWN"</f>
        <v>DIAGONAL ONEPIECE BROWN</v>
      </c>
      <c r="K2511" s="6">
        <v>0</v>
      </c>
      <c r="L2511" s="6">
        <v>0</v>
      </c>
      <c r="M2511" s="6">
        <v>0</v>
      </c>
      <c r="N2511" s="6" t="str">
        <f>""</f>
        <v/>
      </c>
      <c r="O2511" s="6">
        <v>24554</v>
      </c>
      <c r="P2511" s="6" t="s">
        <v>10447</v>
      </c>
      <c r="R2511" s="6" t="s">
        <v>2119</v>
      </c>
      <c r="S2511" s="6" t="s">
        <v>10448</v>
      </c>
      <c r="T2511" s="6">
        <v>0</v>
      </c>
      <c r="U2511" s="6">
        <v>0</v>
      </c>
      <c r="V2511" s="6">
        <v>0</v>
      </c>
      <c r="W2511" s="6">
        <v>0</v>
      </c>
      <c r="X2511" s="6" t="s">
        <v>169</v>
      </c>
      <c r="Z2511" s="6" t="s">
        <v>170</v>
      </c>
      <c r="AA2511" s="6" t="s">
        <v>171</v>
      </c>
      <c r="AB2511" s="6">
        <v>0</v>
      </c>
      <c r="AC2511" s="6" t="str">
        <f>""</f>
        <v/>
      </c>
      <c r="AS2511" s="6">
        <v>0</v>
      </c>
      <c r="AT2511" s="6">
        <v>0</v>
      </c>
    </row>
    <row r="2512" spans="2:46">
      <c r="B2512" s="6" t="s">
        <v>109</v>
      </c>
      <c r="D2512" s="6" t="s">
        <v>8189</v>
      </c>
      <c r="F2512" s="6" t="s">
        <v>10449</v>
      </c>
      <c r="G2512" s="6" t="str">
        <f>"3174252105395120"</f>
        <v>3174252105395120</v>
      </c>
      <c r="H2512" s="6">
        <v>3174252105395120</v>
      </c>
      <c r="I2512" s="6" t="s">
        <v>10450</v>
      </c>
      <c r="J2512" s="6" t="str">
        <f>"TIE BELT ONEPIECE ORANGE"</f>
        <v>TIE BELT ONEPIECE ORANGE</v>
      </c>
      <c r="K2512" s="6">
        <v>0</v>
      </c>
      <c r="L2512" s="6">
        <v>0</v>
      </c>
      <c r="M2512" s="6">
        <v>0</v>
      </c>
      <c r="N2512" s="6" t="str">
        <f>""</f>
        <v/>
      </c>
      <c r="O2512" s="6">
        <v>24552</v>
      </c>
      <c r="P2512" s="6" t="s">
        <v>10451</v>
      </c>
      <c r="R2512" s="6" t="s">
        <v>2898</v>
      </c>
      <c r="S2512" s="6" t="s">
        <v>10452</v>
      </c>
      <c r="T2512" s="6">
        <v>0</v>
      </c>
      <c r="U2512" s="6">
        <v>0</v>
      </c>
      <c r="V2512" s="6">
        <v>0</v>
      </c>
      <c r="W2512" s="6">
        <v>0</v>
      </c>
      <c r="X2512" s="6" t="s">
        <v>169</v>
      </c>
      <c r="Z2512" s="6" t="s">
        <v>170</v>
      </c>
      <c r="AA2512" s="6" t="s">
        <v>171</v>
      </c>
      <c r="AB2512" s="6">
        <v>0</v>
      </c>
      <c r="AC2512" s="6" t="str">
        <f>""</f>
        <v/>
      </c>
      <c r="AS2512" s="6">
        <v>0</v>
      </c>
      <c r="AT2512" s="6">
        <v>0</v>
      </c>
    </row>
    <row r="2513" spans="2:46">
      <c r="B2513" s="6" t="s">
        <v>109</v>
      </c>
      <c r="D2513" s="6" t="s">
        <v>8189</v>
      </c>
      <c r="F2513" s="6" t="s">
        <v>10453</v>
      </c>
      <c r="G2513" s="6" t="str">
        <f>"3174252105399120"</f>
        <v>3174252105399120</v>
      </c>
      <c r="H2513" s="6">
        <v>3174252105399120</v>
      </c>
      <c r="I2513" s="6" t="s">
        <v>10454</v>
      </c>
      <c r="J2513" s="6" t="str">
        <f>"TIE BELT ONEPIECE BROWN"</f>
        <v>TIE BELT ONEPIECE BROWN</v>
      </c>
      <c r="K2513" s="6">
        <v>0</v>
      </c>
      <c r="L2513" s="6">
        <v>0</v>
      </c>
      <c r="M2513" s="6">
        <v>0</v>
      </c>
      <c r="N2513" s="6" t="str">
        <f>""</f>
        <v/>
      </c>
      <c r="O2513" s="6">
        <v>24550</v>
      </c>
      <c r="P2513" s="6" t="s">
        <v>10455</v>
      </c>
      <c r="R2513" s="6" t="s">
        <v>2119</v>
      </c>
      <c r="S2513" s="6" t="s">
        <v>10456</v>
      </c>
      <c r="T2513" s="6">
        <v>0</v>
      </c>
      <c r="U2513" s="6">
        <v>0</v>
      </c>
      <c r="V2513" s="6">
        <v>0</v>
      </c>
      <c r="W2513" s="6">
        <v>0</v>
      </c>
      <c r="X2513" s="6" t="s">
        <v>169</v>
      </c>
      <c r="Z2513" s="6" t="s">
        <v>170</v>
      </c>
      <c r="AA2513" s="6" t="s">
        <v>171</v>
      </c>
      <c r="AB2513" s="6">
        <v>0</v>
      </c>
      <c r="AC2513" s="6" t="str">
        <f>""</f>
        <v/>
      </c>
      <c r="AS2513" s="6">
        <v>0</v>
      </c>
      <c r="AT2513" s="6">
        <v>0</v>
      </c>
    </row>
    <row r="2514" spans="2:46">
      <c r="B2514" s="6" t="s">
        <v>109</v>
      </c>
      <c r="D2514" s="6" t="s">
        <v>8189</v>
      </c>
      <c r="F2514" s="6" t="s">
        <v>10457</v>
      </c>
      <c r="G2514" s="6" t="str">
        <f>"3174252105299208"</f>
        <v>3174252105299208</v>
      </c>
      <c r="H2514" s="6">
        <v>3174252105299200</v>
      </c>
      <c r="I2514" s="6" t="s">
        <v>10458</v>
      </c>
      <c r="J2514" s="6" t="str">
        <f>"VELVET SHIRRING ONEPIECE BLACK"</f>
        <v>VELVET SHIRRING ONEPIECE BLACK</v>
      </c>
      <c r="K2514" s="6">
        <v>0</v>
      </c>
      <c r="L2514" s="6">
        <v>0</v>
      </c>
      <c r="M2514" s="6">
        <v>0</v>
      </c>
      <c r="N2514" s="6" t="str">
        <f>""</f>
        <v/>
      </c>
      <c r="O2514" s="6">
        <v>24548</v>
      </c>
      <c r="P2514" s="6" t="s">
        <v>10459</v>
      </c>
      <c r="R2514" s="6" t="s">
        <v>2106</v>
      </c>
      <c r="S2514" s="6" t="s">
        <v>10460</v>
      </c>
      <c r="T2514" s="6">
        <v>0</v>
      </c>
      <c r="U2514" s="6">
        <v>0</v>
      </c>
      <c r="V2514" s="6">
        <v>0</v>
      </c>
      <c r="W2514" s="6">
        <v>0</v>
      </c>
      <c r="X2514" s="6" t="s">
        <v>169</v>
      </c>
      <c r="Z2514" s="6" t="s">
        <v>170</v>
      </c>
      <c r="AA2514" s="6" t="s">
        <v>171</v>
      </c>
      <c r="AB2514" s="6">
        <v>0</v>
      </c>
      <c r="AC2514" s="6" t="str">
        <f>""</f>
        <v/>
      </c>
      <c r="AS2514" s="6">
        <v>0</v>
      </c>
      <c r="AT2514" s="6">
        <v>0</v>
      </c>
    </row>
    <row r="2515" spans="2:46">
      <c r="B2515" s="6" t="s">
        <v>109</v>
      </c>
      <c r="D2515" s="6" t="s">
        <v>8189</v>
      </c>
      <c r="F2515" s="6" t="s">
        <v>10461</v>
      </c>
      <c r="G2515" s="6" t="str">
        <f>"3174232105561208"</f>
        <v>3174232105561208</v>
      </c>
      <c r="H2515" s="6">
        <v>3174232105561200</v>
      </c>
      <c r="I2515" s="6" t="s">
        <v>10462</v>
      </c>
      <c r="J2515" s="6" t="str">
        <f>"HIGH NECK TUCK MTM RED"</f>
        <v>HIGH NECK TUCK MTM RED</v>
      </c>
      <c r="K2515" s="6">
        <v>0</v>
      </c>
      <c r="L2515" s="6">
        <v>0</v>
      </c>
      <c r="M2515" s="6">
        <v>0</v>
      </c>
      <c r="N2515" s="6" t="str">
        <f>""</f>
        <v/>
      </c>
      <c r="O2515" s="6">
        <v>24546</v>
      </c>
      <c r="P2515" s="6" t="s">
        <v>10463</v>
      </c>
      <c r="R2515" s="6" t="s">
        <v>2309</v>
      </c>
      <c r="S2515" s="6" t="s">
        <v>10464</v>
      </c>
      <c r="T2515" s="6">
        <v>0</v>
      </c>
      <c r="U2515" s="6">
        <v>0</v>
      </c>
      <c r="V2515" s="6">
        <v>0</v>
      </c>
      <c r="W2515" s="6">
        <v>0</v>
      </c>
      <c r="X2515" s="6" t="s">
        <v>169</v>
      </c>
      <c r="Z2515" s="6" t="s">
        <v>170</v>
      </c>
      <c r="AA2515" s="6" t="s">
        <v>171</v>
      </c>
      <c r="AB2515" s="6">
        <v>0</v>
      </c>
      <c r="AC2515" s="6" t="str">
        <f>""</f>
        <v/>
      </c>
      <c r="AS2515" s="6">
        <v>0</v>
      </c>
      <c r="AT2515" s="6">
        <v>0</v>
      </c>
    </row>
    <row r="2516" spans="2:46">
      <c r="B2516" s="6" t="s">
        <v>109</v>
      </c>
      <c r="D2516" s="6" t="s">
        <v>8189</v>
      </c>
      <c r="F2516" s="6" t="s">
        <v>10465</v>
      </c>
      <c r="G2516" s="6" t="str">
        <f>"3174232105599208"</f>
        <v>3174232105599208</v>
      </c>
      <c r="H2516" s="6">
        <v>3174232105599200</v>
      </c>
      <c r="I2516" s="6" t="s">
        <v>10466</v>
      </c>
      <c r="J2516" s="6" t="str">
        <f>"HIGH NECK TUCK MTM BLACK"</f>
        <v>HIGH NECK TUCK MTM BLACK</v>
      </c>
      <c r="K2516" s="6">
        <v>0</v>
      </c>
      <c r="L2516" s="6">
        <v>0</v>
      </c>
      <c r="M2516" s="6">
        <v>0</v>
      </c>
      <c r="N2516" s="6" t="str">
        <f>""</f>
        <v/>
      </c>
      <c r="O2516" s="6">
        <v>24544</v>
      </c>
      <c r="P2516" s="6" t="s">
        <v>10467</v>
      </c>
      <c r="R2516" s="6" t="s">
        <v>2106</v>
      </c>
      <c r="S2516" s="6" t="s">
        <v>10468</v>
      </c>
      <c r="T2516" s="6">
        <v>0</v>
      </c>
      <c r="U2516" s="6">
        <v>0</v>
      </c>
      <c r="V2516" s="6">
        <v>0</v>
      </c>
      <c r="W2516" s="6">
        <v>0</v>
      </c>
      <c r="X2516" s="6" t="s">
        <v>169</v>
      </c>
      <c r="Z2516" s="6" t="s">
        <v>170</v>
      </c>
      <c r="AA2516" s="6" t="s">
        <v>171</v>
      </c>
      <c r="AB2516" s="6">
        <v>0</v>
      </c>
      <c r="AC2516" s="6" t="str">
        <f>""</f>
        <v/>
      </c>
      <c r="AS2516" s="6">
        <v>0</v>
      </c>
      <c r="AT2516" s="6">
        <v>0</v>
      </c>
    </row>
    <row r="2517" spans="2:46">
      <c r="B2517" s="6" t="s">
        <v>109</v>
      </c>
      <c r="D2517" s="6" t="s">
        <v>8189</v>
      </c>
      <c r="F2517" s="6" t="s">
        <v>10469</v>
      </c>
      <c r="G2517" s="6" t="str">
        <f>"3174232105491208"</f>
        <v>3174232105491208</v>
      </c>
      <c r="H2517" s="6">
        <v>3174232105491200</v>
      </c>
      <c r="I2517" s="6" t="s">
        <v>10470</v>
      </c>
      <c r="J2517" s="6" t="str">
        <f>"NECK POINT POLA T WHITE"</f>
        <v>NECK POINT POLA T WHITE</v>
      </c>
      <c r="K2517" s="6">
        <v>0</v>
      </c>
      <c r="L2517" s="6">
        <v>0</v>
      </c>
      <c r="M2517" s="6">
        <v>0</v>
      </c>
      <c r="N2517" s="6" t="str">
        <f>""</f>
        <v/>
      </c>
      <c r="O2517" s="6">
        <v>24542</v>
      </c>
      <c r="P2517" s="6" t="s">
        <v>10471</v>
      </c>
      <c r="R2517" s="6" t="s">
        <v>2167</v>
      </c>
      <c r="S2517" s="6" t="s">
        <v>10472</v>
      </c>
      <c r="T2517" s="6">
        <v>0</v>
      </c>
      <c r="U2517" s="6">
        <v>0</v>
      </c>
      <c r="V2517" s="6">
        <v>0</v>
      </c>
      <c r="W2517" s="6">
        <v>0</v>
      </c>
      <c r="X2517" s="6" t="s">
        <v>169</v>
      </c>
      <c r="Z2517" s="6" t="s">
        <v>170</v>
      </c>
      <c r="AA2517" s="6" t="s">
        <v>171</v>
      </c>
      <c r="AB2517" s="6">
        <v>0</v>
      </c>
      <c r="AC2517" s="6" t="str">
        <f>""</f>
        <v/>
      </c>
      <c r="AS2517" s="6">
        <v>0</v>
      </c>
      <c r="AT2517" s="6">
        <v>0</v>
      </c>
    </row>
    <row r="2518" spans="2:46">
      <c r="B2518" s="6" t="s">
        <v>109</v>
      </c>
      <c r="D2518" s="6" t="s">
        <v>8189</v>
      </c>
      <c r="F2518" s="6" t="s">
        <v>10473</v>
      </c>
      <c r="G2518" s="6" t="str">
        <f>"3174232105499208"</f>
        <v>3174232105499208</v>
      </c>
      <c r="H2518" s="6">
        <v>3174232105499200</v>
      </c>
      <c r="I2518" s="6" t="s">
        <v>10474</v>
      </c>
      <c r="J2518" s="6" t="str">
        <f>"NECK POINT POLA T BLACK"</f>
        <v>NECK POINT POLA T BLACK</v>
      </c>
      <c r="K2518" s="6">
        <v>0</v>
      </c>
      <c r="L2518" s="6">
        <v>0</v>
      </c>
      <c r="M2518" s="6">
        <v>0</v>
      </c>
      <c r="N2518" s="6" t="str">
        <f>""</f>
        <v/>
      </c>
      <c r="O2518" s="6">
        <v>24540</v>
      </c>
      <c r="P2518" s="6" t="s">
        <v>10475</v>
      </c>
      <c r="R2518" s="6" t="s">
        <v>2106</v>
      </c>
      <c r="S2518" s="6" t="s">
        <v>10476</v>
      </c>
      <c r="T2518" s="6">
        <v>0</v>
      </c>
      <c r="U2518" s="6">
        <v>0</v>
      </c>
      <c r="V2518" s="6">
        <v>0</v>
      </c>
      <c r="W2518" s="6">
        <v>0</v>
      </c>
      <c r="X2518" s="6" t="s">
        <v>169</v>
      </c>
      <c r="Z2518" s="6" t="s">
        <v>170</v>
      </c>
      <c r="AA2518" s="6" t="s">
        <v>171</v>
      </c>
      <c r="AB2518" s="6">
        <v>0</v>
      </c>
      <c r="AC2518" s="6" t="str">
        <f>""</f>
        <v/>
      </c>
      <c r="AS2518" s="6">
        <v>0</v>
      </c>
      <c r="AT2518" s="6">
        <v>0</v>
      </c>
    </row>
    <row r="2519" spans="2:46">
      <c r="B2519" s="6" t="s">
        <v>109</v>
      </c>
      <c r="D2519" s="6" t="s">
        <v>8189</v>
      </c>
      <c r="F2519" s="6" t="s">
        <v>10477</v>
      </c>
      <c r="G2519" s="6" t="str">
        <f>"3174212103101208"</f>
        <v>3174212103101208</v>
      </c>
      <c r="H2519" s="6">
        <v>3174212103101200</v>
      </c>
      <c r="I2519" s="6" t="s">
        <v>10478</v>
      </c>
      <c r="J2519" s="6" t="str">
        <f>"RAYERED SHIRTS PINK"</f>
        <v>RAYERED SHIRTS PINK</v>
      </c>
      <c r="K2519" s="6">
        <v>0</v>
      </c>
      <c r="L2519" s="6">
        <v>0</v>
      </c>
      <c r="M2519" s="6">
        <v>0</v>
      </c>
      <c r="N2519" s="6" t="str">
        <f>""</f>
        <v/>
      </c>
      <c r="O2519" s="6">
        <v>24538</v>
      </c>
      <c r="P2519" s="6" t="s">
        <v>10479</v>
      </c>
      <c r="R2519" s="6" t="s">
        <v>2446</v>
      </c>
      <c r="S2519" s="6" t="s">
        <v>10480</v>
      </c>
      <c r="T2519" s="6">
        <v>0</v>
      </c>
      <c r="U2519" s="6">
        <v>0</v>
      </c>
      <c r="V2519" s="6">
        <v>0</v>
      </c>
      <c r="W2519" s="6">
        <v>0</v>
      </c>
      <c r="X2519" s="6" t="s">
        <v>169</v>
      </c>
      <c r="Z2519" s="6" t="s">
        <v>170</v>
      </c>
      <c r="AA2519" s="6" t="s">
        <v>171</v>
      </c>
      <c r="AB2519" s="6">
        <v>0</v>
      </c>
      <c r="AC2519" s="6" t="str">
        <f>""</f>
        <v/>
      </c>
      <c r="AS2519" s="6">
        <v>0</v>
      </c>
      <c r="AT2519" s="6">
        <v>0</v>
      </c>
    </row>
    <row r="2520" spans="2:46">
      <c r="B2520" s="6" t="s">
        <v>109</v>
      </c>
      <c r="D2520" s="6" t="s">
        <v>8189</v>
      </c>
      <c r="F2520" s="6" t="s">
        <v>10481</v>
      </c>
      <c r="G2520" s="6" t="str">
        <f>"3174212103191208"</f>
        <v>3174212103191208</v>
      </c>
      <c r="H2520" s="6">
        <v>3174212103191200</v>
      </c>
      <c r="I2520" s="6" t="s">
        <v>10482</v>
      </c>
      <c r="J2520" s="6" t="str">
        <f>"RAYERED SHIRTS WHITE"</f>
        <v>RAYERED SHIRTS WHITE</v>
      </c>
      <c r="K2520" s="6">
        <v>0</v>
      </c>
      <c r="L2520" s="6">
        <v>0</v>
      </c>
      <c r="M2520" s="6">
        <v>0</v>
      </c>
      <c r="N2520" s="6" t="str">
        <f>""</f>
        <v/>
      </c>
      <c r="O2520" s="6">
        <v>24536</v>
      </c>
      <c r="P2520" s="6" t="s">
        <v>10483</v>
      </c>
      <c r="R2520" s="6" t="s">
        <v>2167</v>
      </c>
      <c r="S2520" s="6" t="s">
        <v>10484</v>
      </c>
      <c r="T2520" s="6">
        <v>0</v>
      </c>
      <c r="U2520" s="6">
        <v>0</v>
      </c>
      <c r="V2520" s="6">
        <v>0</v>
      </c>
      <c r="W2520" s="6">
        <v>0</v>
      </c>
      <c r="X2520" s="6" t="s">
        <v>169</v>
      </c>
      <c r="Z2520" s="6" t="s">
        <v>170</v>
      </c>
      <c r="AA2520" s="6" t="s">
        <v>171</v>
      </c>
      <c r="AB2520" s="6">
        <v>0</v>
      </c>
      <c r="AC2520" s="6" t="str">
        <f>""</f>
        <v/>
      </c>
      <c r="AS2520" s="6">
        <v>0</v>
      </c>
      <c r="AT2520" s="6">
        <v>0</v>
      </c>
    </row>
    <row r="2521" spans="2:46">
      <c r="B2521" s="6" t="s">
        <v>109</v>
      </c>
      <c r="D2521" s="6" t="s">
        <v>8189</v>
      </c>
      <c r="F2521" s="6" t="s">
        <v>10485</v>
      </c>
      <c r="G2521" s="6" t="str">
        <f>"3174212103095208"</f>
        <v>3174212103095208</v>
      </c>
      <c r="H2521" s="6">
        <v>3174212103095200</v>
      </c>
      <c r="I2521" s="6" t="s">
        <v>10486</v>
      </c>
      <c r="J2521" s="6" t="str">
        <f>"HIGH NECK RUFFLE BLOUSE GREY"</f>
        <v>HIGH NECK RUFFLE BLOUSE GREY</v>
      </c>
      <c r="K2521" s="6">
        <v>0</v>
      </c>
      <c r="L2521" s="6">
        <v>0</v>
      </c>
      <c r="M2521" s="6">
        <v>0</v>
      </c>
      <c r="N2521" s="6" t="str">
        <f>""</f>
        <v/>
      </c>
      <c r="O2521" s="6">
        <v>24534</v>
      </c>
      <c r="P2521" s="6" t="s">
        <v>10487</v>
      </c>
      <c r="R2521" s="6" t="s">
        <v>2187</v>
      </c>
      <c r="S2521" s="6" t="s">
        <v>10488</v>
      </c>
      <c r="T2521" s="6">
        <v>0</v>
      </c>
      <c r="U2521" s="6">
        <v>0</v>
      </c>
      <c r="V2521" s="6">
        <v>0</v>
      </c>
      <c r="W2521" s="6">
        <v>0</v>
      </c>
      <c r="X2521" s="6" t="s">
        <v>169</v>
      </c>
      <c r="Z2521" s="6" t="s">
        <v>170</v>
      </c>
      <c r="AA2521" s="6" t="s">
        <v>171</v>
      </c>
      <c r="AB2521" s="6">
        <v>0</v>
      </c>
      <c r="AC2521" s="6" t="str">
        <f>""</f>
        <v/>
      </c>
      <c r="AS2521" s="6">
        <v>0</v>
      </c>
      <c r="AT2521" s="6">
        <v>0</v>
      </c>
    </row>
    <row r="2522" spans="2:46" ht="99">
      <c r="B2522" s="6" t="s">
        <v>109</v>
      </c>
      <c r="D2522" s="6" t="s">
        <v>8189</v>
      </c>
      <c r="F2522" s="6" t="s">
        <v>10489</v>
      </c>
      <c r="G2522" s="6" t="str">
        <f>"3174212103003208"</f>
        <v>3174212103003208</v>
      </c>
      <c r="H2522" s="6">
        <v>3174212103003200</v>
      </c>
      <c r="I2522" s="7" t="s">
        <v>10490</v>
      </c>
      <c r="J2522" s="6" t="str">
        <f>"HIGH NECK RUFFLE BLOUSE 
LIGHT PURPLE"</f>
        <v>HIGH NECK RUFFLE BLOUSE 
LIGHT PURPLE</v>
      </c>
      <c r="K2522" s="6">
        <v>0</v>
      </c>
      <c r="L2522" s="6">
        <v>0</v>
      </c>
      <c r="M2522" s="6">
        <v>0</v>
      </c>
      <c r="N2522" s="6" t="str">
        <f>""</f>
        <v/>
      </c>
      <c r="O2522" s="6">
        <v>24532</v>
      </c>
      <c r="P2522" s="6" t="s">
        <v>10491</v>
      </c>
      <c r="R2522" s="6" t="s">
        <v>10492</v>
      </c>
      <c r="S2522" s="7" t="s">
        <v>10493</v>
      </c>
      <c r="T2522" s="6">
        <v>0</v>
      </c>
      <c r="U2522" s="6">
        <v>0</v>
      </c>
      <c r="V2522" s="6">
        <v>0</v>
      </c>
      <c r="W2522" s="6">
        <v>0</v>
      </c>
      <c r="X2522" s="6" t="s">
        <v>169</v>
      </c>
      <c r="Z2522" s="6" t="s">
        <v>170</v>
      </c>
      <c r="AA2522" s="6" t="s">
        <v>171</v>
      </c>
      <c r="AB2522" s="6">
        <v>0</v>
      </c>
      <c r="AC2522" s="6" t="str">
        <f>""</f>
        <v/>
      </c>
      <c r="AS2522" s="6">
        <v>0</v>
      </c>
      <c r="AT2522" s="6">
        <v>0</v>
      </c>
    </row>
    <row r="2523" spans="2:46">
      <c r="B2523" s="6" t="s">
        <v>109</v>
      </c>
      <c r="D2523" s="6" t="s">
        <v>8189</v>
      </c>
      <c r="F2523" s="6" t="s">
        <v>10494</v>
      </c>
      <c r="G2523" s="6" t="str">
        <f>"3174212102995208"</f>
        <v>3174212102995208</v>
      </c>
      <c r="H2523" s="6">
        <v>3174212102995200</v>
      </c>
      <c r="I2523" s="6" t="s">
        <v>10495</v>
      </c>
      <c r="J2523" s="6" t="str">
        <f>"RUFFLE COLLAR SHIRTS GREY"</f>
        <v>RUFFLE COLLAR SHIRTS GREY</v>
      </c>
      <c r="K2523" s="6">
        <v>0</v>
      </c>
      <c r="L2523" s="6">
        <v>0</v>
      </c>
      <c r="M2523" s="6">
        <v>0</v>
      </c>
      <c r="N2523" s="6" t="str">
        <f>""</f>
        <v/>
      </c>
      <c r="O2523" s="6">
        <v>24530</v>
      </c>
      <c r="P2523" s="6" t="s">
        <v>10496</v>
      </c>
      <c r="R2523" s="6" t="s">
        <v>2187</v>
      </c>
      <c r="S2523" s="6" t="s">
        <v>10497</v>
      </c>
      <c r="T2523" s="6">
        <v>0</v>
      </c>
      <c r="U2523" s="6">
        <v>0</v>
      </c>
      <c r="V2523" s="6">
        <v>0</v>
      </c>
      <c r="W2523" s="6">
        <v>0</v>
      </c>
      <c r="X2523" s="6" t="s">
        <v>169</v>
      </c>
      <c r="Z2523" s="6" t="s">
        <v>170</v>
      </c>
      <c r="AA2523" s="6" t="s">
        <v>171</v>
      </c>
      <c r="AB2523" s="6">
        <v>0</v>
      </c>
      <c r="AC2523" s="6" t="str">
        <f>""</f>
        <v/>
      </c>
      <c r="AS2523" s="6">
        <v>0</v>
      </c>
      <c r="AT2523" s="6">
        <v>0</v>
      </c>
    </row>
    <row r="2524" spans="2:46">
      <c r="B2524" s="6" t="s">
        <v>109</v>
      </c>
      <c r="D2524" s="6" t="s">
        <v>8189</v>
      </c>
      <c r="F2524" s="6" t="s">
        <v>10498</v>
      </c>
      <c r="G2524" s="6" t="str">
        <f>"3174212102991208"</f>
        <v>3174212102991208</v>
      </c>
      <c r="H2524" s="6">
        <v>3174212102991200</v>
      </c>
      <c r="I2524" s="6" t="s">
        <v>10499</v>
      </c>
      <c r="J2524" s="6" t="str">
        <f>"RUFFLE COLLAR SHIRTS WHITE"</f>
        <v>RUFFLE COLLAR SHIRTS WHITE</v>
      </c>
      <c r="K2524" s="6">
        <v>0</v>
      </c>
      <c r="L2524" s="6">
        <v>0</v>
      </c>
      <c r="M2524" s="6">
        <v>0</v>
      </c>
      <c r="N2524" s="6" t="str">
        <f>""</f>
        <v/>
      </c>
      <c r="O2524" s="6">
        <v>24528</v>
      </c>
      <c r="P2524" s="6" t="s">
        <v>10500</v>
      </c>
      <c r="R2524" s="6" t="s">
        <v>2167</v>
      </c>
      <c r="S2524" s="6" t="s">
        <v>10501</v>
      </c>
      <c r="T2524" s="6">
        <v>0</v>
      </c>
      <c r="U2524" s="6">
        <v>0</v>
      </c>
      <c r="V2524" s="6">
        <v>0</v>
      </c>
      <c r="W2524" s="6">
        <v>0</v>
      </c>
      <c r="X2524" s="6" t="s">
        <v>169</v>
      </c>
      <c r="Z2524" s="6" t="s">
        <v>170</v>
      </c>
      <c r="AA2524" s="6" t="s">
        <v>171</v>
      </c>
      <c r="AB2524" s="6">
        <v>0</v>
      </c>
      <c r="AC2524" s="6" t="str">
        <f>""</f>
        <v/>
      </c>
      <c r="AS2524" s="6">
        <v>0</v>
      </c>
      <c r="AT2524" s="6">
        <v>0</v>
      </c>
    </row>
    <row r="2525" spans="2:46">
      <c r="B2525" s="6" t="s">
        <v>109</v>
      </c>
      <c r="D2525" s="6" t="s">
        <v>8189</v>
      </c>
      <c r="F2525" s="6" t="s">
        <v>10502</v>
      </c>
      <c r="G2525" s="6" t="str">
        <f>"3174332105795320"</f>
        <v>3174332105795320</v>
      </c>
      <c r="H2525" s="6">
        <v>3174332105795320</v>
      </c>
      <c r="I2525" s="6" t="s">
        <v>10503</v>
      </c>
      <c r="J2525" s="6" t="str">
        <f>"UNBAL BUTTON SKIRT GREY"</f>
        <v>UNBAL BUTTON SKIRT GREY</v>
      </c>
      <c r="K2525" s="6">
        <v>0</v>
      </c>
      <c r="L2525" s="6">
        <v>0</v>
      </c>
      <c r="M2525" s="6">
        <v>0</v>
      </c>
      <c r="N2525" s="6" t="str">
        <f>""</f>
        <v/>
      </c>
      <c r="O2525" s="6">
        <v>24526</v>
      </c>
      <c r="P2525" s="6" t="s">
        <v>10504</v>
      </c>
      <c r="R2525" s="6" t="s">
        <v>2187</v>
      </c>
      <c r="S2525" s="6" t="s">
        <v>10505</v>
      </c>
      <c r="T2525" s="6">
        <v>0</v>
      </c>
      <c r="U2525" s="6">
        <v>0</v>
      </c>
      <c r="V2525" s="6">
        <v>0</v>
      </c>
      <c r="W2525" s="6">
        <v>0</v>
      </c>
      <c r="X2525" s="6" t="s">
        <v>169</v>
      </c>
      <c r="Z2525" s="6" t="s">
        <v>170</v>
      </c>
      <c r="AA2525" s="6" t="s">
        <v>171</v>
      </c>
      <c r="AB2525" s="6">
        <v>0</v>
      </c>
      <c r="AC2525" s="6" t="str">
        <f>""</f>
        <v/>
      </c>
      <c r="AS2525" s="6">
        <v>0</v>
      </c>
      <c r="AT2525" s="6">
        <v>0</v>
      </c>
    </row>
    <row r="2526" spans="2:46">
      <c r="B2526" s="6" t="s">
        <v>109</v>
      </c>
      <c r="D2526" s="6" t="s">
        <v>8189</v>
      </c>
      <c r="F2526" s="6" t="s">
        <v>10506</v>
      </c>
      <c r="G2526" s="6" t="str">
        <f>"3174332105799320"</f>
        <v>3174332105799320</v>
      </c>
      <c r="H2526" s="6">
        <v>3174332105799320</v>
      </c>
      <c r="I2526" s="6" t="s">
        <v>10507</v>
      </c>
      <c r="J2526" s="6" t="str">
        <f>"UNBAL BUTTON SKIRT BLACK"</f>
        <v>UNBAL BUTTON SKIRT BLACK</v>
      </c>
      <c r="K2526" s="6">
        <v>0</v>
      </c>
      <c r="L2526" s="6">
        <v>0</v>
      </c>
      <c r="M2526" s="6">
        <v>0</v>
      </c>
      <c r="N2526" s="6" t="str">
        <f>""</f>
        <v/>
      </c>
      <c r="O2526" s="6">
        <v>24524</v>
      </c>
      <c r="P2526" s="6" t="s">
        <v>10508</v>
      </c>
      <c r="R2526" s="6" t="s">
        <v>2106</v>
      </c>
      <c r="S2526" s="6" t="s">
        <v>10509</v>
      </c>
      <c r="T2526" s="6">
        <v>0</v>
      </c>
      <c r="U2526" s="6">
        <v>0</v>
      </c>
      <c r="V2526" s="6">
        <v>0</v>
      </c>
      <c r="W2526" s="6">
        <v>0</v>
      </c>
      <c r="X2526" s="6" t="s">
        <v>169</v>
      </c>
      <c r="Z2526" s="6" t="s">
        <v>170</v>
      </c>
      <c r="AA2526" s="6" t="s">
        <v>171</v>
      </c>
      <c r="AB2526" s="6">
        <v>0</v>
      </c>
      <c r="AC2526" s="6" t="str">
        <f>""</f>
        <v/>
      </c>
      <c r="AS2526" s="6">
        <v>0</v>
      </c>
      <c r="AT2526" s="6">
        <v>0</v>
      </c>
    </row>
    <row r="2527" spans="2:46">
      <c r="B2527" s="6" t="s">
        <v>109</v>
      </c>
      <c r="D2527" s="6" t="s">
        <v>8189</v>
      </c>
      <c r="F2527" s="6" t="s">
        <v>10510</v>
      </c>
      <c r="G2527" s="6" t="str">
        <f>"3174352100675320"</f>
        <v>3174352100675320</v>
      </c>
      <c r="H2527" s="6">
        <v>3174352100675320</v>
      </c>
      <c r="I2527" s="6" t="s">
        <v>10511</v>
      </c>
      <c r="J2527" s="6" t="str">
        <f>"TIM MINI SKIRT BROWN"</f>
        <v>TIM MINI SKIRT BROWN</v>
      </c>
      <c r="K2527" s="6">
        <v>0</v>
      </c>
      <c r="L2527" s="6">
        <v>0</v>
      </c>
      <c r="M2527" s="6">
        <v>0</v>
      </c>
      <c r="N2527" s="6" t="str">
        <f>""</f>
        <v/>
      </c>
      <c r="O2527" s="6">
        <v>24522</v>
      </c>
      <c r="P2527" s="6" t="s">
        <v>10512</v>
      </c>
      <c r="R2527" s="6" t="s">
        <v>2119</v>
      </c>
      <c r="S2527" s="6" t="s">
        <v>10513</v>
      </c>
      <c r="T2527" s="6">
        <v>0</v>
      </c>
      <c r="U2527" s="6">
        <v>0</v>
      </c>
      <c r="V2527" s="6">
        <v>0</v>
      </c>
      <c r="W2527" s="6">
        <v>0</v>
      </c>
      <c r="X2527" s="6" t="s">
        <v>169</v>
      </c>
      <c r="Z2527" s="6" t="s">
        <v>170</v>
      </c>
      <c r="AA2527" s="6" t="s">
        <v>171</v>
      </c>
      <c r="AB2527" s="6">
        <v>0</v>
      </c>
      <c r="AC2527" s="6" t="str">
        <f>""</f>
        <v/>
      </c>
      <c r="AS2527" s="6">
        <v>0</v>
      </c>
      <c r="AT2527" s="6">
        <v>0</v>
      </c>
    </row>
    <row r="2528" spans="2:46">
      <c r="B2528" s="6" t="s">
        <v>109</v>
      </c>
      <c r="D2528" s="6" t="s">
        <v>8189</v>
      </c>
      <c r="F2528" s="6" t="s">
        <v>10514</v>
      </c>
      <c r="G2528" s="6" t="str">
        <f>"3174352100699320"</f>
        <v>3174352100699320</v>
      </c>
      <c r="H2528" s="6">
        <v>3174352100699320</v>
      </c>
      <c r="I2528" s="6" t="s">
        <v>10515</v>
      </c>
      <c r="J2528" s="6" t="str">
        <f>"TIM MINI SKIRT BLACK"</f>
        <v>TIM MINI SKIRT BLACK</v>
      </c>
      <c r="K2528" s="6">
        <v>0</v>
      </c>
      <c r="L2528" s="6">
        <v>0</v>
      </c>
      <c r="M2528" s="6">
        <v>0</v>
      </c>
      <c r="N2528" s="6" t="str">
        <f>""</f>
        <v/>
      </c>
      <c r="O2528" s="6">
        <v>24520</v>
      </c>
      <c r="P2528" s="6" t="s">
        <v>10516</v>
      </c>
      <c r="R2528" s="6" t="s">
        <v>2106</v>
      </c>
      <c r="S2528" s="6" t="s">
        <v>10517</v>
      </c>
      <c r="T2528" s="6">
        <v>0</v>
      </c>
      <c r="U2528" s="6">
        <v>0</v>
      </c>
      <c r="V2528" s="6">
        <v>0</v>
      </c>
      <c r="W2528" s="6">
        <v>0</v>
      </c>
      <c r="X2528" s="6" t="s">
        <v>169</v>
      </c>
      <c r="Z2528" s="6" t="s">
        <v>170</v>
      </c>
      <c r="AA2528" s="6" t="s">
        <v>171</v>
      </c>
      <c r="AB2528" s="6">
        <v>0</v>
      </c>
      <c r="AC2528" s="6" t="str">
        <f>""</f>
        <v/>
      </c>
      <c r="AS2528" s="6">
        <v>0</v>
      </c>
      <c r="AT2528" s="6">
        <v>0</v>
      </c>
    </row>
    <row r="2529" spans="2:46">
      <c r="B2529" s="6" t="s">
        <v>109</v>
      </c>
      <c r="D2529" s="6" t="s">
        <v>8189</v>
      </c>
      <c r="F2529" s="6" t="s">
        <v>10518</v>
      </c>
      <c r="G2529" s="6" t="str">
        <f>"3174332105699320"</f>
        <v>3174332105699320</v>
      </c>
      <c r="H2529" s="6">
        <v>3174332105699320</v>
      </c>
      <c r="I2529" s="6" t="s">
        <v>10519</v>
      </c>
      <c r="J2529" s="6" t="str">
        <f>"VELVET SHIRRING SKIRT BLACK"</f>
        <v>VELVET SHIRRING SKIRT BLACK</v>
      </c>
      <c r="K2529" s="6">
        <v>0</v>
      </c>
      <c r="L2529" s="6">
        <v>0</v>
      </c>
      <c r="M2529" s="6">
        <v>0</v>
      </c>
      <c r="N2529" s="6" t="str">
        <f>""</f>
        <v/>
      </c>
      <c r="O2529" s="6">
        <v>24518</v>
      </c>
      <c r="P2529" s="6" t="s">
        <v>10520</v>
      </c>
      <c r="R2529" s="6" t="s">
        <v>2106</v>
      </c>
      <c r="S2529" s="6" t="s">
        <v>10521</v>
      </c>
      <c r="T2529" s="6">
        <v>0</v>
      </c>
      <c r="U2529" s="6">
        <v>0</v>
      </c>
      <c r="V2529" s="6">
        <v>0</v>
      </c>
      <c r="W2529" s="6">
        <v>0</v>
      </c>
      <c r="X2529" s="6" t="s">
        <v>169</v>
      </c>
      <c r="Z2529" s="6" t="s">
        <v>170</v>
      </c>
      <c r="AA2529" s="6" t="s">
        <v>171</v>
      </c>
      <c r="AB2529" s="6">
        <v>0</v>
      </c>
      <c r="AC2529" s="6" t="str">
        <f>""</f>
        <v/>
      </c>
      <c r="AS2529" s="6">
        <v>0</v>
      </c>
      <c r="AT2529" s="6">
        <v>0</v>
      </c>
    </row>
    <row r="2530" spans="2:46">
      <c r="B2530" s="6" t="s">
        <v>109</v>
      </c>
      <c r="D2530" s="6" t="s">
        <v>8189</v>
      </c>
      <c r="F2530" s="6" t="s">
        <v>10522</v>
      </c>
      <c r="G2530" s="6" t="str">
        <f>"3174312101795320"</f>
        <v>3174312101795320</v>
      </c>
      <c r="H2530" s="6">
        <v>3174312101795320</v>
      </c>
      <c r="I2530" s="6" t="s">
        <v>10523</v>
      </c>
      <c r="J2530" s="6" t="str">
        <f>"WOOL WIDE PANTS GREY"</f>
        <v>WOOL WIDE PANTS GREY</v>
      </c>
      <c r="K2530" s="6">
        <v>0</v>
      </c>
      <c r="L2530" s="6">
        <v>0</v>
      </c>
      <c r="M2530" s="6">
        <v>0</v>
      </c>
      <c r="N2530" s="6" t="str">
        <f>""</f>
        <v/>
      </c>
      <c r="O2530" s="6">
        <v>24516</v>
      </c>
      <c r="P2530" s="6" t="s">
        <v>10524</v>
      </c>
      <c r="R2530" s="6" t="s">
        <v>2187</v>
      </c>
      <c r="S2530" s="6" t="s">
        <v>10525</v>
      </c>
      <c r="T2530" s="6">
        <v>0</v>
      </c>
      <c r="U2530" s="6">
        <v>0</v>
      </c>
      <c r="V2530" s="6">
        <v>0</v>
      </c>
      <c r="W2530" s="6">
        <v>0</v>
      </c>
      <c r="X2530" s="6" t="s">
        <v>169</v>
      </c>
      <c r="Z2530" s="6" t="s">
        <v>170</v>
      </c>
      <c r="AA2530" s="6" t="s">
        <v>171</v>
      </c>
      <c r="AB2530" s="6">
        <v>0</v>
      </c>
      <c r="AC2530" s="6" t="str">
        <f>""</f>
        <v/>
      </c>
      <c r="AS2530" s="6">
        <v>0</v>
      </c>
      <c r="AT2530" s="6">
        <v>0</v>
      </c>
    </row>
    <row r="2531" spans="2:46">
      <c r="B2531" s="6" t="s">
        <v>109</v>
      </c>
      <c r="D2531" s="6" t="s">
        <v>8189</v>
      </c>
      <c r="F2531" s="6" t="s">
        <v>10526</v>
      </c>
      <c r="G2531" s="6" t="str">
        <f>"3174312101799320"</f>
        <v>3174312101799320</v>
      </c>
      <c r="H2531" s="6">
        <v>3174312101799320</v>
      </c>
      <c r="I2531" s="6" t="s">
        <v>10527</v>
      </c>
      <c r="J2531" s="6" t="str">
        <f>"WOOL WIDE PANTS BLACK"</f>
        <v>WOOL WIDE PANTS BLACK</v>
      </c>
      <c r="K2531" s="6">
        <v>0</v>
      </c>
      <c r="L2531" s="6">
        <v>0</v>
      </c>
      <c r="M2531" s="6">
        <v>0</v>
      </c>
      <c r="N2531" s="6" t="str">
        <f>""</f>
        <v/>
      </c>
      <c r="O2531" s="6">
        <v>24514</v>
      </c>
      <c r="P2531" s="6" t="s">
        <v>10528</v>
      </c>
      <c r="R2531" s="6" t="s">
        <v>2106</v>
      </c>
      <c r="S2531" s="6" t="s">
        <v>10529</v>
      </c>
      <c r="T2531" s="6">
        <v>0</v>
      </c>
      <c r="U2531" s="6">
        <v>0</v>
      </c>
      <c r="V2531" s="6">
        <v>0</v>
      </c>
      <c r="W2531" s="6">
        <v>0</v>
      </c>
      <c r="X2531" s="6" t="s">
        <v>169</v>
      </c>
      <c r="Z2531" s="6" t="s">
        <v>170</v>
      </c>
      <c r="AA2531" s="6" t="s">
        <v>171</v>
      </c>
      <c r="AB2531" s="6">
        <v>0</v>
      </c>
      <c r="AC2531" s="6" t="str">
        <f>""</f>
        <v/>
      </c>
      <c r="AS2531" s="6">
        <v>0</v>
      </c>
      <c r="AT2531" s="6">
        <v>0</v>
      </c>
    </row>
    <row r="2532" spans="2:46">
      <c r="B2532" s="6" t="s">
        <v>109</v>
      </c>
      <c r="D2532" s="6" t="s">
        <v>8189</v>
      </c>
      <c r="F2532" s="6" t="s">
        <v>10530</v>
      </c>
      <c r="G2532" s="6" t="str">
        <f>"3173112100575208"</f>
        <v>3173112100575208</v>
      </c>
      <c r="H2532" s="6">
        <v>3173112100575200</v>
      </c>
      <c r="I2532" s="6" t="s">
        <v>10531</v>
      </c>
      <c r="J2532" s="6" t="str">
        <f>"TWO WAY COAT BROWN"</f>
        <v>TWO WAY COAT BROWN</v>
      </c>
      <c r="K2532" s="6">
        <v>0</v>
      </c>
      <c r="L2532" s="6">
        <v>0</v>
      </c>
      <c r="M2532" s="6">
        <v>0</v>
      </c>
      <c r="N2532" s="6" t="str">
        <f>""</f>
        <v/>
      </c>
      <c r="O2532" s="6">
        <v>24512</v>
      </c>
      <c r="P2532" s="6" t="s">
        <v>10532</v>
      </c>
      <c r="R2532" s="6" t="s">
        <v>2119</v>
      </c>
      <c r="S2532" s="6" t="s">
        <v>10533</v>
      </c>
      <c r="T2532" s="6">
        <v>0</v>
      </c>
      <c r="U2532" s="6">
        <v>0</v>
      </c>
      <c r="V2532" s="6">
        <v>0</v>
      </c>
      <c r="W2532" s="6">
        <v>0</v>
      </c>
      <c r="X2532" s="6" t="s">
        <v>169</v>
      </c>
      <c r="Z2532" s="6" t="s">
        <v>170</v>
      </c>
      <c r="AA2532" s="6" t="s">
        <v>171</v>
      </c>
      <c r="AB2532" s="6">
        <v>0</v>
      </c>
      <c r="AC2532" s="6" t="str">
        <f>""</f>
        <v/>
      </c>
      <c r="AS2532" s="6">
        <v>0</v>
      </c>
      <c r="AT2532" s="6">
        <v>0</v>
      </c>
    </row>
    <row r="2533" spans="2:46">
      <c r="B2533" s="6" t="s">
        <v>109</v>
      </c>
      <c r="D2533" s="6" t="s">
        <v>8189</v>
      </c>
      <c r="F2533" s="6" t="s">
        <v>10534</v>
      </c>
      <c r="G2533" s="6" t="str">
        <f>"3173112100574208"</f>
        <v>3173112100574208</v>
      </c>
      <c r="H2533" s="6">
        <v>3173112100574200</v>
      </c>
      <c r="I2533" s="6" t="s">
        <v>10535</v>
      </c>
      <c r="J2533" s="6" t="str">
        <f>"TWO WAY COAT BEIGE"</f>
        <v>TWO WAY COAT BEIGE</v>
      </c>
      <c r="K2533" s="6">
        <v>0</v>
      </c>
      <c r="L2533" s="6">
        <v>0</v>
      </c>
      <c r="M2533" s="6">
        <v>0</v>
      </c>
      <c r="N2533" s="6" t="str">
        <f>""</f>
        <v/>
      </c>
      <c r="O2533" s="6">
        <v>24510</v>
      </c>
      <c r="P2533" s="6" t="s">
        <v>10536</v>
      </c>
      <c r="R2533" s="6" t="s">
        <v>2102</v>
      </c>
      <c r="S2533" s="6" t="s">
        <v>10537</v>
      </c>
      <c r="T2533" s="6">
        <v>0</v>
      </c>
      <c r="U2533" s="6">
        <v>0</v>
      </c>
      <c r="V2533" s="6">
        <v>0</v>
      </c>
      <c r="W2533" s="6">
        <v>0</v>
      </c>
      <c r="X2533" s="6" t="s">
        <v>169</v>
      </c>
      <c r="Z2533" s="6" t="s">
        <v>170</v>
      </c>
      <c r="AA2533" s="6" t="s">
        <v>171</v>
      </c>
      <c r="AB2533" s="6">
        <v>0</v>
      </c>
      <c r="AC2533" s="6" t="str">
        <f>""</f>
        <v/>
      </c>
      <c r="AS2533" s="6">
        <v>0</v>
      </c>
      <c r="AT2533" s="6">
        <v>0</v>
      </c>
    </row>
    <row r="2534" spans="2:46">
      <c r="B2534" s="6" t="s">
        <v>109</v>
      </c>
      <c r="D2534" s="6" t="s">
        <v>8189</v>
      </c>
      <c r="F2534" s="6" t="s">
        <v>10538</v>
      </c>
      <c r="G2534" s="6" t="str">
        <f>"3173252102130208"</f>
        <v>3173252102130208</v>
      </c>
      <c r="H2534" s="6">
        <v>3173252102130200</v>
      </c>
      <c r="I2534" s="6" t="s">
        <v>10539</v>
      </c>
      <c r="J2534" s="6" t="str">
        <f>"LAYERED MTM ONEPIECE NAVY"</f>
        <v>LAYERED MTM ONEPIECE NAVY</v>
      </c>
      <c r="K2534" s="6">
        <v>0</v>
      </c>
      <c r="L2534" s="6">
        <v>0</v>
      </c>
      <c r="M2534" s="6">
        <v>0</v>
      </c>
      <c r="N2534" s="6" t="str">
        <f>""</f>
        <v/>
      </c>
      <c r="O2534" s="6">
        <v>24508</v>
      </c>
      <c r="P2534" s="6" t="s">
        <v>10540</v>
      </c>
      <c r="R2534" s="6" t="s">
        <v>2111</v>
      </c>
      <c r="S2534" s="6" t="s">
        <v>10541</v>
      </c>
      <c r="T2534" s="6">
        <v>0</v>
      </c>
      <c r="U2534" s="6">
        <v>0</v>
      </c>
      <c r="V2534" s="6">
        <v>0</v>
      </c>
      <c r="W2534" s="6">
        <v>0</v>
      </c>
      <c r="X2534" s="6" t="s">
        <v>169</v>
      </c>
      <c r="Z2534" s="6" t="s">
        <v>170</v>
      </c>
      <c r="AA2534" s="6" t="s">
        <v>171</v>
      </c>
      <c r="AB2534" s="6">
        <v>0</v>
      </c>
      <c r="AC2534" s="6" t="str">
        <f>""</f>
        <v/>
      </c>
      <c r="AS2534" s="6">
        <v>0</v>
      </c>
      <c r="AT2534" s="6">
        <v>0</v>
      </c>
    </row>
    <row r="2535" spans="2:46">
      <c r="B2535" s="6" t="s">
        <v>109</v>
      </c>
      <c r="D2535" s="6" t="s">
        <v>8189</v>
      </c>
      <c r="F2535" s="6" t="s">
        <v>10542</v>
      </c>
      <c r="G2535" s="6" t="str">
        <f>"3173252102195208"</f>
        <v>3173252102195208</v>
      </c>
      <c r="H2535" s="6">
        <v>3173252102195200</v>
      </c>
      <c r="I2535" s="6" t="s">
        <v>10543</v>
      </c>
      <c r="J2535" s="6" t="str">
        <f>"LAYERED MTM ONEPIECE GREY"</f>
        <v>LAYERED MTM ONEPIECE GREY</v>
      </c>
      <c r="K2535" s="6">
        <v>0</v>
      </c>
      <c r="L2535" s="6">
        <v>0</v>
      </c>
      <c r="M2535" s="6">
        <v>0</v>
      </c>
      <c r="N2535" s="6" t="str">
        <f>""</f>
        <v/>
      </c>
      <c r="O2535" s="6">
        <v>24506</v>
      </c>
      <c r="P2535" s="6" t="s">
        <v>10544</v>
      </c>
      <c r="R2535" s="6" t="s">
        <v>2187</v>
      </c>
      <c r="S2535" s="6" t="s">
        <v>10545</v>
      </c>
      <c r="T2535" s="6">
        <v>0</v>
      </c>
      <c r="U2535" s="6">
        <v>0</v>
      </c>
      <c r="V2535" s="6">
        <v>0</v>
      </c>
      <c r="W2535" s="6">
        <v>0</v>
      </c>
      <c r="X2535" s="6" t="s">
        <v>169</v>
      </c>
      <c r="Z2535" s="6" t="s">
        <v>170</v>
      </c>
      <c r="AA2535" s="6" t="s">
        <v>171</v>
      </c>
      <c r="AB2535" s="6">
        <v>0</v>
      </c>
      <c r="AC2535" s="6" t="str">
        <f>""</f>
        <v/>
      </c>
      <c r="AS2535" s="6">
        <v>0</v>
      </c>
      <c r="AT2535" s="6">
        <v>0</v>
      </c>
    </row>
    <row r="2536" spans="2:46">
      <c r="B2536" s="6" t="s">
        <v>109</v>
      </c>
      <c r="D2536" s="6" t="s">
        <v>8189</v>
      </c>
      <c r="F2536" s="6" t="s">
        <v>10546</v>
      </c>
      <c r="G2536" s="6" t="str">
        <f>"3173252101325208"</f>
        <v>3173252101325208</v>
      </c>
      <c r="H2536" s="6">
        <v>3173252101325200</v>
      </c>
      <c r="I2536" s="6" t="s">
        <v>10547</v>
      </c>
      <c r="J2536" s="6" t="str">
        <f>"SHIRRING SHIRT ONEPIECE BLUE"</f>
        <v>SHIRRING SHIRT ONEPIECE BLUE</v>
      </c>
      <c r="K2536" s="6">
        <v>0</v>
      </c>
      <c r="L2536" s="6">
        <v>0</v>
      </c>
      <c r="M2536" s="6">
        <v>0</v>
      </c>
      <c r="N2536" s="6" t="str">
        <f>""</f>
        <v/>
      </c>
      <c r="O2536" s="6">
        <v>24504</v>
      </c>
      <c r="P2536" s="6" t="s">
        <v>10548</v>
      </c>
      <c r="R2536" s="6" t="s">
        <v>2175</v>
      </c>
      <c r="S2536" s="6" t="s">
        <v>10549</v>
      </c>
      <c r="T2536" s="6">
        <v>0</v>
      </c>
      <c r="U2536" s="6">
        <v>0</v>
      </c>
      <c r="V2536" s="6">
        <v>0</v>
      </c>
      <c r="W2536" s="6">
        <v>0</v>
      </c>
      <c r="X2536" s="6" t="s">
        <v>169</v>
      </c>
      <c r="Z2536" s="6" t="s">
        <v>170</v>
      </c>
      <c r="AA2536" s="6" t="s">
        <v>171</v>
      </c>
      <c r="AB2536" s="6">
        <v>0</v>
      </c>
      <c r="AC2536" s="6" t="str">
        <f>""</f>
        <v/>
      </c>
      <c r="AS2536" s="6">
        <v>0</v>
      </c>
      <c r="AT2536" s="6">
        <v>0</v>
      </c>
    </row>
    <row r="2537" spans="2:46">
      <c r="B2537" s="6" t="s">
        <v>109</v>
      </c>
      <c r="D2537" s="6" t="s">
        <v>8189</v>
      </c>
      <c r="F2537" s="6" t="s">
        <v>10550</v>
      </c>
      <c r="G2537" s="6" t="str">
        <f>"3173252101345208"</f>
        <v>3173252101345208</v>
      </c>
      <c r="H2537" s="6">
        <v>3173252101345200</v>
      </c>
      <c r="I2537" s="6" t="s">
        <v>10551</v>
      </c>
      <c r="J2537" s="6" t="str">
        <f>"SHIRRING SHIRT ONEPIECE GREEN"</f>
        <v>SHIRRING SHIRT ONEPIECE GREEN</v>
      </c>
      <c r="K2537" s="6">
        <v>0</v>
      </c>
      <c r="L2537" s="6">
        <v>0</v>
      </c>
      <c r="M2537" s="6">
        <v>0</v>
      </c>
      <c r="N2537" s="6" t="str">
        <f>""</f>
        <v/>
      </c>
      <c r="O2537" s="6">
        <v>24502</v>
      </c>
      <c r="P2537" s="6" t="s">
        <v>10552</v>
      </c>
      <c r="R2537" s="6" t="s">
        <v>2512</v>
      </c>
      <c r="S2537" s="6" t="s">
        <v>10553</v>
      </c>
      <c r="T2537" s="6">
        <v>0</v>
      </c>
      <c r="U2537" s="6">
        <v>0</v>
      </c>
      <c r="V2537" s="6">
        <v>0</v>
      </c>
      <c r="W2537" s="6">
        <v>0</v>
      </c>
      <c r="X2537" s="6" t="s">
        <v>169</v>
      </c>
      <c r="Z2537" s="6" t="s">
        <v>170</v>
      </c>
      <c r="AA2537" s="6" t="s">
        <v>171</v>
      </c>
      <c r="AB2537" s="6">
        <v>0</v>
      </c>
      <c r="AC2537" s="6" t="str">
        <f>""</f>
        <v/>
      </c>
      <c r="AS2537" s="6">
        <v>0</v>
      </c>
      <c r="AT2537" s="6">
        <v>0</v>
      </c>
    </row>
    <row r="2538" spans="2:46">
      <c r="B2538" s="6" t="s">
        <v>109</v>
      </c>
      <c r="D2538" s="6" t="s">
        <v>8189</v>
      </c>
      <c r="F2538" s="6" t="s">
        <v>10554</v>
      </c>
      <c r="G2538" s="6" t="str">
        <f>"3173232101899208"</f>
        <v>3173232101899208</v>
      </c>
      <c r="H2538" s="6">
        <v>3173232101899200</v>
      </c>
      <c r="I2538" s="6" t="s">
        <v>10555</v>
      </c>
      <c r="J2538" s="6" t="str">
        <f>"SIDE STRAP VEST NAVY"</f>
        <v>SIDE STRAP VEST NAVY</v>
      </c>
      <c r="K2538" s="6">
        <v>0</v>
      </c>
      <c r="L2538" s="6">
        <v>0</v>
      </c>
      <c r="M2538" s="6">
        <v>0</v>
      </c>
      <c r="N2538" s="6" t="str">
        <f>""</f>
        <v/>
      </c>
      <c r="O2538" s="6">
        <v>24500</v>
      </c>
      <c r="P2538" s="6" t="s">
        <v>10556</v>
      </c>
      <c r="R2538" s="6" t="s">
        <v>2111</v>
      </c>
      <c r="S2538" s="6" t="s">
        <v>10557</v>
      </c>
      <c r="T2538" s="6">
        <v>0</v>
      </c>
      <c r="U2538" s="6">
        <v>0</v>
      </c>
      <c r="V2538" s="6">
        <v>0</v>
      </c>
      <c r="W2538" s="6">
        <v>0</v>
      </c>
      <c r="X2538" s="6" t="s">
        <v>169</v>
      </c>
      <c r="Z2538" s="6" t="s">
        <v>170</v>
      </c>
      <c r="AA2538" s="6" t="s">
        <v>171</v>
      </c>
      <c r="AB2538" s="6">
        <v>0</v>
      </c>
      <c r="AC2538" s="6" t="str">
        <f>""</f>
        <v/>
      </c>
      <c r="AS2538" s="6">
        <v>0</v>
      </c>
      <c r="AT2538" s="6">
        <v>0</v>
      </c>
    </row>
    <row r="2539" spans="2:46">
      <c r="B2539" s="6" t="s">
        <v>109</v>
      </c>
      <c r="D2539" s="6" t="s">
        <v>8189</v>
      </c>
      <c r="F2539" s="6" t="s">
        <v>10558</v>
      </c>
      <c r="G2539" s="6" t="str">
        <f>"3173232101874208"</f>
        <v>3173232101874208</v>
      </c>
      <c r="H2539" s="6">
        <v>3173232101874200</v>
      </c>
      <c r="I2539" s="6" t="s">
        <v>10559</v>
      </c>
      <c r="J2539" s="6" t="str">
        <f>"SIDE STRAP VEST BEIGE"</f>
        <v>SIDE STRAP VEST BEIGE</v>
      </c>
      <c r="K2539" s="6">
        <v>0</v>
      </c>
      <c r="L2539" s="6">
        <v>0</v>
      </c>
      <c r="M2539" s="6">
        <v>0</v>
      </c>
      <c r="N2539" s="6" t="str">
        <f>""</f>
        <v/>
      </c>
      <c r="O2539" s="6">
        <v>24498</v>
      </c>
      <c r="P2539" s="6" t="s">
        <v>10560</v>
      </c>
      <c r="R2539" s="6" t="s">
        <v>2102</v>
      </c>
      <c r="S2539" s="6" t="s">
        <v>10561</v>
      </c>
      <c r="T2539" s="6">
        <v>0</v>
      </c>
      <c r="U2539" s="6">
        <v>0</v>
      </c>
      <c r="V2539" s="6">
        <v>0</v>
      </c>
      <c r="W2539" s="6">
        <v>0</v>
      </c>
      <c r="X2539" s="6" t="s">
        <v>169</v>
      </c>
      <c r="Z2539" s="6" t="s">
        <v>170</v>
      </c>
      <c r="AA2539" s="6" t="s">
        <v>171</v>
      </c>
      <c r="AB2539" s="6">
        <v>0</v>
      </c>
      <c r="AC2539" s="6" t="str">
        <f>""</f>
        <v/>
      </c>
      <c r="AS2539" s="6">
        <v>0</v>
      </c>
      <c r="AT2539" s="6">
        <v>0</v>
      </c>
    </row>
    <row r="2540" spans="2:46">
      <c r="B2540" s="6" t="s">
        <v>109</v>
      </c>
      <c r="D2540" s="6" t="s">
        <v>8189</v>
      </c>
      <c r="F2540" s="6" t="s">
        <v>10562</v>
      </c>
      <c r="G2540" s="6" t="str">
        <f>"3173232101799208"</f>
        <v>3173232101799208</v>
      </c>
      <c r="H2540" s="6">
        <v>3173232101799200</v>
      </c>
      <c r="I2540" s="6" t="s">
        <v>10563</v>
      </c>
      <c r="J2540" s="6" t="str">
        <f>"SIDE LINE KNIT BLACK"</f>
        <v>SIDE LINE KNIT BLACK</v>
      </c>
      <c r="K2540" s="6">
        <v>0</v>
      </c>
      <c r="L2540" s="6">
        <v>0</v>
      </c>
      <c r="M2540" s="6">
        <v>0</v>
      </c>
      <c r="N2540" s="6" t="str">
        <f>""</f>
        <v/>
      </c>
      <c r="O2540" s="6">
        <v>24496</v>
      </c>
      <c r="P2540" s="6" t="s">
        <v>10564</v>
      </c>
      <c r="R2540" s="6" t="s">
        <v>2106</v>
      </c>
      <c r="S2540" s="6" t="s">
        <v>10565</v>
      </c>
      <c r="T2540" s="6">
        <v>0</v>
      </c>
      <c r="U2540" s="6">
        <v>0</v>
      </c>
      <c r="V2540" s="6">
        <v>0</v>
      </c>
      <c r="W2540" s="6">
        <v>0</v>
      </c>
      <c r="X2540" s="6" t="s">
        <v>169</v>
      </c>
      <c r="Z2540" s="6" t="s">
        <v>170</v>
      </c>
      <c r="AA2540" s="6" t="s">
        <v>171</v>
      </c>
      <c r="AB2540" s="6">
        <v>0</v>
      </c>
      <c r="AC2540" s="6" t="str">
        <f>""</f>
        <v/>
      </c>
      <c r="AS2540" s="6">
        <v>0</v>
      </c>
      <c r="AT2540" s="6">
        <v>0</v>
      </c>
    </row>
    <row r="2541" spans="2:46">
      <c r="B2541" s="6" t="s">
        <v>109</v>
      </c>
      <c r="D2541" s="6" t="s">
        <v>8189</v>
      </c>
      <c r="F2541" s="6" t="s">
        <v>10566</v>
      </c>
      <c r="G2541" s="6" t="str">
        <f>"3173232101730208"</f>
        <v>3173232101730208</v>
      </c>
      <c r="H2541" s="6">
        <v>3173232101730200</v>
      </c>
      <c r="I2541" s="6" t="s">
        <v>10567</v>
      </c>
      <c r="J2541" s="6" t="str">
        <f>"SIDE LINE KNIT NAVY"</f>
        <v>SIDE LINE KNIT NAVY</v>
      </c>
      <c r="K2541" s="6">
        <v>0</v>
      </c>
      <c r="L2541" s="6">
        <v>0</v>
      </c>
      <c r="M2541" s="6">
        <v>0</v>
      </c>
      <c r="N2541" s="6" t="str">
        <f>""</f>
        <v/>
      </c>
      <c r="O2541" s="6">
        <v>24494</v>
      </c>
      <c r="P2541" s="6" t="s">
        <v>10568</v>
      </c>
      <c r="R2541" s="6" t="s">
        <v>2111</v>
      </c>
      <c r="S2541" s="6" t="s">
        <v>10569</v>
      </c>
      <c r="T2541" s="6">
        <v>0</v>
      </c>
      <c r="U2541" s="6">
        <v>0</v>
      </c>
      <c r="V2541" s="6">
        <v>0</v>
      </c>
      <c r="W2541" s="6">
        <v>0</v>
      </c>
      <c r="X2541" s="6" t="s">
        <v>169</v>
      </c>
      <c r="Z2541" s="6" t="s">
        <v>170</v>
      </c>
      <c r="AA2541" s="6" t="s">
        <v>171</v>
      </c>
      <c r="AB2541" s="6">
        <v>0</v>
      </c>
      <c r="AC2541" s="6" t="str">
        <f>""</f>
        <v/>
      </c>
      <c r="AS2541" s="6">
        <v>0</v>
      </c>
      <c r="AT2541" s="6">
        <v>0</v>
      </c>
    </row>
    <row r="2542" spans="2:46">
      <c r="B2542" s="6" t="s">
        <v>109</v>
      </c>
      <c r="D2542" s="6" t="s">
        <v>8189</v>
      </c>
      <c r="F2542" s="6" t="s">
        <v>10570</v>
      </c>
      <c r="G2542" s="6" t="str">
        <f>"3173232101795208"</f>
        <v>3173232101795208</v>
      </c>
      <c r="H2542" s="6">
        <v>3173232101795200</v>
      </c>
      <c r="I2542" s="6" t="s">
        <v>10571</v>
      </c>
      <c r="J2542" s="6" t="str">
        <f>"SIDE LINE KNIT GREY"</f>
        <v>SIDE LINE KNIT GREY</v>
      </c>
      <c r="K2542" s="6">
        <v>0</v>
      </c>
      <c r="L2542" s="6">
        <v>0</v>
      </c>
      <c r="M2542" s="6">
        <v>0</v>
      </c>
      <c r="N2542" s="6" t="str">
        <f>""</f>
        <v/>
      </c>
      <c r="O2542" s="6">
        <v>24492</v>
      </c>
      <c r="P2542" s="6" t="s">
        <v>10572</v>
      </c>
      <c r="R2542" s="6" t="s">
        <v>2187</v>
      </c>
      <c r="S2542" s="6" t="s">
        <v>10573</v>
      </c>
      <c r="T2542" s="6">
        <v>0</v>
      </c>
      <c r="U2542" s="6">
        <v>0</v>
      </c>
      <c r="V2542" s="6">
        <v>0</v>
      </c>
      <c r="W2542" s="6">
        <v>0</v>
      </c>
      <c r="X2542" s="6" t="s">
        <v>169</v>
      </c>
      <c r="Z2542" s="6" t="s">
        <v>170</v>
      </c>
      <c r="AA2542" s="6" t="s">
        <v>171</v>
      </c>
      <c r="AB2542" s="6">
        <v>0</v>
      </c>
      <c r="AC2542" s="6" t="str">
        <f>""</f>
        <v/>
      </c>
      <c r="AS2542" s="6">
        <v>0</v>
      </c>
      <c r="AT2542" s="6">
        <v>0</v>
      </c>
    </row>
    <row r="2543" spans="2:46">
      <c r="B2543" s="6" t="s">
        <v>109</v>
      </c>
      <c r="D2543" s="6" t="s">
        <v>8189</v>
      </c>
      <c r="F2543" s="6" t="s">
        <v>10574</v>
      </c>
      <c r="G2543" s="6" t="str">
        <f>"3173232101699208"</f>
        <v>3173232101699208</v>
      </c>
      <c r="H2543" s="6">
        <v>3173232101699200</v>
      </c>
      <c r="I2543" s="6" t="s">
        <v>10575</v>
      </c>
      <c r="J2543" s="6" t="str">
        <f>"BACK SLIT HOODY BLACK"</f>
        <v>BACK SLIT HOODY BLACK</v>
      </c>
      <c r="K2543" s="6">
        <v>0</v>
      </c>
      <c r="L2543" s="6">
        <v>0</v>
      </c>
      <c r="M2543" s="6">
        <v>0</v>
      </c>
      <c r="N2543" s="6" t="str">
        <f>""</f>
        <v/>
      </c>
      <c r="O2543" s="6">
        <v>24490</v>
      </c>
      <c r="P2543" s="6" t="s">
        <v>10576</v>
      </c>
      <c r="R2543" s="6" t="s">
        <v>2106</v>
      </c>
      <c r="S2543" s="6" t="s">
        <v>10577</v>
      </c>
      <c r="T2543" s="6">
        <v>0</v>
      </c>
      <c r="U2543" s="6">
        <v>0</v>
      </c>
      <c r="V2543" s="6">
        <v>0</v>
      </c>
      <c r="W2543" s="6">
        <v>0</v>
      </c>
      <c r="X2543" s="6" t="s">
        <v>169</v>
      </c>
      <c r="Z2543" s="6" t="s">
        <v>170</v>
      </c>
      <c r="AA2543" s="6" t="s">
        <v>171</v>
      </c>
      <c r="AB2543" s="6">
        <v>0</v>
      </c>
      <c r="AC2543" s="6" t="str">
        <f>""</f>
        <v/>
      </c>
      <c r="AS2543" s="6">
        <v>0</v>
      </c>
      <c r="AT2543" s="6">
        <v>0</v>
      </c>
    </row>
    <row r="2544" spans="2:46">
      <c r="B2544" s="6" t="s">
        <v>109</v>
      </c>
      <c r="D2544" s="6" t="s">
        <v>8189</v>
      </c>
      <c r="F2544" s="6" t="s">
        <v>10578</v>
      </c>
      <c r="G2544" s="6" t="str">
        <f>"3173232101674208"</f>
        <v>3173232101674208</v>
      </c>
      <c r="H2544" s="6">
        <v>3173232101674200</v>
      </c>
      <c r="I2544" s="6" t="s">
        <v>10579</v>
      </c>
      <c r="J2544" s="6" t="str">
        <f>"BACK SLIT HOODY BEIGE"</f>
        <v>BACK SLIT HOODY BEIGE</v>
      </c>
      <c r="K2544" s="6">
        <v>0</v>
      </c>
      <c r="L2544" s="6">
        <v>0</v>
      </c>
      <c r="M2544" s="6">
        <v>0</v>
      </c>
      <c r="N2544" s="6" t="str">
        <f>""</f>
        <v/>
      </c>
      <c r="O2544" s="6">
        <v>24488</v>
      </c>
      <c r="P2544" s="6" t="s">
        <v>10580</v>
      </c>
      <c r="R2544" s="6" t="s">
        <v>2102</v>
      </c>
      <c r="S2544" s="6" t="s">
        <v>10581</v>
      </c>
      <c r="T2544" s="6">
        <v>0</v>
      </c>
      <c r="U2544" s="6">
        <v>0</v>
      </c>
      <c r="V2544" s="6">
        <v>0</v>
      </c>
      <c r="W2544" s="6">
        <v>0</v>
      </c>
      <c r="X2544" s="6" t="s">
        <v>169</v>
      </c>
      <c r="Z2544" s="6" t="s">
        <v>170</v>
      </c>
      <c r="AA2544" s="6" t="s">
        <v>171</v>
      </c>
      <c r="AB2544" s="6">
        <v>0</v>
      </c>
      <c r="AC2544" s="6" t="str">
        <f>""</f>
        <v/>
      </c>
      <c r="AS2544" s="6">
        <v>0</v>
      </c>
      <c r="AT2544" s="6">
        <v>0</v>
      </c>
    </row>
    <row r="2545" spans="2:46">
      <c r="B2545" s="6" t="s">
        <v>109</v>
      </c>
      <c r="D2545" s="6" t="s">
        <v>8189</v>
      </c>
      <c r="F2545" s="6" t="s">
        <v>10582</v>
      </c>
      <c r="G2545" s="6" t="str">
        <f>"3173232101230208"</f>
        <v>3173232101230208</v>
      </c>
      <c r="H2545" s="6">
        <v>3173232101230200</v>
      </c>
      <c r="I2545" s="6" t="s">
        <v>10583</v>
      </c>
      <c r="J2545" s="6" t="str">
        <f>"SLIT MTM NAVY"</f>
        <v>SLIT MTM NAVY</v>
      </c>
      <c r="K2545" s="6">
        <v>0</v>
      </c>
      <c r="L2545" s="6">
        <v>0</v>
      </c>
      <c r="M2545" s="6">
        <v>0</v>
      </c>
      <c r="N2545" s="6" t="str">
        <f>""</f>
        <v/>
      </c>
      <c r="O2545" s="6">
        <v>24486</v>
      </c>
      <c r="P2545" s="6" t="s">
        <v>10584</v>
      </c>
      <c r="R2545" s="6" t="s">
        <v>2111</v>
      </c>
      <c r="S2545" s="6" t="s">
        <v>10585</v>
      </c>
      <c r="T2545" s="6">
        <v>0</v>
      </c>
      <c r="U2545" s="6">
        <v>0</v>
      </c>
      <c r="V2545" s="6">
        <v>0</v>
      </c>
      <c r="W2545" s="6">
        <v>0</v>
      </c>
      <c r="X2545" s="6" t="s">
        <v>169</v>
      </c>
      <c r="Z2545" s="6" t="s">
        <v>170</v>
      </c>
      <c r="AA2545" s="6" t="s">
        <v>171</v>
      </c>
      <c r="AB2545" s="6">
        <v>0</v>
      </c>
      <c r="AC2545" s="6" t="str">
        <f>""</f>
        <v/>
      </c>
      <c r="AS2545" s="6">
        <v>0</v>
      </c>
      <c r="AT2545" s="6">
        <v>0</v>
      </c>
    </row>
    <row r="2546" spans="2:46">
      <c r="B2546" s="6" t="s">
        <v>109</v>
      </c>
      <c r="D2546" s="6" t="s">
        <v>8189</v>
      </c>
      <c r="F2546" s="6" t="s">
        <v>10586</v>
      </c>
      <c r="G2546" s="6" t="str">
        <f>"3173232101295208"</f>
        <v>3173232101295208</v>
      </c>
      <c r="H2546" s="6">
        <v>3173232101295200</v>
      </c>
      <c r="I2546" s="6" t="s">
        <v>10587</v>
      </c>
      <c r="J2546" s="6" t="str">
        <f>"SLIT MTM GREY"</f>
        <v>SLIT MTM GREY</v>
      </c>
      <c r="K2546" s="6">
        <v>0</v>
      </c>
      <c r="L2546" s="6">
        <v>0</v>
      </c>
      <c r="M2546" s="6">
        <v>0</v>
      </c>
      <c r="N2546" s="6" t="str">
        <f>""</f>
        <v/>
      </c>
      <c r="O2546" s="6">
        <v>24484</v>
      </c>
      <c r="P2546" s="6" t="s">
        <v>10588</v>
      </c>
      <c r="R2546" s="6" t="s">
        <v>2187</v>
      </c>
      <c r="S2546" s="6" t="s">
        <v>10589</v>
      </c>
      <c r="T2546" s="6">
        <v>0</v>
      </c>
      <c r="U2546" s="6">
        <v>0</v>
      </c>
      <c r="V2546" s="6">
        <v>0</v>
      </c>
      <c r="W2546" s="6">
        <v>0</v>
      </c>
      <c r="X2546" s="6" t="s">
        <v>169</v>
      </c>
      <c r="Z2546" s="6" t="s">
        <v>170</v>
      </c>
      <c r="AA2546" s="6" t="s">
        <v>171</v>
      </c>
      <c r="AB2546" s="6">
        <v>0</v>
      </c>
      <c r="AC2546" s="6" t="str">
        <f>""</f>
        <v/>
      </c>
      <c r="AS2546" s="6">
        <v>0</v>
      </c>
      <c r="AT2546" s="6">
        <v>0</v>
      </c>
    </row>
    <row r="2547" spans="2:46">
      <c r="B2547" s="6" t="s">
        <v>109</v>
      </c>
      <c r="D2547" s="6" t="s">
        <v>8189</v>
      </c>
      <c r="F2547" s="6" t="s">
        <v>10590</v>
      </c>
      <c r="G2547" s="6" t="str">
        <f>"3173232101130208"</f>
        <v>3173232101130208</v>
      </c>
      <c r="H2547" s="6">
        <v>3173232101130200</v>
      </c>
      <c r="I2547" s="6" t="s">
        <v>10591</v>
      </c>
      <c r="J2547" s="6" t="str">
        <f>"NECK POINT POLA NAVY"</f>
        <v>NECK POINT POLA NAVY</v>
      </c>
      <c r="K2547" s="6">
        <v>0</v>
      </c>
      <c r="L2547" s="6">
        <v>0</v>
      </c>
      <c r="M2547" s="6">
        <v>0</v>
      </c>
      <c r="N2547" s="6" t="str">
        <f>""</f>
        <v/>
      </c>
      <c r="O2547" s="6">
        <v>24482</v>
      </c>
      <c r="P2547" s="6" t="s">
        <v>10592</v>
      </c>
      <c r="R2547" s="6" t="s">
        <v>2111</v>
      </c>
      <c r="S2547" s="6" t="s">
        <v>10593</v>
      </c>
      <c r="T2547" s="6">
        <v>0</v>
      </c>
      <c r="U2547" s="6">
        <v>0</v>
      </c>
      <c r="V2547" s="6">
        <v>0</v>
      </c>
      <c r="W2547" s="6">
        <v>0</v>
      </c>
      <c r="X2547" s="6" t="s">
        <v>169</v>
      </c>
      <c r="Z2547" s="6" t="s">
        <v>170</v>
      </c>
      <c r="AA2547" s="6" t="s">
        <v>171</v>
      </c>
      <c r="AB2547" s="6">
        <v>0</v>
      </c>
      <c r="AC2547" s="6" t="str">
        <f>""</f>
        <v/>
      </c>
      <c r="AS2547" s="6">
        <v>0</v>
      </c>
      <c r="AT2547" s="6">
        <v>0</v>
      </c>
    </row>
    <row r="2548" spans="2:46">
      <c r="B2548" s="6" t="s">
        <v>109</v>
      </c>
      <c r="D2548" s="6" t="s">
        <v>8189</v>
      </c>
      <c r="F2548" s="6" t="s">
        <v>10594</v>
      </c>
      <c r="G2548" s="6" t="str">
        <f>"3173232101145208"</f>
        <v>3173232101145208</v>
      </c>
      <c r="H2548" s="6">
        <v>3173232101145200</v>
      </c>
      <c r="I2548" s="6" t="s">
        <v>10595</v>
      </c>
      <c r="J2548" s="6" t="str">
        <f>"NECK POINT POLA GREEN"</f>
        <v>NECK POINT POLA GREEN</v>
      </c>
      <c r="K2548" s="6">
        <v>0</v>
      </c>
      <c r="L2548" s="6">
        <v>0</v>
      </c>
      <c r="M2548" s="6">
        <v>0</v>
      </c>
      <c r="N2548" s="6" t="str">
        <f>""</f>
        <v/>
      </c>
      <c r="O2548" s="6">
        <v>24480</v>
      </c>
      <c r="P2548" s="6" t="s">
        <v>10596</v>
      </c>
      <c r="R2548" s="6" t="s">
        <v>2512</v>
      </c>
      <c r="S2548" s="6" t="s">
        <v>10597</v>
      </c>
      <c r="T2548" s="6">
        <v>0</v>
      </c>
      <c r="U2548" s="6">
        <v>0</v>
      </c>
      <c r="V2548" s="6">
        <v>0</v>
      </c>
      <c r="W2548" s="6">
        <v>0</v>
      </c>
      <c r="X2548" s="6" t="s">
        <v>169</v>
      </c>
      <c r="Z2548" s="6" t="s">
        <v>170</v>
      </c>
      <c r="AA2548" s="6" t="s">
        <v>171</v>
      </c>
      <c r="AB2548" s="6">
        <v>0</v>
      </c>
      <c r="AC2548" s="6" t="str">
        <f>""</f>
        <v/>
      </c>
      <c r="AS2548" s="6">
        <v>0</v>
      </c>
      <c r="AT2548" s="6">
        <v>0</v>
      </c>
    </row>
    <row r="2549" spans="2:46">
      <c r="B2549" s="6" t="s">
        <v>109</v>
      </c>
      <c r="D2549" s="6" t="s">
        <v>8189</v>
      </c>
      <c r="F2549" s="6" t="s">
        <v>10598</v>
      </c>
      <c r="G2549" s="6" t="str">
        <f>"3173212102323208"</f>
        <v>3173212102323208</v>
      </c>
      <c r="H2549" s="6">
        <v>3173212102323200</v>
      </c>
      <c r="I2549" s="6" t="s">
        <v>10599</v>
      </c>
      <c r="J2549" s="6" t="str">
        <f>"LONG BACK SHIRT SKYBLUE"</f>
        <v>LONG BACK SHIRT SKYBLUE</v>
      </c>
      <c r="K2549" s="6">
        <v>0</v>
      </c>
      <c r="L2549" s="6">
        <v>0</v>
      </c>
      <c r="M2549" s="6">
        <v>0</v>
      </c>
      <c r="N2549" s="6" t="str">
        <f>""</f>
        <v/>
      </c>
      <c r="O2549" s="6">
        <v>24478</v>
      </c>
      <c r="P2549" s="6" t="s">
        <v>10600</v>
      </c>
      <c r="R2549" s="6" t="s">
        <v>5620</v>
      </c>
      <c r="S2549" s="6" t="s">
        <v>10601</v>
      </c>
      <c r="T2549" s="6">
        <v>0</v>
      </c>
      <c r="U2549" s="6">
        <v>0</v>
      </c>
      <c r="V2549" s="6">
        <v>0</v>
      </c>
      <c r="W2549" s="6">
        <v>0</v>
      </c>
      <c r="X2549" s="6" t="s">
        <v>169</v>
      </c>
      <c r="Z2549" s="6" t="s">
        <v>170</v>
      </c>
      <c r="AA2549" s="6" t="s">
        <v>171</v>
      </c>
      <c r="AB2549" s="6">
        <v>0</v>
      </c>
      <c r="AC2549" s="6" t="str">
        <f>""</f>
        <v/>
      </c>
      <c r="AS2549" s="6">
        <v>0</v>
      </c>
      <c r="AT2549" s="6">
        <v>0</v>
      </c>
    </row>
    <row r="2550" spans="2:46">
      <c r="B2550" s="6" t="s">
        <v>109</v>
      </c>
      <c r="D2550" s="6" t="s">
        <v>8189</v>
      </c>
      <c r="F2550" s="6" t="s">
        <v>10602</v>
      </c>
      <c r="G2550" s="6" t="str">
        <f>"3173212102391208"</f>
        <v>3173212102391208</v>
      </c>
      <c r="H2550" s="6">
        <v>3173212102391200</v>
      </c>
      <c r="I2550" s="6" t="s">
        <v>10603</v>
      </c>
      <c r="J2550" s="6" t="str">
        <f>"LONG BACK SHIRT WHITE"</f>
        <v>LONG BACK SHIRT WHITE</v>
      </c>
      <c r="K2550" s="6">
        <v>0</v>
      </c>
      <c r="L2550" s="6">
        <v>0</v>
      </c>
      <c r="M2550" s="6">
        <v>0</v>
      </c>
      <c r="N2550" s="6" t="str">
        <f>""</f>
        <v/>
      </c>
      <c r="O2550" s="6">
        <v>24476</v>
      </c>
      <c r="P2550" s="6" t="s">
        <v>10604</v>
      </c>
      <c r="R2550" s="6" t="s">
        <v>2167</v>
      </c>
      <c r="S2550" s="6" t="s">
        <v>10605</v>
      </c>
      <c r="T2550" s="6">
        <v>0</v>
      </c>
      <c r="U2550" s="6">
        <v>0</v>
      </c>
      <c r="V2550" s="6">
        <v>0</v>
      </c>
      <c r="W2550" s="6">
        <v>0</v>
      </c>
      <c r="X2550" s="6" t="s">
        <v>169</v>
      </c>
      <c r="Z2550" s="6" t="s">
        <v>170</v>
      </c>
      <c r="AA2550" s="6" t="s">
        <v>171</v>
      </c>
      <c r="AB2550" s="6">
        <v>0</v>
      </c>
      <c r="AC2550" s="6" t="str">
        <f>""</f>
        <v/>
      </c>
      <c r="AS2550" s="6">
        <v>0</v>
      </c>
      <c r="AT2550" s="6">
        <v>0</v>
      </c>
    </row>
    <row r="2551" spans="2:46">
      <c r="B2551" s="6" t="s">
        <v>109</v>
      </c>
      <c r="D2551" s="6" t="s">
        <v>8189</v>
      </c>
      <c r="F2551" s="6" t="s">
        <v>10606</v>
      </c>
      <c r="G2551" s="6" t="str">
        <f>"3173242101399208"</f>
        <v>3173242101399208</v>
      </c>
      <c r="H2551" s="6">
        <v>3173242101399200</v>
      </c>
      <c r="I2551" s="6" t="s">
        <v>10607</v>
      </c>
      <c r="J2551" s="6" t="str">
        <f>"BUTTON BLOUSE BLACK"</f>
        <v>BUTTON BLOUSE BLACK</v>
      </c>
      <c r="K2551" s="6">
        <v>0</v>
      </c>
      <c r="L2551" s="6">
        <v>0</v>
      </c>
      <c r="M2551" s="6">
        <v>0</v>
      </c>
      <c r="N2551" s="6" t="str">
        <f>""</f>
        <v/>
      </c>
      <c r="O2551" s="6">
        <v>24474</v>
      </c>
      <c r="P2551" s="6" t="s">
        <v>10608</v>
      </c>
      <c r="R2551" s="6" t="s">
        <v>2106</v>
      </c>
      <c r="S2551" s="6" t="s">
        <v>10609</v>
      </c>
      <c r="T2551" s="6">
        <v>0</v>
      </c>
      <c r="U2551" s="6">
        <v>0</v>
      </c>
      <c r="V2551" s="6">
        <v>0</v>
      </c>
      <c r="W2551" s="6">
        <v>0</v>
      </c>
      <c r="X2551" s="6" t="s">
        <v>169</v>
      </c>
      <c r="Z2551" s="6" t="s">
        <v>170</v>
      </c>
      <c r="AA2551" s="6" t="s">
        <v>171</v>
      </c>
      <c r="AB2551" s="6">
        <v>0</v>
      </c>
      <c r="AC2551" s="6" t="str">
        <f>""</f>
        <v/>
      </c>
      <c r="AS2551" s="6">
        <v>0</v>
      </c>
      <c r="AT2551" s="6">
        <v>0</v>
      </c>
    </row>
    <row r="2552" spans="2:46">
      <c r="B2552" s="6" t="s">
        <v>109</v>
      </c>
      <c r="D2552" s="6" t="s">
        <v>8189</v>
      </c>
      <c r="F2552" s="6" t="s">
        <v>10610</v>
      </c>
      <c r="G2552" s="6" t="str">
        <f>"3173242101323208"</f>
        <v>3173242101323208</v>
      </c>
      <c r="H2552" s="6">
        <v>3173242101323200</v>
      </c>
      <c r="I2552" s="6" t="s">
        <v>10611</v>
      </c>
      <c r="J2552" s="6" t="str">
        <f>"BUTTON BLOUSE SKYBLUE"</f>
        <v>BUTTON BLOUSE SKYBLUE</v>
      </c>
      <c r="K2552" s="6">
        <v>0</v>
      </c>
      <c r="L2552" s="6">
        <v>0</v>
      </c>
      <c r="M2552" s="6">
        <v>0</v>
      </c>
      <c r="N2552" s="6" t="str">
        <f>""</f>
        <v/>
      </c>
      <c r="O2552" s="6">
        <v>24472</v>
      </c>
      <c r="P2552" s="6" t="s">
        <v>10612</v>
      </c>
      <c r="R2552" s="6" t="s">
        <v>5620</v>
      </c>
      <c r="S2552" s="6" t="s">
        <v>10613</v>
      </c>
      <c r="T2552" s="6">
        <v>0</v>
      </c>
      <c r="U2552" s="6">
        <v>0</v>
      </c>
      <c r="V2552" s="6">
        <v>0</v>
      </c>
      <c r="W2552" s="6">
        <v>0</v>
      </c>
      <c r="X2552" s="6" t="s">
        <v>169</v>
      </c>
      <c r="Z2552" s="6" t="s">
        <v>170</v>
      </c>
      <c r="AA2552" s="6" t="s">
        <v>171</v>
      </c>
      <c r="AB2552" s="6">
        <v>0</v>
      </c>
      <c r="AC2552" s="6" t="str">
        <f>""</f>
        <v/>
      </c>
      <c r="AS2552" s="6">
        <v>0</v>
      </c>
      <c r="AT2552" s="6">
        <v>0</v>
      </c>
    </row>
    <row r="2553" spans="2:46">
      <c r="B2553" s="6" t="s">
        <v>109</v>
      </c>
      <c r="D2553" s="6" t="s">
        <v>8189</v>
      </c>
      <c r="F2553" s="6" t="s">
        <v>10614</v>
      </c>
      <c r="G2553" s="6" t="str">
        <f>"3173242101099208"</f>
        <v>3173242101099208</v>
      </c>
      <c r="H2553" s="6">
        <v>3173242101099200</v>
      </c>
      <c r="I2553" s="6" t="s">
        <v>10615</v>
      </c>
      <c r="J2553" s="6" t="str">
        <f>"SLIT PAJAMA SHIRT BLACK"</f>
        <v>SLIT PAJAMA SHIRT BLACK</v>
      </c>
      <c r="K2553" s="6">
        <v>0</v>
      </c>
      <c r="L2553" s="6">
        <v>0</v>
      </c>
      <c r="M2553" s="6">
        <v>0</v>
      </c>
      <c r="N2553" s="6" t="str">
        <f>""</f>
        <v/>
      </c>
      <c r="O2553" s="6">
        <v>24470</v>
      </c>
      <c r="P2553" s="6" t="s">
        <v>10616</v>
      </c>
      <c r="R2553" s="6" t="s">
        <v>2106</v>
      </c>
      <c r="S2553" s="6" t="s">
        <v>10617</v>
      </c>
      <c r="T2553" s="6">
        <v>0</v>
      </c>
      <c r="U2553" s="6">
        <v>0</v>
      </c>
      <c r="V2553" s="6">
        <v>0</v>
      </c>
      <c r="W2553" s="6">
        <v>0</v>
      </c>
      <c r="X2553" s="6" t="s">
        <v>169</v>
      </c>
      <c r="Z2553" s="6" t="s">
        <v>170</v>
      </c>
      <c r="AA2553" s="6" t="s">
        <v>171</v>
      </c>
      <c r="AB2553" s="6">
        <v>0</v>
      </c>
      <c r="AC2553" s="6" t="str">
        <f>""</f>
        <v/>
      </c>
      <c r="AS2553" s="6">
        <v>0</v>
      </c>
      <c r="AT2553" s="6">
        <v>0</v>
      </c>
    </row>
    <row r="2554" spans="2:46">
      <c r="B2554" s="6" t="s">
        <v>109</v>
      </c>
      <c r="D2554" s="6" t="s">
        <v>8189</v>
      </c>
      <c r="F2554" s="6" t="s">
        <v>10618</v>
      </c>
      <c r="G2554" s="6" t="str">
        <f>"3173242101091208"</f>
        <v>3173242101091208</v>
      </c>
      <c r="H2554" s="6">
        <v>3173242101091200</v>
      </c>
      <c r="I2554" s="6" t="s">
        <v>10619</v>
      </c>
      <c r="J2554" s="6" t="str">
        <f>"SLIT PAJAMA SHIRT WHITE"</f>
        <v>SLIT PAJAMA SHIRT WHITE</v>
      </c>
      <c r="K2554" s="6">
        <v>0</v>
      </c>
      <c r="L2554" s="6">
        <v>0</v>
      </c>
      <c r="M2554" s="6">
        <v>0</v>
      </c>
      <c r="N2554" s="6" t="str">
        <f>""</f>
        <v/>
      </c>
      <c r="O2554" s="6">
        <v>24468</v>
      </c>
      <c r="P2554" s="6" t="s">
        <v>10620</v>
      </c>
      <c r="R2554" s="6" t="s">
        <v>2167</v>
      </c>
      <c r="S2554" s="6" t="s">
        <v>10621</v>
      </c>
      <c r="T2554" s="6">
        <v>0</v>
      </c>
      <c r="U2554" s="6">
        <v>0</v>
      </c>
      <c r="V2554" s="6">
        <v>0</v>
      </c>
      <c r="W2554" s="6">
        <v>0</v>
      </c>
      <c r="X2554" s="6" t="s">
        <v>169</v>
      </c>
      <c r="Z2554" s="6" t="s">
        <v>170</v>
      </c>
      <c r="AA2554" s="6" t="s">
        <v>171</v>
      </c>
      <c r="AB2554" s="6">
        <v>0</v>
      </c>
      <c r="AC2554" s="6" t="str">
        <f>""</f>
        <v/>
      </c>
      <c r="AS2554" s="6">
        <v>0</v>
      </c>
      <c r="AT2554" s="6">
        <v>0</v>
      </c>
    </row>
    <row r="2555" spans="2:46">
      <c r="B2555" s="6" t="s">
        <v>109</v>
      </c>
      <c r="D2555" s="6" t="s">
        <v>8189</v>
      </c>
      <c r="F2555" s="6" t="s">
        <v>10622</v>
      </c>
      <c r="G2555" s="6" t="str">
        <f>"3173212101725208"</f>
        <v>3173212101725208</v>
      </c>
      <c r="H2555" s="6">
        <v>3173212101725200</v>
      </c>
      <c r="I2555" s="6" t="s">
        <v>10623</v>
      </c>
      <c r="J2555" s="6" t="str">
        <f>"V-NECK FRILL SHIRT BLUE"</f>
        <v>V-NECK FRILL SHIRT BLUE</v>
      </c>
      <c r="K2555" s="6">
        <v>0</v>
      </c>
      <c r="L2555" s="6">
        <v>0</v>
      </c>
      <c r="M2555" s="6">
        <v>0</v>
      </c>
      <c r="N2555" s="6" t="str">
        <f>""</f>
        <v/>
      </c>
      <c r="O2555" s="6">
        <v>24466</v>
      </c>
      <c r="P2555" s="6" t="s">
        <v>10624</v>
      </c>
      <c r="R2555" s="6" t="s">
        <v>2175</v>
      </c>
      <c r="S2555" s="6" t="s">
        <v>10625</v>
      </c>
      <c r="T2555" s="6">
        <v>0</v>
      </c>
      <c r="U2555" s="6">
        <v>0</v>
      </c>
      <c r="V2555" s="6">
        <v>0</v>
      </c>
      <c r="W2555" s="6">
        <v>0</v>
      </c>
      <c r="X2555" s="6" t="s">
        <v>169</v>
      </c>
      <c r="Z2555" s="6" t="s">
        <v>170</v>
      </c>
      <c r="AA2555" s="6" t="s">
        <v>171</v>
      </c>
      <c r="AB2555" s="6">
        <v>0</v>
      </c>
      <c r="AC2555" s="6" t="str">
        <f>""</f>
        <v/>
      </c>
      <c r="AS2555" s="6">
        <v>0</v>
      </c>
      <c r="AT2555" s="6">
        <v>0</v>
      </c>
    </row>
    <row r="2556" spans="2:46">
      <c r="B2556" s="6" t="s">
        <v>109</v>
      </c>
      <c r="D2556" s="6" t="s">
        <v>8189</v>
      </c>
      <c r="F2556" s="6" t="s">
        <v>10626</v>
      </c>
      <c r="G2556" s="6" t="str">
        <f>"3173212101730208"</f>
        <v>3173212101730208</v>
      </c>
      <c r="H2556" s="6">
        <v>3173212101730200</v>
      </c>
      <c r="I2556" s="6" t="s">
        <v>10627</v>
      </c>
      <c r="J2556" s="6" t="str">
        <f>"V-NECK FRILL SHIRT NAVY"</f>
        <v>V-NECK FRILL SHIRT NAVY</v>
      </c>
      <c r="K2556" s="6">
        <v>0</v>
      </c>
      <c r="L2556" s="6">
        <v>0</v>
      </c>
      <c r="M2556" s="6">
        <v>0</v>
      </c>
      <c r="N2556" s="6" t="str">
        <f>""</f>
        <v/>
      </c>
      <c r="O2556" s="6">
        <v>24464</v>
      </c>
      <c r="P2556" s="6" t="s">
        <v>10628</v>
      </c>
      <c r="R2556" s="6" t="s">
        <v>2111</v>
      </c>
      <c r="S2556" s="6" t="s">
        <v>10629</v>
      </c>
      <c r="T2556" s="6">
        <v>0</v>
      </c>
      <c r="U2556" s="6">
        <v>0</v>
      </c>
      <c r="V2556" s="6">
        <v>0</v>
      </c>
      <c r="W2556" s="6">
        <v>0</v>
      </c>
      <c r="X2556" s="6" t="s">
        <v>169</v>
      </c>
      <c r="Z2556" s="6" t="s">
        <v>170</v>
      </c>
      <c r="AA2556" s="6" t="s">
        <v>171</v>
      </c>
      <c r="AB2556" s="6">
        <v>0</v>
      </c>
      <c r="AC2556" s="6" t="str">
        <f>""</f>
        <v/>
      </c>
      <c r="AS2556" s="6">
        <v>0</v>
      </c>
      <c r="AT2556" s="6">
        <v>0</v>
      </c>
    </row>
    <row r="2557" spans="2:46">
      <c r="B2557" s="6" t="s">
        <v>109</v>
      </c>
      <c r="D2557" s="6" t="s">
        <v>8189</v>
      </c>
      <c r="F2557" s="6" t="s">
        <v>10630</v>
      </c>
      <c r="G2557" s="6" t="str">
        <f>"3173212101791208"</f>
        <v>3173212101791208</v>
      </c>
      <c r="H2557" s="6">
        <v>3173212101791200</v>
      </c>
      <c r="I2557" s="6" t="s">
        <v>10631</v>
      </c>
      <c r="J2557" s="6" t="str">
        <f>"V-NECK FRILL SHIRT WHITE"</f>
        <v>V-NECK FRILL SHIRT WHITE</v>
      </c>
      <c r="K2557" s="6">
        <v>0</v>
      </c>
      <c r="L2557" s="6">
        <v>0</v>
      </c>
      <c r="M2557" s="6">
        <v>0</v>
      </c>
      <c r="N2557" s="6" t="str">
        <f>""</f>
        <v/>
      </c>
      <c r="O2557" s="6">
        <v>24462</v>
      </c>
      <c r="P2557" s="6" t="s">
        <v>10632</v>
      </c>
      <c r="R2557" s="6" t="s">
        <v>2167</v>
      </c>
      <c r="S2557" s="6" t="s">
        <v>10633</v>
      </c>
      <c r="T2557" s="6">
        <v>0</v>
      </c>
      <c r="U2557" s="6">
        <v>0</v>
      </c>
      <c r="V2557" s="6">
        <v>0</v>
      </c>
      <c r="W2557" s="6">
        <v>0</v>
      </c>
      <c r="X2557" s="6" t="s">
        <v>169</v>
      </c>
      <c r="Z2557" s="6" t="s">
        <v>170</v>
      </c>
      <c r="AA2557" s="6" t="s">
        <v>171</v>
      </c>
      <c r="AB2557" s="6">
        <v>0</v>
      </c>
      <c r="AC2557" s="6" t="str">
        <f>""</f>
        <v/>
      </c>
      <c r="AS2557" s="6">
        <v>0</v>
      </c>
      <c r="AT2557" s="6">
        <v>0</v>
      </c>
    </row>
    <row r="2558" spans="2:46">
      <c r="B2558" s="6" t="s">
        <v>109</v>
      </c>
      <c r="D2558" s="6" t="s">
        <v>8189</v>
      </c>
      <c r="F2558" s="6" t="s">
        <v>10634</v>
      </c>
      <c r="G2558" s="6" t="str">
        <f>"3173332101399320"</f>
        <v>3173332101399320</v>
      </c>
      <c r="H2558" s="6">
        <v>3173332101399320</v>
      </c>
      <c r="I2558" s="6" t="s">
        <v>10635</v>
      </c>
      <c r="J2558" s="6" t="str">
        <f>"SIDE LINE KNIT SKIRT BLACK"</f>
        <v>SIDE LINE KNIT SKIRT BLACK</v>
      </c>
      <c r="K2558" s="6">
        <v>0</v>
      </c>
      <c r="L2558" s="6">
        <v>0</v>
      </c>
      <c r="M2558" s="6">
        <v>0</v>
      </c>
      <c r="N2558" s="6" t="str">
        <f>""</f>
        <v/>
      </c>
      <c r="O2558" s="6">
        <v>24460</v>
      </c>
      <c r="P2558" s="6" t="s">
        <v>10636</v>
      </c>
      <c r="R2558" s="6" t="s">
        <v>2106</v>
      </c>
      <c r="S2558" s="6" t="s">
        <v>10637</v>
      </c>
      <c r="T2558" s="6">
        <v>0</v>
      </c>
      <c r="U2558" s="6">
        <v>0</v>
      </c>
      <c r="V2558" s="6">
        <v>0</v>
      </c>
      <c r="W2558" s="6">
        <v>0</v>
      </c>
      <c r="X2558" s="6" t="s">
        <v>169</v>
      </c>
      <c r="Z2558" s="6" t="s">
        <v>170</v>
      </c>
      <c r="AA2558" s="6" t="s">
        <v>171</v>
      </c>
      <c r="AB2558" s="6">
        <v>0</v>
      </c>
      <c r="AC2558" s="6" t="str">
        <f>""</f>
        <v/>
      </c>
      <c r="AS2558" s="6">
        <v>0</v>
      </c>
      <c r="AT2558" s="6">
        <v>0</v>
      </c>
    </row>
    <row r="2559" spans="2:46">
      <c r="B2559" s="6" t="s">
        <v>109</v>
      </c>
      <c r="D2559" s="6" t="s">
        <v>8189</v>
      </c>
      <c r="F2559" s="6" t="s">
        <v>10638</v>
      </c>
      <c r="G2559" s="6" t="str">
        <f>"3173332101330320"</f>
        <v>3173332101330320</v>
      </c>
      <c r="H2559" s="6">
        <v>3173332101330320</v>
      </c>
      <c r="I2559" s="6" t="s">
        <v>10639</v>
      </c>
      <c r="J2559" s="6" t="str">
        <f>"SIDE LINE KNIT SKIRT NAVY"</f>
        <v>SIDE LINE KNIT SKIRT NAVY</v>
      </c>
      <c r="K2559" s="6">
        <v>0</v>
      </c>
      <c r="L2559" s="6">
        <v>0</v>
      </c>
      <c r="M2559" s="6">
        <v>0</v>
      </c>
      <c r="N2559" s="6" t="str">
        <f>""</f>
        <v/>
      </c>
      <c r="O2559" s="6">
        <v>24458</v>
      </c>
      <c r="P2559" s="6" t="s">
        <v>10640</v>
      </c>
      <c r="R2559" s="6" t="s">
        <v>2111</v>
      </c>
      <c r="S2559" s="6" t="s">
        <v>10641</v>
      </c>
      <c r="T2559" s="6">
        <v>0</v>
      </c>
      <c r="U2559" s="6">
        <v>0</v>
      </c>
      <c r="V2559" s="6">
        <v>0</v>
      </c>
      <c r="W2559" s="6">
        <v>0</v>
      </c>
      <c r="X2559" s="6" t="s">
        <v>169</v>
      </c>
      <c r="Z2559" s="6" t="s">
        <v>170</v>
      </c>
      <c r="AA2559" s="6" t="s">
        <v>171</v>
      </c>
      <c r="AB2559" s="6">
        <v>0</v>
      </c>
      <c r="AC2559" s="6" t="str">
        <f>""</f>
        <v/>
      </c>
      <c r="AS2559" s="6">
        <v>0</v>
      </c>
      <c r="AT2559" s="6">
        <v>0</v>
      </c>
    </row>
    <row r="2560" spans="2:46">
      <c r="B2560" s="6" t="s">
        <v>109</v>
      </c>
      <c r="D2560" s="6" t="s">
        <v>8189</v>
      </c>
      <c r="F2560" s="6" t="s">
        <v>10642</v>
      </c>
      <c r="G2560" s="6" t="str">
        <f>"3173332101395320"</f>
        <v>3173332101395320</v>
      </c>
      <c r="H2560" s="6">
        <v>3173332101395320</v>
      </c>
      <c r="I2560" s="6" t="s">
        <v>10643</v>
      </c>
      <c r="J2560" s="6" t="str">
        <f>"SIDE LINE KNIT SKIRT GREY"</f>
        <v>SIDE LINE KNIT SKIRT GREY</v>
      </c>
      <c r="K2560" s="6">
        <v>0</v>
      </c>
      <c r="L2560" s="6">
        <v>0</v>
      </c>
      <c r="M2560" s="6">
        <v>0</v>
      </c>
      <c r="N2560" s="6" t="str">
        <f>""</f>
        <v/>
      </c>
      <c r="O2560" s="6">
        <v>24456</v>
      </c>
      <c r="P2560" s="6" t="s">
        <v>10644</v>
      </c>
      <c r="R2560" s="6" t="s">
        <v>2187</v>
      </c>
      <c r="S2560" s="6" t="s">
        <v>10645</v>
      </c>
      <c r="T2560" s="6">
        <v>0</v>
      </c>
      <c r="U2560" s="6">
        <v>0</v>
      </c>
      <c r="V2560" s="6">
        <v>0</v>
      </c>
      <c r="W2560" s="6">
        <v>0</v>
      </c>
      <c r="X2560" s="6" t="s">
        <v>169</v>
      </c>
      <c r="Z2560" s="6" t="s">
        <v>170</v>
      </c>
      <c r="AA2560" s="6" t="s">
        <v>171</v>
      </c>
      <c r="AB2560" s="6">
        <v>0</v>
      </c>
      <c r="AC2560" s="6" t="str">
        <f>""</f>
        <v/>
      </c>
      <c r="AS2560" s="6">
        <v>0</v>
      </c>
      <c r="AT2560" s="6">
        <v>0</v>
      </c>
    </row>
    <row r="2561" spans="2:46">
      <c r="B2561" s="6" t="s">
        <v>109</v>
      </c>
      <c r="D2561" s="6" t="s">
        <v>8189</v>
      </c>
      <c r="F2561" s="6" t="s">
        <v>10646</v>
      </c>
      <c r="G2561" s="6" t="str">
        <f>"3173352100199320"</f>
        <v>3173352100199320</v>
      </c>
      <c r="H2561" s="6">
        <v>3173352100199320</v>
      </c>
      <c r="I2561" s="6" t="s">
        <v>10647</v>
      </c>
      <c r="J2561" s="6" t="str">
        <f>"DIAGONAL MINI SKIRT BLACK"</f>
        <v>DIAGONAL MINI SKIRT BLACK</v>
      </c>
      <c r="K2561" s="6">
        <v>0</v>
      </c>
      <c r="L2561" s="6">
        <v>0</v>
      </c>
      <c r="M2561" s="6">
        <v>0</v>
      </c>
      <c r="N2561" s="6" t="str">
        <f>""</f>
        <v/>
      </c>
      <c r="O2561" s="6">
        <v>24454</v>
      </c>
      <c r="P2561" s="6" t="s">
        <v>10648</v>
      </c>
      <c r="R2561" s="6" t="s">
        <v>2106</v>
      </c>
      <c r="S2561" s="6" t="s">
        <v>10649</v>
      </c>
      <c r="T2561" s="6">
        <v>0</v>
      </c>
      <c r="U2561" s="6">
        <v>0</v>
      </c>
      <c r="V2561" s="6">
        <v>0</v>
      </c>
      <c r="W2561" s="6">
        <v>0</v>
      </c>
      <c r="X2561" s="6" t="s">
        <v>169</v>
      </c>
      <c r="Z2561" s="6" t="s">
        <v>170</v>
      </c>
      <c r="AA2561" s="6" t="s">
        <v>171</v>
      </c>
      <c r="AB2561" s="6">
        <v>0</v>
      </c>
      <c r="AC2561" s="6" t="str">
        <f>""</f>
        <v/>
      </c>
      <c r="AS2561" s="6">
        <v>0</v>
      </c>
      <c r="AT2561" s="6">
        <v>0</v>
      </c>
    </row>
    <row r="2562" spans="2:46">
      <c r="B2562" s="6" t="s">
        <v>109</v>
      </c>
      <c r="D2562" s="6" t="s">
        <v>8189</v>
      </c>
      <c r="F2562" s="6" t="s">
        <v>10650</v>
      </c>
      <c r="G2562" s="6" t="str">
        <f>"3173352100175320"</f>
        <v>3173352100175320</v>
      </c>
      <c r="H2562" s="6">
        <v>3173352100175320</v>
      </c>
      <c r="I2562" s="6" t="s">
        <v>10651</v>
      </c>
      <c r="J2562" s="6" t="str">
        <f>"DIAGONAL MINI SKIRT BROWN"</f>
        <v>DIAGONAL MINI SKIRT BROWN</v>
      </c>
      <c r="K2562" s="6">
        <v>0</v>
      </c>
      <c r="L2562" s="6">
        <v>0</v>
      </c>
      <c r="M2562" s="6">
        <v>0</v>
      </c>
      <c r="N2562" s="6" t="str">
        <f>""</f>
        <v/>
      </c>
      <c r="O2562" s="6">
        <v>24452</v>
      </c>
      <c r="P2562" s="6" t="s">
        <v>10652</v>
      </c>
      <c r="R2562" s="6" t="s">
        <v>2119</v>
      </c>
      <c r="S2562" s="6" t="s">
        <v>10653</v>
      </c>
      <c r="T2562" s="6">
        <v>0</v>
      </c>
      <c r="U2562" s="6">
        <v>0</v>
      </c>
      <c r="V2562" s="6">
        <v>0</v>
      </c>
      <c r="W2562" s="6">
        <v>0</v>
      </c>
      <c r="X2562" s="6" t="s">
        <v>169</v>
      </c>
      <c r="Z2562" s="6" t="s">
        <v>170</v>
      </c>
      <c r="AA2562" s="6" t="s">
        <v>171</v>
      </c>
      <c r="AB2562" s="6">
        <v>0</v>
      </c>
      <c r="AC2562" s="6" t="str">
        <f>""</f>
        <v/>
      </c>
      <c r="AS2562" s="6">
        <v>0</v>
      </c>
      <c r="AT2562" s="6">
        <v>0</v>
      </c>
    </row>
    <row r="2563" spans="2:46">
      <c r="B2563" s="6" t="s">
        <v>109</v>
      </c>
      <c r="D2563" s="6" t="s">
        <v>8189</v>
      </c>
      <c r="F2563" s="6" t="s">
        <v>10654</v>
      </c>
      <c r="G2563" s="6" t="str">
        <f>"3173332101275320"</f>
        <v>3173332101275320</v>
      </c>
      <c r="H2563" s="6">
        <v>3173332101275320</v>
      </c>
      <c r="I2563" s="6" t="s">
        <v>10655</v>
      </c>
      <c r="J2563" s="6" t="str">
        <f>"SHIRRING CHECK SKIRT BROWN"</f>
        <v>SHIRRING CHECK SKIRT BROWN</v>
      </c>
      <c r="K2563" s="6">
        <v>0</v>
      </c>
      <c r="L2563" s="6">
        <v>0</v>
      </c>
      <c r="M2563" s="6">
        <v>0</v>
      </c>
      <c r="N2563" s="6" t="str">
        <f>""</f>
        <v/>
      </c>
      <c r="O2563" s="6">
        <v>24450</v>
      </c>
      <c r="P2563" s="6" t="s">
        <v>10656</v>
      </c>
      <c r="R2563" s="6" t="s">
        <v>2119</v>
      </c>
      <c r="S2563" s="6" t="s">
        <v>10657</v>
      </c>
      <c r="T2563" s="6">
        <v>0</v>
      </c>
      <c r="U2563" s="6">
        <v>0</v>
      </c>
      <c r="V2563" s="6">
        <v>0</v>
      </c>
      <c r="W2563" s="6">
        <v>0</v>
      </c>
      <c r="X2563" s="6" t="s">
        <v>169</v>
      </c>
      <c r="Z2563" s="6" t="s">
        <v>170</v>
      </c>
      <c r="AA2563" s="6" t="s">
        <v>171</v>
      </c>
      <c r="AB2563" s="6">
        <v>0</v>
      </c>
      <c r="AC2563" s="6" t="str">
        <f>""</f>
        <v/>
      </c>
      <c r="AS2563" s="6">
        <v>0</v>
      </c>
      <c r="AT2563" s="6">
        <v>0</v>
      </c>
    </row>
    <row r="2564" spans="2:46">
      <c r="B2564" s="6" t="s">
        <v>109</v>
      </c>
      <c r="D2564" s="6" t="s">
        <v>8189</v>
      </c>
      <c r="F2564" s="6" t="s">
        <v>10658</v>
      </c>
      <c r="G2564" s="6" t="str">
        <f>"3172252108591208"</f>
        <v>3172252108591208</v>
      </c>
      <c r="I2564" s="6" t="s">
        <v>10659</v>
      </c>
      <c r="J2564" s="6" t="str">
        <f>"BASIC LINEN ONEPIECE WHITE"</f>
        <v>BASIC LINEN ONEPIECE WHITE</v>
      </c>
      <c r="K2564" s="6">
        <v>0</v>
      </c>
      <c r="L2564" s="6">
        <v>0</v>
      </c>
      <c r="M2564" s="6">
        <v>0</v>
      </c>
      <c r="N2564" s="6" t="str">
        <f>""</f>
        <v/>
      </c>
      <c r="O2564" s="6">
        <v>24448</v>
      </c>
      <c r="P2564" s="6" t="s">
        <v>10660</v>
      </c>
      <c r="R2564" s="6" t="s">
        <v>2167</v>
      </c>
      <c r="S2564" s="6" t="s">
        <v>10661</v>
      </c>
      <c r="T2564" s="6">
        <v>1</v>
      </c>
      <c r="U2564" s="6">
        <v>0</v>
      </c>
      <c r="V2564" s="6">
        <v>0</v>
      </c>
      <c r="W2564" s="6">
        <v>0</v>
      </c>
      <c r="X2564" s="6" t="s">
        <v>169</v>
      </c>
      <c r="Z2564" s="6" t="s">
        <v>170</v>
      </c>
      <c r="AA2564" s="6" t="s">
        <v>171</v>
      </c>
      <c r="AB2564" s="6">
        <v>0</v>
      </c>
      <c r="AC2564" s="6" t="str">
        <f>"KEY-019"</f>
        <v>KEY-019</v>
      </c>
      <c r="AQ2564" s="6" t="str">
        <f>""</f>
        <v/>
      </c>
      <c r="AR2564" s="6" t="s">
        <v>1567</v>
      </c>
      <c r="AS2564" s="6">
        <v>0</v>
      </c>
      <c r="AT2564" s="6">
        <v>1</v>
      </c>
    </row>
    <row r="2565" spans="2:46">
      <c r="B2565" s="6" t="s">
        <v>109</v>
      </c>
      <c r="D2565" s="6" t="s">
        <v>8189</v>
      </c>
      <c r="F2565" s="6" t="s">
        <v>10662</v>
      </c>
      <c r="G2565" s="6" t="str">
        <f>"3172252108565208"</f>
        <v>3172252108565208</v>
      </c>
      <c r="H2565" s="6">
        <v>3172252108565200</v>
      </c>
      <c r="I2565" s="6" t="s">
        <v>10663</v>
      </c>
      <c r="J2565" s="6" t="str">
        <f>"BASIC LINEN ONEPIECE YELLOW"</f>
        <v>BASIC LINEN ONEPIECE YELLOW</v>
      </c>
      <c r="K2565" s="6">
        <v>0</v>
      </c>
      <c r="L2565" s="6">
        <v>0</v>
      </c>
      <c r="M2565" s="6">
        <v>0</v>
      </c>
      <c r="N2565" s="6" t="str">
        <f>""</f>
        <v/>
      </c>
      <c r="O2565" s="6">
        <v>24446</v>
      </c>
      <c r="P2565" s="6" t="s">
        <v>10664</v>
      </c>
      <c r="R2565" s="6" t="s">
        <v>2570</v>
      </c>
      <c r="S2565" s="6" t="s">
        <v>10665</v>
      </c>
      <c r="T2565" s="6">
        <v>0</v>
      </c>
      <c r="U2565" s="6">
        <v>0</v>
      </c>
      <c r="V2565" s="6">
        <v>0</v>
      </c>
      <c r="W2565" s="6">
        <v>0</v>
      </c>
      <c r="X2565" s="6" t="s">
        <v>169</v>
      </c>
      <c r="Z2565" s="6" t="s">
        <v>170</v>
      </c>
      <c r="AA2565" s="6" t="s">
        <v>171</v>
      </c>
      <c r="AB2565" s="6">
        <v>0</v>
      </c>
      <c r="AC2565" s="6" t="str">
        <f>""</f>
        <v/>
      </c>
      <c r="AS2565" s="6">
        <v>0</v>
      </c>
      <c r="AT2565" s="6">
        <v>0</v>
      </c>
    </row>
    <row r="2566" spans="2:46">
      <c r="B2566" s="6" t="s">
        <v>109</v>
      </c>
      <c r="D2566" s="6" t="s">
        <v>8189</v>
      </c>
      <c r="F2566" s="6" t="s">
        <v>10666</v>
      </c>
      <c r="G2566" s="6" t="str">
        <f>"3172252106491208"</f>
        <v>3172252106491208</v>
      </c>
      <c r="H2566" s="6">
        <v>3172252106491200</v>
      </c>
      <c r="I2566" s="6" t="s">
        <v>10667</v>
      </c>
      <c r="J2566" s="6" t="str">
        <f>"CHIFFON SHIRRING ONEPIECE WHITE"</f>
        <v>CHIFFON SHIRRING ONEPIECE WHITE</v>
      </c>
      <c r="K2566" s="6">
        <v>0</v>
      </c>
      <c r="L2566" s="6">
        <v>0</v>
      </c>
      <c r="M2566" s="6">
        <v>0</v>
      </c>
      <c r="N2566" s="6" t="str">
        <f>""</f>
        <v/>
      </c>
      <c r="O2566" s="6">
        <v>24444</v>
      </c>
      <c r="P2566" s="6" t="s">
        <v>10668</v>
      </c>
      <c r="R2566" s="6" t="s">
        <v>2167</v>
      </c>
      <c r="S2566" s="6" t="s">
        <v>10669</v>
      </c>
      <c r="T2566" s="6">
        <v>0</v>
      </c>
      <c r="U2566" s="6">
        <v>0</v>
      </c>
      <c r="V2566" s="6">
        <v>0</v>
      </c>
      <c r="W2566" s="6">
        <v>0</v>
      </c>
      <c r="X2566" s="6" t="s">
        <v>169</v>
      </c>
      <c r="Z2566" s="6" t="s">
        <v>170</v>
      </c>
      <c r="AA2566" s="6" t="s">
        <v>171</v>
      </c>
      <c r="AB2566" s="6">
        <v>0</v>
      </c>
      <c r="AC2566" s="6" t="str">
        <f>""</f>
        <v/>
      </c>
      <c r="AS2566" s="6">
        <v>0</v>
      </c>
      <c r="AT2566" s="6">
        <v>0</v>
      </c>
    </row>
    <row r="2567" spans="2:46">
      <c r="B2567" s="6" t="s">
        <v>109</v>
      </c>
      <c r="D2567" s="6" t="s">
        <v>8189</v>
      </c>
      <c r="F2567" s="6" t="s">
        <v>10670</v>
      </c>
      <c r="G2567" s="6" t="str">
        <f>"3172252106330208"</f>
        <v>3172252106330208</v>
      </c>
      <c r="H2567" s="6">
        <v>3172252106330200</v>
      </c>
      <c r="I2567" s="6" t="s">
        <v>10671</v>
      </c>
      <c r="J2567" s="6" t="str">
        <f>"CHIFFON SHIRRING ONEPIECE NAVY"</f>
        <v>CHIFFON SHIRRING ONEPIECE NAVY</v>
      </c>
      <c r="K2567" s="6">
        <v>0</v>
      </c>
      <c r="L2567" s="6">
        <v>0</v>
      </c>
      <c r="M2567" s="6">
        <v>0</v>
      </c>
      <c r="N2567" s="6" t="str">
        <f>""</f>
        <v/>
      </c>
      <c r="O2567" s="6">
        <v>24442</v>
      </c>
      <c r="P2567" s="6" t="s">
        <v>10672</v>
      </c>
      <c r="R2567" s="6" t="s">
        <v>2111</v>
      </c>
      <c r="S2567" s="6" t="s">
        <v>10673</v>
      </c>
      <c r="T2567" s="6">
        <v>0</v>
      </c>
      <c r="U2567" s="6">
        <v>0</v>
      </c>
      <c r="V2567" s="6">
        <v>0</v>
      </c>
      <c r="W2567" s="6">
        <v>0</v>
      </c>
      <c r="X2567" s="6" t="s">
        <v>169</v>
      </c>
      <c r="Z2567" s="6" t="s">
        <v>170</v>
      </c>
      <c r="AA2567" s="6" t="s">
        <v>171</v>
      </c>
      <c r="AB2567" s="6">
        <v>0</v>
      </c>
      <c r="AC2567" s="6" t="str">
        <f>""</f>
        <v/>
      </c>
      <c r="AS2567" s="6">
        <v>0</v>
      </c>
      <c r="AT2567" s="6">
        <v>0</v>
      </c>
    </row>
    <row r="2568" spans="2:46">
      <c r="B2568" s="6" t="s">
        <v>109</v>
      </c>
      <c r="D2568" s="6" t="s">
        <v>8189</v>
      </c>
      <c r="F2568" s="6" t="s">
        <v>10674</v>
      </c>
      <c r="G2568" s="6" t="str">
        <f>"3171222107591208"</f>
        <v>3171222107591208</v>
      </c>
      <c r="H2568" s="6">
        <v>3171222107591200</v>
      </c>
      <c r="I2568" s="6" t="s">
        <v>10675</v>
      </c>
      <c r="J2568" s="6" t="str">
        <f>"OFF SHOULDER T BLACK"</f>
        <v>OFF SHOULDER T BLACK</v>
      </c>
      <c r="K2568" s="6">
        <v>0</v>
      </c>
      <c r="L2568" s="6">
        <v>0</v>
      </c>
      <c r="M2568" s="6">
        <v>0</v>
      </c>
      <c r="N2568" s="6" t="str">
        <f>""</f>
        <v/>
      </c>
      <c r="O2568" s="6">
        <v>24440</v>
      </c>
      <c r="P2568" s="6" t="s">
        <v>10676</v>
      </c>
      <c r="R2568" s="6" t="s">
        <v>2106</v>
      </c>
      <c r="S2568" s="6" t="s">
        <v>10677</v>
      </c>
      <c r="T2568" s="6">
        <v>0</v>
      </c>
      <c r="U2568" s="6">
        <v>0</v>
      </c>
      <c r="V2568" s="6">
        <v>0</v>
      </c>
      <c r="W2568" s="6">
        <v>0</v>
      </c>
      <c r="X2568" s="6" t="s">
        <v>169</v>
      </c>
      <c r="Z2568" s="6" t="s">
        <v>170</v>
      </c>
      <c r="AA2568" s="6" t="s">
        <v>171</v>
      </c>
      <c r="AB2568" s="6">
        <v>0</v>
      </c>
      <c r="AC2568" s="6" t="str">
        <f>""</f>
        <v/>
      </c>
      <c r="AS2568" s="6">
        <v>0</v>
      </c>
      <c r="AT2568" s="6">
        <v>0</v>
      </c>
    </row>
    <row r="2569" spans="2:46">
      <c r="B2569" s="6" t="s">
        <v>109</v>
      </c>
      <c r="D2569" s="6" t="s">
        <v>8189</v>
      </c>
      <c r="F2569" s="6" t="s">
        <v>10678</v>
      </c>
      <c r="G2569" s="6" t="str">
        <f>"3171222107565208"</f>
        <v>3171222107565208</v>
      </c>
      <c r="H2569" s="6">
        <v>3171222107565200</v>
      </c>
      <c r="I2569" s="6" t="s">
        <v>48</v>
      </c>
      <c r="J2569" s="6" t="str">
        <f>"OFF SHOULDER T YELLOW"</f>
        <v>OFF SHOULDER T YELLOW</v>
      </c>
      <c r="K2569" s="6">
        <v>0</v>
      </c>
      <c r="L2569" s="6">
        <v>0</v>
      </c>
      <c r="M2569" s="6">
        <v>0</v>
      </c>
      <c r="N2569" s="6" t="str">
        <f>""</f>
        <v/>
      </c>
      <c r="O2569" s="6">
        <v>24438</v>
      </c>
      <c r="P2569" s="6" t="s">
        <v>47</v>
      </c>
      <c r="R2569" s="6" t="s">
        <v>2570</v>
      </c>
      <c r="S2569" s="6" t="s">
        <v>10679</v>
      </c>
      <c r="T2569" s="6">
        <v>0</v>
      </c>
      <c r="U2569" s="6">
        <v>0</v>
      </c>
      <c r="V2569" s="6">
        <v>0</v>
      </c>
      <c r="W2569" s="6">
        <v>0</v>
      </c>
      <c r="X2569" s="6" t="s">
        <v>169</v>
      </c>
      <c r="Z2569" s="6" t="s">
        <v>170</v>
      </c>
      <c r="AA2569" s="6" t="s">
        <v>171</v>
      </c>
      <c r="AB2569" s="6">
        <v>0</v>
      </c>
      <c r="AC2569" s="6" t="str">
        <f>"KEY-018"</f>
        <v>KEY-018</v>
      </c>
      <c r="AS2569" s="6">
        <v>0</v>
      </c>
      <c r="AT2569" s="6">
        <v>0</v>
      </c>
    </row>
    <row r="2570" spans="2:46">
      <c r="B2570" s="6" t="s">
        <v>109</v>
      </c>
      <c r="D2570" s="6" t="s">
        <v>8189</v>
      </c>
      <c r="F2570" s="6" t="s">
        <v>10680</v>
      </c>
      <c r="G2570" s="6" t="str">
        <f>"3172222123699208"</f>
        <v>3172222123699208</v>
      </c>
      <c r="I2570" s="6" t="s">
        <v>10681</v>
      </c>
      <c r="J2570" s="6" t="str">
        <f>"TIGHT LOGO T BLACK"</f>
        <v>TIGHT LOGO T BLACK</v>
      </c>
      <c r="K2570" s="6">
        <v>0</v>
      </c>
      <c r="L2570" s="6">
        <v>0</v>
      </c>
      <c r="M2570" s="6">
        <v>0</v>
      </c>
      <c r="N2570" s="6" t="str">
        <f>""</f>
        <v/>
      </c>
      <c r="O2570" s="6">
        <v>24436</v>
      </c>
      <c r="P2570" s="6" t="s">
        <v>10682</v>
      </c>
      <c r="R2570" s="6" t="s">
        <v>2106</v>
      </c>
      <c r="S2570" s="6" t="s">
        <v>10683</v>
      </c>
      <c r="T2570" s="6">
        <v>1</v>
      </c>
      <c r="U2570" s="6">
        <v>0</v>
      </c>
      <c r="V2570" s="6">
        <v>0</v>
      </c>
      <c r="W2570" s="6">
        <v>0</v>
      </c>
      <c r="X2570" s="6" t="s">
        <v>169</v>
      </c>
      <c r="Z2570" s="6" t="s">
        <v>170</v>
      </c>
      <c r="AA2570" s="6" t="s">
        <v>171</v>
      </c>
      <c r="AB2570" s="6">
        <v>0</v>
      </c>
      <c r="AC2570" s="6" t="str">
        <f>"KEY-029"</f>
        <v>KEY-029</v>
      </c>
      <c r="AQ2570" s="6" t="str">
        <f>""</f>
        <v/>
      </c>
      <c r="AR2570" s="6" t="s">
        <v>1567</v>
      </c>
      <c r="AS2570" s="6">
        <v>0</v>
      </c>
      <c r="AT2570" s="6">
        <v>1</v>
      </c>
    </row>
    <row r="2571" spans="2:46">
      <c r="B2571" s="6" t="s">
        <v>109</v>
      </c>
      <c r="D2571" s="6" t="s">
        <v>8189</v>
      </c>
      <c r="F2571" s="6" t="s">
        <v>10684</v>
      </c>
      <c r="G2571" s="6" t="str">
        <f>"3172222123691208"</f>
        <v>3172222123691208</v>
      </c>
      <c r="H2571" s="6">
        <v>3172222123691200</v>
      </c>
      <c r="I2571" s="6" t="s">
        <v>10685</v>
      </c>
      <c r="J2571" s="6" t="str">
        <f>"TIGHT LOGO T WHITE"</f>
        <v>TIGHT LOGO T WHITE</v>
      </c>
      <c r="K2571" s="6">
        <v>0</v>
      </c>
      <c r="L2571" s="6">
        <v>0</v>
      </c>
      <c r="M2571" s="6">
        <v>0</v>
      </c>
      <c r="N2571" s="6" t="str">
        <f>""</f>
        <v/>
      </c>
      <c r="O2571" s="6">
        <v>24434</v>
      </c>
      <c r="P2571" s="6" t="s">
        <v>10686</v>
      </c>
      <c r="R2571" s="6" t="s">
        <v>2167</v>
      </c>
      <c r="S2571" s="6" t="s">
        <v>10687</v>
      </c>
      <c r="T2571" s="6">
        <v>0</v>
      </c>
      <c r="U2571" s="6">
        <v>0</v>
      </c>
      <c r="V2571" s="6">
        <v>0</v>
      </c>
      <c r="W2571" s="6">
        <v>0</v>
      </c>
      <c r="X2571" s="6" t="s">
        <v>169</v>
      </c>
      <c r="Z2571" s="6" t="s">
        <v>170</v>
      </c>
      <c r="AA2571" s="6" t="s">
        <v>171</v>
      </c>
      <c r="AB2571" s="6">
        <v>0</v>
      </c>
      <c r="AC2571" s="6" t="str">
        <f>""</f>
        <v/>
      </c>
      <c r="AS2571" s="6">
        <v>0</v>
      </c>
      <c r="AT2571" s="6">
        <v>0</v>
      </c>
    </row>
    <row r="2572" spans="2:46">
      <c r="B2572" s="6" t="s">
        <v>109</v>
      </c>
      <c r="D2572" s="6" t="s">
        <v>8189</v>
      </c>
      <c r="F2572" s="6" t="s">
        <v>10688</v>
      </c>
      <c r="G2572" s="6" t="str">
        <f>"3172212104365208"</f>
        <v>3172212104365208</v>
      </c>
      <c r="H2572" s="6">
        <v>3172212104365200</v>
      </c>
      <c r="I2572" s="6" t="s">
        <v>10689</v>
      </c>
      <c r="J2572" s="6" t="str">
        <f>"LINE OFF SHOULDER YELLOW"</f>
        <v>LINE OFF SHOULDER YELLOW</v>
      </c>
      <c r="K2572" s="6">
        <v>0</v>
      </c>
      <c r="L2572" s="6">
        <v>0</v>
      </c>
      <c r="M2572" s="6">
        <v>0</v>
      </c>
      <c r="N2572" s="6" t="str">
        <f>""</f>
        <v/>
      </c>
      <c r="O2572" s="6">
        <v>24432</v>
      </c>
      <c r="P2572" s="6" t="s">
        <v>10690</v>
      </c>
      <c r="R2572" s="6" t="s">
        <v>2570</v>
      </c>
      <c r="S2572" s="6" t="s">
        <v>10691</v>
      </c>
      <c r="T2572" s="6">
        <v>0</v>
      </c>
      <c r="U2572" s="6">
        <v>0</v>
      </c>
      <c r="V2572" s="6">
        <v>0</v>
      </c>
      <c r="W2572" s="6">
        <v>0</v>
      </c>
      <c r="X2572" s="6" t="s">
        <v>169</v>
      </c>
      <c r="Z2572" s="6" t="s">
        <v>170</v>
      </c>
      <c r="AA2572" s="6" t="s">
        <v>171</v>
      </c>
      <c r="AB2572" s="6">
        <v>0</v>
      </c>
      <c r="AC2572" s="6" t="str">
        <f>""</f>
        <v/>
      </c>
      <c r="AS2572" s="6">
        <v>0</v>
      </c>
      <c r="AT2572" s="6">
        <v>0</v>
      </c>
    </row>
    <row r="2573" spans="2:46">
      <c r="B2573" s="6" t="s">
        <v>109</v>
      </c>
      <c r="D2573" s="6" t="s">
        <v>8189</v>
      </c>
      <c r="F2573" s="6" t="s">
        <v>10692</v>
      </c>
      <c r="G2573" s="6" t="str">
        <f>"3172212104391208"</f>
        <v>3172212104391208</v>
      </c>
      <c r="H2573" s="6">
        <v>3172212104391200</v>
      </c>
      <c r="I2573" s="6" t="s">
        <v>10693</v>
      </c>
      <c r="J2573" s="6" t="str">
        <f>"LINE OFF SHOULDER WHITE"</f>
        <v>LINE OFF SHOULDER WHITE</v>
      </c>
      <c r="K2573" s="6">
        <v>0</v>
      </c>
      <c r="L2573" s="6">
        <v>0</v>
      </c>
      <c r="M2573" s="6">
        <v>0</v>
      </c>
      <c r="N2573" s="6" t="str">
        <f>""</f>
        <v/>
      </c>
      <c r="O2573" s="6">
        <v>24430</v>
      </c>
      <c r="P2573" s="6" t="s">
        <v>10694</v>
      </c>
      <c r="R2573" s="6" t="s">
        <v>2167</v>
      </c>
      <c r="S2573" s="6" t="s">
        <v>10695</v>
      </c>
      <c r="T2573" s="6">
        <v>0</v>
      </c>
      <c r="U2573" s="6">
        <v>0</v>
      </c>
      <c r="V2573" s="6">
        <v>0</v>
      </c>
      <c r="W2573" s="6">
        <v>0</v>
      </c>
      <c r="X2573" s="6" t="s">
        <v>169</v>
      </c>
      <c r="Z2573" s="6" t="s">
        <v>170</v>
      </c>
      <c r="AA2573" s="6" t="s">
        <v>171</v>
      </c>
      <c r="AB2573" s="6">
        <v>0</v>
      </c>
      <c r="AC2573" s="6" t="str">
        <f>""</f>
        <v/>
      </c>
      <c r="AS2573" s="6">
        <v>0</v>
      </c>
      <c r="AT2573" s="6">
        <v>0</v>
      </c>
    </row>
    <row r="2574" spans="2:46">
      <c r="B2574" s="6" t="s">
        <v>109</v>
      </c>
      <c r="D2574" s="6" t="s">
        <v>8189</v>
      </c>
      <c r="F2574" s="6" t="s">
        <v>10696</v>
      </c>
      <c r="G2574" s="6" t="str">
        <f>"3172212103699208"</f>
        <v>3172212103699208</v>
      </c>
      <c r="H2574" s="6">
        <v>3172212103699200</v>
      </c>
      <c r="I2574" s="6" t="s">
        <v>10697</v>
      </c>
      <c r="J2574" s="6" t="str">
        <f>"BACK SLIT CROP SHIRT BLACK"</f>
        <v>BACK SLIT CROP SHIRT BLACK</v>
      </c>
      <c r="K2574" s="6">
        <v>0</v>
      </c>
      <c r="L2574" s="6">
        <v>0</v>
      </c>
      <c r="M2574" s="6">
        <v>0</v>
      </c>
      <c r="N2574" s="6" t="str">
        <f>""</f>
        <v/>
      </c>
      <c r="O2574" s="6">
        <v>24428</v>
      </c>
      <c r="P2574" s="6" t="s">
        <v>10698</v>
      </c>
      <c r="R2574" s="6" t="s">
        <v>2106</v>
      </c>
      <c r="S2574" s="6" t="s">
        <v>10699</v>
      </c>
      <c r="T2574" s="6">
        <v>0</v>
      </c>
      <c r="U2574" s="6">
        <v>0</v>
      </c>
      <c r="V2574" s="6">
        <v>0</v>
      </c>
      <c r="W2574" s="6">
        <v>0</v>
      </c>
      <c r="X2574" s="6" t="s">
        <v>169</v>
      </c>
      <c r="Z2574" s="6" t="s">
        <v>170</v>
      </c>
      <c r="AA2574" s="6" t="s">
        <v>171</v>
      </c>
      <c r="AB2574" s="6">
        <v>0</v>
      </c>
      <c r="AC2574" s="6" t="str">
        <f>""</f>
        <v/>
      </c>
      <c r="AS2574" s="6">
        <v>0</v>
      </c>
      <c r="AT2574" s="6">
        <v>0</v>
      </c>
    </row>
    <row r="2575" spans="2:46">
      <c r="B2575" s="6" t="s">
        <v>109</v>
      </c>
      <c r="D2575" s="6" t="s">
        <v>8189</v>
      </c>
      <c r="F2575" s="6" t="s">
        <v>10700</v>
      </c>
      <c r="G2575" s="6" t="str">
        <f>"3172212103691208"</f>
        <v>3172212103691208</v>
      </c>
      <c r="H2575" s="6">
        <v>3172212103691200</v>
      </c>
      <c r="I2575" s="6" t="s">
        <v>10701</v>
      </c>
      <c r="J2575" s="6" t="str">
        <f>"BACK SLIT CROP SHIRT WHITE"</f>
        <v>BACK SLIT CROP SHIRT WHITE</v>
      </c>
      <c r="K2575" s="6">
        <v>0</v>
      </c>
      <c r="L2575" s="6">
        <v>0</v>
      </c>
      <c r="M2575" s="6">
        <v>0</v>
      </c>
      <c r="N2575" s="6" t="str">
        <f>""</f>
        <v/>
      </c>
      <c r="O2575" s="6">
        <v>24426</v>
      </c>
      <c r="P2575" s="6" t="s">
        <v>10702</v>
      </c>
      <c r="R2575" s="6" t="s">
        <v>2167</v>
      </c>
      <c r="S2575" s="6" t="s">
        <v>10703</v>
      </c>
      <c r="T2575" s="6">
        <v>0</v>
      </c>
      <c r="U2575" s="6">
        <v>0</v>
      </c>
      <c r="V2575" s="6">
        <v>0</v>
      </c>
      <c r="W2575" s="6">
        <v>0</v>
      </c>
      <c r="X2575" s="6" t="s">
        <v>169</v>
      </c>
      <c r="Z2575" s="6" t="s">
        <v>170</v>
      </c>
      <c r="AA2575" s="6" t="s">
        <v>171</v>
      </c>
      <c r="AB2575" s="6">
        <v>0</v>
      </c>
      <c r="AC2575" s="6" t="str">
        <f>""</f>
        <v/>
      </c>
      <c r="AS2575" s="6">
        <v>0</v>
      </c>
      <c r="AT2575" s="6">
        <v>0</v>
      </c>
    </row>
    <row r="2576" spans="2:46">
      <c r="B2576" s="6" t="s">
        <v>109</v>
      </c>
      <c r="D2576" s="6" t="s">
        <v>8189</v>
      </c>
      <c r="F2576" s="6" t="s">
        <v>10704</v>
      </c>
      <c r="G2576" s="6" t="str">
        <f>"3172212103523208"</f>
        <v>3172212103523208</v>
      </c>
      <c r="H2576" s="6">
        <v>3172212103523200</v>
      </c>
      <c r="I2576" s="6" t="s">
        <v>10705</v>
      </c>
      <c r="J2576" s="6" t="str">
        <f>"SIGNATURE SHIRT SKYBLUE"</f>
        <v>SIGNATURE SHIRT SKYBLUE</v>
      </c>
      <c r="K2576" s="6">
        <v>0</v>
      </c>
      <c r="L2576" s="6">
        <v>0</v>
      </c>
      <c r="M2576" s="6">
        <v>0</v>
      </c>
      <c r="N2576" s="6" t="str">
        <f>""</f>
        <v/>
      </c>
      <c r="O2576" s="6">
        <v>24424</v>
      </c>
      <c r="P2576" s="6" t="s">
        <v>10706</v>
      </c>
      <c r="R2576" s="6" t="s">
        <v>2335</v>
      </c>
      <c r="S2576" s="6" t="s">
        <v>10707</v>
      </c>
      <c r="T2576" s="6">
        <v>0</v>
      </c>
      <c r="U2576" s="6">
        <v>0</v>
      </c>
      <c r="V2576" s="6">
        <v>0</v>
      </c>
      <c r="W2576" s="6">
        <v>0</v>
      </c>
      <c r="X2576" s="6" t="s">
        <v>169</v>
      </c>
      <c r="Z2576" s="6" t="s">
        <v>170</v>
      </c>
      <c r="AA2576" s="6" t="s">
        <v>171</v>
      </c>
      <c r="AB2576" s="6">
        <v>0</v>
      </c>
      <c r="AC2576" s="6" t="str">
        <f>""</f>
        <v/>
      </c>
      <c r="AS2576" s="6">
        <v>0</v>
      </c>
      <c r="AT2576" s="6">
        <v>0</v>
      </c>
    </row>
    <row r="2577" spans="2:46">
      <c r="B2577" s="6" t="s">
        <v>109</v>
      </c>
      <c r="D2577" s="6" t="s">
        <v>8189</v>
      </c>
      <c r="F2577" s="6" t="s">
        <v>10708</v>
      </c>
      <c r="G2577" s="6" t="str">
        <f>"3172212103591208"</f>
        <v>3172212103591208</v>
      </c>
      <c r="H2577" s="6">
        <v>3172212103591200</v>
      </c>
      <c r="I2577" s="6" t="s">
        <v>10709</v>
      </c>
      <c r="J2577" s="6" t="str">
        <f>"SIGNATURE SHIRT WHITE"</f>
        <v>SIGNATURE SHIRT WHITE</v>
      </c>
      <c r="K2577" s="6">
        <v>0</v>
      </c>
      <c r="L2577" s="6">
        <v>0</v>
      </c>
      <c r="M2577" s="6">
        <v>0</v>
      </c>
      <c r="N2577" s="6" t="str">
        <f>""</f>
        <v/>
      </c>
      <c r="O2577" s="6">
        <v>24422</v>
      </c>
      <c r="P2577" s="6" t="s">
        <v>10710</v>
      </c>
      <c r="R2577" s="6" t="s">
        <v>2167</v>
      </c>
      <c r="S2577" s="6" t="s">
        <v>10711</v>
      </c>
      <c r="T2577" s="6">
        <v>0</v>
      </c>
      <c r="U2577" s="6">
        <v>0</v>
      </c>
      <c r="V2577" s="6">
        <v>0</v>
      </c>
      <c r="W2577" s="6">
        <v>0</v>
      </c>
      <c r="X2577" s="6" t="s">
        <v>169</v>
      </c>
      <c r="Z2577" s="6" t="s">
        <v>170</v>
      </c>
      <c r="AA2577" s="6" t="s">
        <v>171</v>
      </c>
      <c r="AB2577" s="6">
        <v>0</v>
      </c>
      <c r="AC2577" s="6" t="str">
        <f>""</f>
        <v/>
      </c>
      <c r="AS2577" s="6">
        <v>0</v>
      </c>
      <c r="AT2577" s="6">
        <v>0</v>
      </c>
    </row>
    <row r="2578" spans="2:46">
      <c r="B2578" s="6" t="s">
        <v>109</v>
      </c>
      <c r="D2578" s="6" t="s">
        <v>8189</v>
      </c>
      <c r="F2578" s="6" t="s">
        <v>10712</v>
      </c>
      <c r="G2578" s="6" t="str">
        <f>"3172212102491208"</f>
        <v>3172212102491208</v>
      </c>
      <c r="H2578" s="6">
        <v>3172212102491200</v>
      </c>
      <c r="I2578" s="6" t="s">
        <v>10713</v>
      </c>
      <c r="J2578" s="6" t="str">
        <f>"FRILL SAILOR SHIRT WHITE"</f>
        <v>FRILL SAILOR SHIRT WHITE</v>
      </c>
      <c r="K2578" s="6">
        <v>0</v>
      </c>
      <c r="L2578" s="6">
        <v>0</v>
      </c>
      <c r="M2578" s="6">
        <v>0</v>
      </c>
      <c r="N2578" s="6" t="str">
        <f>""</f>
        <v/>
      </c>
      <c r="O2578" s="6">
        <v>24420</v>
      </c>
      <c r="P2578" s="6" t="s">
        <v>10714</v>
      </c>
      <c r="R2578" s="6" t="s">
        <v>2167</v>
      </c>
      <c r="S2578" s="6" t="s">
        <v>10715</v>
      </c>
      <c r="T2578" s="6">
        <v>0</v>
      </c>
      <c r="U2578" s="6">
        <v>0</v>
      </c>
      <c r="V2578" s="6">
        <v>0</v>
      </c>
      <c r="W2578" s="6">
        <v>0</v>
      </c>
      <c r="X2578" s="6" t="s">
        <v>169</v>
      </c>
      <c r="Z2578" s="6" t="s">
        <v>170</v>
      </c>
      <c r="AA2578" s="6" t="s">
        <v>171</v>
      </c>
      <c r="AB2578" s="6">
        <v>0</v>
      </c>
      <c r="AC2578" s="6" t="str">
        <f>""</f>
        <v/>
      </c>
      <c r="AS2578" s="6">
        <v>0</v>
      </c>
      <c r="AT2578" s="6">
        <v>0</v>
      </c>
    </row>
    <row r="2579" spans="2:46">
      <c r="B2579" s="6" t="s">
        <v>109</v>
      </c>
      <c r="D2579" s="6" t="s">
        <v>8189</v>
      </c>
      <c r="F2579" s="6" t="s">
        <v>10716</v>
      </c>
      <c r="G2579" s="6" t="str">
        <f>"3172212102399208"</f>
        <v>3172212102399208</v>
      </c>
      <c r="H2579" s="6">
        <v>3172212102399200</v>
      </c>
      <c r="I2579" s="6" t="s">
        <v>10717</v>
      </c>
      <c r="J2579" s="6" t="str">
        <f>"FRILL SAILOR SHIRT BLACK"</f>
        <v>FRILL SAILOR SHIRT BLACK</v>
      </c>
      <c r="K2579" s="6">
        <v>0</v>
      </c>
      <c r="L2579" s="6">
        <v>0</v>
      </c>
      <c r="M2579" s="6">
        <v>0</v>
      </c>
      <c r="N2579" s="6" t="str">
        <f>""</f>
        <v/>
      </c>
      <c r="O2579" s="6">
        <v>24418</v>
      </c>
      <c r="P2579" s="6" t="s">
        <v>10718</v>
      </c>
      <c r="R2579" s="6" t="s">
        <v>2106</v>
      </c>
      <c r="S2579" s="6" t="s">
        <v>10719</v>
      </c>
      <c r="T2579" s="6">
        <v>0</v>
      </c>
      <c r="U2579" s="6">
        <v>0</v>
      </c>
      <c r="V2579" s="6">
        <v>0</v>
      </c>
      <c r="W2579" s="6">
        <v>0</v>
      </c>
      <c r="X2579" s="6" t="s">
        <v>169</v>
      </c>
      <c r="Z2579" s="6" t="s">
        <v>170</v>
      </c>
      <c r="AA2579" s="6" t="s">
        <v>171</v>
      </c>
      <c r="AB2579" s="6">
        <v>0</v>
      </c>
      <c r="AC2579" s="6" t="str">
        <f>""</f>
        <v/>
      </c>
      <c r="AS2579" s="6">
        <v>0</v>
      </c>
      <c r="AT2579" s="6">
        <v>0</v>
      </c>
    </row>
    <row r="2580" spans="2:46">
      <c r="B2580" s="6" t="s">
        <v>109</v>
      </c>
      <c r="D2580" s="6" t="s">
        <v>8189</v>
      </c>
      <c r="F2580" s="6" t="s">
        <v>10720</v>
      </c>
      <c r="G2580" s="6" t="str">
        <f>"3172212102231208"</f>
        <v>3172212102231208</v>
      </c>
      <c r="H2580" s="6">
        <v>3172212102231200</v>
      </c>
      <c r="I2580" s="6" t="s">
        <v>10721</v>
      </c>
      <c r="J2580" s="6" t="str">
        <f>"FRILL PAJAMA SHIRT SKYBLUE"</f>
        <v>FRILL PAJAMA SHIRT SKYBLUE</v>
      </c>
      <c r="K2580" s="6">
        <v>0</v>
      </c>
      <c r="L2580" s="6">
        <v>0</v>
      </c>
      <c r="M2580" s="6">
        <v>0</v>
      </c>
      <c r="N2580" s="6" t="str">
        <f>""</f>
        <v/>
      </c>
      <c r="O2580" s="6">
        <v>24416</v>
      </c>
      <c r="P2580" s="6" t="s">
        <v>10722</v>
      </c>
      <c r="R2580" s="6" t="s">
        <v>2335</v>
      </c>
      <c r="S2580" s="6" t="s">
        <v>10723</v>
      </c>
      <c r="T2580" s="6">
        <v>0</v>
      </c>
      <c r="U2580" s="6">
        <v>0</v>
      </c>
      <c r="V2580" s="6">
        <v>0</v>
      </c>
      <c r="W2580" s="6">
        <v>0</v>
      </c>
      <c r="X2580" s="6" t="s">
        <v>169</v>
      </c>
      <c r="Z2580" s="6" t="s">
        <v>170</v>
      </c>
      <c r="AA2580" s="6" t="s">
        <v>171</v>
      </c>
      <c r="AB2580" s="6">
        <v>0</v>
      </c>
      <c r="AC2580" s="6" t="str">
        <f>""</f>
        <v/>
      </c>
      <c r="AS2580" s="6">
        <v>0</v>
      </c>
      <c r="AT2580" s="6">
        <v>0</v>
      </c>
    </row>
    <row r="2581" spans="2:46">
      <c r="B2581" s="6" t="s">
        <v>109</v>
      </c>
      <c r="D2581" s="6" t="s">
        <v>8189</v>
      </c>
      <c r="F2581" s="6" t="s">
        <v>10724</v>
      </c>
      <c r="G2581" s="6" t="str">
        <f>"3172212102191208"</f>
        <v>3172212102191208</v>
      </c>
      <c r="H2581" s="6">
        <v>3172212102191200</v>
      </c>
      <c r="I2581" s="6" t="s">
        <v>10725</v>
      </c>
      <c r="J2581" s="6" t="str">
        <f>"FRILL PAJAMA SHIRT WHITE"</f>
        <v>FRILL PAJAMA SHIRT WHITE</v>
      </c>
      <c r="K2581" s="6">
        <v>0</v>
      </c>
      <c r="L2581" s="6">
        <v>0</v>
      </c>
      <c r="M2581" s="6">
        <v>0</v>
      </c>
      <c r="N2581" s="6" t="str">
        <f>""</f>
        <v/>
      </c>
      <c r="O2581" s="6">
        <v>24414</v>
      </c>
      <c r="P2581" s="6" t="s">
        <v>10726</v>
      </c>
      <c r="R2581" s="6" t="s">
        <v>2167</v>
      </c>
      <c r="S2581" s="6" t="s">
        <v>10727</v>
      </c>
      <c r="T2581" s="6">
        <v>0</v>
      </c>
      <c r="U2581" s="6">
        <v>0</v>
      </c>
      <c r="V2581" s="6">
        <v>0</v>
      </c>
      <c r="W2581" s="6">
        <v>0</v>
      </c>
      <c r="X2581" s="6" t="s">
        <v>169</v>
      </c>
      <c r="Z2581" s="6" t="s">
        <v>170</v>
      </c>
      <c r="AA2581" s="6" t="s">
        <v>171</v>
      </c>
      <c r="AB2581" s="6">
        <v>0</v>
      </c>
      <c r="AC2581" s="6" t="str">
        <f>""</f>
        <v/>
      </c>
      <c r="AS2581" s="6">
        <v>0</v>
      </c>
      <c r="AT2581" s="6">
        <v>0</v>
      </c>
    </row>
    <row r="2582" spans="2:46">
      <c r="B2582" s="6" t="s">
        <v>109</v>
      </c>
      <c r="D2582" s="6" t="s">
        <v>8189</v>
      </c>
      <c r="F2582" s="6" t="s">
        <v>10728</v>
      </c>
      <c r="G2582" s="6" t="str">
        <f>"3172212102099208"</f>
        <v>3172212102099208</v>
      </c>
      <c r="H2582" s="6">
        <v>3172212102099200</v>
      </c>
      <c r="I2582" s="6" t="s">
        <v>10729</v>
      </c>
      <c r="J2582" s="6" t="str">
        <f>"FRILL PAJAMA SHIRT BLACK"</f>
        <v>FRILL PAJAMA SHIRT BLACK</v>
      </c>
      <c r="K2582" s="6">
        <v>0</v>
      </c>
      <c r="L2582" s="6">
        <v>0</v>
      </c>
      <c r="M2582" s="6">
        <v>0</v>
      </c>
      <c r="N2582" s="6" t="str">
        <f>""</f>
        <v/>
      </c>
      <c r="O2582" s="6">
        <v>24412</v>
      </c>
      <c r="P2582" s="6" t="s">
        <v>10730</v>
      </c>
      <c r="R2582" s="6" t="s">
        <v>2106</v>
      </c>
      <c r="S2582" s="6" t="s">
        <v>10731</v>
      </c>
      <c r="T2582" s="6">
        <v>0</v>
      </c>
      <c r="U2582" s="6">
        <v>0</v>
      </c>
      <c r="V2582" s="6">
        <v>0</v>
      </c>
      <c r="W2582" s="6">
        <v>0</v>
      </c>
      <c r="X2582" s="6" t="s">
        <v>169</v>
      </c>
      <c r="Z2582" s="6" t="s">
        <v>170</v>
      </c>
      <c r="AA2582" s="6" t="s">
        <v>171</v>
      </c>
      <c r="AB2582" s="6">
        <v>0</v>
      </c>
      <c r="AC2582" s="6" t="str">
        <f>""</f>
        <v/>
      </c>
      <c r="AS2582" s="6">
        <v>0</v>
      </c>
      <c r="AT2582" s="6">
        <v>0</v>
      </c>
    </row>
    <row r="2583" spans="2:46">
      <c r="B2583" s="6" t="s">
        <v>109</v>
      </c>
      <c r="D2583" s="6" t="s">
        <v>8189</v>
      </c>
      <c r="F2583" s="6" t="s">
        <v>10732</v>
      </c>
      <c r="G2583" s="6" t="str">
        <f>"3172332104799320"</f>
        <v>3172332104799320</v>
      </c>
      <c r="H2583" s="6">
        <v>3172332104799320</v>
      </c>
      <c r="I2583" s="6" t="s">
        <v>10733</v>
      </c>
      <c r="J2583" s="6" t="str">
        <f>"CHIFFON SHIRRING SKIRT BLACK"</f>
        <v>CHIFFON SHIRRING SKIRT BLACK</v>
      </c>
      <c r="K2583" s="6">
        <v>0</v>
      </c>
      <c r="L2583" s="6">
        <v>0</v>
      </c>
      <c r="M2583" s="6">
        <v>0</v>
      </c>
      <c r="N2583" s="6" t="str">
        <f>""</f>
        <v/>
      </c>
      <c r="O2583" s="6">
        <v>24410</v>
      </c>
      <c r="P2583" s="6" t="s">
        <v>10734</v>
      </c>
      <c r="R2583" s="6" t="s">
        <v>2106</v>
      </c>
      <c r="S2583" s="6" t="s">
        <v>10735</v>
      </c>
      <c r="T2583" s="6">
        <v>0</v>
      </c>
      <c r="U2583" s="6">
        <v>0</v>
      </c>
      <c r="V2583" s="6">
        <v>0</v>
      </c>
      <c r="W2583" s="6">
        <v>0</v>
      </c>
      <c r="X2583" s="6" t="s">
        <v>169</v>
      </c>
      <c r="Z2583" s="6" t="s">
        <v>170</v>
      </c>
      <c r="AA2583" s="6" t="s">
        <v>171</v>
      </c>
      <c r="AB2583" s="6">
        <v>0</v>
      </c>
      <c r="AC2583" s="6" t="str">
        <f>""</f>
        <v/>
      </c>
      <c r="AS2583" s="6">
        <v>0</v>
      </c>
      <c r="AT2583" s="6">
        <v>0</v>
      </c>
    </row>
    <row r="2584" spans="2:46">
      <c r="B2584" s="6" t="s">
        <v>109</v>
      </c>
      <c r="D2584" s="6" t="s">
        <v>8189</v>
      </c>
      <c r="F2584" s="6" t="s">
        <v>10736</v>
      </c>
      <c r="G2584" s="6" t="str">
        <f>"3172332104791320"</f>
        <v>3172332104791320</v>
      </c>
      <c r="H2584" s="6">
        <v>3172332104791320</v>
      </c>
      <c r="I2584" s="6" t="s">
        <v>10737</v>
      </c>
      <c r="J2584" s="6" t="str">
        <f>"CHIFFON SHIRRING SKIRT WHITE"</f>
        <v>CHIFFON SHIRRING SKIRT WHITE</v>
      </c>
      <c r="K2584" s="6">
        <v>0</v>
      </c>
      <c r="L2584" s="6">
        <v>0</v>
      </c>
      <c r="M2584" s="6">
        <v>0</v>
      </c>
      <c r="N2584" s="6" t="str">
        <f>""</f>
        <v/>
      </c>
      <c r="O2584" s="6">
        <v>24408</v>
      </c>
      <c r="P2584" s="6" t="s">
        <v>10738</v>
      </c>
      <c r="R2584" s="6" t="s">
        <v>2167</v>
      </c>
      <c r="S2584" s="6" t="s">
        <v>10739</v>
      </c>
      <c r="T2584" s="6">
        <v>0</v>
      </c>
      <c r="U2584" s="6">
        <v>0</v>
      </c>
      <c r="V2584" s="6">
        <v>0</v>
      </c>
      <c r="W2584" s="6">
        <v>0</v>
      </c>
      <c r="X2584" s="6" t="s">
        <v>169</v>
      </c>
      <c r="Z2584" s="6" t="s">
        <v>170</v>
      </c>
      <c r="AA2584" s="6" t="s">
        <v>171</v>
      </c>
      <c r="AB2584" s="6">
        <v>0</v>
      </c>
      <c r="AC2584" s="6" t="str">
        <f>""</f>
        <v/>
      </c>
      <c r="AS2584" s="6">
        <v>0</v>
      </c>
      <c r="AT2584" s="6">
        <v>0</v>
      </c>
    </row>
    <row r="2585" spans="2:46">
      <c r="B2585" s="6" t="s">
        <v>109</v>
      </c>
      <c r="D2585" s="6" t="s">
        <v>8189</v>
      </c>
      <c r="F2585" s="6" t="s">
        <v>10740</v>
      </c>
      <c r="G2585" s="6" t="str">
        <f>"3172352100699320"</f>
        <v>3172352100699320</v>
      </c>
      <c r="H2585" s="6">
        <v>3172352100699320</v>
      </c>
      <c r="I2585" s="6" t="s">
        <v>10741</v>
      </c>
      <c r="J2585" s="6" t="str">
        <f>"SLIT MINI SKIRT BLACK"</f>
        <v>SLIT MINI SKIRT BLACK</v>
      </c>
      <c r="K2585" s="6">
        <v>0</v>
      </c>
      <c r="L2585" s="6">
        <v>0</v>
      </c>
      <c r="M2585" s="6">
        <v>0</v>
      </c>
      <c r="N2585" s="6" t="str">
        <f>""</f>
        <v/>
      </c>
      <c r="O2585" s="6">
        <v>24406</v>
      </c>
      <c r="P2585" s="6" t="s">
        <v>10742</v>
      </c>
      <c r="R2585" s="6" t="s">
        <v>2106</v>
      </c>
      <c r="S2585" s="6" t="s">
        <v>10743</v>
      </c>
      <c r="T2585" s="6">
        <v>0</v>
      </c>
      <c r="U2585" s="6">
        <v>0</v>
      </c>
      <c r="V2585" s="6">
        <v>0</v>
      </c>
      <c r="W2585" s="6">
        <v>0</v>
      </c>
      <c r="X2585" s="6" t="s">
        <v>169</v>
      </c>
      <c r="Z2585" s="6" t="s">
        <v>170</v>
      </c>
      <c r="AA2585" s="6" t="s">
        <v>171</v>
      </c>
      <c r="AB2585" s="6">
        <v>0</v>
      </c>
      <c r="AC2585" s="6" t="str">
        <f>""</f>
        <v/>
      </c>
      <c r="AS2585" s="6">
        <v>0</v>
      </c>
      <c r="AT2585" s="6">
        <v>0</v>
      </c>
    </row>
    <row r="2586" spans="2:46">
      <c r="B2586" s="6" t="s">
        <v>109</v>
      </c>
      <c r="D2586" s="6" t="s">
        <v>8189</v>
      </c>
      <c r="F2586" s="6" t="s">
        <v>10744</v>
      </c>
      <c r="G2586" s="6" t="str">
        <f>"3172352100691320"</f>
        <v>3172352100691320</v>
      </c>
      <c r="H2586" s="6">
        <v>3172352100691320</v>
      </c>
      <c r="I2586" s="6" t="s">
        <v>10745</v>
      </c>
      <c r="J2586" s="6" t="str">
        <f>"SLIT MINI SKIRT WHITE"</f>
        <v>SLIT MINI SKIRT WHITE</v>
      </c>
      <c r="K2586" s="6">
        <v>0</v>
      </c>
      <c r="L2586" s="6">
        <v>0</v>
      </c>
      <c r="M2586" s="6">
        <v>0</v>
      </c>
      <c r="N2586" s="6" t="str">
        <f>""</f>
        <v/>
      </c>
      <c r="O2586" s="6">
        <v>24404</v>
      </c>
      <c r="P2586" s="6" t="s">
        <v>10746</v>
      </c>
      <c r="R2586" s="6" t="s">
        <v>2167</v>
      </c>
      <c r="S2586" s="6" t="s">
        <v>10747</v>
      </c>
      <c r="T2586" s="6">
        <v>0</v>
      </c>
      <c r="U2586" s="6">
        <v>0</v>
      </c>
      <c r="V2586" s="6">
        <v>0</v>
      </c>
      <c r="W2586" s="6">
        <v>0</v>
      </c>
      <c r="X2586" s="6" t="s">
        <v>169</v>
      </c>
      <c r="Z2586" s="6" t="s">
        <v>170</v>
      </c>
      <c r="AA2586" s="6" t="s">
        <v>171</v>
      </c>
      <c r="AB2586" s="6">
        <v>0</v>
      </c>
      <c r="AC2586" s="6" t="str">
        <f>""</f>
        <v/>
      </c>
      <c r="AS2586" s="6">
        <v>0</v>
      </c>
      <c r="AT2586" s="6">
        <v>0</v>
      </c>
    </row>
    <row r="2587" spans="2:46">
      <c r="B2587" s="6" t="s">
        <v>109</v>
      </c>
      <c r="D2587" s="6" t="s">
        <v>8189</v>
      </c>
      <c r="F2587" s="6" t="s">
        <v>10748</v>
      </c>
      <c r="G2587" s="6" t="str">
        <f>"3172332102899320"</f>
        <v>3172332102899320</v>
      </c>
      <c r="H2587" s="6">
        <v>3172332102899320</v>
      </c>
      <c r="I2587" s="6" t="s">
        <v>10749</v>
      </c>
      <c r="J2587" s="6" t="str">
        <f>"FRILL SHIRT SKIRT BLACK"</f>
        <v>FRILL SHIRT SKIRT BLACK</v>
      </c>
      <c r="K2587" s="6">
        <v>0</v>
      </c>
      <c r="L2587" s="6">
        <v>0</v>
      </c>
      <c r="M2587" s="6">
        <v>0</v>
      </c>
      <c r="N2587" s="6" t="str">
        <f>""</f>
        <v/>
      </c>
      <c r="O2587" s="6">
        <v>24402</v>
      </c>
      <c r="P2587" s="6" t="s">
        <v>10750</v>
      </c>
      <c r="R2587" s="6" t="s">
        <v>2106</v>
      </c>
      <c r="S2587" s="6" t="s">
        <v>10751</v>
      </c>
      <c r="T2587" s="6">
        <v>0</v>
      </c>
      <c r="U2587" s="6">
        <v>0</v>
      </c>
      <c r="V2587" s="6">
        <v>0</v>
      </c>
      <c r="W2587" s="6">
        <v>0</v>
      </c>
      <c r="X2587" s="6" t="s">
        <v>169</v>
      </c>
      <c r="Z2587" s="6" t="s">
        <v>170</v>
      </c>
      <c r="AA2587" s="6" t="s">
        <v>171</v>
      </c>
      <c r="AB2587" s="6">
        <v>0</v>
      </c>
      <c r="AC2587" s="6" t="str">
        <f>""</f>
        <v/>
      </c>
      <c r="AS2587" s="6">
        <v>0</v>
      </c>
      <c r="AT2587" s="6">
        <v>0</v>
      </c>
    </row>
    <row r="2588" spans="2:46">
      <c r="B2588" s="6" t="s">
        <v>109</v>
      </c>
      <c r="D2588" s="6" t="s">
        <v>8189</v>
      </c>
      <c r="F2588" s="6" t="s">
        <v>10752</v>
      </c>
      <c r="G2588" s="6" t="str">
        <f>"3172332102923320"</f>
        <v>3172332102923320</v>
      </c>
      <c r="H2588" s="6">
        <v>3172332102923320</v>
      </c>
      <c r="I2588" s="6" t="s">
        <v>10753</v>
      </c>
      <c r="J2588" s="6" t="str">
        <f>"FRILL SHIRT SKIRT SKYBLUE"</f>
        <v>FRILL SHIRT SKIRT SKYBLUE</v>
      </c>
      <c r="K2588" s="6">
        <v>0</v>
      </c>
      <c r="L2588" s="6">
        <v>0</v>
      </c>
      <c r="M2588" s="6">
        <v>0</v>
      </c>
      <c r="N2588" s="6" t="str">
        <f>""</f>
        <v/>
      </c>
      <c r="O2588" s="6">
        <v>24400</v>
      </c>
      <c r="P2588" s="6" t="s">
        <v>10754</v>
      </c>
      <c r="R2588" s="6" t="s">
        <v>2335</v>
      </c>
      <c r="S2588" s="6" t="s">
        <v>10755</v>
      </c>
      <c r="T2588" s="6">
        <v>0</v>
      </c>
      <c r="U2588" s="6">
        <v>0</v>
      </c>
      <c r="V2588" s="6">
        <v>0</v>
      </c>
      <c r="W2588" s="6">
        <v>0</v>
      </c>
      <c r="X2588" s="6" t="s">
        <v>169</v>
      </c>
      <c r="Z2588" s="6" t="s">
        <v>170</v>
      </c>
      <c r="AA2588" s="6" t="s">
        <v>171</v>
      </c>
      <c r="AB2588" s="6">
        <v>0</v>
      </c>
      <c r="AC2588" s="6" t="str">
        <f>""</f>
        <v/>
      </c>
      <c r="AS2588" s="6">
        <v>0</v>
      </c>
      <c r="AT2588" s="6">
        <v>0</v>
      </c>
    </row>
    <row r="2589" spans="2:46">
      <c r="B2589" s="6" t="s">
        <v>109</v>
      </c>
      <c r="D2589" s="6" t="s">
        <v>8189</v>
      </c>
      <c r="F2589" s="6" t="s">
        <v>10756</v>
      </c>
      <c r="G2589" s="6" t="str">
        <f>"3172342101899320"</f>
        <v>3172342101899320</v>
      </c>
      <c r="H2589" s="6">
        <v>3172342101899320</v>
      </c>
      <c r="I2589" s="6" t="s">
        <v>10757</v>
      </c>
      <c r="J2589" s="6" t="str">
        <f>"FRILL SHORTS"</f>
        <v>FRILL SHORTS</v>
      </c>
      <c r="K2589" s="6">
        <v>0</v>
      </c>
      <c r="L2589" s="6">
        <v>0</v>
      </c>
      <c r="M2589" s="6">
        <v>0</v>
      </c>
      <c r="N2589" s="6" t="str">
        <f>""</f>
        <v/>
      </c>
      <c r="O2589" s="6">
        <v>24398</v>
      </c>
      <c r="P2589" s="6" t="s">
        <v>10758</v>
      </c>
      <c r="R2589" s="6" t="s">
        <v>2106</v>
      </c>
      <c r="S2589" s="6" t="s">
        <v>10759</v>
      </c>
      <c r="T2589" s="6">
        <v>0</v>
      </c>
      <c r="U2589" s="6">
        <v>0</v>
      </c>
      <c r="V2589" s="6">
        <v>0</v>
      </c>
      <c r="W2589" s="6">
        <v>0</v>
      </c>
      <c r="X2589" s="6" t="s">
        <v>169</v>
      </c>
      <c r="Z2589" s="6" t="s">
        <v>170</v>
      </c>
      <c r="AA2589" s="6" t="s">
        <v>171</v>
      </c>
      <c r="AB2589" s="6">
        <v>0</v>
      </c>
      <c r="AC2589" s="6" t="str">
        <f>""</f>
        <v/>
      </c>
      <c r="AS2589" s="6">
        <v>0</v>
      </c>
      <c r="AT2589" s="6">
        <v>0</v>
      </c>
    </row>
    <row r="2590" spans="2:46">
      <c r="B2590" s="6" t="s">
        <v>109</v>
      </c>
      <c r="D2590" s="6" t="s">
        <v>8189</v>
      </c>
      <c r="F2590" s="6" t="s">
        <v>10760</v>
      </c>
      <c r="G2590" s="6" t="str">
        <f>"3166212112869208"</f>
        <v>3166212112869208</v>
      </c>
      <c r="H2590" s="6">
        <v>3166212112869200</v>
      </c>
      <c r="I2590" s="6" t="s">
        <v>10761</v>
      </c>
      <c r="J2590" s="6" t="str">
        <f>"LOGO PAJAMA SHIRT"</f>
        <v>LOGO PAJAMA SHIRT</v>
      </c>
      <c r="K2590" s="6">
        <v>0</v>
      </c>
      <c r="L2590" s="6">
        <v>0</v>
      </c>
      <c r="M2590" s="6">
        <v>0</v>
      </c>
      <c r="N2590" s="6" t="str">
        <f>""</f>
        <v/>
      </c>
      <c r="O2590" s="6">
        <v>24396</v>
      </c>
      <c r="P2590" s="6" t="s">
        <v>10762</v>
      </c>
      <c r="R2590" s="6" t="s">
        <v>2356</v>
      </c>
      <c r="S2590" s="6" t="s">
        <v>10763</v>
      </c>
      <c r="T2590" s="6">
        <v>0</v>
      </c>
      <c r="U2590" s="6">
        <v>0</v>
      </c>
      <c r="V2590" s="6">
        <v>0</v>
      </c>
      <c r="W2590" s="6">
        <v>0</v>
      </c>
      <c r="X2590" s="6" t="s">
        <v>169</v>
      </c>
      <c r="Z2590" s="6" t="s">
        <v>170</v>
      </c>
      <c r="AA2590" s="6" t="s">
        <v>171</v>
      </c>
      <c r="AB2590" s="6">
        <v>0</v>
      </c>
      <c r="AC2590" s="6" t="str">
        <f>""</f>
        <v/>
      </c>
      <c r="AS2590" s="6">
        <v>0</v>
      </c>
      <c r="AT2590" s="6">
        <v>0</v>
      </c>
    </row>
    <row r="2591" spans="2:46">
      <c r="B2591" s="6" t="s">
        <v>109</v>
      </c>
      <c r="D2591" s="6" t="s">
        <v>8189</v>
      </c>
      <c r="F2591" s="6" t="s">
        <v>10764</v>
      </c>
      <c r="G2591" s="6" t="str">
        <f>"3166212112701208"</f>
        <v>3166212112701208</v>
      </c>
      <c r="I2591" s="6" t="s">
        <v>10765</v>
      </c>
      <c r="J2591" s="6" t="str">
        <f>"LOGO BANDING SHIRT"</f>
        <v>LOGO BANDING SHIRT</v>
      </c>
      <c r="K2591" s="6">
        <v>0</v>
      </c>
      <c r="L2591" s="6">
        <v>0</v>
      </c>
      <c r="M2591" s="6">
        <v>0</v>
      </c>
      <c r="N2591" s="6" t="str">
        <f>""</f>
        <v/>
      </c>
      <c r="O2591" s="6">
        <v>24394</v>
      </c>
      <c r="P2591" s="6" t="s">
        <v>10766</v>
      </c>
      <c r="R2591" s="6" t="s">
        <v>2446</v>
      </c>
      <c r="S2591" s="6" t="s">
        <v>10767</v>
      </c>
      <c r="T2591" s="6">
        <v>1</v>
      </c>
      <c r="U2591" s="6">
        <v>0</v>
      </c>
      <c r="V2591" s="6">
        <v>0</v>
      </c>
      <c r="W2591" s="6">
        <v>0</v>
      </c>
      <c r="X2591" s="6" t="s">
        <v>169</v>
      </c>
      <c r="Z2591" s="6" t="s">
        <v>170</v>
      </c>
      <c r="AA2591" s="6" t="s">
        <v>171</v>
      </c>
      <c r="AB2591" s="6">
        <v>0</v>
      </c>
      <c r="AC2591" s="6" t="str">
        <f>"KEY-007"</f>
        <v>KEY-007</v>
      </c>
      <c r="AQ2591" s="6" t="str">
        <f>""</f>
        <v/>
      </c>
      <c r="AR2591" s="6" t="s">
        <v>1584</v>
      </c>
      <c r="AS2591" s="6">
        <v>0</v>
      </c>
      <c r="AT2591" s="6">
        <v>1</v>
      </c>
    </row>
    <row r="2592" spans="2:46">
      <c r="B2592" s="6" t="s">
        <v>109</v>
      </c>
      <c r="D2592" s="6" t="s">
        <v>8189</v>
      </c>
      <c r="F2592" s="6" t="s">
        <v>10768</v>
      </c>
      <c r="G2592" s="6" t="str">
        <f>"3166212112769208"</f>
        <v>3166212112769208</v>
      </c>
      <c r="H2592" s="6">
        <v>3166212112769200</v>
      </c>
      <c r="I2592" s="6" t="s">
        <v>10765</v>
      </c>
      <c r="J2592" s="6" t="str">
        <f>"LOGO BANDING SHIRT"</f>
        <v>LOGO BANDING SHIRT</v>
      </c>
      <c r="K2592" s="6">
        <v>0</v>
      </c>
      <c r="L2592" s="6">
        <v>0</v>
      </c>
      <c r="M2592" s="6">
        <v>0</v>
      </c>
      <c r="N2592" s="6" t="str">
        <f>""</f>
        <v/>
      </c>
      <c r="O2592" s="6">
        <v>24393</v>
      </c>
      <c r="P2592" s="6" t="s">
        <v>10769</v>
      </c>
      <c r="R2592" s="6" t="s">
        <v>2356</v>
      </c>
      <c r="S2592" s="6" t="s">
        <v>10770</v>
      </c>
      <c r="T2592" s="6">
        <v>0</v>
      </c>
      <c r="U2592" s="6">
        <v>0</v>
      </c>
      <c r="V2592" s="6">
        <v>0</v>
      </c>
      <c r="W2592" s="6">
        <v>0</v>
      </c>
      <c r="X2592" s="6" t="s">
        <v>169</v>
      </c>
      <c r="Z2592" s="6" t="s">
        <v>170</v>
      </c>
      <c r="AA2592" s="6" t="s">
        <v>171</v>
      </c>
      <c r="AB2592" s="6">
        <v>0</v>
      </c>
      <c r="AC2592" s="6" t="str">
        <f>""</f>
        <v/>
      </c>
      <c r="AS2592" s="6">
        <v>0</v>
      </c>
      <c r="AT2592" s="6">
        <v>0</v>
      </c>
    </row>
    <row r="2593" spans="2:46">
      <c r="B2593" s="6" t="s">
        <v>109</v>
      </c>
      <c r="D2593" s="6" t="s">
        <v>8189</v>
      </c>
      <c r="F2593" s="6" t="s">
        <v>10771</v>
      </c>
      <c r="G2593" s="6" t="str">
        <f>"3166222166130208"</f>
        <v>3166222166130208</v>
      </c>
      <c r="H2593" s="6">
        <v>3166222166130200</v>
      </c>
      <c r="I2593" s="6" t="s">
        <v>10772</v>
      </c>
      <c r="J2593" s="6" t="str">
        <f>"DOOR STRIPE T"</f>
        <v>DOOR STRIPE T</v>
      </c>
      <c r="K2593" s="6">
        <v>0</v>
      </c>
      <c r="L2593" s="6">
        <v>0</v>
      </c>
      <c r="M2593" s="6">
        <v>0</v>
      </c>
      <c r="N2593" s="6" t="str">
        <f>""</f>
        <v/>
      </c>
      <c r="O2593" s="6">
        <v>24391</v>
      </c>
      <c r="P2593" s="6" t="s">
        <v>10773</v>
      </c>
      <c r="R2593" s="6" t="s">
        <v>2111</v>
      </c>
      <c r="S2593" s="6" t="s">
        <v>10774</v>
      </c>
      <c r="T2593" s="6">
        <v>0</v>
      </c>
      <c r="U2593" s="6">
        <v>0</v>
      </c>
      <c r="V2593" s="6">
        <v>0</v>
      </c>
      <c r="W2593" s="6">
        <v>0</v>
      </c>
      <c r="X2593" s="6" t="s">
        <v>169</v>
      </c>
      <c r="Z2593" s="6" t="s">
        <v>170</v>
      </c>
      <c r="AA2593" s="6" t="s">
        <v>171</v>
      </c>
      <c r="AB2593" s="6">
        <v>0</v>
      </c>
      <c r="AC2593" s="6" t="str">
        <f>""</f>
        <v/>
      </c>
      <c r="AS2593" s="6">
        <v>0</v>
      </c>
      <c r="AT2593" s="6">
        <v>0</v>
      </c>
    </row>
    <row r="2594" spans="2:46">
      <c r="B2594" s="6" t="s">
        <v>109</v>
      </c>
      <c r="D2594" s="6" t="s">
        <v>8189</v>
      </c>
      <c r="F2594" s="6" t="s">
        <v>10775</v>
      </c>
      <c r="G2594" s="6" t="str">
        <f>"3166332118030320"</f>
        <v>3166332118030320</v>
      </c>
      <c r="I2594" s="6" t="s">
        <v>10776</v>
      </c>
      <c r="J2594" s="6" t="str">
        <f>"LINE FLARE SKIRT"</f>
        <v>LINE FLARE SKIRT</v>
      </c>
      <c r="K2594" s="6">
        <v>0</v>
      </c>
      <c r="L2594" s="6">
        <v>0</v>
      </c>
      <c r="M2594" s="6">
        <v>0</v>
      </c>
      <c r="N2594" s="6" t="str">
        <f>""</f>
        <v/>
      </c>
      <c r="O2594" s="6">
        <v>24389</v>
      </c>
      <c r="P2594" s="6" t="s">
        <v>10777</v>
      </c>
      <c r="R2594" s="6" t="s">
        <v>2111</v>
      </c>
      <c r="S2594" s="6" t="s">
        <v>10778</v>
      </c>
      <c r="T2594" s="6">
        <v>1</v>
      </c>
      <c r="U2594" s="6">
        <v>0</v>
      </c>
      <c r="V2594" s="6">
        <v>0</v>
      </c>
      <c r="W2594" s="6">
        <v>0</v>
      </c>
      <c r="X2594" s="6" t="s">
        <v>169</v>
      </c>
      <c r="Z2594" s="6" t="s">
        <v>170</v>
      </c>
      <c r="AA2594" s="6" t="s">
        <v>171</v>
      </c>
      <c r="AB2594" s="6">
        <v>0</v>
      </c>
      <c r="AC2594" s="6" t="str">
        <f>"KEY-048"</f>
        <v>KEY-048</v>
      </c>
      <c r="AQ2594" s="6" t="str">
        <f>""</f>
        <v/>
      </c>
      <c r="AR2594" s="6" t="s">
        <v>1567</v>
      </c>
      <c r="AS2594" s="6">
        <v>0</v>
      </c>
      <c r="AT2594" s="6">
        <v>1</v>
      </c>
    </row>
    <row r="2595" spans="2:46">
      <c r="B2595" s="6" t="s">
        <v>109</v>
      </c>
      <c r="D2595" s="6" t="s">
        <v>8189</v>
      </c>
      <c r="F2595" s="6" t="s">
        <v>10779</v>
      </c>
      <c r="G2595" s="6" t="str">
        <f>"3166332118069320"</f>
        <v>3166332118069320</v>
      </c>
      <c r="H2595" s="6">
        <v>3166332118069320</v>
      </c>
      <c r="I2595" s="6" t="s">
        <v>10776</v>
      </c>
      <c r="J2595" s="6" t="str">
        <f>"LINE FLARE SKIRT"</f>
        <v>LINE FLARE SKIRT</v>
      </c>
      <c r="K2595" s="6">
        <v>0</v>
      </c>
      <c r="L2595" s="6">
        <v>0</v>
      </c>
      <c r="M2595" s="6">
        <v>0</v>
      </c>
      <c r="N2595" s="6" t="str">
        <f>""</f>
        <v/>
      </c>
      <c r="O2595" s="6">
        <v>24388</v>
      </c>
      <c r="P2595" s="6" t="s">
        <v>10780</v>
      </c>
      <c r="R2595" s="6" t="s">
        <v>2356</v>
      </c>
      <c r="S2595" s="6" t="s">
        <v>10781</v>
      </c>
      <c r="T2595" s="6">
        <v>0</v>
      </c>
      <c r="U2595" s="6">
        <v>0</v>
      </c>
      <c r="V2595" s="6">
        <v>0</v>
      </c>
      <c r="W2595" s="6">
        <v>0</v>
      </c>
      <c r="X2595" s="6" t="s">
        <v>169</v>
      </c>
      <c r="Z2595" s="6" t="s">
        <v>170</v>
      </c>
      <c r="AA2595" s="6" t="s">
        <v>171</v>
      </c>
      <c r="AB2595" s="6">
        <v>0</v>
      </c>
      <c r="AC2595" s="6" t="str">
        <f>""</f>
        <v/>
      </c>
      <c r="AS2595" s="6">
        <v>0</v>
      </c>
      <c r="AT2595" s="6">
        <v>0</v>
      </c>
    </row>
    <row r="2596" spans="2:46">
      <c r="B2596" s="6" t="s">
        <v>109</v>
      </c>
      <c r="D2596" s="6" t="s">
        <v>8189</v>
      </c>
      <c r="F2596" s="6" t="s">
        <v>10782</v>
      </c>
      <c r="G2596" s="6" t="str">
        <f>"3166212106699208"</f>
        <v>3166212106699208</v>
      </c>
      <c r="I2596" s="6" t="s">
        <v>10783</v>
      </c>
      <c r="J2596" s="6" t="str">
        <f>"KNOCK KNOCK CROP SHIRT"</f>
        <v>KNOCK KNOCK CROP SHIRT</v>
      </c>
      <c r="K2596" s="6">
        <v>0</v>
      </c>
      <c r="L2596" s="6">
        <v>0</v>
      </c>
      <c r="M2596" s="6">
        <v>0</v>
      </c>
      <c r="N2596" s="6" t="str">
        <f>""</f>
        <v/>
      </c>
      <c r="O2596" s="6">
        <v>24386</v>
      </c>
      <c r="P2596" s="6" t="s">
        <v>10784</v>
      </c>
      <c r="R2596" s="6" t="s">
        <v>2106</v>
      </c>
      <c r="S2596" s="6" t="s">
        <v>10785</v>
      </c>
      <c r="T2596" s="6">
        <v>1</v>
      </c>
      <c r="U2596" s="6">
        <v>0</v>
      </c>
      <c r="V2596" s="6">
        <v>0</v>
      </c>
      <c r="W2596" s="6">
        <v>0</v>
      </c>
      <c r="X2596" s="6" t="s">
        <v>169</v>
      </c>
      <c r="Z2596" s="6" t="s">
        <v>170</v>
      </c>
      <c r="AA2596" s="6" t="s">
        <v>171</v>
      </c>
      <c r="AB2596" s="6">
        <v>0</v>
      </c>
      <c r="AC2596" s="6" t="str">
        <f>"KEY-025"</f>
        <v>KEY-025</v>
      </c>
      <c r="AQ2596" s="6" t="str">
        <f>""</f>
        <v/>
      </c>
      <c r="AR2596" s="6" t="s">
        <v>1567</v>
      </c>
      <c r="AS2596" s="6">
        <v>0</v>
      </c>
      <c r="AT2596" s="6">
        <v>1</v>
      </c>
    </row>
    <row r="2597" spans="2:46">
      <c r="B2597" s="6" t="s">
        <v>109</v>
      </c>
      <c r="D2597" s="6" t="s">
        <v>8189</v>
      </c>
      <c r="F2597" s="6" t="s">
        <v>10786</v>
      </c>
      <c r="G2597" s="6" t="str">
        <f>"3166212106669208"</f>
        <v>3166212106669208</v>
      </c>
      <c r="I2597" s="6" t="s">
        <v>10783</v>
      </c>
      <c r="J2597" s="6" t="str">
        <f>"KNOCK KNOCK CROP SHIRT"</f>
        <v>KNOCK KNOCK CROP SHIRT</v>
      </c>
      <c r="K2597" s="6">
        <v>0</v>
      </c>
      <c r="L2597" s="6">
        <v>0</v>
      </c>
      <c r="M2597" s="6">
        <v>0</v>
      </c>
      <c r="N2597" s="6" t="str">
        <f>""</f>
        <v/>
      </c>
      <c r="O2597" s="6">
        <v>24385</v>
      </c>
      <c r="P2597" s="6" t="s">
        <v>10787</v>
      </c>
      <c r="R2597" s="6" t="s">
        <v>2356</v>
      </c>
      <c r="S2597" s="6" t="s">
        <v>10788</v>
      </c>
      <c r="T2597" s="6">
        <v>1</v>
      </c>
      <c r="U2597" s="6">
        <v>0</v>
      </c>
      <c r="V2597" s="6">
        <v>0</v>
      </c>
      <c r="W2597" s="6">
        <v>0</v>
      </c>
      <c r="X2597" s="6" t="s">
        <v>169</v>
      </c>
      <c r="Z2597" s="6" t="s">
        <v>170</v>
      </c>
      <c r="AA2597" s="6" t="s">
        <v>171</v>
      </c>
      <c r="AB2597" s="6">
        <v>0</v>
      </c>
      <c r="AC2597" s="6" t="str">
        <f>"KEY-017"</f>
        <v>KEY-017</v>
      </c>
      <c r="AQ2597" s="6" t="str">
        <f>""</f>
        <v/>
      </c>
      <c r="AR2597" s="6" t="s">
        <v>1567</v>
      </c>
      <c r="AS2597" s="6">
        <v>0</v>
      </c>
      <c r="AT2597" s="6">
        <v>1</v>
      </c>
    </row>
    <row r="2598" spans="2:46">
      <c r="B2598" s="6" t="s">
        <v>109</v>
      </c>
      <c r="D2598" s="6" t="s">
        <v>8189</v>
      </c>
      <c r="F2598" s="6" t="s">
        <v>10789</v>
      </c>
      <c r="G2598" s="6" t="str">
        <f>"3176122103799208"</f>
        <v>3176122103799208</v>
      </c>
      <c r="I2598" s="6" t="s">
        <v>10790</v>
      </c>
      <c r="J2598" s="6" t="str">
        <f>"PAP MA-1"</f>
        <v>PAP MA-1</v>
      </c>
      <c r="K2598" s="6">
        <v>0</v>
      </c>
      <c r="L2598" s="6">
        <v>0</v>
      </c>
      <c r="M2598" s="6">
        <v>0</v>
      </c>
      <c r="N2598" s="6" t="str">
        <f>""</f>
        <v/>
      </c>
      <c r="O2598" s="6">
        <v>24383</v>
      </c>
      <c r="P2598" s="6" t="s">
        <v>10791</v>
      </c>
      <c r="R2598" s="6" t="s">
        <v>2106</v>
      </c>
      <c r="S2598" s="6" t="s">
        <v>10792</v>
      </c>
      <c r="T2598" s="6">
        <v>2</v>
      </c>
      <c r="U2598" s="6">
        <v>0</v>
      </c>
      <c r="V2598" s="6">
        <v>0</v>
      </c>
      <c r="W2598" s="6">
        <v>0</v>
      </c>
      <c r="X2598" s="6" t="s">
        <v>169</v>
      </c>
      <c r="Z2598" s="6" t="s">
        <v>170</v>
      </c>
      <c r="AA2598" s="6" t="s">
        <v>171</v>
      </c>
      <c r="AB2598" s="6">
        <v>0</v>
      </c>
      <c r="AC2598" s="6" t="str">
        <f>"KEY-007"</f>
        <v>KEY-007</v>
      </c>
      <c r="AQ2598" s="6" t="str">
        <f>""</f>
        <v/>
      </c>
      <c r="AR2598" s="6" t="s">
        <v>1584</v>
      </c>
      <c r="AS2598" s="6">
        <v>0</v>
      </c>
      <c r="AT2598" s="6">
        <v>2</v>
      </c>
    </row>
    <row r="2599" spans="2:46">
      <c r="B2599" s="6" t="s">
        <v>109</v>
      </c>
      <c r="D2599" s="6" t="s">
        <v>8189</v>
      </c>
      <c r="F2599" s="6" t="s">
        <v>10793</v>
      </c>
      <c r="G2599" s="6" t="str">
        <f>"3176122103774208"</f>
        <v>3176122103774208</v>
      </c>
      <c r="I2599" s="6" t="s">
        <v>10790</v>
      </c>
      <c r="J2599" s="6" t="str">
        <f>"PAP MA-1"</f>
        <v>PAP MA-1</v>
      </c>
      <c r="K2599" s="6">
        <v>0</v>
      </c>
      <c r="L2599" s="6">
        <v>0</v>
      </c>
      <c r="M2599" s="6">
        <v>0</v>
      </c>
      <c r="N2599" s="6" t="str">
        <f>""</f>
        <v/>
      </c>
      <c r="O2599" s="6">
        <v>24382</v>
      </c>
      <c r="P2599" s="6" t="s">
        <v>10794</v>
      </c>
      <c r="R2599" s="6" t="s">
        <v>2102</v>
      </c>
      <c r="S2599" s="6" t="s">
        <v>10795</v>
      </c>
      <c r="T2599" s="6">
        <v>1</v>
      </c>
      <c r="U2599" s="6">
        <v>0</v>
      </c>
      <c r="V2599" s="6">
        <v>0</v>
      </c>
      <c r="W2599" s="6">
        <v>0</v>
      </c>
      <c r="X2599" s="6" t="s">
        <v>169</v>
      </c>
      <c r="Z2599" s="6" t="s">
        <v>170</v>
      </c>
      <c r="AA2599" s="6" t="s">
        <v>171</v>
      </c>
      <c r="AB2599" s="6">
        <v>0</v>
      </c>
      <c r="AC2599" s="6" t="str">
        <f>"KEY-037"</f>
        <v>KEY-037</v>
      </c>
      <c r="AQ2599" s="6" t="str">
        <f>""</f>
        <v/>
      </c>
      <c r="AR2599" s="6" t="s">
        <v>1567</v>
      </c>
      <c r="AS2599" s="6">
        <v>0</v>
      </c>
      <c r="AT2599" s="6">
        <v>1</v>
      </c>
    </row>
    <row r="2600" spans="2:46">
      <c r="B2600" s="6" t="s">
        <v>109</v>
      </c>
      <c r="D2600" s="6" t="s">
        <v>8189</v>
      </c>
      <c r="F2600" s="6" t="s">
        <v>10796</v>
      </c>
      <c r="G2600" s="6" t="str">
        <f>"3176132105199208"</f>
        <v>3176132105199208</v>
      </c>
      <c r="H2600" s="6">
        <v>3176132105199200</v>
      </c>
      <c r="I2600" s="6" t="s">
        <v>10797</v>
      </c>
      <c r="J2600" s="6" t="str">
        <f>"ZIPPER JACKET"</f>
        <v>ZIPPER JACKET</v>
      </c>
      <c r="K2600" s="6">
        <v>0</v>
      </c>
      <c r="L2600" s="6">
        <v>0</v>
      </c>
      <c r="M2600" s="6">
        <v>0</v>
      </c>
      <c r="N2600" s="6" t="str">
        <f>""</f>
        <v/>
      </c>
      <c r="O2600" s="6">
        <v>24380</v>
      </c>
      <c r="P2600" s="6" t="s">
        <v>10798</v>
      </c>
      <c r="R2600" s="6" t="s">
        <v>2106</v>
      </c>
      <c r="S2600" s="6" t="s">
        <v>10799</v>
      </c>
      <c r="T2600" s="6">
        <v>0</v>
      </c>
      <c r="U2600" s="6">
        <v>0</v>
      </c>
      <c r="V2600" s="6">
        <v>0</v>
      </c>
      <c r="W2600" s="6">
        <v>0</v>
      </c>
      <c r="X2600" s="6" t="s">
        <v>169</v>
      </c>
      <c r="Z2600" s="6" t="s">
        <v>170</v>
      </c>
      <c r="AA2600" s="6" t="s">
        <v>171</v>
      </c>
      <c r="AB2600" s="6">
        <v>0</v>
      </c>
      <c r="AC2600" s="6" t="str">
        <f>""</f>
        <v/>
      </c>
      <c r="AS2600" s="6">
        <v>0</v>
      </c>
      <c r="AT2600" s="6">
        <v>0</v>
      </c>
    </row>
    <row r="2601" spans="2:46">
      <c r="B2601" s="6" t="s">
        <v>109</v>
      </c>
      <c r="D2601" s="6" t="s">
        <v>8189</v>
      </c>
      <c r="F2601" s="6" t="s">
        <v>10800</v>
      </c>
      <c r="G2601" s="6" t="str">
        <f>"3176132105130208"</f>
        <v>3176132105130208</v>
      </c>
      <c r="I2601" s="6" t="s">
        <v>10797</v>
      </c>
      <c r="J2601" s="6" t="str">
        <f>"ZIPPER JACKET"</f>
        <v>ZIPPER JACKET</v>
      </c>
      <c r="K2601" s="6">
        <v>0</v>
      </c>
      <c r="L2601" s="6">
        <v>0</v>
      </c>
      <c r="M2601" s="6">
        <v>0</v>
      </c>
      <c r="N2601" s="6" t="str">
        <f>""</f>
        <v/>
      </c>
      <c r="O2601" s="6">
        <v>24379</v>
      </c>
      <c r="P2601" s="6" t="s">
        <v>10801</v>
      </c>
      <c r="R2601" s="6" t="s">
        <v>2111</v>
      </c>
      <c r="S2601" s="6" t="s">
        <v>10802</v>
      </c>
      <c r="T2601" s="6">
        <v>1</v>
      </c>
      <c r="U2601" s="6">
        <v>0</v>
      </c>
      <c r="V2601" s="6">
        <v>0</v>
      </c>
      <c r="W2601" s="6">
        <v>0</v>
      </c>
      <c r="X2601" s="6" t="s">
        <v>169</v>
      </c>
      <c r="Z2601" s="6" t="s">
        <v>170</v>
      </c>
      <c r="AA2601" s="6" t="s">
        <v>171</v>
      </c>
      <c r="AB2601" s="6">
        <v>0</v>
      </c>
      <c r="AC2601" s="6" t="str">
        <f>"KEY-026"</f>
        <v>KEY-026</v>
      </c>
      <c r="AQ2601" s="6" t="str">
        <f>""</f>
        <v/>
      </c>
      <c r="AR2601" s="6" t="s">
        <v>1567</v>
      </c>
      <c r="AS2601" s="6">
        <v>0</v>
      </c>
      <c r="AT2601" s="6">
        <v>1</v>
      </c>
    </row>
    <row r="2602" spans="2:46">
      <c r="B2602" s="6" t="s">
        <v>109</v>
      </c>
      <c r="D2602" s="6" t="s">
        <v>8189</v>
      </c>
      <c r="F2602" s="6" t="s">
        <v>10803</v>
      </c>
      <c r="G2602" s="6" t="str">
        <f>"3176252110399208"</f>
        <v>3176252110399208</v>
      </c>
      <c r="I2602" s="6" t="s">
        <v>10804</v>
      </c>
      <c r="J2602" s="6" t="str">
        <f>"ZIPPER WRAP ONEPIECE"</f>
        <v>ZIPPER WRAP ONEPIECE</v>
      </c>
      <c r="K2602" s="6">
        <v>0</v>
      </c>
      <c r="L2602" s="6">
        <v>0</v>
      </c>
      <c r="M2602" s="6">
        <v>0</v>
      </c>
      <c r="N2602" s="6" t="str">
        <f>""</f>
        <v/>
      </c>
      <c r="O2602" s="6">
        <v>24377</v>
      </c>
      <c r="P2602" s="6" t="s">
        <v>10805</v>
      </c>
      <c r="R2602" s="6" t="s">
        <v>2106</v>
      </c>
      <c r="S2602" s="6" t="s">
        <v>10806</v>
      </c>
      <c r="T2602" s="6">
        <v>2</v>
      </c>
      <c r="U2602" s="6">
        <v>0</v>
      </c>
      <c r="V2602" s="6">
        <v>0</v>
      </c>
      <c r="W2602" s="6">
        <v>0</v>
      </c>
      <c r="X2602" s="6" t="s">
        <v>169</v>
      </c>
      <c r="Z2602" s="6" t="s">
        <v>170</v>
      </c>
      <c r="AA2602" s="6" t="s">
        <v>171</v>
      </c>
      <c r="AB2602" s="6">
        <v>0</v>
      </c>
      <c r="AC2602" s="6" t="str">
        <f>"KEY-010"</f>
        <v>KEY-010</v>
      </c>
      <c r="AQ2602" s="6" t="str">
        <f>""</f>
        <v/>
      </c>
      <c r="AR2602" s="6" t="s">
        <v>1584</v>
      </c>
      <c r="AS2602" s="6">
        <v>0</v>
      </c>
      <c r="AT2602" s="6">
        <v>2</v>
      </c>
    </row>
    <row r="2603" spans="2:46">
      <c r="B2603" s="6" t="s">
        <v>109</v>
      </c>
      <c r="D2603" s="6" t="s">
        <v>8189</v>
      </c>
      <c r="F2603" s="6" t="s">
        <v>10807</v>
      </c>
      <c r="G2603" s="6" t="str">
        <f>"3176252110369208"</f>
        <v>3176252110369208</v>
      </c>
      <c r="I2603" s="6" t="s">
        <v>10804</v>
      </c>
      <c r="J2603" s="6" t="str">
        <f>"ZIPPER WRAP ONEPIECE"</f>
        <v>ZIPPER WRAP ONEPIECE</v>
      </c>
      <c r="K2603" s="6">
        <v>0</v>
      </c>
      <c r="L2603" s="6">
        <v>0</v>
      </c>
      <c r="M2603" s="6">
        <v>0</v>
      </c>
      <c r="N2603" s="6" t="str">
        <f>""</f>
        <v/>
      </c>
      <c r="O2603" s="6">
        <v>24376</v>
      </c>
      <c r="P2603" s="6" t="s">
        <v>10808</v>
      </c>
      <c r="R2603" s="6" t="s">
        <v>2111</v>
      </c>
      <c r="S2603" s="6" t="s">
        <v>10809</v>
      </c>
      <c r="T2603" s="6">
        <v>1</v>
      </c>
      <c r="U2603" s="6">
        <v>0</v>
      </c>
      <c r="V2603" s="6">
        <v>0</v>
      </c>
      <c r="W2603" s="6">
        <v>0</v>
      </c>
      <c r="X2603" s="6" t="s">
        <v>169</v>
      </c>
      <c r="Z2603" s="6" t="s">
        <v>170</v>
      </c>
      <c r="AA2603" s="6" t="s">
        <v>171</v>
      </c>
      <c r="AB2603" s="6">
        <v>0</v>
      </c>
      <c r="AC2603" s="6" t="str">
        <f>"KEY-019"</f>
        <v>KEY-019</v>
      </c>
      <c r="AQ2603" s="6" t="str">
        <f>""</f>
        <v/>
      </c>
      <c r="AR2603" s="6" t="s">
        <v>1567</v>
      </c>
      <c r="AS2603" s="6">
        <v>0</v>
      </c>
      <c r="AT2603" s="6">
        <v>1</v>
      </c>
    </row>
    <row r="2604" spans="2:46">
      <c r="B2604" s="6" t="s">
        <v>109</v>
      </c>
      <c r="D2604" s="6" t="s">
        <v>8189</v>
      </c>
      <c r="F2604" s="6" t="s">
        <v>10810</v>
      </c>
      <c r="G2604" s="6" t="str">
        <f>"3176252107495208"</f>
        <v>3176252107495208</v>
      </c>
      <c r="I2604" s="6" t="s">
        <v>10811</v>
      </c>
      <c r="J2604" s="6" t="str">
        <f>"PAP SHIRT ONEPIECE"</f>
        <v>PAP SHIRT ONEPIECE</v>
      </c>
      <c r="K2604" s="6">
        <v>0</v>
      </c>
      <c r="L2604" s="6">
        <v>0</v>
      </c>
      <c r="M2604" s="6">
        <v>0</v>
      </c>
      <c r="N2604" s="6" t="str">
        <f>""</f>
        <v/>
      </c>
      <c r="O2604" s="6">
        <v>24374</v>
      </c>
      <c r="P2604" s="6" t="s">
        <v>10812</v>
      </c>
      <c r="R2604" s="6" t="s">
        <v>2187</v>
      </c>
      <c r="S2604" s="6" t="s">
        <v>10813</v>
      </c>
      <c r="T2604" s="6">
        <v>1</v>
      </c>
      <c r="U2604" s="6">
        <v>0</v>
      </c>
      <c r="V2604" s="6">
        <v>0</v>
      </c>
      <c r="W2604" s="6">
        <v>0</v>
      </c>
      <c r="X2604" s="6" t="s">
        <v>169</v>
      </c>
      <c r="Z2604" s="6" t="s">
        <v>170</v>
      </c>
      <c r="AA2604" s="6" t="s">
        <v>171</v>
      </c>
      <c r="AB2604" s="6">
        <v>0</v>
      </c>
      <c r="AC2604" s="6" t="str">
        <f>"KEY-024"</f>
        <v>KEY-024</v>
      </c>
      <c r="AQ2604" s="6" t="str">
        <f>""</f>
        <v/>
      </c>
      <c r="AR2604" s="6" t="s">
        <v>1567</v>
      </c>
      <c r="AS2604" s="6">
        <v>0</v>
      </c>
      <c r="AT2604" s="6">
        <v>1</v>
      </c>
    </row>
    <row r="2605" spans="2:46">
      <c r="B2605" s="6" t="s">
        <v>109</v>
      </c>
      <c r="D2605" s="6" t="s">
        <v>8189</v>
      </c>
      <c r="F2605" s="6" t="s">
        <v>10814</v>
      </c>
      <c r="G2605" s="6" t="str">
        <f>"3176252107469208"</f>
        <v>3176252107469208</v>
      </c>
      <c r="I2605" s="6" t="s">
        <v>10811</v>
      </c>
      <c r="J2605" s="6" t="str">
        <f>"PAP SHIRT ONEPIECE"</f>
        <v>PAP SHIRT ONEPIECE</v>
      </c>
      <c r="K2605" s="6">
        <v>0</v>
      </c>
      <c r="L2605" s="6">
        <v>0</v>
      </c>
      <c r="M2605" s="6">
        <v>0</v>
      </c>
      <c r="N2605" s="6" t="str">
        <f>""</f>
        <v/>
      </c>
      <c r="O2605" s="6">
        <v>24373</v>
      </c>
      <c r="P2605" s="6" t="s">
        <v>10815</v>
      </c>
      <c r="R2605" s="6" t="s">
        <v>2356</v>
      </c>
      <c r="S2605" s="6" t="s">
        <v>10816</v>
      </c>
      <c r="T2605" s="6">
        <v>2</v>
      </c>
      <c r="U2605" s="6">
        <v>0</v>
      </c>
      <c r="V2605" s="6">
        <v>0</v>
      </c>
      <c r="W2605" s="6">
        <v>0</v>
      </c>
      <c r="X2605" s="6" t="s">
        <v>169</v>
      </c>
      <c r="Z2605" s="6" t="s">
        <v>170</v>
      </c>
      <c r="AA2605" s="6" t="s">
        <v>171</v>
      </c>
      <c r="AB2605" s="6">
        <v>0</v>
      </c>
      <c r="AC2605" s="6" t="str">
        <f>"KEY-024"</f>
        <v>KEY-024</v>
      </c>
      <c r="AQ2605" s="6" t="str">
        <f>""</f>
        <v/>
      </c>
      <c r="AR2605" s="6" t="s">
        <v>1567</v>
      </c>
      <c r="AS2605" s="6">
        <v>0</v>
      </c>
      <c r="AT2605" s="6">
        <v>2</v>
      </c>
    </row>
    <row r="2606" spans="2:46">
      <c r="B2606" s="6" t="s">
        <v>109</v>
      </c>
      <c r="D2606" s="6" t="s">
        <v>8189</v>
      </c>
      <c r="F2606" s="6" t="s">
        <v>10817</v>
      </c>
      <c r="G2606" s="6" t="str">
        <f>"3176232103799208"</f>
        <v>3176232103799208</v>
      </c>
      <c r="H2606" s="6">
        <v>3176232103799200</v>
      </c>
      <c r="I2606" s="6" t="s">
        <v>10818</v>
      </c>
      <c r="J2606" s="6" t="str">
        <f>"SLIT LOGO HOODIE"</f>
        <v>SLIT LOGO HOODIE</v>
      </c>
      <c r="K2606" s="6">
        <v>0</v>
      </c>
      <c r="L2606" s="6">
        <v>0</v>
      </c>
      <c r="M2606" s="6">
        <v>0</v>
      </c>
      <c r="N2606" s="6" t="str">
        <f>""</f>
        <v/>
      </c>
      <c r="O2606" s="6">
        <v>24371</v>
      </c>
      <c r="P2606" s="6" t="s">
        <v>10819</v>
      </c>
      <c r="R2606" s="6" t="s">
        <v>2106</v>
      </c>
      <c r="S2606" s="6" t="s">
        <v>10820</v>
      </c>
      <c r="T2606" s="6">
        <v>0</v>
      </c>
      <c r="U2606" s="6">
        <v>0</v>
      </c>
      <c r="V2606" s="6">
        <v>0</v>
      </c>
      <c r="W2606" s="6">
        <v>0</v>
      </c>
      <c r="X2606" s="6" t="s">
        <v>169</v>
      </c>
      <c r="Z2606" s="6" t="s">
        <v>170</v>
      </c>
      <c r="AA2606" s="6" t="s">
        <v>171</v>
      </c>
      <c r="AB2606" s="6">
        <v>0</v>
      </c>
      <c r="AC2606" s="6" t="str">
        <f>""</f>
        <v/>
      </c>
      <c r="AS2606" s="6">
        <v>0</v>
      </c>
      <c r="AT2606" s="6">
        <v>0</v>
      </c>
    </row>
    <row r="2607" spans="2:46">
      <c r="B2607" s="6" t="s">
        <v>109</v>
      </c>
      <c r="D2607" s="6" t="s">
        <v>8189</v>
      </c>
      <c r="F2607" s="6" t="s">
        <v>10821</v>
      </c>
      <c r="G2607" s="6" t="str">
        <f>"3176232103701208"</f>
        <v>3176232103701208</v>
      </c>
      <c r="H2607" s="6">
        <v>3176232103701200</v>
      </c>
      <c r="I2607" s="6" t="s">
        <v>10818</v>
      </c>
      <c r="J2607" s="6" t="str">
        <f>"SLIT LOGO HOODIE"</f>
        <v>SLIT LOGO HOODIE</v>
      </c>
      <c r="K2607" s="6">
        <v>0</v>
      </c>
      <c r="L2607" s="6">
        <v>0</v>
      </c>
      <c r="M2607" s="6">
        <v>0</v>
      </c>
      <c r="N2607" s="6" t="str">
        <f>""</f>
        <v/>
      </c>
      <c r="O2607" s="6">
        <v>24370</v>
      </c>
      <c r="P2607" s="6" t="s">
        <v>10822</v>
      </c>
      <c r="R2607" s="6" t="s">
        <v>2446</v>
      </c>
      <c r="S2607" s="6" t="s">
        <v>10823</v>
      </c>
      <c r="T2607" s="6">
        <v>0</v>
      </c>
      <c r="U2607" s="6">
        <v>0</v>
      </c>
      <c r="V2607" s="6">
        <v>0</v>
      </c>
      <c r="W2607" s="6">
        <v>0</v>
      </c>
      <c r="X2607" s="6" t="s">
        <v>169</v>
      </c>
      <c r="Z2607" s="6" t="s">
        <v>170</v>
      </c>
      <c r="AA2607" s="6" t="s">
        <v>171</v>
      </c>
      <c r="AB2607" s="6">
        <v>0</v>
      </c>
      <c r="AC2607" s="6" t="str">
        <f>""</f>
        <v/>
      </c>
      <c r="AS2607" s="6">
        <v>0</v>
      </c>
      <c r="AT2607" s="6">
        <v>0</v>
      </c>
    </row>
    <row r="2608" spans="2:46">
      <c r="B2608" s="6" t="s">
        <v>109</v>
      </c>
      <c r="D2608" s="6" t="s">
        <v>8189</v>
      </c>
      <c r="F2608" s="6" t="s">
        <v>10824</v>
      </c>
      <c r="G2608" s="6" t="str">
        <f>"3176232103630208"</f>
        <v>3176232103630208</v>
      </c>
      <c r="H2608" s="6">
        <v>3176232103630200</v>
      </c>
      <c r="I2608" s="6" t="s">
        <v>10825</v>
      </c>
      <c r="J2608" s="6" t="str">
        <f>"PAP SWEAT SHIRT"</f>
        <v>PAP SWEAT SHIRT</v>
      </c>
      <c r="K2608" s="6">
        <v>0</v>
      </c>
      <c r="L2608" s="6">
        <v>0</v>
      </c>
      <c r="M2608" s="6">
        <v>0</v>
      </c>
      <c r="N2608" s="6" t="str">
        <f>""</f>
        <v/>
      </c>
      <c r="O2608" s="6">
        <v>24368</v>
      </c>
      <c r="P2608" s="6" t="s">
        <v>10826</v>
      </c>
      <c r="R2608" s="6" t="s">
        <v>2111</v>
      </c>
      <c r="S2608" s="6" t="s">
        <v>10827</v>
      </c>
      <c r="T2608" s="6">
        <v>0</v>
      </c>
      <c r="U2608" s="6">
        <v>0</v>
      </c>
      <c r="V2608" s="6">
        <v>0</v>
      </c>
      <c r="W2608" s="6">
        <v>0</v>
      </c>
      <c r="X2608" s="6" t="s">
        <v>169</v>
      </c>
      <c r="Z2608" s="6" t="s">
        <v>170</v>
      </c>
      <c r="AA2608" s="6" t="s">
        <v>171</v>
      </c>
      <c r="AB2608" s="6">
        <v>0</v>
      </c>
      <c r="AC2608" s="6" t="str">
        <f>""</f>
        <v/>
      </c>
      <c r="AS2608" s="6">
        <v>0</v>
      </c>
      <c r="AT2608" s="6">
        <v>0</v>
      </c>
    </row>
    <row r="2609" spans="2:46">
      <c r="B2609" s="6" t="s">
        <v>109</v>
      </c>
      <c r="D2609" s="6" t="s">
        <v>8189</v>
      </c>
      <c r="F2609" s="6" t="s">
        <v>10828</v>
      </c>
      <c r="G2609" s="6" t="str">
        <f>"3176232103674208"</f>
        <v>3176232103674208</v>
      </c>
      <c r="H2609" s="6">
        <v>3176232103674200</v>
      </c>
      <c r="I2609" s="6" t="s">
        <v>10825</v>
      </c>
      <c r="J2609" s="6" t="str">
        <f>"PAP SWEAT SHIRT"</f>
        <v>PAP SWEAT SHIRT</v>
      </c>
      <c r="K2609" s="6">
        <v>0</v>
      </c>
      <c r="L2609" s="6">
        <v>0</v>
      </c>
      <c r="M2609" s="6">
        <v>0</v>
      </c>
      <c r="N2609" s="6" t="str">
        <f>""</f>
        <v/>
      </c>
      <c r="O2609" s="6">
        <v>24367</v>
      </c>
      <c r="P2609" s="6" t="s">
        <v>10829</v>
      </c>
      <c r="R2609" s="6" t="s">
        <v>2102</v>
      </c>
      <c r="S2609" s="6" t="s">
        <v>10830</v>
      </c>
      <c r="T2609" s="6">
        <v>0</v>
      </c>
      <c r="U2609" s="6">
        <v>0</v>
      </c>
      <c r="V2609" s="6">
        <v>0</v>
      </c>
      <c r="W2609" s="6">
        <v>0</v>
      </c>
      <c r="X2609" s="6" t="s">
        <v>169</v>
      </c>
      <c r="Z2609" s="6" t="s">
        <v>170</v>
      </c>
      <c r="AA2609" s="6" t="s">
        <v>171</v>
      </c>
      <c r="AB2609" s="6">
        <v>0</v>
      </c>
      <c r="AC2609" s="6" t="str">
        <f>""</f>
        <v/>
      </c>
      <c r="AS2609" s="6">
        <v>0</v>
      </c>
      <c r="AT2609" s="6">
        <v>0</v>
      </c>
    </row>
    <row r="2610" spans="2:46">
      <c r="B2610" s="6" t="s">
        <v>109</v>
      </c>
      <c r="D2610" s="6" t="s">
        <v>8189</v>
      </c>
      <c r="F2610" s="6" t="s">
        <v>10831</v>
      </c>
      <c r="G2610" s="6" t="str">
        <f>"3176222124130208"</f>
        <v>3176222124130208</v>
      </c>
      <c r="H2610" s="6">
        <v>3176222124130200</v>
      </c>
      <c r="I2610" s="6" t="s">
        <v>10832</v>
      </c>
      <c r="J2610" s="6" t="str">
        <f>"LOGO  STRIPE T"</f>
        <v>LOGO  STRIPE T</v>
      </c>
      <c r="K2610" s="6">
        <v>0</v>
      </c>
      <c r="L2610" s="6">
        <v>0</v>
      </c>
      <c r="M2610" s="6">
        <v>0</v>
      </c>
      <c r="N2610" s="6" t="str">
        <f>""</f>
        <v/>
      </c>
      <c r="O2610" s="6">
        <v>24365</v>
      </c>
      <c r="P2610" s="6" t="s">
        <v>10833</v>
      </c>
      <c r="R2610" s="6" t="s">
        <v>2111</v>
      </c>
      <c r="S2610" s="6" t="s">
        <v>10834</v>
      </c>
      <c r="T2610" s="6">
        <v>0</v>
      </c>
      <c r="U2610" s="6">
        <v>0</v>
      </c>
      <c r="V2610" s="6">
        <v>0</v>
      </c>
      <c r="W2610" s="6">
        <v>0</v>
      </c>
      <c r="X2610" s="6" t="s">
        <v>169</v>
      </c>
      <c r="Z2610" s="6" t="s">
        <v>170</v>
      </c>
      <c r="AA2610" s="6" t="s">
        <v>171</v>
      </c>
      <c r="AB2610" s="6">
        <v>0</v>
      </c>
      <c r="AC2610" s="6" t="str">
        <f>""</f>
        <v/>
      </c>
      <c r="AS2610" s="6">
        <v>0</v>
      </c>
      <c r="AT2610" s="6">
        <v>0</v>
      </c>
    </row>
    <row r="2611" spans="2:46">
      <c r="B2611" s="6" t="s">
        <v>109</v>
      </c>
      <c r="D2611" s="6" t="s">
        <v>8189</v>
      </c>
      <c r="F2611" s="6" t="s">
        <v>10835</v>
      </c>
      <c r="G2611" s="6" t="str">
        <f>"3176222124169208"</f>
        <v>3176222124169208</v>
      </c>
      <c r="H2611" s="6">
        <v>3176222124169200</v>
      </c>
      <c r="I2611" s="6" t="s">
        <v>10836</v>
      </c>
      <c r="J2611" s="6" t="str">
        <f>"LOGO STRIPE T"</f>
        <v>LOGO STRIPE T</v>
      </c>
      <c r="K2611" s="6">
        <v>0</v>
      </c>
      <c r="L2611" s="6">
        <v>0</v>
      </c>
      <c r="M2611" s="6">
        <v>0</v>
      </c>
      <c r="N2611" s="6" t="str">
        <f>""</f>
        <v/>
      </c>
      <c r="O2611" s="6">
        <v>24363</v>
      </c>
      <c r="P2611" s="6" t="s">
        <v>10837</v>
      </c>
      <c r="R2611" s="6" t="s">
        <v>2356</v>
      </c>
      <c r="S2611" s="6" t="s">
        <v>10838</v>
      </c>
      <c r="T2611" s="6">
        <v>0</v>
      </c>
      <c r="U2611" s="6">
        <v>0</v>
      </c>
      <c r="V2611" s="6">
        <v>0</v>
      </c>
      <c r="W2611" s="6">
        <v>0</v>
      </c>
      <c r="X2611" s="6" t="s">
        <v>169</v>
      </c>
      <c r="Z2611" s="6" t="s">
        <v>170</v>
      </c>
      <c r="AA2611" s="6" t="s">
        <v>171</v>
      </c>
      <c r="AB2611" s="6">
        <v>0</v>
      </c>
      <c r="AC2611" s="6" t="str">
        <f>""</f>
        <v/>
      </c>
      <c r="AS2611" s="6">
        <v>0</v>
      </c>
      <c r="AT2611" s="6">
        <v>0</v>
      </c>
    </row>
    <row r="2612" spans="2:46">
      <c r="B2612" s="6" t="s">
        <v>109</v>
      </c>
      <c r="D2612" s="6" t="s">
        <v>8189</v>
      </c>
      <c r="F2612" s="6" t="s">
        <v>10839</v>
      </c>
      <c r="G2612" s="6" t="str">
        <f>"3176212105123208"</f>
        <v>3176212105123208</v>
      </c>
      <c r="H2612" s="6">
        <v>3176212105123200</v>
      </c>
      <c r="I2612" s="6" t="s">
        <v>10840</v>
      </c>
      <c r="J2612" s="6" t="str">
        <f>"BASIC V-NECK SHIRT"</f>
        <v>BASIC V-NECK SHIRT</v>
      </c>
      <c r="K2612" s="6">
        <v>0</v>
      </c>
      <c r="L2612" s="6">
        <v>0</v>
      </c>
      <c r="M2612" s="6">
        <v>0</v>
      </c>
      <c r="N2612" s="6" t="str">
        <f>""</f>
        <v/>
      </c>
      <c r="O2612" s="6">
        <v>24361</v>
      </c>
      <c r="P2612" s="6" t="s">
        <v>10841</v>
      </c>
      <c r="R2612" s="6" t="s">
        <v>5620</v>
      </c>
      <c r="S2612" s="6" t="s">
        <v>10842</v>
      </c>
      <c r="T2612" s="6">
        <v>0</v>
      </c>
      <c r="U2612" s="6">
        <v>0</v>
      </c>
      <c r="V2612" s="6">
        <v>0</v>
      </c>
      <c r="W2612" s="6">
        <v>0</v>
      </c>
      <c r="X2612" s="6" t="s">
        <v>169</v>
      </c>
      <c r="Z2612" s="6" t="s">
        <v>170</v>
      </c>
      <c r="AA2612" s="6" t="s">
        <v>171</v>
      </c>
      <c r="AB2612" s="6">
        <v>0</v>
      </c>
      <c r="AC2612" s="6" t="str">
        <f>""</f>
        <v/>
      </c>
      <c r="AS2612" s="6">
        <v>0</v>
      </c>
      <c r="AT2612" s="6">
        <v>0</v>
      </c>
    </row>
    <row r="2613" spans="2:46">
      <c r="B2613" s="6" t="s">
        <v>109</v>
      </c>
      <c r="D2613" s="6" t="s">
        <v>8189</v>
      </c>
      <c r="F2613" s="6" t="s">
        <v>10843</v>
      </c>
      <c r="G2613" s="6" t="str">
        <f>"3176212105169208"</f>
        <v>3176212105169208</v>
      </c>
      <c r="I2613" s="6" t="s">
        <v>10840</v>
      </c>
      <c r="J2613" s="6" t="str">
        <f>"BASIC V-NECK SHIRT"</f>
        <v>BASIC V-NECK SHIRT</v>
      </c>
      <c r="K2613" s="6">
        <v>0</v>
      </c>
      <c r="L2613" s="6">
        <v>0</v>
      </c>
      <c r="M2613" s="6">
        <v>0</v>
      </c>
      <c r="N2613" s="6" t="str">
        <f>""</f>
        <v/>
      </c>
      <c r="O2613" s="6">
        <v>24360</v>
      </c>
      <c r="P2613" s="6" t="s">
        <v>10844</v>
      </c>
      <c r="R2613" s="6" t="s">
        <v>2356</v>
      </c>
      <c r="S2613" s="6" t="s">
        <v>10845</v>
      </c>
      <c r="T2613" s="6">
        <v>2</v>
      </c>
      <c r="U2613" s="6">
        <v>0</v>
      </c>
      <c r="V2613" s="6">
        <v>0</v>
      </c>
      <c r="W2613" s="6">
        <v>0</v>
      </c>
      <c r="X2613" s="6" t="s">
        <v>169</v>
      </c>
      <c r="Z2613" s="6" t="s">
        <v>170</v>
      </c>
      <c r="AA2613" s="6" t="s">
        <v>171</v>
      </c>
      <c r="AB2613" s="6">
        <v>0</v>
      </c>
      <c r="AC2613" s="6" t="str">
        <f>"KEY-013"</f>
        <v>KEY-013</v>
      </c>
      <c r="AQ2613" s="6" t="str">
        <f>""</f>
        <v/>
      </c>
      <c r="AR2613" s="6" t="s">
        <v>1584</v>
      </c>
      <c r="AS2613" s="6">
        <v>0</v>
      </c>
      <c r="AT2613" s="6">
        <v>2</v>
      </c>
    </row>
    <row r="2614" spans="2:46">
      <c r="B2614" s="6" t="s">
        <v>109</v>
      </c>
      <c r="D2614" s="6" t="s">
        <v>8189</v>
      </c>
      <c r="F2614" s="6" t="s">
        <v>10846</v>
      </c>
      <c r="G2614" s="6" t="str">
        <f>"3171242100799208"</f>
        <v>3171242100799208</v>
      </c>
      <c r="I2614" s="6" t="s">
        <v>10847</v>
      </c>
      <c r="J2614" s="6" t="str">
        <f>"PAP PAJAMA SHIRT"</f>
        <v>PAP PAJAMA SHIRT</v>
      </c>
      <c r="K2614" s="6">
        <v>0</v>
      </c>
      <c r="L2614" s="6">
        <v>0</v>
      </c>
      <c r="M2614" s="6">
        <v>0</v>
      </c>
      <c r="N2614" s="6" t="str">
        <f>""</f>
        <v/>
      </c>
      <c r="O2614" s="6">
        <v>24358</v>
      </c>
      <c r="P2614" s="6" t="s">
        <v>10848</v>
      </c>
      <c r="R2614" s="6" t="s">
        <v>2106</v>
      </c>
      <c r="S2614" s="6" t="s">
        <v>10849</v>
      </c>
      <c r="T2614" s="6">
        <v>1</v>
      </c>
      <c r="U2614" s="6">
        <v>0</v>
      </c>
      <c r="V2614" s="6">
        <v>0</v>
      </c>
      <c r="W2614" s="6">
        <v>0</v>
      </c>
      <c r="X2614" s="6" t="s">
        <v>169</v>
      </c>
      <c r="Z2614" s="6" t="s">
        <v>170</v>
      </c>
      <c r="AA2614" s="6" t="s">
        <v>171</v>
      </c>
      <c r="AB2614" s="6">
        <v>0</v>
      </c>
      <c r="AC2614" s="6" t="str">
        <f>"KEY-017"</f>
        <v>KEY-017</v>
      </c>
      <c r="AQ2614" s="6" t="str">
        <f>""</f>
        <v/>
      </c>
      <c r="AR2614" s="6" t="s">
        <v>1567</v>
      </c>
      <c r="AS2614" s="6">
        <v>0</v>
      </c>
      <c r="AT2614" s="6">
        <v>1</v>
      </c>
    </row>
    <row r="2615" spans="2:46">
      <c r="B2615" s="6" t="s">
        <v>109</v>
      </c>
      <c r="D2615" s="6" t="s">
        <v>8189</v>
      </c>
      <c r="F2615" s="6" t="s">
        <v>10850</v>
      </c>
      <c r="G2615" s="6" t="str">
        <f>"3171242100769208"</f>
        <v>3171242100769208</v>
      </c>
      <c r="I2615" s="6" t="s">
        <v>10847</v>
      </c>
      <c r="J2615" s="6" t="str">
        <f>"PAP PAJAMA SHIRT"</f>
        <v>PAP PAJAMA SHIRT</v>
      </c>
      <c r="K2615" s="6">
        <v>0</v>
      </c>
      <c r="L2615" s="6">
        <v>0</v>
      </c>
      <c r="M2615" s="6">
        <v>0</v>
      </c>
      <c r="N2615" s="6" t="str">
        <f>""</f>
        <v/>
      </c>
      <c r="O2615" s="6">
        <v>24357</v>
      </c>
      <c r="P2615" s="6" t="s">
        <v>10851</v>
      </c>
      <c r="R2615" s="6" t="s">
        <v>2356</v>
      </c>
      <c r="S2615" s="6" t="s">
        <v>10852</v>
      </c>
      <c r="T2615" s="6">
        <v>2</v>
      </c>
      <c r="U2615" s="6">
        <v>0</v>
      </c>
      <c r="V2615" s="6">
        <v>0</v>
      </c>
      <c r="W2615" s="6">
        <v>0</v>
      </c>
      <c r="X2615" s="6" t="s">
        <v>169</v>
      </c>
      <c r="Z2615" s="6" t="s">
        <v>170</v>
      </c>
      <c r="AA2615" s="6" t="s">
        <v>171</v>
      </c>
      <c r="AB2615" s="6">
        <v>0</v>
      </c>
      <c r="AC2615" s="6" t="str">
        <f>"KEY-013"</f>
        <v>KEY-013</v>
      </c>
      <c r="AQ2615" s="6" t="str">
        <f>""</f>
        <v/>
      </c>
      <c r="AR2615" s="6" t="s">
        <v>1584</v>
      </c>
      <c r="AS2615" s="6">
        <v>0</v>
      </c>
      <c r="AT2615" s="6">
        <v>2</v>
      </c>
    </row>
    <row r="2616" spans="2:46">
      <c r="B2616" s="6" t="s">
        <v>109</v>
      </c>
      <c r="D2616" s="6" t="s">
        <v>8189</v>
      </c>
      <c r="F2616" s="6" t="s">
        <v>10853</v>
      </c>
      <c r="G2616" s="6" t="str">
        <f>"3176332108325320"</f>
        <v>3176332108325320</v>
      </c>
      <c r="I2616" s="6" t="s">
        <v>10854</v>
      </c>
      <c r="J2616" s="6" t="str">
        <f>"VENT SKIRT"</f>
        <v>VENT SKIRT</v>
      </c>
      <c r="K2616" s="6">
        <v>0</v>
      </c>
      <c r="L2616" s="6">
        <v>0</v>
      </c>
      <c r="M2616" s="6">
        <v>0</v>
      </c>
      <c r="N2616" s="6" t="str">
        <f>""</f>
        <v/>
      </c>
      <c r="O2616" s="6">
        <v>24355</v>
      </c>
      <c r="P2616" s="6" t="s">
        <v>10855</v>
      </c>
      <c r="R2616" s="6" t="s">
        <v>10856</v>
      </c>
      <c r="S2616" s="6" t="s">
        <v>10857</v>
      </c>
      <c r="T2616" s="6">
        <v>2</v>
      </c>
      <c r="U2616" s="6">
        <v>0</v>
      </c>
      <c r="V2616" s="6">
        <v>0</v>
      </c>
      <c r="W2616" s="6">
        <v>0</v>
      </c>
      <c r="X2616" s="6" t="s">
        <v>169</v>
      </c>
      <c r="Z2616" s="6" t="s">
        <v>170</v>
      </c>
      <c r="AA2616" s="6" t="s">
        <v>171</v>
      </c>
      <c r="AB2616" s="6">
        <v>0</v>
      </c>
      <c r="AC2616" s="6" t="str">
        <f>"KEY-047"</f>
        <v>KEY-047</v>
      </c>
      <c r="AQ2616" s="6" t="str">
        <f>""</f>
        <v/>
      </c>
      <c r="AR2616" s="6" t="s">
        <v>1567</v>
      </c>
      <c r="AS2616" s="6">
        <v>0</v>
      </c>
      <c r="AT2616" s="6">
        <v>2</v>
      </c>
    </row>
    <row r="2617" spans="2:46">
      <c r="B2617" s="6" t="s">
        <v>109</v>
      </c>
      <c r="D2617" s="6" t="s">
        <v>8189</v>
      </c>
      <c r="F2617" s="6" t="s">
        <v>10858</v>
      </c>
      <c r="G2617" s="6" t="str">
        <f>"3176332108299320"</f>
        <v>3176332108299320</v>
      </c>
      <c r="I2617" s="6" t="s">
        <v>10854</v>
      </c>
      <c r="J2617" s="6" t="str">
        <f>"VENT SKIRT"</f>
        <v>VENT SKIRT</v>
      </c>
      <c r="K2617" s="6">
        <v>0</v>
      </c>
      <c r="L2617" s="6">
        <v>0</v>
      </c>
      <c r="M2617" s="6">
        <v>0</v>
      </c>
      <c r="N2617" s="6" t="str">
        <f>""</f>
        <v/>
      </c>
      <c r="O2617" s="6">
        <v>24354</v>
      </c>
      <c r="P2617" s="6" t="s">
        <v>10859</v>
      </c>
      <c r="R2617" s="6" t="s">
        <v>2106</v>
      </c>
      <c r="S2617" s="6" t="s">
        <v>10860</v>
      </c>
      <c r="T2617" s="6">
        <v>2</v>
      </c>
      <c r="U2617" s="6">
        <v>0</v>
      </c>
      <c r="V2617" s="6">
        <v>0</v>
      </c>
      <c r="W2617" s="6">
        <v>0</v>
      </c>
      <c r="X2617" s="6" t="s">
        <v>169</v>
      </c>
      <c r="Z2617" s="6" t="s">
        <v>170</v>
      </c>
      <c r="AA2617" s="6" t="s">
        <v>171</v>
      </c>
      <c r="AB2617" s="6">
        <v>0</v>
      </c>
      <c r="AC2617" s="6" t="str">
        <f>"KEY-008"</f>
        <v>KEY-008</v>
      </c>
      <c r="AQ2617" s="6" t="str">
        <f>""</f>
        <v/>
      </c>
      <c r="AR2617" s="6" t="s">
        <v>1584</v>
      </c>
      <c r="AS2617" s="6">
        <v>0</v>
      </c>
      <c r="AT2617" s="6">
        <v>2</v>
      </c>
    </row>
    <row r="2618" spans="2:46">
      <c r="B2618" s="6" t="s">
        <v>109</v>
      </c>
      <c r="D2618" s="6" t="s">
        <v>8189</v>
      </c>
      <c r="F2618" s="6" t="s">
        <v>10861</v>
      </c>
      <c r="G2618" s="6" t="str">
        <f>"3176332108125120"</f>
        <v>3176332108125120</v>
      </c>
      <c r="I2618" s="6" t="s">
        <v>10862</v>
      </c>
      <c r="J2618" s="6" t="str">
        <f>"ZIPPER MINI SKIRT"</f>
        <v>ZIPPER MINI SKIRT</v>
      </c>
      <c r="K2618" s="6">
        <v>0</v>
      </c>
      <c r="L2618" s="6">
        <v>0</v>
      </c>
      <c r="M2618" s="6">
        <v>0</v>
      </c>
      <c r="N2618" s="6" t="str">
        <f>""</f>
        <v/>
      </c>
      <c r="O2618" s="6">
        <v>24352</v>
      </c>
      <c r="P2618" s="6" t="s">
        <v>10863</v>
      </c>
      <c r="R2618" s="6" t="s">
        <v>10856</v>
      </c>
      <c r="S2618" s="6" t="s">
        <v>10864</v>
      </c>
      <c r="T2618" s="6">
        <v>1</v>
      </c>
      <c r="U2618" s="6">
        <v>0</v>
      </c>
      <c r="V2618" s="6">
        <v>0</v>
      </c>
      <c r="W2618" s="6">
        <v>0</v>
      </c>
      <c r="X2618" s="6" t="s">
        <v>169</v>
      </c>
      <c r="Z2618" s="6" t="s">
        <v>170</v>
      </c>
      <c r="AA2618" s="6" t="s">
        <v>171</v>
      </c>
      <c r="AB2618" s="6">
        <v>0</v>
      </c>
      <c r="AC2618" s="6" t="str">
        <f>"KEY-019"</f>
        <v>KEY-019</v>
      </c>
      <c r="AQ2618" s="6" t="str">
        <f>""</f>
        <v/>
      </c>
      <c r="AR2618" s="6" t="s">
        <v>1567</v>
      </c>
      <c r="AS2618" s="6">
        <v>0</v>
      </c>
      <c r="AT2618" s="6">
        <v>1</v>
      </c>
    </row>
    <row r="2619" spans="2:46">
      <c r="B2619" s="6" t="s">
        <v>109</v>
      </c>
      <c r="D2619" s="6" t="s">
        <v>8189</v>
      </c>
      <c r="F2619" s="6" t="s">
        <v>10865</v>
      </c>
      <c r="G2619" s="6" t="str">
        <f>"3176332108099120"</f>
        <v>3176332108099120</v>
      </c>
      <c r="H2619" s="6">
        <v>3176332108099120</v>
      </c>
      <c r="I2619" s="6" t="s">
        <v>10862</v>
      </c>
      <c r="J2619" s="6" t="str">
        <f>"ZIPPER MINI SKIRT"</f>
        <v>ZIPPER MINI SKIRT</v>
      </c>
      <c r="K2619" s="6">
        <v>0</v>
      </c>
      <c r="L2619" s="6">
        <v>0</v>
      </c>
      <c r="M2619" s="6">
        <v>0</v>
      </c>
      <c r="N2619" s="6" t="str">
        <f>""</f>
        <v/>
      </c>
      <c r="O2619" s="6">
        <v>24351</v>
      </c>
      <c r="P2619" s="6" t="s">
        <v>10866</v>
      </c>
      <c r="R2619" s="6" t="s">
        <v>2106</v>
      </c>
      <c r="S2619" s="6" t="s">
        <v>10867</v>
      </c>
      <c r="T2619" s="6">
        <v>0</v>
      </c>
      <c r="U2619" s="6">
        <v>0</v>
      </c>
      <c r="V2619" s="6">
        <v>0</v>
      </c>
      <c r="W2619" s="6">
        <v>0</v>
      </c>
      <c r="X2619" s="6" t="s">
        <v>169</v>
      </c>
      <c r="Z2619" s="6" t="s">
        <v>170</v>
      </c>
      <c r="AA2619" s="6" t="s">
        <v>171</v>
      </c>
      <c r="AB2619" s="6">
        <v>0</v>
      </c>
      <c r="AC2619" s="6" t="str">
        <f>""</f>
        <v/>
      </c>
      <c r="AS2619" s="6">
        <v>0</v>
      </c>
      <c r="AT2619" s="6">
        <v>0</v>
      </c>
    </row>
    <row r="2620" spans="2:46">
      <c r="B2620" s="6" t="s">
        <v>109</v>
      </c>
      <c r="D2620" s="6" t="s">
        <v>8189</v>
      </c>
      <c r="F2620" s="6" t="s">
        <v>10868</v>
      </c>
      <c r="G2620" s="6" t="str">
        <f>"3176322104325320"</f>
        <v>3176322104325320</v>
      </c>
      <c r="I2620" s="6" t="s">
        <v>10869</v>
      </c>
      <c r="J2620" s="6" t="str">
        <f>"DENIM SEMI BOOTS CUT PANTS"</f>
        <v>DENIM SEMI BOOTS CUT PANTS</v>
      </c>
      <c r="K2620" s="6">
        <v>0</v>
      </c>
      <c r="L2620" s="6">
        <v>0</v>
      </c>
      <c r="M2620" s="6">
        <v>0</v>
      </c>
      <c r="N2620" s="6" t="str">
        <f>""</f>
        <v/>
      </c>
      <c r="O2620" s="6">
        <v>24349</v>
      </c>
      <c r="P2620" s="6" t="s">
        <v>10870</v>
      </c>
      <c r="R2620" s="6" t="s">
        <v>10856</v>
      </c>
      <c r="S2620" s="6" t="s">
        <v>10871</v>
      </c>
      <c r="T2620" s="6">
        <v>1</v>
      </c>
      <c r="U2620" s="6">
        <v>0</v>
      </c>
      <c r="V2620" s="6">
        <v>0</v>
      </c>
      <c r="W2620" s="6">
        <v>0</v>
      </c>
      <c r="X2620" s="6" t="s">
        <v>169</v>
      </c>
      <c r="Z2620" s="6" t="s">
        <v>170</v>
      </c>
      <c r="AA2620" s="6" t="s">
        <v>171</v>
      </c>
      <c r="AB2620" s="6">
        <v>0</v>
      </c>
      <c r="AC2620" s="6" t="str">
        <f>"KEY-007"</f>
        <v>KEY-007</v>
      </c>
      <c r="AQ2620" s="6" t="str">
        <f>""</f>
        <v/>
      </c>
      <c r="AR2620" s="6" t="s">
        <v>1584</v>
      </c>
      <c r="AS2620" s="6">
        <v>0</v>
      </c>
      <c r="AT2620" s="6">
        <v>2</v>
      </c>
    </row>
    <row r="2621" spans="2:46">
      <c r="B2621" s="6" t="s">
        <v>109</v>
      </c>
      <c r="D2621" s="6" t="s">
        <v>8189</v>
      </c>
      <c r="F2621" s="6" t="s">
        <v>10872</v>
      </c>
      <c r="G2621" s="6" t="str">
        <f>"3176312103999320"</f>
        <v>3176312103999320</v>
      </c>
      <c r="H2621" s="6">
        <v>3176312103999320</v>
      </c>
      <c r="I2621" s="6" t="s">
        <v>10873</v>
      </c>
      <c r="J2621" s="6" t="str">
        <f>"BELT STRAIGHT PANTS"</f>
        <v>BELT STRAIGHT PANTS</v>
      </c>
      <c r="K2621" s="6">
        <v>0</v>
      </c>
      <c r="L2621" s="6">
        <v>0</v>
      </c>
      <c r="M2621" s="6">
        <v>0</v>
      </c>
      <c r="N2621" s="6" t="str">
        <f>""</f>
        <v/>
      </c>
      <c r="O2621" s="6">
        <v>24347</v>
      </c>
      <c r="P2621" s="6" t="s">
        <v>10874</v>
      </c>
      <c r="R2621" s="6" t="s">
        <v>2106</v>
      </c>
      <c r="S2621" s="6" t="s">
        <v>10875</v>
      </c>
      <c r="T2621" s="6">
        <v>0</v>
      </c>
      <c r="U2621" s="6">
        <v>0</v>
      </c>
      <c r="V2621" s="6">
        <v>0</v>
      </c>
      <c r="W2621" s="6">
        <v>0</v>
      </c>
      <c r="X2621" s="6" t="s">
        <v>169</v>
      </c>
      <c r="Z2621" s="6" t="s">
        <v>170</v>
      </c>
      <c r="AA2621" s="6" t="s">
        <v>171</v>
      </c>
      <c r="AB2621" s="6">
        <v>0</v>
      </c>
      <c r="AC2621" s="6" t="str">
        <f>""</f>
        <v/>
      </c>
      <c r="AS2621" s="6">
        <v>0</v>
      </c>
      <c r="AT2621" s="6">
        <v>0</v>
      </c>
    </row>
    <row r="2622" spans="2:46">
      <c r="B2622" s="6" t="s">
        <v>109</v>
      </c>
      <c r="D2622" s="6" t="s">
        <v>8189</v>
      </c>
      <c r="F2622" s="6" t="s">
        <v>10876</v>
      </c>
      <c r="G2622" s="6" t="str">
        <f>"3176312103930320"</f>
        <v>3176312103930320</v>
      </c>
      <c r="I2622" s="6" t="s">
        <v>10873</v>
      </c>
      <c r="J2622" s="6" t="str">
        <f>"BELT STRAIGHT PANTS"</f>
        <v>BELT STRAIGHT PANTS</v>
      </c>
      <c r="K2622" s="6">
        <v>0</v>
      </c>
      <c r="L2622" s="6">
        <v>0</v>
      </c>
      <c r="M2622" s="6">
        <v>0</v>
      </c>
      <c r="N2622" s="6" t="str">
        <f>""</f>
        <v/>
      </c>
      <c r="O2622" s="6">
        <v>24346</v>
      </c>
      <c r="P2622" s="6" t="s">
        <v>10877</v>
      </c>
      <c r="R2622" s="6" t="s">
        <v>2111</v>
      </c>
      <c r="S2622" s="6" t="s">
        <v>10878</v>
      </c>
      <c r="T2622" s="6">
        <v>1</v>
      </c>
      <c r="U2622" s="6">
        <v>0</v>
      </c>
      <c r="V2622" s="6">
        <v>0</v>
      </c>
      <c r="W2622" s="6">
        <v>0</v>
      </c>
      <c r="X2622" s="6" t="s">
        <v>169</v>
      </c>
      <c r="Z2622" s="6" t="s">
        <v>170</v>
      </c>
      <c r="AA2622" s="6" t="s">
        <v>171</v>
      </c>
      <c r="AB2622" s="6">
        <v>0</v>
      </c>
      <c r="AC2622" s="6" t="str">
        <f>"KEY-019"</f>
        <v>KEY-019</v>
      </c>
      <c r="AQ2622" s="6" t="str">
        <f>""</f>
        <v/>
      </c>
      <c r="AR2622" s="6" t="s">
        <v>1567</v>
      </c>
      <c r="AS2622" s="6">
        <v>0</v>
      </c>
      <c r="AT2622" s="6">
        <v>1</v>
      </c>
    </row>
    <row r="2623" spans="2:46">
      <c r="B2623" s="6" t="s">
        <v>109</v>
      </c>
      <c r="D2623" s="6" t="s">
        <v>8189</v>
      </c>
      <c r="F2623" s="6" t="s">
        <v>10879</v>
      </c>
      <c r="G2623" s="6" t="str">
        <f>"3167112119699120"</f>
        <v>3167112119699120</v>
      </c>
      <c r="H2623" s="6">
        <v>3167112119699120</v>
      </c>
      <c r="I2623" s="6" t="s">
        <v>10880</v>
      </c>
      <c r="J2623" s="6" t="str">
        <f>"D FUR COAT"</f>
        <v>D FUR COAT</v>
      </c>
      <c r="K2623" s="6">
        <v>0</v>
      </c>
      <c r="L2623" s="6">
        <v>0</v>
      </c>
      <c r="M2623" s="6">
        <v>0</v>
      </c>
      <c r="N2623" s="6" t="str">
        <f>""</f>
        <v/>
      </c>
      <c r="O2623" s="6">
        <v>24344</v>
      </c>
      <c r="P2623" s="6" t="s">
        <v>10881</v>
      </c>
      <c r="R2623" s="6" t="s">
        <v>2106</v>
      </c>
      <c r="S2623" s="6" t="s">
        <v>10882</v>
      </c>
      <c r="T2623" s="6">
        <v>0</v>
      </c>
      <c r="U2623" s="6">
        <v>0</v>
      </c>
      <c r="V2623" s="6">
        <v>0</v>
      </c>
      <c r="W2623" s="6">
        <v>0</v>
      </c>
      <c r="X2623" s="6" t="s">
        <v>169</v>
      </c>
      <c r="Z2623" s="6" t="s">
        <v>170</v>
      </c>
      <c r="AA2623" s="6" t="s">
        <v>171</v>
      </c>
      <c r="AB2623" s="6">
        <v>0</v>
      </c>
      <c r="AC2623" s="6" t="str">
        <f>""</f>
        <v/>
      </c>
      <c r="AS2623" s="6">
        <v>0</v>
      </c>
      <c r="AT2623" s="6">
        <v>0</v>
      </c>
    </row>
    <row r="2624" spans="2:46">
      <c r="B2624" s="6" t="s">
        <v>109</v>
      </c>
      <c r="D2624" s="6" t="s">
        <v>8189</v>
      </c>
      <c r="F2624" s="6" t="s">
        <v>10883</v>
      </c>
      <c r="G2624" s="6" t="str">
        <f>"3167112119695120"</f>
        <v>3167112119695120</v>
      </c>
      <c r="H2624" s="6">
        <v>3167112119695120</v>
      </c>
      <c r="I2624" s="6" t="s">
        <v>10880</v>
      </c>
      <c r="J2624" s="6" t="str">
        <f>"D FUR COAT"</f>
        <v>D FUR COAT</v>
      </c>
      <c r="K2624" s="6">
        <v>0</v>
      </c>
      <c r="L2624" s="6">
        <v>0</v>
      </c>
      <c r="M2624" s="6">
        <v>0</v>
      </c>
      <c r="N2624" s="6" t="str">
        <f>""</f>
        <v/>
      </c>
      <c r="O2624" s="6">
        <v>24343</v>
      </c>
      <c r="P2624" s="6" t="s">
        <v>10884</v>
      </c>
      <c r="R2624" s="6" t="s">
        <v>2187</v>
      </c>
      <c r="S2624" s="6" t="s">
        <v>10885</v>
      </c>
      <c r="T2624" s="6">
        <v>0</v>
      </c>
      <c r="U2624" s="6">
        <v>0</v>
      </c>
      <c r="V2624" s="6">
        <v>0</v>
      </c>
      <c r="W2624" s="6">
        <v>0</v>
      </c>
      <c r="X2624" s="6" t="s">
        <v>169</v>
      </c>
      <c r="Z2624" s="6" t="s">
        <v>170</v>
      </c>
      <c r="AA2624" s="6" t="s">
        <v>171</v>
      </c>
      <c r="AB2624" s="6">
        <v>0</v>
      </c>
      <c r="AC2624" s="6" t="str">
        <f>""</f>
        <v/>
      </c>
      <c r="AS2624" s="6">
        <v>0</v>
      </c>
      <c r="AT2624" s="6">
        <v>0</v>
      </c>
    </row>
    <row r="2625" spans="2:46">
      <c r="B2625" s="6" t="s">
        <v>109</v>
      </c>
      <c r="D2625" s="6" t="s">
        <v>8189</v>
      </c>
      <c r="F2625" s="6" t="s">
        <v>10886</v>
      </c>
      <c r="G2625" s="6" t="str">
        <f>"3167124112999120"</f>
        <v>3167124112999120</v>
      </c>
      <c r="H2625" s="6">
        <v>3167124112999120</v>
      </c>
      <c r="I2625" s="6" t="s">
        <v>10887</v>
      </c>
      <c r="J2625" s="6" t="str">
        <f>"D LONG PADDING"</f>
        <v>D LONG PADDING</v>
      </c>
      <c r="K2625" s="6">
        <v>0</v>
      </c>
      <c r="L2625" s="6">
        <v>0</v>
      </c>
      <c r="M2625" s="6">
        <v>0</v>
      </c>
      <c r="N2625" s="6" t="str">
        <f>""</f>
        <v/>
      </c>
      <c r="O2625" s="6">
        <v>24341</v>
      </c>
      <c r="P2625" s="6" t="s">
        <v>10888</v>
      </c>
      <c r="R2625" s="6" t="s">
        <v>2106</v>
      </c>
      <c r="S2625" s="6" t="s">
        <v>10889</v>
      </c>
      <c r="T2625" s="6">
        <v>0</v>
      </c>
      <c r="U2625" s="6">
        <v>0</v>
      </c>
      <c r="V2625" s="6">
        <v>0</v>
      </c>
      <c r="W2625" s="6">
        <v>0</v>
      </c>
      <c r="X2625" s="6" t="s">
        <v>169</v>
      </c>
      <c r="Z2625" s="6" t="s">
        <v>170</v>
      </c>
      <c r="AA2625" s="6" t="s">
        <v>171</v>
      </c>
      <c r="AB2625" s="6">
        <v>0</v>
      </c>
      <c r="AC2625" s="6" t="str">
        <f>""</f>
        <v/>
      </c>
      <c r="AS2625" s="6">
        <v>0</v>
      </c>
      <c r="AT2625" s="6">
        <v>0</v>
      </c>
    </row>
    <row r="2626" spans="2:46">
      <c r="B2626" s="6" t="s">
        <v>109</v>
      </c>
      <c r="D2626" s="6" t="s">
        <v>8189</v>
      </c>
      <c r="F2626" s="6" t="s">
        <v>10890</v>
      </c>
      <c r="G2626" s="6" t="str">
        <f>"3167132108899120"</f>
        <v>3167132108899120</v>
      </c>
      <c r="H2626" s="6">
        <v>3167132108899120</v>
      </c>
      <c r="I2626" s="6" t="s">
        <v>10891</v>
      </c>
      <c r="J2626" s="6" t="str">
        <f>"D FUR JACKET"</f>
        <v>D FUR JACKET</v>
      </c>
      <c r="K2626" s="6">
        <v>0</v>
      </c>
      <c r="L2626" s="6">
        <v>0</v>
      </c>
      <c r="M2626" s="6">
        <v>0</v>
      </c>
      <c r="N2626" s="6" t="str">
        <f>""</f>
        <v/>
      </c>
      <c r="O2626" s="6">
        <v>24339</v>
      </c>
      <c r="P2626" s="6" t="s">
        <v>10892</v>
      </c>
      <c r="R2626" s="6" t="s">
        <v>2106</v>
      </c>
      <c r="S2626" s="6" t="s">
        <v>10893</v>
      </c>
      <c r="T2626" s="6">
        <v>0</v>
      </c>
      <c r="U2626" s="6">
        <v>0</v>
      </c>
      <c r="V2626" s="6">
        <v>0</v>
      </c>
      <c r="W2626" s="6">
        <v>0</v>
      </c>
      <c r="X2626" s="6" t="s">
        <v>169</v>
      </c>
      <c r="Z2626" s="6" t="s">
        <v>170</v>
      </c>
      <c r="AA2626" s="6" t="s">
        <v>171</v>
      </c>
      <c r="AB2626" s="6">
        <v>0</v>
      </c>
      <c r="AC2626" s="6" t="str">
        <f>""</f>
        <v/>
      </c>
      <c r="AS2626" s="6">
        <v>0</v>
      </c>
      <c r="AT2626" s="6">
        <v>0</v>
      </c>
    </row>
    <row r="2627" spans="2:46">
      <c r="B2627" s="6" t="s">
        <v>109</v>
      </c>
      <c r="D2627" s="6" t="s">
        <v>8189</v>
      </c>
      <c r="F2627" s="6" t="s">
        <v>10894</v>
      </c>
      <c r="G2627" s="6" t="str">
        <f>"3167132108895120"</f>
        <v>3167132108895120</v>
      </c>
      <c r="H2627" s="6">
        <v>3167132108895120</v>
      </c>
      <c r="I2627" s="6" t="s">
        <v>10891</v>
      </c>
      <c r="J2627" s="6" t="str">
        <f>"D FUR JACKET"</f>
        <v>D FUR JACKET</v>
      </c>
      <c r="K2627" s="6">
        <v>0</v>
      </c>
      <c r="L2627" s="6">
        <v>0</v>
      </c>
      <c r="M2627" s="6">
        <v>0</v>
      </c>
      <c r="N2627" s="6" t="str">
        <f>""</f>
        <v/>
      </c>
      <c r="O2627" s="6">
        <v>24338</v>
      </c>
      <c r="P2627" s="6" t="s">
        <v>10895</v>
      </c>
      <c r="R2627" s="6" t="s">
        <v>2187</v>
      </c>
      <c r="S2627" s="6" t="s">
        <v>10896</v>
      </c>
      <c r="T2627" s="6">
        <v>0</v>
      </c>
      <c r="U2627" s="6">
        <v>0</v>
      </c>
      <c r="V2627" s="6">
        <v>0</v>
      </c>
      <c r="W2627" s="6">
        <v>0</v>
      </c>
      <c r="X2627" s="6" t="s">
        <v>169</v>
      </c>
      <c r="Z2627" s="6" t="s">
        <v>170</v>
      </c>
      <c r="AA2627" s="6" t="s">
        <v>171</v>
      </c>
      <c r="AB2627" s="6">
        <v>0</v>
      </c>
      <c r="AC2627" s="6" t="str">
        <f>""</f>
        <v/>
      </c>
      <c r="AS2627" s="6">
        <v>0</v>
      </c>
      <c r="AT2627" s="6">
        <v>0</v>
      </c>
    </row>
    <row r="2628" spans="2:46">
      <c r="B2628" s="6" t="s">
        <v>109</v>
      </c>
      <c r="D2628" s="6" t="s">
        <v>8189</v>
      </c>
      <c r="F2628" s="6" t="s">
        <v>10897</v>
      </c>
      <c r="G2628" s="6" t="str">
        <f>"3167252123899120"</f>
        <v>3167252123899120</v>
      </c>
      <c r="H2628" s="6">
        <v>3167252123899120</v>
      </c>
      <c r="I2628" s="6" t="s">
        <v>10898</v>
      </c>
      <c r="J2628" s="6" t="str">
        <f>"V-NECK SHIRT ONEPIECE"</f>
        <v>V-NECK SHIRT ONEPIECE</v>
      </c>
      <c r="K2628" s="6">
        <v>0</v>
      </c>
      <c r="L2628" s="6">
        <v>0</v>
      </c>
      <c r="M2628" s="6">
        <v>0</v>
      </c>
      <c r="N2628" s="6" t="str">
        <f>""</f>
        <v/>
      </c>
      <c r="O2628" s="6">
        <v>24336</v>
      </c>
      <c r="P2628" s="6" t="s">
        <v>10899</v>
      </c>
      <c r="R2628" s="6" t="s">
        <v>2106</v>
      </c>
      <c r="S2628" s="6" t="s">
        <v>10900</v>
      </c>
      <c r="T2628" s="6">
        <v>0</v>
      </c>
      <c r="U2628" s="6">
        <v>0</v>
      </c>
      <c r="V2628" s="6">
        <v>0</v>
      </c>
      <c r="W2628" s="6">
        <v>0</v>
      </c>
      <c r="X2628" s="6" t="s">
        <v>169</v>
      </c>
      <c r="Z2628" s="6" t="s">
        <v>170</v>
      </c>
      <c r="AA2628" s="6" t="s">
        <v>171</v>
      </c>
      <c r="AB2628" s="6">
        <v>0</v>
      </c>
      <c r="AC2628" s="6" t="str">
        <f>""</f>
        <v/>
      </c>
      <c r="AS2628" s="6">
        <v>0</v>
      </c>
      <c r="AT2628" s="6">
        <v>0</v>
      </c>
    </row>
    <row r="2629" spans="2:46">
      <c r="B2629" s="6" t="s">
        <v>109</v>
      </c>
      <c r="D2629" s="6" t="s">
        <v>8189</v>
      </c>
      <c r="F2629" s="6" t="s">
        <v>10901</v>
      </c>
      <c r="G2629" s="6" t="str">
        <f>"3167252123844120"</f>
        <v>3167252123844120</v>
      </c>
      <c r="H2629" s="6">
        <v>3167252123844120</v>
      </c>
      <c r="I2629" s="6" t="s">
        <v>10898</v>
      </c>
      <c r="J2629" s="6" t="str">
        <f>"V-NECK SHIRT ONEPIECE"</f>
        <v>V-NECK SHIRT ONEPIECE</v>
      </c>
      <c r="K2629" s="6">
        <v>0</v>
      </c>
      <c r="L2629" s="6">
        <v>0</v>
      </c>
      <c r="M2629" s="6">
        <v>0</v>
      </c>
      <c r="N2629" s="6" t="str">
        <f>""</f>
        <v/>
      </c>
      <c r="O2629" s="6">
        <v>24335</v>
      </c>
      <c r="P2629" s="6" t="s">
        <v>10902</v>
      </c>
      <c r="R2629" s="6" t="s">
        <v>10903</v>
      </c>
      <c r="S2629" s="6" t="s">
        <v>10904</v>
      </c>
      <c r="T2629" s="6">
        <v>0</v>
      </c>
      <c r="U2629" s="6">
        <v>0</v>
      </c>
      <c r="V2629" s="6">
        <v>0</v>
      </c>
      <c r="W2629" s="6">
        <v>0</v>
      </c>
      <c r="X2629" s="6" t="s">
        <v>169</v>
      </c>
      <c r="Z2629" s="6" t="s">
        <v>170</v>
      </c>
      <c r="AA2629" s="6" t="s">
        <v>171</v>
      </c>
      <c r="AB2629" s="6">
        <v>0</v>
      </c>
      <c r="AC2629" s="6" t="str">
        <f>""</f>
        <v/>
      </c>
      <c r="AS2629" s="6">
        <v>0</v>
      </c>
      <c r="AT2629" s="6">
        <v>0</v>
      </c>
    </row>
    <row r="2630" spans="2:46">
      <c r="B2630" s="6" t="s">
        <v>109</v>
      </c>
      <c r="D2630" s="6" t="s">
        <v>8189</v>
      </c>
      <c r="F2630" s="6" t="s">
        <v>10905</v>
      </c>
      <c r="G2630" s="6" t="str">
        <f>"3167252122599120"</f>
        <v>3167252122599120</v>
      </c>
      <c r="I2630" s="6" t="s">
        <v>10906</v>
      </c>
      <c r="J2630" s="6" t="str">
        <f>"SHIRRING MAXI ONEPIECE"</f>
        <v>SHIRRING MAXI ONEPIECE</v>
      </c>
      <c r="K2630" s="6">
        <v>0</v>
      </c>
      <c r="L2630" s="6">
        <v>0</v>
      </c>
      <c r="M2630" s="6">
        <v>0</v>
      </c>
      <c r="N2630" s="6" t="str">
        <f>""</f>
        <v/>
      </c>
      <c r="O2630" s="6">
        <v>24333</v>
      </c>
      <c r="P2630" s="6" t="s">
        <v>10907</v>
      </c>
      <c r="R2630" s="6" t="s">
        <v>2106</v>
      </c>
      <c r="S2630" s="6" t="s">
        <v>10908</v>
      </c>
      <c r="T2630" s="6">
        <v>1</v>
      </c>
      <c r="U2630" s="6">
        <v>0</v>
      </c>
      <c r="V2630" s="6">
        <v>0</v>
      </c>
      <c r="W2630" s="6">
        <v>0</v>
      </c>
      <c r="X2630" s="6" t="s">
        <v>169</v>
      </c>
      <c r="Z2630" s="6" t="s">
        <v>170</v>
      </c>
      <c r="AA2630" s="6" t="s">
        <v>171</v>
      </c>
      <c r="AB2630" s="6">
        <v>0</v>
      </c>
      <c r="AC2630" s="6" t="str">
        <f>"KEY-025"</f>
        <v>KEY-025</v>
      </c>
      <c r="AQ2630" s="6" t="str">
        <f>""</f>
        <v/>
      </c>
      <c r="AR2630" s="6" t="s">
        <v>1567</v>
      </c>
      <c r="AS2630" s="6">
        <v>0</v>
      </c>
      <c r="AT2630" s="6">
        <v>1</v>
      </c>
    </row>
    <row r="2631" spans="2:46">
      <c r="B2631" s="6" t="s">
        <v>109</v>
      </c>
      <c r="D2631" s="6" t="s">
        <v>8189</v>
      </c>
      <c r="F2631" s="6" t="s">
        <v>10909</v>
      </c>
      <c r="G2631" s="6" t="str">
        <f>"3167252122530120"</f>
        <v>3167252122530120</v>
      </c>
      <c r="H2631" s="6">
        <v>3167252122530120</v>
      </c>
      <c r="I2631" s="6" t="s">
        <v>10906</v>
      </c>
      <c r="J2631" s="6" t="str">
        <f>"SHIRRING MAXI ONEPIECE"</f>
        <v>SHIRRING MAXI ONEPIECE</v>
      </c>
      <c r="K2631" s="6">
        <v>0</v>
      </c>
      <c r="L2631" s="6">
        <v>0</v>
      </c>
      <c r="M2631" s="6">
        <v>0</v>
      </c>
      <c r="N2631" s="6" t="str">
        <f>""</f>
        <v/>
      </c>
      <c r="O2631" s="6">
        <v>24332</v>
      </c>
      <c r="P2631" s="6" t="s">
        <v>10910</v>
      </c>
      <c r="R2631" s="6" t="s">
        <v>2111</v>
      </c>
      <c r="S2631" s="6" t="s">
        <v>10911</v>
      </c>
      <c r="T2631" s="6">
        <v>0</v>
      </c>
      <c r="U2631" s="6">
        <v>0</v>
      </c>
      <c r="V2631" s="6">
        <v>0</v>
      </c>
      <c r="W2631" s="6">
        <v>0</v>
      </c>
      <c r="X2631" s="6" t="s">
        <v>169</v>
      </c>
      <c r="Z2631" s="6" t="s">
        <v>170</v>
      </c>
      <c r="AA2631" s="6" t="s">
        <v>171</v>
      </c>
      <c r="AB2631" s="6">
        <v>0</v>
      </c>
      <c r="AC2631" s="6" t="str">
        <f>""</f>
        <v/>
      </c>
      <c r="AS2631" s="6">
        <v>0</v>
      </c>
      <c r="AT2631" s="6">
        <v>0</v>
      </c>
    </row>
    <row r="2632" spans="2:46">
      <c r="B2632" s="6" t="s">
        <v>109</v>
      </c>
      <c r="D2632" s="6" t="s">
        <v>8189</v>
      </c>
      <c r="F2632" s="6" t="s">
        <v>10912</v>
      </c>
      <c r="G2632" s="6" t="str">
        <f>"3167222142695208"</f>
        <v>3167222142695208</v>
      </c>
      <c r="I2632" s="6" t="s">
        <v>10913</v>
      </c>
      <c r="J2632" s="6" t="str">
        <f>"D HIGHNECK KNIT"</f>
        <v>D HIGHNECK KNIT</v>
      </c>
      <c r="K2632" s="6">
        <v>0</v>
      </c>
      <c r="L2632" s="6">
        <v>0</v>
      </c>
      <c r="M2632" s="6">
        <v>0</v>
      </c>
      <c r="N2632" s="6" t="str">
        <f>""</f>
        <v/>
      </c>
      <c r="O2632" s="6">
        <v>24330</v>
      </c>
      <c r="P2632" s="6" t="s">
        <v>10914</v>
      </c>
      <c r="R2632" s="6" t="s">
        <v>2187</v>
      </c>
      <c r="S2632" s="6" t="s">
        <v>10915</v>
      </c>
      <c r="T2632" s="6">
        <v>1</v>
      </c>
      <c r="U2632" s="6">
        <v>0</v>
      </c>
      <c r="V2632" s="6">
        <v>0</v>
      </c>
      <c r="W2632" s="6">
        <v>0</v>
      </c>
      <c r="X2632" s="6" t="s">
        <v>169</v>
      </c>
      <c r="Z2632" s="6" t="s">
        <v>170</v>
      </c>
      <c r="AA2632" s="6" t="s">
        <v>171</v>
      </c>
      <c r="AB2632" s="6">
        <v>0</v>
      </c>
      <c r="AC2632" s="6" t="str">
        <f>"KEY-017"</f>
        <v>KEY-017</v>
      </c>
      <c r="AQ2632" s="6" t="str">
        <f>""</f>
        <v/>
      </c>
      <c r="AR2632" s="6" t="s">
        <v>1567</v>
      </c>
      <c r="AS2632" s="6">
        <v>0</v>
      </c>
      <c r="AT2632" s="6">
        <v>1</v>
      </c>
    </row>
    <row r="2633" spans="2:46">
      <c r="B2633" s="6" t="s">
        <v>109</v>
      </c>
      <c r="D2633" s="6" t="s">
        <v>8189</v>
      </c>
      <c r="F2633" s="6" t="s">
        <v>10916</v>
      </c>
      <c r="G2633" s="6" t="str">
        <f>"3167222142669208"</f>
        <v>3167222142669208</v>
      </c>
      <c r="I2633" s="6" t="s">
        <v>10913</v>
      </c>
      <c r="J2633" s="6" t="str">
        <f>"D HIGHNECK KNIT"</f>
        <v>D HIGHNECK KNIT</v>
      </c>
      <c r="K2633" s="6">
        <v>0</v>
      </c>
      <c r="L2633" s="6">
        <v>0</v>
      </c>
      <c r="M2633" s="6">
        <v>0</v>
      </c>
      <c r="N2633" s="6" t="str">
        <f>""</f>
        <v/>
      </c>
      <c r="O2633" s="6">
        <v>24329</v>
      </c>
      <c r="P2633" s="6" t="s">
        <v>10917</v>
      </c>
      <c r="R2633" s="6" t="s">
        <v>2356</v>
      </c>
      <c r="S2633" s="6" t="s">
        <v>10918</v>
      </c>
      <c r="T2633" s="6">
        <v>1</v>
      </c>
      <c r="U2633" s="6">
        <v>0</v>
      </c>
      <c r="V2633" s="6">
        <v>0</v>
      </c>
      <c r="W2633" s="6">
        <v>0</v>
      </c>
      <c r="X2633" s="6" t="s">
        <v>169</v>
      </c>
      <c r="Z2633" s="6" t="s">
        <v>170</v>
      </c>
      <c r="AA2633" s="6" t="s">
        <v>171</v>
      </c>
      <c r="AB2633" s="6">
        <v>0</v>
      </c>
      <c r="AC2633" s="6" t="str">
        <f>"KEY-025"</f>
        <v>KEY-025</v>
      </c>
      <c r="AQ2633" s="6" t="str">
        <f>""</f>
        <v/>
      </c>
      <c r="AR2633" s="6" t="s">
        <v>1567</v>
      </c>
      <c r="AS2633" s="6">
        <v>0</v>
      </c>
      <c r="AT2633" s="6">
        <v>1</v>
      </c>
    </row>
    <row r="2634" spans="2:46">
      <c r="B2634" s="6" t="s">
        <v>109</v>
      </c>
      <c r="D2634" s="6" t="s">
        <v>8189</v>
      </c>
      <c r="F2634" s="6" t="s">
        <v>10919</v>
      </c>
      <c r="G2634" s="6" t="str">
        <f>"3167222142599208"</f>
        <v>3167222142599208</v>
      </c>
      <c r="H2634" s="6">
        <v>3167222142599200</v>
      </c>
      <c r="I2634" s="6" t="s">
        <v>10920</v>
      </c>
      <c r="J2634" s="6" t="str">
        <f>"D LOGO KNIT"</f>
        <v>D LOGO KNIT</v>
      </c>
      <c r="K2634" s="6">
        <v>0</v>
      </c>
      <c r="L2634" s="6">
        <v>0</v>
      </c>
      <c r="M2634" s="6">
        <v>0</v>
      </c>
      <c r="N2634" s="6" t="str">
        <f>""</f>
        <v/>
      </c>
      <c r="O2634" s="6">
        <v>24327</v>
      </c>
      <c r="P2634" s="6" t="s">
        <v>10921</v>
      </c>
      <c r="R2634" s="6" t="s">
        <v>2106</v>
      </c>
      <c r="S2634" s="6" t="s">
        <v>10922</v>
      </c>
      <c r="T2634" s="6">
        <v>0</v>
      </c>
      <c r="U2634" s="6">
        <v>0</v>
      </c>
      <c r="V2634" s="6">
        <v>0</v>
      </c>
      <c r="W2634" s="6">
        <v>0</v>
      </c>
      <c r="X2634" s="6" t="s">
        <v>169</v>
      </c>
      <c r="Z2634" s="6" t="s">
        <v>170</v>
      </c>
      <c r="AA2634" s="6" t="s">
        <v>171</v>
      </c>
      <c r="AB2634" s="6">
        <v>0</v>
      </c>
      <c r="AC2634" s="6" t="str">
        <f>""</f>
        <v/>
      </c>
      <c r="AS2634" s="6">
        <v>0</v>
      </c>
      <c r="AT2634" s="6">
        <v>0</v>
      </c>
    </row>
    <row r="2635" spans="2:46">
      <c r="B2635" s="6" t="s">
        <v>109</v>
      </c>
      <c r="D2635" s="6" t="s">
        <v>8189</v>
      </c>
      <c r="F2635" s="6" t="s">
        <v>10923</v>
      </c>
      <c r="G2635" s="6" t="str">
        <f>"3167222142544208"</f>
        <v>3167222142544208</v>
      </c>
      <c r="H2635" s="6">
        <v>3167222142544200</v>
      </c>
      <c r="I2635" s="6" t="s">
        <v>10920</v>
      </c>
      <c r="J2635" s="6" t="str">
        <f>"D LOGO KNIT"</f>
        <v>D LOGO KNIT</v>
      </c>
      <c r="K2635" s="6">
        <v>0</v>
      </c>
      <c r="L2635" s="6">
        <v>0</v>
      </c>
      <c r="M2635" s="6">
        <v>0</v>
      </c>
      <c r="N2635" s="6" t="str">
        <f>""</f>
        <v/>
      </c>
      <c r="O2635" s="6">
        <v>24326</v>
      </c>
      <c r="P2635" s="6" t="s">
        <v>10924</v>
      </c>
      <c r="R2635" s="6" t="s">
        <v>10903</v>
      </c>
      <c r="S2635" s="6" t="s">
        <v>10925</v>
      </c>
      <c r="T2635" s="6">
        <v>0</v>
      </c>
      <c r="U2635" s="6">
        <v>0</v>
      </c>
      <c r="V2635" s="6">
        <v>0</v>
      </c>
      <c r="W2635" s="6">
        <v>0</v>
      </c>
      <c r="X2635" s="6" t="s">
        <v>169</v>
      </c>
      <c r="Z2635" s="6" t="s">
        <v>170</v>
      </c>
      <c r="AA2635" s="6" t="s">
        <v>171</v>
      </c>
      <c r="AB2635" s="6">
        <v>0</v>
      </c>
      <c r="AC2635" s="6" t="str">
        <f>""</f>
        <v/>
      </c>
      <c r="AS2635" s="6">
        <v>0</v>
      </c>
      <c r="AT2635" s="6">
        <v>0</v>
      </c>
    </row>
    <row r="2636" spans="2:46">
      <c r="B2636" s="6" t="s">
        <v>109</v>
      </c>
      <c r="D2636" s="6" t="s">
        <v>8189</v>
      </c>
      <c r="F2636" s="6" t="s">
        <v>10926</v>
      </c>
      <c r="G2636" s="6" t="str">
        <f>"3167232119299208"</f>
        <v>3167232119299208</v>
      </c>
      <c r="I2636" s="6" t="s">
        <v>10927</v>
      </c>
      <c r="J2636" s="6" t="str">
        <f>"FUR SWEAT SHIRT"</f>
        <v>FUR SWEAT SHIRT</v>
      </c>
      <c r="K2636" s="6">
        <v>0</v>
      </c>
      <c r="L2636" s="6">
        <v>0</v>
      </c>
      <c r="M2636" s="6">
        <v>0</v>
      </c>
      <c r="N2636" s="6" t="str">
        <f>""</f>
        <v/>
      </c>
      <c r="O2636" s="6">
        <v>24324</v>
      </c>
      <c r="P2636" s="6" t="s">
        <v>10928</v>
      </c>
      <c r="R2636" s="6" t="s">
        <v>2106</v>
      </c>
      <c r="S2636" s="6" t="s">
        <v>10929</v>
      </c>
      <c r="T2636" s="6">
        <v>1</v>
      </c>
      <c r="U2636" s="6">
        <v>0</v>
      </c>
      <c r="V2636" s="6">
        <v>0</v>
      </c>
      <c r="W2636" s="6">
        <v>0</v>
      </c>
      <c r="X2636" s="6" t="s">
        <v>169</v>
      </c>
      <c r="Z2636" s="6" t="s">
        <v>170</v>
      </c>
      <c r="AA2636" s="6" t="s">
        <v>171</v>
      </c>
      <c r="AB2636" s="6">
        <v>0</v>
      </c>
      <c r="AC2636" s="6" t="str">
        <f>"KEY-017"</f>
        <v>KEY-017</v>
      </c>
      <c r="AQ2636" s="6" t="str">
        <f>""</f>
        <v/>
      </c>
      <c r="AR2636" s="6" t="s">
        <v>1567</v>
      </c>
      <c r="AS2636" s="6">
        <v>0</v>
      </c>
      <c r="AT2636" s="6">
        <v>1</v>
      </c>
    </row>
    <row r="2637" spans="2:46">
      <c r="B2637" s="6" t="s">
        <v>109</v>
      </c>
      <c r="D2637" s="6" t="s">
        <v>8189</v>
      </c>
      <c r="F2637" s="6" t="s">
        <v>10930</v>
      </c>
      <c r="G2637" s="6" t="str">
        <f>"3167232119274208"</f>
        <v>3167232119274208</v>
      </c>
      <c r="H2637" s="6">
        <v>3167232119274200</v>
      </c>
      <c r="I2637" s="6" t="s">
        <v>10927</v>
      </c>
      <c r="J2637" s="6" t="str">
        <f>"FUR SWEAT SHIRT"</f>
        <v>FUR SWEAT SHIRT</v>
      </c>
      <c r="K2637" s="6">
        <v>0</v>
      </c>
      <c r="L2637" s="6">
        <v>0</v>
      </c>
      <c r="M2637" s="6">
        <v>0</v>
      </c>
      <c r="N2637" s="6" t="str">
        <f>""</f>
        <v/>
      </c>
      <c r="O2637" s="6">
        <v>24323</v>
      </c>
      <c r="P2637" s="6" t="s">
        <v>10931</v>
      </c>
      <c r="R2637" s="6" t="s">
        <v>2102</v>
      </c>
      <c r="S2637" s="6" t="s">
        <v>10932</v>
      </c>
      <c r="T2637" s="6">
        <v>0</v>
      </c>
      <c r="U2637" s="6">
        <v>0</v>
      </c>
      <c r="V2637" s="6">
        <v>0</v>
      </c>
      <c r="W2637" s="6">
        <v>0</v>
      </c>
      <c r="X2637" s="6" t="s">
        <v>169</v>
      </c>
      <c r="Z2637" s="6" t="s">
        <v>170</v>
      </c>
      <c r="AA2637" s="6" t="s">
        <v>171</v>
      </c>
      <c r="AB2637" s="6">
        <v>0</v>
      </c>
      <c r="AC2637" s="6" t="str">
        <f>""</f>
        <v/>
      </c>
      <c r="AS2637" s="6">
        <v>0</v>
      </c>
      <c r="AT2637" s="6">
        <v>0</v>
      </c>
    </row>
    <row r="2638" spans="2:46">
      <c r="B2638" s="6" t="s">
        <v>109</v>
      </c>
      <c r="D2638" s="6" t="s">
        <v>8189</v>
      </c>
      <c r="F2638" s="6" t="s">
        <v>10933</v>
      </c>
      <c r="G2638" s="6" t="str">
        <f>"3167234163499208"</f>
        <v>3167234163499208</v>
      </c>
      <c r="H2638" s="6">
        <v>3167234163499200</v>
      </c>
      <c r="I2638" s="6" t="s">
        <v>10934</v>
      </c>
      <c r="J2638" s="6" t="str">
        <f>"LOGO HOODIE"</f>
        <v>LOGO HOODIE</v>
      </c>
      <c r="K2638" s="6">
        <v>0</v>
      </c>
      <c r="L2638" s="6">
        <v>0</v>
      </c>
      <c r="M2638" s="6">
        <v>0</v>
      </c>
      <c r="N2638" s="6" t="str">
        <f>""</f>
        <v/>
      </c>
      <c r="O2638" s="6">
        <v>24321</v>
      </c>
      <c r="P2638" s="6" t="s">
        <v>10935</v>
      </c>
      <c r="R2638" s="6" t="s">
        <v>2106</v>
      </c>
      <c r="S2638" s="6" t="s">
        <v>10936</v>
      </c>
      <c r="T2638" s="6">
        <v>0</v>
      </c>
      <c r="U2638" s="6">
        <v>0</v>
      </c>
      <c r="V2638" s="6">
        <v>0</v>
      </c>
      <c r="W2638" s="6">
        <v>0</v>
      </c>
      <c r="X2638" s="6" t="s">
        <v>169</v>
      </c>
      <c r="Z2638" s="6" t="s">
        <v>170</v>
      </c>
      <c r="AA2638" s="6" t="s">
        <v>171</v>
      </c>
      <c r="AB2638" s="6">
        <v>0</v>
      </c>
      <c r="AC2638" s="6" t="str">
        <f>""</f>
        <v/>
      </c>
      <c r="AS2638" s="6">
        <v>0</v>
      </c>
      <c r="AT2638" s="6">
        <v>0</v>
      </c>
    </row>
    <row r="2639" spans="2:46">
      <c r="B2639" s="6" t="s">
        <v>109</v>
      </c>
      <c r="D2639" s="6" t="s">
        <v>8189</v>
      </c>
      <c r="F2639" s="6" t="s">
        <v>10937</v>
      </c>
      <c r="G2639" s="6" t="str">
        <f>"3167234163444208"</f>
        <v>3167234163444208</v>
      </c>
      <c r="H2639" s="6">
        <v>3167234163444200</v>
      </c>
      <c r="I2639" s="6" t="s">
        <v>10934</v>
      </c>
      <c r="J2639" s="6" t="str">
        <f>"LOGO HOODIE"</f>
        <v>LOGO HOODIE</v>
      </c>
      <c r="K2639" s="6">
        <v>0</v>
      </c>
      <c r="L2639" s="6">
        <v>0</v>
      </c>
      <c r="M2639" s="6">
        <v>0</v>
      </c>
      <c r="N2639" s="6" t="str">
        <f>""</f>
        <v/>
      </c>
      <c r="O2639" s="6">
        <v>24320</v>
      </c>
      <c r="P2639" s="6" t="s">
        <v>10938</v>
      </c>
      <c r="R2639" s="6" t="s">
        <v>10903</v>
      </c>
      <c r="S2639" s="6" t="s">
        <v>10939</v>
      </c>
      <c r="T2639" s="6">
        <v>0</v>
      </c>
      <c r="U2639" s="6">
        <v>0</v>
      </c>
      <c r="V2639" s="6">
        <v>0</v>
      </c>
      <c r="W2639" s="6">
        <v>0</v>
      </c>
      <c r="X2639" s="6" t="s">
        <v>169</v>
      </c>
      <c r="Z2639" s="6" t="s">
        <v>170</v>
      </c>
      <c r="AA2639" s="6" t="s">
        <v>171</v>
      </c>
      <c r="AB2639" s="6">
        <v>0</v>
      </c>
      <c r="AC2639" s="6" t="str">
        <f>""</f>
        <v/>
      </c>
      <c r="AS2639" s="6">
        <v>0</v>
      </c>
      <c r="AT2639" s="6">
        <v>0</v>
      </c>
    </row>
    <row r="2640" spans="2:46">
      <c r="B2640" s="6" t="s">
        <v>109</v>
      </c>
      <c r="D2640" s="6" t="s">
        <v>8189</v>
      </c>
      <c r="F2640" s="6" t="s">
        <v>10940</v>
      </c>
      <c r="G2640" s="6" t="str">
        <f>"3167212113669208"</f>
        <v>3167212113669208</v>
      </c>
      <c r="H2640" s="6">
        <v>3167212113669200</v>
      </c>
      <c r="I2640" s="6" t="s">
        <v>10941</v>
      </c>
      <c r="J2640" s="6" t="str">
        <f>"LOGO CORDUROY SHIRT"</f>
        <v>LOGO CORDUROY SHIRT</v>
      </c>
      <c r="K2640" s="6">
        <v>0</v>
      </c>
      <c r="L2640" s="6">
        <v>0</v>
      </c>
      <c r="M2640" s="6">
        <v>0</v>
      </c>
      <c r="N2640" s="6" t="str">
        <f>""</f>
        <v/>
      </c>
      <c r="O2640" s="6">
        <v>24318</v>
      </c>
      <c r="P2640" s="6" t="s">
        <v>10942</v>
      </c>
      <c r="R2640" s="6" t="s">
        <v>2356</v>
      </c>
      <c r="S2640" s="6" t="s">
        <v>10943</v>
      </c>
      <c r="T2640" s="6">
        <v>0</v>
      </c>
      <c r="U2640" s="6">
        <v>0</v>
      </c>
      <c r="V2640" s="6">
        <v>0</v>
      </c>
      <c r="W2640" s="6">
        <v>0</v>
      </c>
      <c r="X2640" s="6" t="s">
        <v>169</v>
      </c>
      <c r="Z2640" s="6" t="s">
        <v>170</v>
      </c>
      <c r="AA2640" s="6" t="s">
        <v>171</v>
      </c>
      <c r="AB2640" s="6">
        <v>0</v>
      </c>
      <c r="AC2640" s="6" t="str">
        <f>""</f>
        <v/>
      </c>
      <c r="AS2640" s="6">
        <v>0</v>
      </c>
      <c r="AT2640" s="6">
        <v>0</v>
      </c>
    </row>
    <row r="2641" spans="2:46">
      <c r="B2641" s="6" t="s">
        <v>109</v>
      </c>
      <c r="D2641" s="6" t="s">
        <v>8189</v>
      </c>
      <c r="F2641" s="6" t="s">
        <v>10944</v>
      </c>
      <c r="G2641" s="6" t="str">
        <f>"3167332120399320"</f>
        <v>3167332120399320</v>
      </c>
      <c r="H2641" s="6">
        <v>3167332120399320</v>
      </c>
      <c r="I2641" s="6" t="s">
        <v>10945</v>
      </c>
      <c r="J2641" s="6" t="str">
        <f>"D CORDUROY SKIRT"</f>
        <v>D CORDUROY SKIRT</v>
      </c>
      <c r="K2641" s="6">
        <v>0</v>
      </c>
      <c r="L2641" s="6">
        <v>0</v>
      </c>
      <c r="M2641" s="6">
        <v>0</v>
      </c>
      <c r="N2641" s="6" t="str">
        <f>""</f>
        <v/>
      </c>
      <c r="O2641" s="6">
        <v>24316</v>
      </c>
      <c r="P2641" s="6" t="s">
        <v>10946</v>
      </c>
      <c r="R2641" s="6" t="s">
        <v>2106</v>
      </c>
      <c r="S2641" s="6" t="s">
        <v>10947</v>
      </c>
      <c r="T2641" s="6">
        <v>0</v>
      </c>
      <c r="U2641" s="6">
        <v>0</v>
      </c>
      <c r="V2641" s="6">
        <v>0</v>
      </c>
      <c r="W2641" s="6">
        <v>0</v>
      </c>
      <c r="X2641" s="6" t="s">
        <v>169</v>
      </c>
      <c r="Z2641" s="6" t="s">
        <v>170</v>
      </c>
      <c r="AA2641" s="6" t="s">
        <v>171</v>
      </c>
      <c r="AB2641" s="6">
        <v>0</v>
      </c>
      <c r="AC2641" s="6" t="str">
        <f>""</f>
        <v/>
      </c>
      <c r="AS2641" s="6">
        <v>0</v>
      </c>
      <c r="AT2641" s="6">
        <v>0</v>
      </c>
    </row>
    <row r="2642" spans="2:46">
      <c r="B2642" s="6" t="s">
        <v>109</v>
      </c>
      <c r="D2642" s="6" t="s">
        <v>8189</v>
      </c>
      <c r="F2642" s="6" t="s">
        <v>10948</v>
      </c>
      <c r="G2642" s="6" t="str">
        <f>"3167332120374320"</f>
        <v>3167332120374320</v>
      </c>
      <c r="H2642" s="6">
        <v>3167332120374320</v>
      </c>
      <c r="I2642" s="6" t="s">
        <v>10945</v>
      </c>
      <c r="J2642" s="6" t="str">
        <f>"D CORDUROY SKIRT"</f>
        <v>D CORDUROY SKIRT</v>
      </c>
      <c r="K2642" s="6">
        <v>0</v>
      </c>
      <c r="L2642" s="6">
        <v>0</v>
      </c>
      <c r="M2642" s="6">
        <v>0</v>
      </c>
      <c r="N2642" s="6" t="str">
        <f>""</f>
        <v/>
      </c>
      <c r="O2642" s="6">
        <v>24315</v>
      </c>
      <c r="P2642" s="6" t="s">
        <v>10949</v>
      </c>
      <c r="R2642" s="6" t="s">
        <v>2102</v>
      </c>
      <c r="S2642" s="6" t="s">
        <v>10950</v>
      </c>
      <c r="T2642" s="6">
        <v>0</v>
      </c>
      <c r="U2642" s="6">
        <v>0</v>
      </c>
      <c r="V2642" s="6">
        <v>0</v>
      </c>
      <c r="W2642" s="6">
        <v>0</v>
      </c>
      <c r="X2642" s="6" t="s">
        <v>169</v>
      </c>
      <c r="Z2642" s="6" t="s">
        <v>170</v>
      </c>
      <c r="AA2642" s="6" t="s">
        <v>171</v>
      </c>
      <c r="AB2642" s="6">
        <v>0</v>
      </c>
      <c r="AC2642" s="6" t="str">
        <f>""</f>
        <v/>
      </c>
      <c r="AS2642" s="6">
        <v>0</v>
      </c>
      <c r="AT2642" s="6">
        <v>0</v>
      </c>
    </row>
    <row r="2643" spans="2:46">
      <c r="B2643" s="6" t="s">
        <v>109</v>
      </c>
      <c r="D2643" s="6" t="s">
        <v>8189</v>
      </c>
      <c r="F2643" s="6" t="s">
        <v>10951</v>
      </c>
      <c r="G2643" s="6" t="str">
        <f>"3167312117299320"</f>
        <v>3167312117299320</v>
      </c>
      <c r="H2643" s="6">
        <v>3167312117299320</v>
      </c>
      <c r="I2643" s="6" t="s">
        <v>10952</v>
      </c>
      <c r="J2643" s="6" t="str">
        <f>"BASIC STRAIGHT PANTS"</f>
        <v>BASIC STRAIGHT PANTS</v>
      </c>
      <c r="K2643" s="6">
        <v>0</v>
      </c>
      <c r="L2643" s="6">
        <v>0</v>
      </c>
      <c r="M2643" s="6">
        <v>0</v>
      </c>
      <c r="N2643" s="6" t="str">
        <f>""</f>
        <v/>
      </c>
      <c r="O2643" s="6">
        <v>24313</v>
      </c>
      <c r="P2643" s="6" t="s">
        <v>10953</v>
      </c>
      <c r="R2643" s="6" t="s">
        <v>2106</v>
      </c>
      <c r="S2643" s="6" t="s">
        <v>10954</v>
      </c>
      <c r="T2643" s="6">
        <v>0</v>
      </c>
      <c r="U2643" s="6">
        <v>0</v>
      </c>
      <c r="V2643" s="6">
        <v>0</v>
      </c>
      <c r="W2643" s="6">
        <v>0</v>
      </c>
      <c r="X2643" s="6" t="s">
        <v>169</v>
      </c>
      <c r="Z2643" s="6" t="s">
        <v>170</v>
      </c>
      <c r="AA2643" s="6" t="s">
        <v>171</v>
      </c>
      <c r="AB2643" s="6">
        <v>0</v>
      </c>
      <c r="AC2643" s="6" t="str">
        <f>""</f>
        <v/>
      </c>
      <c r="AS2643" s="6">
        <v>0</v>
      </c>
      <c r="AT2643" s="6">
        <v>0</v>
      </c>
    </row>
    <row r="2644" spans="2:46">
      <c r="B2644" s="6" t="s">
        <v>109</v>
      </c>
      <c r="D2644" s="6" t="s">
        <v>8189</v>
      </c>
      <c r="F2644" s="6" t="s">
        <v>10955</v>
      </c>
      <c r="G2644" s="6" t="str">
        <f>"3167312117295320"</f>
        <v>3167312117295320</v>
      </c>
      <c r="H2644" s="6">
        <v>3167312117295320</v>
      </c>
      <c r="I2644" s="6" t="s">
        <v>10952</v>
      </c>
      <c r="J2644" s="6" t="str">
        <f>"BASIC STRAIGHT PANTS"</f>
        <v>BASIC STRAIGHT PANTS</v>
      </c>
      <c r="K2644" s="6">
        <v>0</v>
      </c>
      <c r="L2644" s="6">
        <v>0</v>
      </c>
      <c r="M2644" s="6">
        <v>0</v>
      </c>
      <c r="N2644" s="6" t="str">
        <f>""</f>
        <v/>
      </c>
      <c r="O2644" s="6">
        <v>24312</v>
      </c>
      <c r="P2644" s="6" t="s">
        <v>10956</v>
      </c>
      <c r="R2644" s="6" t="s">
        <v>2187</v>
      </c>
      <c r="S2644" s="6" t="s">
        <v>10957</v>
      </c>
      <c r="T2644" s="6">
        <v>0</v>
      </c>
      <c r="U2644" s="6">
        <v>0</v>
      </c>
      <c r="V2644" s="6">
        <v>0</v>
      </c>
      <c r="W2644" s="6">
        <v>0</v>
      </c>
      <c r="X2644" s="6" t="s">
        <v>169</v>
      </c>
      <c r="Z2644" s="6" t="s">
        <v>170</v>
      </c>
      <c r="AA2644" s="6" t="s">
        <v>171</v>
      </c>
      <c r="AB2644" s="6">
        <v>0</v>
      </c>
      <c r="AC2644" s="6" t="str">
        <f>""</f>
        <v/>
      </c>
      <c r="AS2644" s="6">
        <v>0</v>
      </c>
      <c r="AT2644" s="6">
        <v>0</v>
      </c>
    </row>
    <row r="2645" spans="2:46">
      <c r="B2645" s="6" t="s">
        <v>109</v>
      </c>
      <c r="D2645" s="6" t="s">
        <v>8189</v>
      </c>
      <c r="F2645" s="6" t="s">
        <v>10958</v>
      </c>
      <c r="G2645" s="6" t="str">
        <f>"3167112103399120"</f>
        <v>3167112103399120</v>
      </c>
      <c r="H2645" s="6">
        <v>3167112103399120</v>
      </c>
      <c r="I2645" s="6" t="s">
        <v>10959</v>
      </c>
      <c r="J2645" s="6" t="str">
        <f>"D.ROBE COAT"</f>
        <v>D.ROBE COAT</v>
      </c>
      <c r="K2645" s="6">
        <v>0</v>
      </c>
      <c r="L2645" s="6">
        <v>0</v>
      </c>
      <c r="M2645" s="6">
        <v>0</v>
      </c>
      <c r="N2645" s="6" t="str">
        <f>""</f>
        <v/>
      </c>
      <c r="O2645" s="6">
        <v>24310</v>
      </c>
      <c r="P2645" s="6" t="s">
        <v>10960</v>
      </c>
      <c r="R2645" s="6" t="s">
        <v>2106</v>
      </c>
      <c r="S2645" s="6" t="s">
        <v>10961</v>
      </c>
      <c r="T2645" s="6">
        <v>0</v>
      </c>
      <c r="U2645" s="6">
        <v>0</v>
      </c>
      <c r="V2645" s="6">
        <v>0</v>
      </c>
      <c r="W2645" s="6">
        <v>0</v>
      </c>
      <c r="X2645" s="6" t="s">
        <v>169</v>
      </c>
      <c r="Z2645" s="6" t="s">
        <v>170</v>
      </c>
      <c r="AA2645" s="6" t="s">
        <v>171</v>
      </c>
      <c r="AB2645" s="6">
        <v>0</v>
      </c>
      <c r="AC2645" s="6" t="str">
        <f>""</f>
        <v/>
      </c>
      <c r="AS2645" s="6">
        <v>0</v>
      </c>
      <c r="AT2645" s="6">
        <v>0</v>
      </c>
    </row>
    <row r="2646" spans="2:46">
      <c r="B2646" s="6" t="s">
        <v>109</v>
      </c>
      <c r="D2646" s="6" t="s">
        <v>8189</v>
      </c>
      <c r="F2646" s="6" t="s">
        <v>10962</v>
      </c>
      <c r="G2646" s="6" t="str">
        <f>"3167112103374120"</f>
        <v>3167112103374120</v>
      </c>
      <c r="H2646" s="6">
        <v>3167112103374120</v>
      </c>
      <c r="I2646" s="6" t="s">
        <v>10959</v>
      </c>
      <c r="J2646" s="6" t="str">
        <f>"D.ROBE COAT"</f>
        <v>D.ROBE COAT</v>
      </c>
      <c r="K2646" s="6">
        <v>0</v>
      </c>
      <c r="L2646" s="6">
        <v>0</v>
      </c>
      <c r="M2646" s="6">
        <v>0</v>
      </c>
      <c r="N2646" s="6" t="str">
        <f>""</f>
        <v/>
      </c>
      <c r="O2646" s="6">
        <v>24309</v>
      </c>
      <c r="P2646" s="6" t="s">
        <v>10963</v>
      </c>
      <c r="R2646" s="6" t="s">
        <v>2102</v>
      </c>
      <c r="S2646" s="6" t="s">
        <v>10964</v>
      </c>
      <c r="T2646" s="6">
        <v>0</v>
      </c>
      <c r="U2646" s="6">
        <v>0</v>
      </c>
      <c r="V2646" s="6">
        <v>0</v>
      </c>
      <c r="W2646" s="6">
        <v>0</v>
      </c>
      <c r="X2646" s="6" t="s">
        <v>169</v>
      </c>
      <c r="Z2646" s="6" t="s">
        <v>170</v>
      </c>
      <c r="AA2646" s="6" t="s">
        <v>171</v>
      </c>
      <c r="AB2646" s="6">
        <v>0</v>
      </c>
      <c r="AC2646" s="6" t="str">
        <f>""</f>
        <v/>
      </c>
      <c r="AS2646" s="6">
        <v>0</v>
      </c>
      <c r="AT2646" s="6">
        <v>0</v>
      </c>
    </row>
    <row r="2647" spans="2:46">
      <c r="B2647" s="6" t="s">
        <v>109</v>
      </c>
      <c r="D2647" s="6" t="s">
        <v>8189</v>
      </c>
      <c r="F2647" s="6" t="s">
        <v>10965</v>
      </c>
      <c r="G2647" s="6" t="str">
        <f>"3167252114799120"</f>
        <v>3167252114799120</v>
      </c>
      <c r="I2647" s="6" t="s">
        <v>10966</v>
      </c>
      <c r="J2647" s="6" t="str">
        <f>"D.POINT LONG SHIRT"</f>
        <v>D.POINT LONG SHIRT</v>
      </c>
      <c r="K2647" s="6">
        <v>0</v>
      </c>
      <c r="L2647" s="6">
        <v>0</v>
      </c>
      <c r="M2647" s="6">
        <v>0</v>
      </c>
      <c r="N2647" s="6" t="str">
        <f>""</f>
        <v/>
      </c>
      <c r="O2647" s="6">
        <v>24307</v>
      </c>
      <c r="P2647" s="6" t="s">
        <v>10967</v>
      </c>
      <c r="R2647" s="6" t="s">
        <v>2106</v>
      </c>
      <c r="S2647" s="6" t="s">
        <v>10968</v>
      </c>
      <c r="T2647" s="6">
        <v>1</v>
      </c>
      <c r="U2647" s="6">
        <v>0</v>
      </c>
      <c r="V2647" s="6">
        <v>0</v>
      </c>
      <c r="W2647" s="6">
        <v>0</v>
      </c>
      <c r="X2647" s="6" t="s">
        <v>169</v>
      </c>
      <c r="Z2647" s="6" t="s">
        <v>170</v>
      </c>
      <c r="AA2647" s="6" t="s">
        <v>171</v>
      </c>
      <c r="AB2647" s="6">
        <v>0</v>
      </c>
      <c r="AC2647" s="6" t="str">
        <f>"KEY-013"</f>
        <v>KEY-013</v>
      </c>
      <c r="AQ2647" s="6" t="str">
        <f>""</f>
        <v/>
      </c>
      <c r="AR2647" s="6" t="s">
        <v>1584</v>
      </c>
      <c r="AS2647" s="6">
        <v>0</v>
      </c>
      <c r="AT2647" s="6">
        <v>1</v>
      </c>
    </row>
    <row r="2648" spans="2:46">
      <c r="B2648" s="6" t="s">
        <v>109</v>
      </c>
      <c r="D2648" s="6" t="s">
        <v>8189</v>
      </c>
      <c r="F2648" s="6" t="s">
        <v>10969</v>
      </c>
      <c r="G2648" s="6" t="str">
        <f>"3167252109899208"</f>
        <v>3167252109899208</v>
      </c>
      <c r="H2648" s="6">
        <v>3167252109899200</v>
      </c>
      <c r="I2648" s="6" t="s">
        <v>10970</v>
      </c>
      <c r="J2648" s="6" t="str">
        <f>"D.POINT ONEPIECE"</f>
        <v>D.POINT ONEPIECE</v>
      </c>
      <c r="K2648" s="6">
        <v>0</v>
      </c>
      <c r="L2648" s="6">
        <v>0</v>
      </c>
      <c r="M2648" s="6">
        <v>0</v>
      </c>
      <c r="N2648" s="6" t="str">
        <f>""</f>
        <v/>
      </c>
      <c r="O2648" s="6">
        <v>24305</v>
      </c>
      <c r="P2648" s="6" t="s">
        <v>10971</v>
      </c>
      <c r="R2648" s="6" t="s">
        <v>2106</v>
      </c>
      <c r="S2648" s="6" t="s">
        <v>10972</v>
      </c>
      <c r="T2648" s="6">
        <v>0</v>
      </c>
      <c r="U2648" s="6">
        <v>0</v>
      </c>
      <c r="V2648" s="6">
        <v>0</v>
      </c>
      <c r="W2648" s="6">
        <v>0</v>
      </c>
      <c r="X2648" s="6" t="s">
        <v>169</v>
      </c>
      <c r="Z2648" s="6" t="s">
        <v>170</v>
      </c>
      <c r="AA2648" s="6" t="s">
        <v>171</v>
      </c>
      <c r="AB2648" s="6">
        <v>0</v>
      </c>
      <c r="AC2648" s="6" t="str">
        <f>""</f>
        <v/>
      </c>
      <c r="AS2648" s="6">
        <v>0</v>
      </c>
      <c r="AT2648" s="6">
        <v>0</v>
      </c>
    </row>
    <row r="2649" spans="2:46">
      <c r="B2649" s="6" t="s">
        <v>109</v>
      </c>
      <c r="D2649" s="6" t="s">
        <v>8189</v>
      </c>
      <c r="F2649" s="6" t="s">
        <v>10973</v>
      </c>
      <c r="G2649" s="6" t="str">
        <f>"3167252109844208"</f>
        <v>3167252109844208</v>
      </c>
      <c r="H2649" s="6">
        <v>3167252109844200</v>
      </c>
      <c r="I2649" s="6" t="s">
        <v>10970</v>
      </c>
      <c r="J2649" s="6" t="str">
        <f>"D.POINT ONEPIECE"</f>
        <v>D.POINT ONEPIECE</v>
      </c>
      <c r="K2649" s="6">
        <v>0</v>
      </c>
      <c r="L2649" s="6">
        <v>0</v>
      </c>
      <c r="M2649" s="6">
        <v>0</v>
      </c>
      <c r="N2649" s="6" t="str">
        <f>""</f>
        <v/>
      </c>
      <c r="O2649" s="6">
        <v>24304</v>
      </c>
      <c r="P2649" s="6" t="s">
        <v>10974</v>
      </c>
      <c r="R2649" s="6" t="s">
        <v>10903</v>
      </c>
      <c r="S2649" s="6" t="s">
        <v>10975</v>
      </c>
      <c r="T2649" s="6">
        <v>0</v>
      </c>
      <c r="U2649" s="6">
        <v>0</v>
      </c>
      <c r="V2649" s="6">
        <v>0</v>
      </c>
      <c r="W2649" s="6">
        <v>0</v>
      </c>
      <c r="X2649" s="6" t="s">
        <v>169</v>
      </c>
      <c r="Z2649" s="6" t="s">
        <v>170</v>
      </c>
      <c r="AA2649" s="6" t="s">
        <v>171</v>
      </c>
      <c r="AB2649" s="6">
        <v>0</v>
      </c>
      <c r="AC2649" s="6" t="str">
        <f>""</f>
        <v/>
      </c>
      <c r="AS2649" s="6">
        <v>0</v>
      </c>
      <c r="AT2649" s="6">
        <v>0</v>
      </c>
    </row>
    <row r="2650" spans="2:46">
      <c r="B2650" s="6" t="s">
        <v>109</v>
      </c>
      <c r="D2650" s="6" t="s">
        <v>8189</v>
      </c>
      <c r="F2650" s="6" t="s">
        <v>10976</v>
      </c>
      <c r="G2650" s="6" t="str">
        <f>"3167252109999208"</f>
        <v>3167252109999208</v>
      </c>
      <c r="H2650" s="6">
        <v>3167252109999200</v>
      </c>
      <c r="I2650" s="6" t="s">
        <v>10977</v>
      </c>
      <c r="J2650" s="6" t="str">
        <f>"FIRE MTM ONEPIECE"</f>
        <v>FIRE MTM ONEPIECE</v>
      </c>
      <c r="K2650" s="6">
        <v>0</v>
      </c>
      <c r="L2650" s="6">
        <v>0</v>
      </c>
      <c r="M2650" s="6">
        <v>0</v>
      </c>
      <c r="N2650" s="6" t="str">
        <f>""</f>
        <v/>
      </c>
      <c r="O2650" s="6">
        <v>24302</v>
      </c>
      <c r="P2650" s="6" t="s">
        <v>10978</v>
      </c>
      <c r="R2650" s="6" t="s">
        <v>2106</v>
      </c>
      <c r="S2650" s="6" t="s">
        <v>10979</v>
      </c>
      <c r="T2650" s="6">
        <v>0</v>
      </c>
      <c r="U2650" s="6">
        <v>0</v>
      </c>
      <c r="V2650" s="6">
        <v>0</v>
      </c>
      <c r="W2650" s="6">
        <v>0</v>
      </c>
      <c r="X2650" s="6" t="s">
        <v>169</v>
      </c>
      <c r="Z2650" s="6" t="s">
        <v>170</v>
      </c>
      <c r="AA2650" s="6" t="s">
        <v>171</v>
      </c>
      <c r="AB2650" s="6">
        <v>0</v>
      </c>
      <c r="AC2650" s="6" t="str">
        <f>""</f>
        <v/>
      </c>
      <c r="AS2650" s="6">
        <v>0</v>
      </c>
      <c r="AT2650" s="6">
        <v>0</v>
      </c>
    </row>
    <row r="2651" spans="2:46">
      <c r="B2651" s="6" t="s">
        <v>109</v>
      </c>
      <c r="D2651" s="6" t="s">
        <v>8189</v>
      </c>
      <c r="F2651" s="6" t="s">
        <v>10980</v>
      </c>
      <c r="G2651" s="6" t="str">
        <f>"3167252109972208"</f>
        <v>3167252109972208</v>
      </c>
      <c r="H2651" s="6">
        <v>3167252109972200</v>
      </c>
      <c r="I2651" s="6" t="s">
        <v>10977</v>
      </c>
      <c r="J2651" s="6" t="str">
        <f>"FIRE MTM ONEPIECE"</f>
        <v>FIRE MTM ONEPIECE</v>
      </c>
      <c r="K2651" s="6">
        <v>0</v>
      </c>
      <c r="L2651" s="6">
        <v>0</v>
      </c>
      <c r="M2651" s="6">
        <v>0</v>
      </c>
      <c r="N2651" s="6" t="str">
        <f>""</f>
        <v/>
      </c>
      <c r="O2651" s="6">
        <v>24301</v>
      </c>
      <c r="P2651" s="6" t="s">
        <v>10981</v>
      </c>
      <c r="R2651" s="6" t="s">
        <v>2309</v>
      </c>
      <c r="S2651" s="6" t="s">
        <v>10982</v>
      </c>
      <c r="T2651" s="6">
        <v>0</v>
      </c>
      <c r="U2651" s="6">
        <v>0</v>
      </c>
      <c r="V2651" s="6">
        <v>0</v>
      </c>
      <c r="W2651" s="6">
        <v>0</v>
      </c>
      <c r="X2651" s="6" t="s">
        <v>169</v>
      </c>
      <c r="Z2651" s="6" t="s">
        <v>170</v>
      </c>
      <c r="AA2651" s="6" t="s">
        <v>171</v>
      </c>
      <c r="AB2651" s="6">
        <v>0</v>
      </c>
      <c r="AC2651" s="6" t="str">
        <f>""</f>
        <v/>
      </c>
      <c r="AS2651" s="6">
        <v>0</v>
      </c>
      <c r="AT2651" s="6">
        <v>0</v>
      </c>
    </row>
    <row r="2652" spans="2:46">
      <c r="B2652" s="6" t="s">
        <v>109</v>
      </c>
      <c r="D2652" s="6" t="s">
        <v>8189</v>
      </c>
      <c r="F2652" s="6" t="s">
        <v>10983</v>
      </c>
      <c r="G2652" s="6" t="str">
        <f>"3167232105599208"</f>
        <v>3167232105599208</v>
      </c>
      <c r="H2652" s="6">
        <v>3167232105599200</v>
      </c>
      <c r="I2652" s="6" t="s">
        <v>10984</v>
      </c>
      <c r="J2652" s="6" t="str">
        <f>"CAUTION SWEAT SHIRT"</f>
        <v>CAUTION SWEAT SHIRT</v>
      </c>
      <c r="K2652" s="6">
        <v>0</v>
      </c>
      <c r="L2652" s="6">
        <v>0</v>
      </c>
      <c r="M2652" s="6">
        <v>0</v>
      </c>
      <c r="N2652" s="6" t="str">
        <f>""</f>
        <v/>
      </c>
      <c r="O2652" s="6">
        <v>24299</v>
      </c>
      <c r="P2652" s="6" t="s">
        <v>10985</v>
      </c>
      <c r="R2652" s="6" t="s">
        <v>2106</v>
      </c>
      <c r="S2652" s="6" t="s">
        <v>10986</v>
      </c>
      <c r="T2652" s="6">
        <v>0</v>
      </c>
      <c r="U2652" s="6">
        <v>0</v>
      </c>
      <c r="V2652" s="6">
        <v>0</v>
      </c>
      <c r="W2652" s="6">
        <v>0</v>
      </c>
      <c r="X2652" s="6" t="s">
        <v>169</v>
      </c>
      <c r="Z2652" s="6" t="s">
        <v>170</v>
      </c>
      <c r="AA2652" s="6" t="s">
        <v>171</v>
      </c>
      <c r="AB2652" s="6">
        <v>0</v>
      </c>
      <c r="AC2652" s="6" t="str">
        <f>""</f>
        <v/>
      </c>
      <c r="AS2652" s="6">
        <v>0</v>
      </c>
      <c r="AT2652" s="6">
        <v>0</v>
      </c>
    </row>
    <row r="2653" spans="2:46">
      <c r="B2653" s="6" t="s">
        <v>109</v>
      </c>
      <c r="D2653" s="6" t="s">
        <v>8189</v>
      </c>
      <c r="F2653" s="6" t="s">
        <v>10987</v>
      </c>
      <c r="G2653" s="6" t="str">
        <f>"3167232105474208"</f>
        <v>3167232105474208</v>
      </c>
      <c r="H2653" s="6">
        <v>3167232105474200</v>
      </c>
      <c r="I2653" s="6" t="s">
        <v>10988</v>
      </c>
      <c r="J2653" s="6" t="str">
        <f>"FIRE SWEAT SHIRT"</f>
        <v>FIRE SWEAT SHIRT</v>
      </c>
      <c r="K2653" s="6">
        <v>0</v>
      </c>
      <c r="L2653" s="6">
        <v>0</v>
      </c>
      <c r="M2653" s="6">
        <v>0</v>
      </c>
      <c r="N2653" s="6" t="str">
        <f>""</f>
        <v/>
      </c>
      <c r="O2653" s="6">
        <v>24297</v>
      </c>
      <c r="P2653" s="6" t="s">
        <v>10989</v>
      </c>
      <c r="R2653" s="6" t="s">
        <v>2102</v>
      </c>
      <c r="S2653" s="6" t="s">
        <v>10990</v>
      </c>
      <c r="T2653" s="6">
        <v>0</v>
      </c>
      <c r="U2653" s="6">
        <v>0</v>
      </c>
      <c r="V2653" s="6">
        <v>0</v>
      </c>
      <c r="W2653" s="6">
        <v>0</v>
      </c>
      <c r="X2653" s="6" t="s">
        <v>169</v>
      </c>
      <c r="Z2653" s="6" t="s">
        <v>170</v>
      </c>
      <c r="AA2653" s="6" t="s">
        <v>171</v>
      </c>
      <c r="AB2653" s="6">
        <v>0</v>
      </c>
      <c r="AC2653" s="6" t="str">
        <f>""</f>
        <v/>
      </c>
      <c r="AS2653" s="6">
        <v>0</v>
      </c>
      <c r="AT2653" s="6">
        <v>0</v>
      </c>
    </row>
    <row r="2654" spans="2:46">
      <c r="B2654" s="6" t="s">
        <v>109</v>
      </c>
      <c r="D2654" s="6" t="s">
        <v>8189</v>
      </c>
      <c r="F2654" s="6" t="s">
        <v>10991</v>
      </c>
      <c r="G2654" s="6" t="str">
        <f>"3167232105469208"</f>
        <v>3167232105469208</v>
      </c>
      <c r="H2654" s="6">
        <v>3167232105469200</v>
      </c>
      <c r="I2654" s="6" t="s">
        <v>10988</v>
      </c>
      <c r="J2654" s="6" t="str">
        <f>"FIRE SWEAT SHIRT"</f>
        <v>FIRE SWEAT SHIRT</v>
      </c>
      <c r="K2654" s="6">
        <v>0</v>
      </c>
      <c r="L2654" s="6">
        <v>0</v>
      </c>
      <c r="M2654" s="6">
        <v>0</v>
      </c>
      <c r="N2654" s="6" t="str">
        <f>""</f>
        <v/>
      </c>
      <c r="O2654" s="6">
        <v>24296</v>
      </c>
      <c r="P2654" s="6" t="s">
        <v>10992</v>
      </c>
      <c r="R2654" s="6" t="s">
        <v>2356</v>
      </c>
      <c r="S2654" s="6" t="s">
        <v>10993</v>
      </c>
      <c r="T2654" s="6">
        <v>0</v>
      </c>
      <c r="U2654" s="6">
        <v>0</v>
      </c>
      <c r="V2654" s="6">
        <v>0</v>
      </c>
      <c r="W2654" s="6">
        <v>0</v>
      </c>
      <c r="X2654" s="6" t="s">
        <v>169</v>
      </c>
      <c r="Z2654" s="6" t="s">
        <v>170</v>
      </c>
      <c r="AA2654" s="6" t="s">
        <v>171</v>
      </c>
      <c r="AB2654" s="6">
        <v>0</v>
      </c>
      <c r="AC2654" s="6" t="str">
        <f>""</f>
        <v/>
      </c>
      <c r="AS2654" s="6">
        <v>0</v>
      </c>
      <c r="AT2654" s="6">
        <v>0</v>
      </c>
    </row>
    <row r="2655" spans="2:46">
      <c r="B2655" s="6" t="s">
        <v>109</v>
      </c>
      <c r="D2655" s="6" t="s">
        <v>8189</v>
      </c>
      <c r="F2655" s="6" t="s">
        <v>10994</v>
      </c>
      <c r="G2655" s="6" t="str">
        <f>"3167214108144208"</f>
        <v>3167214108144208</v>
      </c>
      <c r="H2655" s="6">
        <v>3167214108144200</v>
      </c>
      <c r="I2655" s="6" t="s">
        <v>10995</v>
      </c>
      <c r="J2655" s="6" t="str">
        <f>"V-NECK LOGO SHIRT"</f>
        <v>V-NECK LOGO SHIRT</v>
      </c>
      <c r="K2655" s="6">
        <v>0</v>
      </c>
      <c r="L2655" s="6">
        <v>0</v>
      </c>
      <c r="M2655" s="6">
        <v>0</v>
      </c>
      <c r="N2655" s="6" t="str">
        <f>""</f>
        <v/>
      </c>
      <c r="O2655" s="6">
        <v>24294</v>
      </c>
      <c r="P2655" s="6" t="s">
        <v>10996</v>
      </c>
      <c r="R2655" s="6" t="s">
        <v>10903</v>
      </c>
      <c r="S2655" s="6" t="s">
        <v>10997</v>
      </c>
      <c r="T2655" s="6">
        <v>0</v>
      </c>
      <c r="U2655" s="6">
        <v>0</v>
      </c>
      <c r="V2655" s="6">
        <v>0</v>
      </c>
      <c r="W2655" s="6">
        <v>0</v>
      </c>
      <c r="X2655" s="6" t="s">
        <v>169</v>
      </c>
      <c r="Z2655" s="6" t="s">
        <v>170</v>
      </c>
      <c r="AA2655" s="6" t="s">
        <v>171</v>
      </c>
      <c r="AB2655" s="6">
        <v>0</v>
      </c>
      <c r="AC2655" s="6" t="str">
        <f>""</f>
        <v/>
      </c>
      <c r="AS2655" s="6">
        <v>0</v>
      </c>
      <c r="AT2655" s="6">
        <v>0</v>
      </c>
    </row>
    <row r="2656" spans="2:46">
      <c r="B2656" s="6" t="s">
        <v>109</v>
      </c>
      <c r="D2656" s="6" t="s">
        <v>8189</v>
      </c>
      <c r="F2656" s="6" t="s">
        <v>10998</v>
      </c>
      <c r="G2656" s="6" t="str">
        <f>"3167332105499320"</f>
        <v>3167332105499320</v>
      </c>
      <c r="I2656" s="6" t="s">
        <v>10999</v>
      </c>
      <c r="J2656" s="6" t="str">
        <f>"D.POINT LONG SKIRT"</f>
        <v>D.POINT LONG SKIRT</v>
      </c>
      <c r="K2656" s="6">
        <v>0</v>
      </c>
      <c r="L2656" s="6">
        <v>0</v>
      </c>
      <c r="M2656" s="6">
        <v>0</v>
      </c>
      <c r="N2656" s="6" t="str">
        <f>""</f>
        <v/>
      </c>
      <c r="O2656" s="6">
        <v>24292</v>
      </c>
      <c r="P2656" s="6" t="s">
        <v>11000</v>
      </c>
      <c r="R2656" s="6" t="s">
        <v>2106</v>
      </c>
      <c r="S2656" s="6" t="s">
        <v>11001</v>
      </c>
      <c r="T2656" s="6">
        <v>1</v>
      </c>
      <c r="U2656" s="6">
        <v>0</v>
      </c>
      <c r="V2656" s="6">
        <v>0</v>
      </c>
      <c r="W2656" s="6">
        <v>0</v>
      </c>
      <c r="X2656" s="6" t="s">
        <v>169</v>
      </c>
      <c r="Z2656" s="6" t="s">
        <v>170</v>
      </c>
      <c r="AA2656" s="6" t="s">
        <v>171</v>
      </c>
      <c r="AB2656" s="6">
        <v>0</v>
      </c>
      <c r="AC2656" s="6" t="str">
        <f>"KEY-008"</f>
        <v>KEY-008</v>
      </c>
      <c r="AQ2656" s="6" t="str">
        <f>""</f>
        <v/>
      </c>
      <c r="AR2656" s="6" t="s">
        <v>1584</v>
      </c>
      <c r="AS2656" s="6">
        <v>0</v>
      </c>
      <c r="AT2656" s="6">
        <v>1</v>
      </c>
    </row>
    <row r="2657" spans="2:46">
      <c r="B2657" s="6" t="s">
        <v>109</v>
      </c>
      <c r="D2657" s="6" t="s">
        <v>8189</v>
      </c>
      <c r="F2657" s="6" t="s">
        <v>11002</v>
      </c>
      <c r="G2657" s="6" t="str">
        <f>"3167332105474320"</f>
        <v>3167332105474320</v>
      </c>
      <c r="H2657" s="6">
        <v>3167332105474320</v>
      </c>
      <c r="I2657" s="6" t="s">
        <v>10999</v>
      </c>
      <c r="J2657" s="6" t="str">
        <f>"D.POINT LONG SKIRT"</f>
        <v>D.POINT LONG SKIRT</v>
      </c>
      <c r="K2657" s="6">
        <v>0</v>
      </c>
      <c r="L2657" s="6">
        <v>0</v>
      </c>
      <c r="M2657" s="6">
        <v>0</v>
      </c>
      <c r="N2657" s="6" t="str">
        <f>""</f>
        <v/>
      </c>
      <c r="O2657" s="6">
        <v>24291</v>
      </c>
      <c r="P2657" s="6" t="s">
        <v>11003</v>
      </c>
      <c r="R2657" s="6" t="s">
        <v>2102</v>
      </c>
      <c r="S2657" s="6" t="s">
        <v>11004</v>
      </c>
      <c r="T2657" s="6">
        <v>0</v>
      </c>
      <c r="U2657" s="6">
        <v>0</v>
      </c>
      <c r="V2657" s="6">
        <v>0</v>
      </c>
      <c r="W2657" s="6">
        <v>0</v>
      </c>
      <c r="X2657" s="6" t="s">
        <v>169</v>
      </c>
      <c r="Z2657" s="6" t="s">
        <v>170</v>
      </c>
      <c r="AA2657" s="6" t="s">
        <v>171</v>
      </c>
      <c r="AB2657" s="6">
        <v>0</v>
      </c>
      <c r="AC2657" s="6" t="str">
        <f>""</f>
        <v/>
      </c>
      <c r="AS2657" s="6">
        <v>0</v>
      </c>
      <c r="AT2657" s="6">
        <v>0</v>
      </c>
    </row>
    <row r="2658" spans="2:46">
      <c r="B2658" s="6" t="s">
        <v>109</v>
      </c>
      <c r="D2658" s="6" t="s">
        <v>8189</v>
      </c>
      <c r="F2658" s="6" t="s">
        <v>11005</v>
      </c>
      <c r="G2658" s="6" t="str">
        <f>"3167332105299320"</f>
        <v>3167332105299320</v>
      </c>
      <c r="H2658" s="6">
        <v>3167332105299320</v>
      </c>
      <c r="I2658" s="6" t="s">
        <v>11006</v>
      </c>
      <c r="J2658" s="6" t="str">
        <f>"D.POINT MINI SKIRT"</f>
        <v>D.POINT MINI SKIRT</v>
      </c>
      <c r="K2658" s="6">
        <v>0</v>
      </c>
      <c r="L2658" s="6">
        <v>0</v>
      </c>
      <c r="M2658" s="6">
        <v>0</v>
      </c>
      <c r="N2658" s="6" t="str">
        <f>""</f>
        <v/>
      </c>
      <c r="O2658" s="6">
        <v>24289</v>
      </c>
      <c r="P2658" s="6" t="s">
        <v>11007</v>
      </c>
      <c r="R2658" s="6" t="s">
        <v>2106</v>
      </c>
      <c r="S2658" s="6" t="s">
        <v>11008</v>
      </c>
      <c r="T2658" s="6">
        <v>0</v>
      </c>
      <c r="U2658" s="6">
        <v>0</v>
      </c>
      <c r="V2658" s="6">
        <v>0</v>
      </c>
      <c r="W2658" s="6">
        <v>0</v>
      </c>
      <c r="X2658" s="6" t="s">
        <v>169</v>
      </c>
      <c r="Z2658" s="6" t="s">
        <v>170</v>
      </c>
      <c r="AA2658" s="6" t="s">
        <v>171</v>
      </c>
      <c r="AB2658" s="6">
        <v>0</v>
      </c>
      <c r="AC2658" s="6" t="str">
        <f>""</f>
        <v/>
      </c>
      <c r="AS2658" s="6">
        <v>0</v>
      </c>
      <c r="AT2658" s="6">
        <v>0</v>
      </c>
    </row>
    <row r="2659" spans="2:46">
      <c r="B2659" s="6" t="s">
        <v>109</v>
      </c>
      <c r="D2659" s="6" t="s">
        <v>8189</v>
      </c>
      <c r="F2659" s="6" t="s">
        <v>11009</v>
      </c>
      <c r="G2659" s="6" t="str">
        <f>"3167332105244320"</f>
        <v>3167332105244320</v>
      </c>
      <c r="H2659" s="6">
        <v>3167332105244320</v>
      </c>
      <c r="I2659" s="6" t="s">
        <v>11006</v>
      </c>
      <c r="J2659" s="6" t="str">
        <f>"D.POINT MINI SKIRT"</f>
        <v>D.POINT MINI SKIRT</v>
      </c>
      <c r="K2659" s="6">
        <v>0</v>
      </c>
      <c r="L2659" s="6">
        <v>0</v>
      </c>
      <c r="M2659" s="6">
        <v>0</v>
      </c>
      <c r="N2659" s="6" t="str">
        <f>""</f>
        <v/>
      </c>
      <c r="O2659" s="6">
        <v>24288</v>
      </c>
      <c r="P2659" s="6" t="s">
        <v>11010</v>
      </c>
      <c r="R2659" s="6" t="s">
        <v>10903</v>
      </c>
      <c r="S2659" s="6" t="s">
        <v>11011</v>
      </c>
      <c r="T2659" s="6">
        <v>0</v>
      </c>
      <c r="U2659" s="6">
        <v>0</v>
      </c>
      <c r="V2659" s="6">
        <v>0</v>
      </c>
      <c r="W2659" s="6">
        <v>0</v>
      </c>
      <c r="X2659" s="6" t="s">
        <v>169</v>
      </c>
      <c r="Z2659" s="6" t="s">
        <v>170</v>
      </c>
      <c r="AA2659" s="6" t="s">
        <v>171</v>
      </c>
      <c r="AB2659" s="6">
        <v>0</v>
      </c>
      <c r="AC2659" s="6" t="str">
        <f>""</f>
        <v/>
      </c>
      <c r="AS2659" s="6">
        <v>0</v>
      </c>
      <c r="AT2659" s="6">
        <v>0</v>
      </c>
    </row>
    <row r="2660" spans="2:46">
      <c r="B2660" s="6" t="s">
        <v>109</v>
      </c>
      <c r="D2660" s="6" t="s">
        <v>8189</v>
      </c>
      <c r="F2660" s="6" t="s">
        <v>11012</v>
      </c>
      <c r="G2660" s="6" t="str">
        <f>"3167312108774320"</f>
        <v>3167312108774320</v>
      </c>
      <c r="H2660" s="6">
        <v>3167312108774320</v>
      </c>
      <c r="I2660" s="6" t="s">
        <v>11013</v>
      </c>
      <c r="J2660" s="6" t="str">
        <f>"D.POINT WIDE PANTS"</f>
        <v>D.POINT WIDE PANTS</v>
      </c>
      <c r="K2660" s="6">
        <v>0</v>
      </c>
      <c r="L2660" s="6">
        <v>0</v>
      </c>
      <c r="M2660" s="6">
        <v>0</v>
      </c>
      <c r="N2660" s="6" t="str">
        <f>""</f>
        <v/>
      </c>
      <c r="O2660" s="6">
        <v>24286</v>
      </c>
      <c r="P2660" s="6" t="s">
        <v>11014</v>
      </c>
      <c r="R2660" s="6" t="s">
        <v>2102</v>
      </c>
      <c r="S2660" s="6" t="s">
        <v>11015</v>
      </c>
      <c r="T2660" s="6">
        <v>0</v>
      </c>
      <c r="U2660" s="6">
        <v>0</v>
      </c>
      <c r="V2660" s="6">
        <v>0</v>
      </c>
      <c r="W2660" s="6">
        <v>0</v>
      </c>
      <c r="X2660" s="6" t="s">
        <v>169</v>
      </c>
      <c r="Z2660" s="6" t="s">
        <v>170</v>
      </c>
      <c r="AA2660" s="6" t="s">
        <v>171</v>
      </c>
      <c r="AB2660" s="6">
        <v>0</v>
      </c>
      <c r="AC2660" s="6" t="str">
        <f>""</f>
        <v/>
      </c>
      <c r="AS2660" s="6">
        <v>0</v>
      </c>
      <c r="AT2660" s="6">
        <v>0</v>
      </c>
    </row>
    <row r="2661" spans="2:46">
      <c r="B2661" s="6" t="s">
        <v>112</v>
      </c>
      <c r="D2661" s="6" t="s">
        <v>8189</v>
      </c>
      <c r="F2661" s="6" t="s">
        <v>11016</v>
      </c>
      <c r="G2661" s="6" t="str">
        <f>"atm17wb002rdM"</f>
        <v>atm17wb002rdM</v>
      </c>
      <c r="H2661" s="6" t="s">
        <v>11017</v>
      </c>
      <c r="I2661" s="6" t="s">
        <v>11018</v>
      </c>
      <c r="J2661" s="6" t="str">
        <f>"Set Check Skirt"</f>
        <v>Set Check Skirt</v>
      </c>
      <c r="K2661" s="6">
        <v>0</v>
      </c>
      <c r="L2661" s="6">
        <v>0</v>
      </c>
      <c r="M2661" s="6">
        <v>0</v>
      </c>
      <c r="N2661" s="6" t="str">
        <f>""</f>
        <v/>
      </c>
      <c r="O2661" s="6">
        <v>24284</v>
      </c>
      <c r="P2661" s="6" t="s">
        <v>11017</v>
      </c>
      <c r="R2661" s="6" t="s">
        <v>11019</v>
      </c>
      <c r="S2661" s="6" t="s">
        <v>11020</v>
      </c>
      <c r="T2661" s="6">
        <v>0</v>
      </c>
      <c r="U2661" s="6">
        <v>0</v>
      </c>
      <c r="V2661" s="6">
        <v>0</v>
      </c>
      <c r="W2661" s="6">
        <v>0</v>
      </c>
      <c r="X2661" s="6" t="s">
        <v>169</v>
      </c>
      <c r="Z2661" s="6" t="s">
        <v>170</v>
      </c>
      <c r="AA2661" s="6" t="s">
        <v>171</v>
      </c>
      <c r="AB2661" s="6">
        <v>0</v>
      </c>
      <c r="AC2661" s="6" t="str">
        <f>""</f>
        <v/>
      </c>
      <c r="AS2661" s="6">
        <v>0</v>
      </c>
      <c r="AT2661" s="6">
        <v>0</v>
      </c>
    </row>
    <row r="2662" spans="2:46">
      <c r="B2662" s="6" t="s">
        <v>112</v>
      </c>
      <c r="D2662" s="6" t="s">
        <v>8189</v>
      </c>
      <c r="F2662" s="6" t="s">
        <v>11021</v>
      </c>
      <c r="G2662" s="6" t="str">
        <f>"atm17wb002rdS"</f>
        <v>atm17wb002rdS</v>
      </c>
      <c r="H2662" s="6" t="s">
        <v>11022</v>
      </c>
      <c r="I2662" s="6" t="s">
        <v>11018</v>
      </c>
      <c r="J2662" s="6" t="str">
        <f>"Set Check Skirt"</f>
        <v>Set Check Skirt</v>
      </c>
      <c r="K2662" s="6">
        <v>0</v>
      </c>
      <c r="L2662" s="6">
        <v>0</v>
      </c>
      <c r="M2662" s="6">
        <v>0</v>
      </c>
      <c r="N2662" s="6" t="str">
        <f>""</f>
        <v/>
      </c>
      <c r="O2662" s="6">
        <v>24283</v>
      </c>
      <c r="P2662" s="6" t="s">
        <v>11022</v>
      </c>
      <c r="R2662" s="6" t="s">
        <v>11023</v>
      </c>
      <c r="S2662" s="6" t="s">
        <v>11024</v>
      </c>
      <c r="T2662" s="6">
        <v>0</v>
      </c>
      <c r="U2662" s="6">
        <v>0</v>
      </c>
      <c r="V2662" s="6">
        <v>0</v>
      </c>
      <c r="W2662" s="6">
        <v>0</v>
      </c>
      <c r="X2662" s="6" t="s">
        <v>169</v>
      </c>
      <c r="Z2662" s="6" t="s">
        <v>170</v>
      </c>
      <c r="AA2662" s="6" t="s">
        <v>171</v>
      </c>
      <c r="AB2662" s="6">
        <v>0</v>
      </c>
      <c r="AC2662" s="6" t="str">
        <f>""</f>
        <v/>
      </c>
      <c r="AS2662" s="6">
        <v>0</v>
      </c>
      <c r="AT2662" s="6">
        <v>0</v>
      </c>
    </row>
    <row r="2663" spans="2:46">
      <c r="B2663" s="6" t="s">
        <v>112</v>
      </c>
      <c r="D2663" s="6" t="s">
        <v>8189</v>
      </c>
      <c r="F2663" s="6" t="s">
        <v>11025</v>
      </c>
      <c r="G2663" s="6" t="str">
        <f>"atm17wb002bkM"</f>
        <v>atm17wb002bkM</v>
      </c>
      <c r="H2663" s="6" t="s">
        <v>11026</v>
      </c>
      <c r="I2663" s="6" t="s">
        <v>11018</v>
      </c>
      <c r="J2663" s="6" t="str">
        <f>"Set Check Skirt"</f>
        <v>Set Check Skirt</v>
      </c>
      <c r="K2663" s="6">
        <v>0</v>
      </c>
      <c r="L2663" s="6">
        <v>0</v>
      </c>
      <c r="M2663" s="6">
        <v>0</v>
      </c>
      <c r="N2663" s="6" t="str">
        <f>""</f>
        <v/>
      </c>
      <c r="O2663" s="6">
        <v>24282</v>
      </c>
      <c r="P2663" s="6" t="s">
        <v>11026</v>
      </c>
      <c r="R2663" s="6" t="s">
        <v>1551</v>
      </c>
      <c r="S2663" s="6" t="s">
        <v>11027</v>
      </c>
      <c r="T2663" s="6">
        <v>0</v>
      </c>
      <c r="U2663" s="6">
        <v>0</v>
      </c>
      <c r="V2663" s="6">
        <v>0</v>
      </c>
      <c r="W2663" s="6">
        <v>0</v>
      </c>
      <c r="X2663" s="6" t="s">
        <v>169</v>
      </c>
      <c r="Z2663" s="6" t="s">
        <v>170</v>
      </c>
      <c r="AA2663" s="6" t="s">
        <v>171</v>
      </c>
      <c r="AB2663" s="6">
        <v>0</v>
      </c>
      <c r="AC2663" s="6" t="str">
        <f>""</f>
        <v/>
      </c>
      <c r="AS2663" s="6">
        <v>0</v>
      </c>
      <c r="AT2663" s="6">
        <v>0</v>
      </c>
    </row>
    <row r="2664" spans="2:46">
      <c r="B2664" s="6" t="s">
        <v>112</v>
      </c>
      <c r="D2664" s="6" t="s">
        <v>8189</v>
      </c>
      <c r="F2664" s="6" t="s">
        <v>11028</v>
      </c>
      <c r="G2664" s="6" t="str">
        <f>"atm17wb002bkS"</f>
        <v>atm17wb002bkS</v>
      </c>
      <c r="H2664" s="6" t="s">
        <v>11029</v>
      </c>
      <c r="I2664" s="6" t="s">
        <v>11018</v>
      </c>
      <c r="J2664" s="6" t="str">
        <f>"Set Check Skirt"</f>
        <v>Set Check Skirt</v>
      </c>
      <c r="K2664" s="6">
        <v>0</v>
      </c>
      <c r="L2664" s="6">
        <v>0</v>
      </c>
      <c r="M2664" s="6">
        <v>0</v>
      </c>
      <c r="N2664" s="6" t="str">
        <f>""</f>
        <v/>
      </c>
      <c r="O2664" s="6">
        <v>24281</v>
      </c>
      <c r="P2664" s="6" t="s">
        <v>11029</v>
      </c>
      <c r="R2664" s="6" t="s">
        <v>1555</v>
      </c>
      <c r="S2664" s="6" t="s">
        <v>11030</v>
      </c>
      <c r="T2664" s="6">
        <v>0</v>
      </c>
      <c r="U2664" s="6">
        <v>0</v>
      </c>
      <c r="V2664" s="6">
        <v>0</v>
      </c>
      <c r="W2664" s="6">
        <v>0</v>
      </c>
      <c r="X2664" s="6" t="s">
        <v>169</v>
      </c>
      <c r="Z2664" s="6" t="s">
        <v>170</v>
      </c>
      <c r="AA2664" s="6" t="s">
        <v>171</v>
      </c>
      <c r="AB2664" s="6">
        <v>0</v>
      </c>
      <c r="AC2664" s="6" t="str">
        <f>""</f>
        <v/>
      </c>
      <c r="AS2664" s="6">
        <v>0</v>
      </c>
      <c r="AT2664" s="6">
        <v>0</v>
      </c>
    </row>
    <row r="2665" spans="2:46">
      <c r="B2665" s="6" t="s">
        <v>112</v>
      </c>
      <c r="D2665" s="6" t="s">
        <v>8189</v>
      </c>
      <c r="F2665" s="6" t="s">
        <v>11031</v>
      </c>
      <c r="G2665" s="6" t="str">
        <f>"atm17wb001rdL"</f>
        <v>atm17wb001rdL</v>
      </c>
      <c r="H2665" s="6" t="s">
        <v>11032</v>
      </c>
      <c r="I2665" s="6" t="s">
        <v>11033</v>
      </c>
      <c r="J2665" s="6" t="str">
        <f t="shared" ref="J2665:J2670" si="16">"Set Check Pants"</f>
        <v>Set Check Pants</v>
      </c>
      <c r="K2665" s="6">
        <v>0</v>
      </c>
      <c r="L2665" s="6">
        <v>0</v>
      </c>
      <c r="M2665" s="6">
        <v>0</v>
      </c>
      <c r="N2665" s="6" t="str">
        <f>""</f>
        <v/>
      </c>
      <c r="O2665" s="6">
        <v>24279</v>
      </c>
      <c r="P2665" s="6" t="s">
        <v>11032</v>
      </c>
      <c r="R2665" s="6" t="s">
        <v>11034</v>
      </c>
      <c r="S2665" s="6" t="s">
        <v>11035</v>
      </c>
      <c r="T2665" s="6">
        <v>0</v>
      </c>
      <c r="U2665" s="6">
        <v>0</v>
      </c>
      <c r="V2665" s="6">
        <v>0</v>
      </c>
      <c r="W2665" s="6">
        <v>0</v>
      </c>
      <c r="X2665" s="6" t="s">
        <v>169</v>
      </c>
      <c r="Z2665" s="6" t="s">
        <v>170</v>
      </c>
      <c r="AA2665" s="6" t="s">
        <v>171</v>
      </c>
      <c r="AB2665" s="6">
        <v>0</v>
      </c>
      <c r="AC2665" s="6" t="str">
        <f>""</f>
        <v/>
      </c>
      <c r="AS2665" s="6">
        <v>0</v>
      </c>
      <c r="AT2665" s="6">
        <v>0</v>
      </c>
    </row>
    <row r="2666" spans="2:46">
      <c r="B2666" s="6" t="s">
        <v>112</v>
      </c>
      <c r="D2666" s="6" t="s">
        <v>8189</v>
      </c>
      <c r="F2666" s="6" t="s">
        <v>11036</v>
      </c>
      <c r="G2666" s="6" t="str">
        <f>"atm17wb001rdM"</f>
        <v>atm17wb001rdM</v>
      </c>
      <c r="H2666" s="6" t="s">
        <v>11037</v>
      </c>
      <c r="I2666" s="6" t="s">
        <v>11033</v>
      </c>
      <c r="J2666" s="6" t="str">
        <f t="shared" si="16"/>
        <v>Set Check Pants</v>
      </c>
      <c r="K2666" s="6">
        <v>0</v>
      </c>
      <c r="L2666" s="6">
        <v>0</v>
      </c>
      <c r="M2666" s="6">
        <v>0</v>
      </c>
      <c r="N2666" s="6" t="str">
        <f>""</f>
        <v/>
      </c>
      <c r="O2666" s="6">
        <v>24278</v>
      </c>
      <c r="P2666" s="6" t="s">
        <v>11037</v>
      </c>
      <c r="R2666" s="6" t="s">
        <v>11019</v>
      </c>
      <c r="S2666" s="6" t="s">
        <v>11038</v>
      </c>
      <c r="T2666" s="6">
        <v>0</v>
      </c>
      <c r="U2666" s="6">
        <v>0</v>
      </c>
      <c r="V2666" s="6">
        <v>0</v>
      </c>
      <c r="W2666" s="6">
        <v>0</v>
      </c>
      <c r="X2666" s="6" t="s">
        <v>169</v>
      </c>
      <c r="Z2666" s="6" t="s">
        <v>170</v>
      </c>
      <c r="AA2666" s="6" t="s">
        <v>171</v>
      </c>
      <c r="AB2666" s="6">
        <v>0</v>
      </c>
      <c r="AC2666" s="6" t="str">
        <f>""</f>
        <v/>
      </c>
      <c r="AS2666" s="6">
        <v>0</v>
      </c>
      <c r="AT2666" s="6">
        <v>0</v>
      </c>
    </row>
    <row r="2667" spans="2:46">
      <c r="B2667" s="6" t="s">
        <v>112</v>
      </c>
      <c r="D2667" s="6" t="s">
        <v>8189</v>
      </c>
      <c r="F2667" s="6" t="s">
        <v>11039</v>
      </c>
      <c r="G2667" s="6" t="str">
        <f>"atm17wb001rdS"</f>
        <v>atm17wb001rdS</v>
      </c>
      <c r="H2667" s="6" t="s">
        <v>11040</v>
      </c>
      <c r="I2667" s="6" t="s">
        <v>11033</v>
      </c>
      <c r="J2667" s="6" t="str">
        <f t="shared" si="16"/>
        <v>Set Check Pants</v>
      </c>
      <c r="K2667" s="6">
        <v>0</v>
      </c>
      <c r="L2667" s="6">
        <v>0</v>
      </c>
      <c r="M2667" s="6">
        <v>0</v>
      </c>
      <c r="N2667" s="6" t="str">
        <f>""</f>
        <v/>
      </c>
      <c r="O2667" s="6">
        <v>24277</v>
      </c>
      <c r="P2667" s="6" t="s">
        <v>11040</v>
      </c>
      <c r="R2667" s="6" t="s">
        <v>11023</v>
      </c>
      <c r="S2667" s="6" t="s">
        <v>11041</v>
      </c>
      <c r="T2667" s="6">
        <v>0</v>
      </c>
      <c r="U2667" s="6">
        <v>0</v>
      </c>
      <c r="V2667" s="6">
        <v>0</v>
      </c>
      <c r="W2667" s="6">
        <v>0</v>
      </c>
      <c r="X2667" s="6" t="s">
        <v>169</v>
      </c>
      <c r="Z2667" s="6" t="s">
        <v>170</v>
      </c>
      <c r="AA2667" s="6" t="s">
        <v>171</v>
      </c>
      <c r="AB2667" s="6">
        <v>0</v>
      </c>
      <c r="AC2667" s="6" t="str">
        <f>""</f>
        <v/>
      </c>
      <c r="AS2667" s="6">
        <v>0</v>
      </c>
      <c r="AT2667" s="6">
        <v>0</v>
      </c>
    </row>
    <row r="2668" spans="2:46">
      <c r="B2668" s="6" t="s">
        <v>112</v>
      </c>
      <c r="D2668" s="6" t="s">
        <v>8189</v>
      </c>
      <c r="F2668" s="6" t="s">
        <v>11042</v>
      </c>
      <c r="G2668" s="6" t="str">
        <f>"atm17wb001bkL"</f>
        <v>atm17wb001bkL</v>
      </c>
      <c r="H2668" s="6" t="s">
        <v>11043</v>
      </c>
      <c r="I2668" s="6" t="s">
        <v>11033</v>
      </c>
      <c r="J2668" s="6" t="str">
        <f t="shared" si="16"/>
        <v>Set Check Pants</v>
      </c>
      <c r="K2668" s="6">
        <v>0</v>
      </c>
      <c r="L2668" s="6">
        <v>0</v>
      </c>
      <c r="M2668" s="6">
        <v>0</v>
      </c>
      <c r="N2668" s="6" t="str">
        <f>""</f>
        <v/>
      </c>
      <c r="O2668" s="6">
        <v>24276</v>
      </c>
      <c r="P2668" s="6" t="s">
        <v>11043</v>
      </c>
      <c r="R2668" s="6" t="s">
        <v>1547</v>
      </c>
      <c r="S2668" s="6" t="s">
        <v>11044</v>
      </c>
      <c r="T2668" s="6">
        <v>0</v>
      </c>
      <c r="U2668" s="6">
        <v>0</v>
      </c>
      <c r="V2668" s="6">
        <v>0</v>
      </c>
      <c r="W2668" s="6">
        <v>0</v>
      </c>
      <c r="X2668" s="6" t="s">
        <v>169</v>
      </c>
      <c r="Z2668" s="6" t="s">
        <v>170</v>
      </c>
      <c r="AA2668" s="6" t="s">
        <v>171</v>
      </c>
      <c r="AB2668" s="6">
        <v>0</v>
      </c>
      <c r="AC2668" s="6" t="str">
        <f>""</f>
        <v/>
      </c>
      <c r="AS2668" s="6">
        <v>0</v>
      </c>
      <c r="AT2668" s="6">
        <v>0</v>
      </c>
    </row>
    <row r="2669" spans="2:46">
      <c r="B2669" s="6" t="s">
        <v>112</v>
      </c>
      <c r="D2669" s="6" t="s">
        <v>8189</v>
      </c>
      <c r="F2669" s="6" t="s">
        <v>11045</v>
      </c>
      <c r="G2669" s="6" t="str">
        <f>"atm17wb001bkM"</f>
        <v>atm17wb001bkM</v>
      </c>
      <c r="H2669" s="6" t="s">
        <v>11046</v>
      </c>
      <c r="I2669" s="6" t="s">
        <v>11033</v>
      </c>
      <c r="J2669" s="6" t="str">
        <f t="shared" si="16"/>
        <v>Set Check Pants</v>
      </c>
      <c r="K2669" s="6">
        <v>0</v>
      </c>
      <c r="L2669" s="6">
        <v>0</v>
      </c>
      <c r="M2669" s="6">
        <v>0</v>
      </c>
      <c r="N2669" s="6" t="str">
        <f>""</f>
        <v/>
      </c>
      <c r="O2669" s="6">
        <v>24275</v>
      </c>
      <c r="P2669" s="6" t="s">
        <v>11046</v>
      </c>
      <c r="R2669" s="6" t="s">
        <v>1551</v>
      </c>
      <c r="S2669" s="6" t="s">
        <v>11047</v>
      </c>
      <c r="T2669" s="6">
        <v>0</v>
      </c>
      <c r="U2669" s="6">
        <v>0</v>
      </c>
      <c r="V2669" s="6">
        <v>0</v>
      </c>
      <c r="W2669" s="6">
        <v>0</v>
      </c>
      <c r="X2669" s="6" t="s">
        <v>169</v>
      </c>
      <c r="Z2669" s="6" t="s">
        <v>170</v>
      </c>
      <c r="AA2669" s="6" t="s">
        <v>171</v>
      </c>
      <c r="AB2669" s="6">
        <v>0</v>
      </c>
      <c r="AC2669" s="6" t="str">
        <f>""</f>
        <v/>
      </c>
      <c r="AS2669" s="6">
        <v>0</v>
      </c>
      <c r="AT2669" s="6">
        <v>0</v>
      </c>
    </row>
    <row r="2670" spans="2:46">
      <c r="B2670" s="6" t="s">
        <v>112</v>
      </c>
      <c r="D2670" s="6" t="s">
        <v>8189</v>
      </c>
      <c r="F2670" s="6" t="s">
        <v>11048</v>
      </c>
      <c r="G2670" s="6" t="str">
        <f>"atm17wb001bkS"</f>
        <v>atm17wb001bkS</v>
      </c>
      <c r="H2670" s="6" t="s">
        <v>11049</v>
      </c>
      <c r="I2670" s="6" t="s">
        <v>11033</v>
      </c>
      <c r="J2670" s="6" t="str">
        <f t="shared" si="16"/>
        <v>Set Check Pants</v>
      </c>
      <c r="K2670" s="6">
        <v>0</v>
      </c>
      <c r="L2670" s="6">
        <v>0</v>
      </c>
      <c r="M2670" s="6">
        <v>0</v>
      </c>
      <c r="N2670" s="6" t="str">
        <f>""</f>
        <v/>
      </c>
      <c r="O2670" s="6">
        <v>24274</v>
      </c>
      <c r="P2670" s="6" t="s">
        <v>11049</v>
      </c>
      <c r="R2670" s="6" t="s">
        <v>1555</v>
      </c>
      <c r="S2670" s="6" t="s">
        <v>11050</v>
      </c>
      <c r="T2670" s="6">
        <v>0</v>
      </c>
      <c r="U2670" s="6">
        <v>0</v>
      </c>
      <c r="V2670" s="6">
        <v>0</v>
      </c>
      <c r="W2670" s="6">
        <v>0</v>
      </c>
      <c r="X2670" s="6" t="s">
        <v>169</v>
      </c>
      <c r="Z2670" s="6" t="s">
        <v>170</v>
      </c>
      <c r="AA2670" s="6" t="s">
        <v>171</v>
      </c>
      <c r="AB2670" s="6">
        <v>0</v>
      </c>
      <c r="AC2670" s="6" t="str">
        <f>""</f>
        <v/>
      </c>
      <c r="AS2670" s="6">
        <v>0</v>
      </c>
      <c r="AT2670" s="6">
        <v>0</v>
      </c>
    </row>
    <row r="2671" spans="2:46">
      <c r="B2671" s="6" t="s">
        <v>112</v>
      </c>
      <c r="D2671" s="6" t="s">
        <v>8189</v>
      </c>
      <c r="F2671" s="6" t="s">
        <v>11051</v>
      </c>
      <c r="G2671" s="6" t="str">
        <f>"atm17wt009rdL"</f>
        <v>atm17wt009rdL</v>
      </c>
      <c r="H2671" s="6" t="s">
        <v>11052</v>
      </c>
      <c r="I2671" s="6" t="s">
        <v>11053</v>
      </c>
      <c r="J2671" s="6" t="str">
        <f>"Set Check Shirt"</f>
        <v>Set Check Shirt</v>
      </c>
      <c r="K2671" s="6">
        <v>0</v>
      </c>
      <c r="L2671" s="6">
        <v>0</v>
      </c>
      <c r="M2671" s="6">
        <v>0</v>
      </c>
      <c r="N2671" s="6" t="str">
        <f>""</f>
        <v/>
      </c>
      <c r="O2671" s="6">
        <v>24272</v>
      </c>
      <c r="P2671" s="6" t="s">
        <v>11052</v>
      </c>
      <c r="R2671" s="6" t="s">
        <v>11034</v>
      </c>
      <c r="S2671" s="6" t="s">
        <v>11054</v>
      </c>
      <c r="T2671" s="6">
        <v>0</v>
      </c>
      <c r="U2671" s="6">
        <v>0</v>
      </c>
      <c r="V2671" s="6">
        <v>0</v>
      </c>
      <c r="W2671" s="6">
        <v>0</v>
      </c>
      <c r="X2671" s="6" t="s">
        <v>169</v>
      </c>
      <c r="Z2671" s="6" t="s">
        <v>170</v>
      </c>
      <c r="AA2671" s="6" t="s">
        <v>171</v>
      </c>
      <c r="AB2671" s="6">
        <v>0</v>
      </c>
      <c r="AC2671" s="6" t="str">
        <f>""</f>
        <v/>
      </c>
      <c r="AS2671" s="6">
        <v>0</v>
      </c>
      <c r="AT2671" s="6">
        <v>0</v>
      </c>
    </row>
    <row r="2672" spans="2:46">
      <c r="B2672" s="6" t="s">
        <v>112</v>
      </c>
      <c r="D2672" s="6" t="s">
        <v>8189</v>
      </c>
      <c r="F2672" s="6" t="s">
        <v>11055</v>
      </c>
      <c r="G2672" s="6" t="str">
        <f>"atm17wt009rdM"</f>
        <v>atm17wt009rdM</v>
      </c>
      <c r="H2672" s="6" t="s">
        <v>11056</v>
      </c>
      <c r="I2672" s="6" t="s">
        <v>11053</v>
      </c>
      <c r="J2672" s="6" t="str">
        <f>"Set Check Shirt"</f>
        <v>Set Check Shirt</v>
      </c>
      <c r="K2672" s="6">
        <v>0</v>
      </c>
      <c r="L2672" s="6">
        <v>0</v>
      </c>
      <c r="M2672" s="6">
        <v>0</v>
      </c>
      <c r="N2672" s="6" t="str">
        <f>""</f>
        <v/>
      </c>
      <c r="O2672" s="6">
        <v>24271</v>
      </c>
      <c r="P2672" s="6" t="s">
        <v>11056</v>
      </c>
      <c r="R2672" s="6" t="s">
        <v>11019</v>
      </c>
      <c r="S2672" s="6" t="s">
        <v>11057</v>
      </c>
      <c r="T2672" s="6">
        <v>0</v>
      </c>
      <c r="U2672" s="6">
        <v>0</v>
      </c>
      <c r="V2672" s="6">
        <v>0</v>
      </c>
      <c r="W2672" s="6">
        <v>0</v>
      </c>
      <c r="X2672" s="6" t="s">
        <v>169</v>
      </c>
      <c r="Z2672" s="6" t="s">
        <v>170</v>
      </c>
      <c r="AA2672" s="6" t="s">
        <v>171</v>
      </c>
      <c r="AB2672" s="6">
        <v>0</v>
      </c>
      <c r="AC2672" s="6" t="str">
        <f>""</f>
        <v/>
      </c>
      <c r="AS2672" s="6">
        <v>0</v>
      </c>
      <c r="AT2672" s="6">
        <v>0</v>
      </c>
    </row>
    <row r="2673" spans="2:46">
      <c r="B2673" s="6" t="s">
        <v>112</v>
      </c>
      <c r="D2673" s="6" t="s">
        <v>8189</v>
      </c>
      <c r="F2673" s="6" t="s">
        <v>11058</v>
      </c>
      <c r="G2673" s="6" t="str">
        <f>"atm17wt009bkL"</f>
        <v>atm17wt009bkL</v>
      </c>
      <c r="H2673" s="6" t="s">
        <v>11059</v>
      </c>
      <c r="I2673" s="6" t="s">
        <v>11053</v>
      </c>
      <c r="J2673" s="6" t="str">
        <f>"Set Check Shirt"</f>
        <v>Set Check Shirt</v>
      </c>
      <c r="K2673" s="6">
        <v>0</v>
      </c>
      <c r="L2673" s="6">
        <v>0</v>
      </c>
      <c r="M2673" s="6">
        <v>0</v>
      </c>
      <c r="N2673" s="6" t="str">
        <f>""</f>
        <v/>
      </c>
      <c r="O2673" s="6">
        <v>24270</v>
      </c>
      <c r="P2673" s="6" t="s">
        <v>11059</v>
      </c>
      <c r="R2673" s="6" t="s">
        <v>1547</v>
      </c>
      <c r="S2673" s="6" t="s">
        <v>11060</v>
      </c>
      <c r="T2673" s="6">
        <v>0</v>
      </c>
      <c r="U2673" s="6">
        <v>0</v>
      </c>
      <c r="V2673" s="6">
        <v>0</v>
      </c>
      <c r="W2673" s="6">
        <v>0</v>
      </c>
      <c r="X2673" s="6" t="s">
        <v>169</v>
      </c>
      <c r="Z2673" s="6" t="s">
        <v>170</v>
      </c>
      <c r="AA2673" s="6" t="s">
        <v>171</v>
      </c>
      <c r="AB2673" s="6">
        <v>0</v>
      </c>
      <c r="AC2673" s="6" t="str">
        <f>""</f>
        <v/>
      </c>
      <c r="AS2673" s="6">
        <v>0</v>
      </c>
      <c r="AT2673" s="6">
        <v>0</v>
      </c>
    </row>
    <row r="2674" spans="2:46">
      <c r="B2674" s="6" t="s">
        <v>112</v>
      </c>
      <c r="D2674" s="6" t="s">
        <v>8189</v>
      </c>
      <c r="F2674" s="6" t="s">
        <v>11061</v>
      </c>
      <c r="G2674" s="6" t="str">
        <f>"atm17wt009bkM"</f>
        <v>atm17wt009bkM</v>
      </c>
      <c r="H2674" s="6" t="s">
        <v>11062</v>
      </c>
      <c r="I2674" s="6" t="s">
        <v>11053</v>
      </c>
      <c r="J2674" s="6" t="str">
        <f>"Set Check Shirt"</f>
        <v>Set Check Shirt</v>
      </c>
      <c r="K2674" s="6">
        <v>0</v>
      </c>
      <c r="L2674" s="6">
        <v>0</v>
      </c>
      <c r="M2674" s="6">
        <v>0</v>
      </c>
      <c r="N2674" s="6" t="str">
        <f>""</f>
        <v/>
      </c>
      <c r="O2674" s="6">
        <v>24269</v>
      </c>
      <c r="P2674" s="6" t="s">
        <v>11062</v>
      </c>
      <c r="R2674" s="6" t="s">
        <v>1551</v>
      </c>
      <c r="S2674" s="6" t="s">
        <v>11063</v>
      </c>
      <c r="T2674" s="6">
        <v>0</v>
      </c>
      <c r="U2674" s="6">
        <v>0</v>
      </c>
      <c r="V2674" s="6">
        <v>0</v>
      </c>
      <c r="W2674" s="6">
        <v>0</v>
      </c>
      <c r="X2674" s="6" t="s">
        <v>169</v>
      </c>
      <c r="Z2674" s="6" t="s">
        <v>170</v>
      </c>
      <c r="AA2674" s="6" t="s">
        <v>171</v>
      </c>
      <c r="AB2674" s="6">
        <v>0</v>
      </c>
      <c r="AC2674" s="6" t="str">
        <f>""</f>
        <v/>
      </c>
      <c r="AS2674" s="6">
        <v>0</v>
      </c>
      <c r="AT2674" s="6">
        <v>0</v>
      </c>
    </row>
    <row r="2675" spans="2:46">
      <c r="B2675" s="6" t="s">
        <v>112</v>
      </c>
      <c r="D2675" s="6" t="s">
        <v>8189</v>
      </c>
      <c r="F2675" s="6" t="s">
        <v>11064</v>
      </c>
      <c r="G2675" s="6" t="str">
        <f>"atm17wt008nv"</f>
        <v>atm17wt008nv</v>
      </c>
      <c r="H2675" s="6" t="s">
        <v>11065</v>
      </c>
      <c r="I2675" s="6" t="s">
        <v>11066</v>
      </c>
      <c r="J2675" s="6" t="str">
        <f>"Fake Turtleneck Sweatshirt"</f>
        <v>Fake Turtleneck Sweatshirt</v>
      </c>
      <c r="K2675" s="6">
        <v>0</v>
      </c>
      <c r="L2675" s="6">
        <v>0</v>
      </c>
      <c r="M2675" s="6">
        <v>0</v>
      </c>
      <c r="N2675" s="6" t="str">
        <f>""</f>
        <v/>
      </c>
      <c r="O2675" s="6">
        <v>24267</v>
      </c>
      <c r="P2675" s="6" t="s">
        <v>11065</v>
      </c>
      <c r="R2675" s="6" t="s">
        <v>1630</v>
      </c>
      <c r="S2675" s="6" t="s">
        <v>11067</v>
      </c>
      <c r="T2675" s="6">
        <v>0</v>
      </c>
      <c r="U2675" s="6">
        <v>0</v>
      </c>
      <c r="V2675" s="6">
        <v>0</v>
      </c>
      <c r="W2675" s="6">
        <v>0</v>
      </c>
      <c r="X2675" s="6" t="s">
        <v>169</v>
      </c>
      <c r="Z2675" s="6" t="s">
        <v>170</v>
      </c>
      <c r="AA2675" s="6" t="s">
        <v>171</v>
      </c>
      <c r="AB2675" s="6">
        <v>0</v>
      </c>
      <c r="AC2675" s="6" t="str">
        <f>""</f>
        <v/>
      </c>
      <c r="AS2675" s="6">
        <v>0</v>
      </c>
      <c r="AT2675" s="6">
        <v>0</v>
      </c>
    </row>
    <row r="2676" spans="2:46">
      <c r="B2676" s="6" t="s">
        <v>112</v>
      </c>
      <c r="D2676" s="6" t="s">
        <v>8189</v>
      </c>
      <c r="F2676" s="6" t="s">
        <v>11068</v>
      </c>
      <c r="G2676" s="6" t="str">
        <f>"atm17wt008bk"</f>
        <v>atm17wt008bk</v>
      </c>
      <c r="H2676" s="6" t="s">
        <v>11069</v>
      </c>
      <c r="I2676" s="6" t="s">
        <v>11066</v>
      </c>
      <c r="J2676" s="6" t="str">
        <f>"Fake Turtleneck Sweatshirt"</f>
        <v>Fake Turtleneck Sweatshirt</v>
      </c>
      <c r="K2676" s="6">
        <v>0</v>
      </c>
      <c r="L2676" s="6">
        <v>0</v>
      </c>
      <c r="M2676" s="6">
        <v>0</v>
      </c>
      <c r="N2676" s="6" t="str">
        <f>""</f>
        <v/>
      </c>
      <c r="O2676" s="6">
        <v>24266</v>
      </c>
      <c r="P2676" s="6" t="s">
        <v>11069</v>
      </c>
      <c r="R2676" s="6" t="s">
        <v>1565</v>
      </c>
      <c r="S2676" s="6" t="s">
        <v>11070</v>
      </c>
      <c r="T2676" s="6">
        <v>0</v>
      </c>
      <c r="U2676" s="6">
        <v>0</v>
      </c>
      <c r="V2676" s="6">
        <v>0</v>
      </c>
      <c r="W2676" s="6">
        <v>0</v>
      </c>
      <c r="X2676" s="6" t="s">
        <v>169</v>
      </c>
      <c r="Z2676" s="6" t="s">
        <v>170</v>
      </c>
      <c r="AA2676" s="6" t="s">
        <v>171</v>
      </c>
      <c r="AB2676" s="6">
        <v>0</v>
      </c>
      <c r="AC2676" s="6" t="str">
        <f>""</f>
        <v/>
      </c>
      <c r="AS2676" s="6">
        <v>0</v>
      </c>
      <c r="AT2676" s="6">
        <v>0</v>
      </c>
    </row>
    <row r="2677" spans="2:46">
      <c r="B2677" s="6" t="s">
        <v>112</v>
      </c>
      <c r="D2677" s="6" t="s">
        <v>8189</v>
      </c>
      <c r="F2677" s="6" t="s">
        <v>11071</v>
      </c>
      <c r="G2677" s="6" t="str">
        <f>"atm17wt007gr"</f>
        <v>atm17wt007gr</v>
      </c>
      <c r="H2677" s="6" t="s">
        <v>11072</v>
      </c>
      <c r="I2677" s="6" t="s">
        <v>11073</v>
      </c>
      <c r="J2677" s="6" t="str">
        <f>"Pocket Knit Sweatshirt"</f>
        <v>Pocket Knit Sweatshirt</v>
      </c>
      <c r="K2677" s="6">
        <v>0</v>
      </c>
      <c r="L2677" s="6">
        <v>0</v>
      </c>
      <c r="M2677" s="6">
        <v>0</v>
      </c>
      <c r="N2677" s="6" t="str">
        <f>""</f>
        <v/>
      </c>
      <c r="O2677" s="6">
        <v>24264</v>
      </c>
      <c r="P2677" s="6" t="s">
        <v>11074</v>
      </c>
      <c r="R2677" s="6" t="s">
        <v>11075</v>
      </c>
      <c r="S2677" s="6" t="s">
        <v>11076</v>
      </c>
      <c r="T2677" s="6">
        <v>0</v>
      </c>
      <c r="U2677" s="6">
        <v>0</v>
      </c>
      <c r="V2677" s="6">
        <v>0</v>
      </c>
      <c r="W2677" s="6">
        <v>0</v>
      </c>
      <c r="X2677" s="6" t="s">
        <v>169</v>
      </c>
      <c r="Z2677" s="6" t="s">
        <v>170</v>
      </c>
      <c r="AA2677" s="6" t="s">
        <v>171</v>
      </c>
      <c r="AB2677" s="6">
        <v>0</v>
      </c>
      <c r="AC2677" s="6" t="str">
        <f>""</f>
        <v/>
      </c>
      <c r="AS2677" s="6">
        <v>0</v>
      </c>
      <c r="AT2677" s="6">
        <v>0</v>
      </c>
    </row>
    <row r="2678" spans="2:46">
      <c r="B2678" s="6" t="s">
        <v>112</v>
      </c>
      <c r="D2678" s="6" t="s">
        <v>8189</v>
      </c>
      <c r="F2678" s="6" t="s">
        <v>11077</v>
      </c>
      <c r="G2678" s="6" t="str">
        <f>"atm17wt007bk"</f>
        <v>atm17wt007bk</v>
      </c>
      <c r="H2678" s="6" t="s">
        <v>11078</v>
      </c>
      <c r="I2678" s="6" t="s">
        <v>11073</v>
      </c>
      <c r="J2678" s="6" t="str">
        <f>"Pocket Knit Sweatshirt"</f>
        <v>Pocket Knit Sweatshirt</v>
      </c>
      <c r="K2678" s="6">
        <v>0</v>
      </c>
      <c r="L2678" s="6">
        <v>0</v>
      </c>
      <c r="M2678" s="6">
        <v>0</v>
      </c>
      <c r="N2678" s="6" t="str">
        <f>""</f>
        <v/>
      </c>
      <c r="O2678" s="6">
        <v>24263</v>
      </c>
      <c r="P2678" s="6" t="s">
        <v>11078</v>
      </c>
      <c r="R2678" s="6" t="s">
        <v>1565</v>
      </c>
      <c r="S2678" s="6" t="s">
        <v>11079</v>
      </c>
      <c r="T2678" s="6">
        <v>0</v>
      </c>
      <c r="U2678" s="6">
        <v>0</v>
      </c>
      <c r="V2678" s="6">
        <v>0</v>
      </c>
      <c r="W2678" s="6">
        <v>0</v>
      </c>
      <c r="X2678" s="6" t="s">
        <v>169</v>
      </c>
      <c r="Z2678" s="6" t="s">
        <v>170</v>
      </c>
      <c r="AA2678" s="6" t="s">
        <v>171</v>
      </c>
      <c r="AB2678" s="6">
        <v>0</v>
      </c>
      <c r="AC2678" s="6" t="str">
        <f>""</f>
        <v/>
      </c>
      <c r="AS2678" s="6">
        <v>0</v>
      </c>
      <c r="AT2678" s="6">
        <v>0</v>
      </c>
    </row>
    <row r="2679" spans="2:46">
      <c r="B2679" s="6" t="s">
        <v>112</v>
      </c>
      <c r="D2679" s="6" t="s">
        <v>8189</v>
      </c>
      <c r="F2679" s="6" t="s">
        <v>11080</v>
      </c>
      <c r="G2679" s="6" t="str">
        <f>"atm17wt006gr"</f>
        <v>atm17wt006gr</v>
      </c>
      <c r="H2679" s="6" t="s">
        <v>11081</v>
      </c>
      <c r="I2679" s="6" t="s">
        <v>11082</v>
      </c>
      <c r="J2679" s="6" t="str">
        <f>"Whatever Zipper Sweatshirt"</f>
        <v>Whatever Zipper Sweatshirt</v>
      </c>
      <c r="K2679" s="6">
        <v>0</v>
      </c>
      <c r="L2679" s="6">
        <v>0</v>
      </c>
      <c r="M2679" s="6">
        <v>0</v>
      </c>
      <c r="N2679" s="6" t="str">
        <f>""</f>
        <v/>
      </c>
      <c r="O2679" s="6">
        <v>24261</v>
      </c>
      <c r="P2679" s="6" t="s">
        <v>11083</v>
      </c>
      <c r="R2679" s="6" t="s">
        <v>11075</v>
      </c>
      <c r="S2679" s="6" t="s">
        <v>11084</v>
      </c>
      <c r="T2679" s="6">
        <v>0</v>
      </c>
      <c r="U2679" s="6">
        <v>0</v>
      </c>
      <c r="V2679" s="6">
        <v>0</v>
      </c>
      <c r="W2679" s="6">
        <v>0</v>
      </c>
      <c r="X2679" s="6" t="s">
        <v>169</v>
      </c>
      <c r="Z2679" s="6" t="s">
        <v>170</v>
      </c>
      <c r="AA2679" s="6" t="s">
        <v>171</v>
      </c>
      <c r="AB2679" s="6">
        <v>0</v>
      </c>
      <c r="AC2679" s="6" t="str">
        <f>""</f>
        <v/>
      </c>
      <c r="AS2679" s="6">
        <v>0</v>
      </c>
      <c r="AT2679" s="6">
        <v>0</v>
      </c>
    </row>
    <row r="2680" spans="2:46">
      <c r="B2680" s="6" t="s">
        <v>112</v>
      </c>
      <c r="D2680" s="6" t="s">
        <v>8189</v>
      </c>
      <c r="F2680" s="6" t="s">
        <v>11085</v>
      </c>
      <c r="G2680" s="6" t="str">
        <f>"atm17wt006bk"</f>
        <v>atm17wt006bk</v>
      </c>
      <c r="H2680" s="6" t="s">
        <v>11086</v>
      </c>
      <c r="I2680" s="6" t="s">
        <v>11082</v>
      </c>
      <c r="J2680" s="6" t="str">
        <f>"Whatever Zipper Sweatshirt"</f>
        <v>Whatever Zipper Sweatshirt</v>
      </c>
      <c r="K2680" s="6">
        <v>0</v>
      </c>
      <c r="L2680" s="6">
        <v>0</v>
      </c>
      <c r="M2680" s="6">
        <v>0</v>
      </c>
      <c r="N2680" s="6" t="str">
        <f>""</f>
        <v/>
      </c>
      <c r="O2680" s="6">
        <v>24260</v>
      </c>
      <c r="P2680" s="6" t="s">
        <v>11086</v>
      </c>
      <c r="R2680" s="6" t="s">
        <v>1565</v>
      </c>
      <c r="S2680" s="6" t="s">
        <v>11087</v>
      </c>
      <c r="T2680" s="6">
        <v>0</v>
      </c>
      <c r="U2680" s="6">
        <v>0</v>
      </c>
      <c r="V2680" s="6">
        <v>0</v>
      </c>
      <c r="W2680" s="6">
        <v>0</v>
      </c>
      <c r="X2680" s="6" t="s">
        <v>169</v>
      </c>
      <c r="Z2680" s="6" t="s">
        <v>170</v>
      </c>
      <c r="AA2680" s="6" t="s">
        <v>171</v>
      </c>
      <c r="AB2680" s="6">
        <v>0</v>
      </c>
      <c r="AC2680" s="6" t="str">
        <f>""</f>
        <v/>
      </c>
      <c r="AS2680" s="6">
        <v>0</v>
      </c>
      <c r="AT2680" s="6">
        <v>0</v>
      </c>
    </row>
    <row r="2681" spans="2:46">
      <c r="B2681" s="6" t="s">
        <v>112</v>
      </c>
      <c r="D2681" s="6" t="s">
        <v>8189</v>
      </c>
      <c r="F2681" s="6" t="s">
        <v>11088</v>
      </c>
      <c r="G2681" s="6" t="str">
        <f>"atm17wt005nv"</f>
        <v>atm17wt005nv</v>
      </c>
      <c r="H2681" s="6" t="s">
        <v>11089</v>
      </c>
      <c r="I2681" s="6" t="s">
        <v>11090</v>
      </c>
      <c r="J2681" s="6" t="str">
        <f>"Notice Turtleneck Sweatshirt"</f>
        <v>Notice Turtleneck Sweatshirt</v>
      </c>
      <c r="K2681" s="6">
        <v>0</v>
      </c>
      <c r="L2681" s="6">
        <v>0</v>
      </c>
      <c r="M2681" s="6">
        <v>0</v>
      </c>
      <c r="N2681" s="6" t="str">
        <f>""</f>
        <v/>
      </c>
      <c r="O2681" s="6">
        <v>24258</v>
      </c>
      <c r="P2681" s="6" t="s">
        <v>11089</v>
      </c>
      <c r="R2681" s="6" t="s">
        <v>1630</v>
      </c>
      <c r="S2681" s="6" t="s">
        <v>11091</v>
      </c>
      <c r="T2681" s="6">
        <v>0</v>
      </c>
      <c r="U2681" s="6">
        <v>0</v>
      </c>
      <c r="V2681" s="6">
        <v>0</v>
      </c>
      <c r="W2681" s="6">
        <v>0</v>
      </c>
      <c r="X2681" s="6" t="s">
        <v>169</v>
      </c>
      <c r="Z2681" s="6" t="s">
        <v>170</v>
      </c>
      <c r="AA2681" s="6" t="s">
        <v>171</v>
      </c>
      <c r="AB2681" s="6">
        <v>0</v>
      </c>
      <c r="AC2681" s="6" t="str">
        <f>""</f>
        <v/>
      </c>
      <c r="AS2681" s="6">
        <v>0</v>
      </c>
      <c r="AT2681" s="6">
        <v>0</v>
      </c>
    </row>
    <row r="2682" spans="2:46">
      <c r="B2682" s="6" t="s">
        <v>112</v>
      </c>
      <c r="D2682" s="6" t="s">
        <v>8189</v>
      </c>
      <c r="F2682" s="6" t="s">
        <v>11092</v>
      </c>
      <c r="G2682" s="6" t="str">
        <f>"atm17wt005bk"</f>
        <v>atm17wt005bk</v>
      </c>
      <c r="H2682" s="6" t="s">
        <v>11093</v>
      </c>
      <c r="I2682" s="6" t="s">
        <v>11090</v>
      </c>
      <c r="J2682" s="6" t="str">
        <f>"Notice Turtleneck Sweatshirt"</f>
        <v>Notice Turtleneck Sweatshirt</v>
      </c>
      <c r="K2682" s="6">
        <v>0</v>
      </c>
      <c r="L2682" s="6">
        <v>0</v>
      </c>
      <c r="M2682" s="6">
        <v>0</v>
      </c>
      <c r="N2682" s="6" t="str">
        <f>""</f>
        <v/>
      </c>
      <c r="O2682" s="6">
        <v>24257</v>
      </c>
      <c r="P2682" s="6" t="s">
        <v>11093</v>
      </c>
      <c r="R2682" s="6" t="s">
        <v>1565</v>
      </c>
      <c r="S2682" s="6" t="s">
        <v>11094</v>
      </c>
      <c r="T2682" s="6">
        <v>0</v>
      </c>
      <c r="U2682" s="6">
        <v>0</v>
      </c>
      <c r="V2682" s="6">
        <v>0</v>
      </c>
      <c r="W2682" s="6">
        <v>0</v>
      </c>
      <c r="X2682" s="6" t="s">
        <v>169</v>
      </c>
      <c r="Z2682" s="6" t="s">
        <v>170</v>
      </c>
      <c r="AA2682" s="6" t="s">
        <v>171</v>
      </c>
      <c r="AB2682" s="6">
        <v>0</v>
      </c>
      <c r="AC2682" s="6" t="str">
        <f>""</f>
        <v/>
      </c>
      <c r="AS2682" s="6">
        <v>0</v>
      </c>
      <c r="AT2682" s="6">
        <v>0</v>
      </c>
    </row>
    <row r="2683" spans="2:46">
      <c r="B2683" s="6" t="s">
        <v>112</v>
      </c>
      <c r="D2683" s="6" t="s">
        <v>8189</v>
      </c>
      <c r="F2683" s="6" t="s">
        <v>11095</v>
      </c>
      <c r="G2683" s="6" t="str">
        <f>"atm17wt004pk"</f>
        <v>atm17wt004pk</v>
      </c>
      <c r="H2683" s="6" t="s">
        <v>11096</v>
      </c>
      <c r="I2683" s="6" t="s">
        <v>11097</v>
      </c>
      <c r="J2683" s="6" t="str">
        <f>"Notice Crop Hoodie"</f>
        <v>Notice Crop Hoodie</v>
      </c>
      <c r="K2683" s="6">
        <v>0</v>
      </c>
      <c r="L2683" s="6">
        <v>0</v>
      </c>
      <c r="M2683" s="6">
        <v>0</v>
      </c>
      <c r="N2683" s="6" t="str">
        <f>""</f>
        <v/>
      </c>
      <c r="O2683" s="6">
        <v>24255</v>
      </c>
      <c r="P2683" s="6" t="s">
        <v>11096</v>
      </c>
      <c r="R2683" s="6" t="s">
        <v>1619</v>
      </c>
      <c r="S2683" s="6" t="s">
        <v>11098</v>
      </c>
      <c r="T2683" s="6">
        <v>0</v>
      </c>
      <c r="U2683" s="6">
        <v>0</v>
      </c>
      <c r="V2683" s="6">
        <v>0</v>
      </c>
      <c r="W2683" s="6">
        <v>0</v>
      </c>
      <c r="X2683" s="6" t="s">
        <v>169</v>
      </c>
      <c r="Z2683" s="6" t="s">
        <v>170</v>
      </c>
      <c r="AA2683" s="6" t="s">
        <v>171</v>
      </c>
      <c r="AB2683" s="6">
        <v>0</v>
      </c>
      <c r="AC2683" s="6" t="str">
        <f>""</f>
        <v/>
      </c>
      <c r="AS2683" s="6">
        <v>0</v>
      </c>
      <c r="AT2683" s="6">
        <v>0</v>
      </c>
    </row>
    <row r="2684" spans="2:46">
      <c r="B2684" s="6" t="s">
        <v>112</v>
      </c>
      <c r="D2684" s="6" t="s">
        <v>8189</v>
      </c>
      <c r="F2684" s="6" t="s">
        <v>11099</v>
      </c>
      <c r="G2684" s="6" t="str">
        <f>"atm17wt004bk"</f>
        <v>atm17wt004bk</v>
      </c>
      <c r="H2684" s="6" t="s">
        <v>11100</v>
      </c>
      <c r="I2684" s="6" t="s">
        <v>11097</v>
      </c>
      <c r="J2684" s="6" t="str">
        <f>"Notice Crop Hoodie"</f>
        <v>Notice Crop Hoodie</v>
      </c>
      <c r="K2684" s="6">
        <v>0</v>
      </c>
      <c r="L2684" s="6">
        <v>0</v>
      </c>
      <c r="M2684" s="6">
        <v>0</v>
      </c>
      <c r="N2684" s="6" t="str">
        <f>""</f>
        <v/>
      </c>
      <c r="O2684" s="6">
        <v>24254</v>
      </c>
      <c r="P2684" s="6" t="s">
        <v>11100</v>
      </c>
      <c r="R2684" s="6" t="s">
        <v>1565</v>
      </c>
      <c r="S2684" s="6" t="s">
        <v>11101</v>
      </c>
      <c r="T2684" s="6">
        <v>0</v>
      </c>
      <c r="U2684" s="6">
        <v>0</v>
      </c>
      <c r="V2684" s="6">
        <v>0</v>
      </c>
      <c r="W2684" s="6">
        <v>0</v>
      </c>
      <c r="X2684" s="6" t="s">
        <v>169</v>
      </c>
      <c r="Z2684" s="6" t="s">
        <v>170</v>
      </c>
      <c r="AA2684" s="6" t="s">
        <v>171</v>
      </c>
      <c r="AB2684" s="6">
        <v>0</v>
      </c>
      <c r="AC2684" s="6" t="str">
        <f>""</f>
        <v/>
      </c>
      <c r="AS2684" s="6">
        <v>0</v>
      </c>
      <c r="AT2684" s="6">
        <v>0</v>
      </c>
    </row>
    <row r="2685" spans="2:46">
      <c r="B2685" s="6" t="s">
        <v>112</v>
      </c>
      <c r="D2685" s="6" t="s">
        <v>8189</v>
      </c>
      <c r="F2685" s="6" t="s">
        <v>11102</v>
      </c>
      <c r="G2685" s="6" t="str">
        <f>"atm17wt003be"</f>
        <v>atm17wt003be</v>
      </c>
      <c r="H2685" s="6" t="s">
        <v>11103</v>
      </c>
      <c r="I2685" s="6" t="s">
        <v>11104</v>
      </c>
      <c r="J2685" s="6" t="str">
        <f>"2017 Poodle Hoodie"</f>
        <v>2017 Poodle Hoodie</v>
      </c>
      <c r="K2685" s="6">
        <v>0</v>
      </c>
      <c r="L2685" s="6">
        <v>0</v>
      </c>
      <c r="M2685" s="6">
        <v>0</v>
      </c>
      <c r="N2685" s="6" t="str">
        <f>""</f>
        <v/>
      </c>
      <c r="O2685" s="6">
        <v>24252</v>
      </c>
      <c r="P2685" s="6" t="s">
        <v>11103</v>
      </c>
      <c r="R2685" s="6" t="s">
        <v>3268</v>
      </c>
      <c r="S2685" s="6" t="s">
        <v>11105</v>
      </c>
      <c r="T2685" s="6">
        <v>0</v>
      </c>
      <c r="U2685" s="6">
        <v>0</v>
      </c>
      <c r="V2685" s="6">
        <v>0</v>
      </c>
      <c r="W2685" s="6">
        <v>0</v>
      </c>
      <c r="X2685" s="6" t="s">
        <v>169</v>
      </c>
      <c r="Z2685" s="6" t="s">
        <v>170</v>
      </c>
      <c r="AA2685" s="6" t="s">
        <v>171</v>
      </c>
      <c r="AB2685" s="6">
        <v>0</v>
      </c>
      <c r="AC2685" s="6" t="str">
        <f>""</f>
        <v/>
      </c>
      <c r="AS2685" s="6">
        <v>0</v>
      </c>
      <c r="AT2685" s="6">
        <v>0</v>
      </c>
    </row>
    <row r="2686" spans="2:46">
      <c r="B2686" s="6" t="s">
        <v>112</v>
      </c>
      <c r="D2686" s="6" t="s">
        <v>8189</v>
      </c>
      <c r="F2686" s="6" t="s">
        <v>11106</v>
      </c>
      <c r="G2686" s="6" t="str">
        <f>"atm17wt003bk"</f>
        <v>atm17wt003bk</v>
      </c>
      <c r="H2686" s="6" t="s">
        <v>11107</v>
      </c>
      <c r="I2686" s="6" t="s">
        <v>11104</v>
      </c>
      <c r="J2686" s="6" t="str">
        <f>"2017 Poodle Hoodie"</f>
        <v>2017 Poodle Hoodie</v>
      </c>
      <c r="K2686" s="6">
        <v>0</v>
      </c>
      <c r="L2686" s="6">
        <v>0</v>
      </c>
      <c r="M2686" s="6">
        <v>0</v>
      </c>
      <c r="N2686" s="6" t="str">
        <f>""</f>
        <v/>
      </c>
      <c r="O2686" s="6">
        <v>24251</v>
      </c>
      <c r="P2686" s="6" t="s">
        <v>11107</v>
      </c>
      <c r="R2686" s="6" t="s">
        <v>1565</v>
      </c>
      <c r="S2686" s="6" t="s">
        <v>11108</v>
      </c>
      <c r="T2686" s="6">
        <v>0</v>
      </c>
      <c r="U2686" s="6">
        <v>0</v>
      </c>
      <c r="V2686" s="6">
        <v>0</v>
      </c>
      <c r="W2686" s="6">
        <v>0</v>
      </c>
      <c r="X2686" s="6" t="s">
        <v>169</v>
      </c>
      <c r="Z2686" s="6" t="s">
        <v>170</v>
      </c>
      <c r="AA2686" s="6" t="s">
        <v>171</v>
      </c>
      <c r="AB2686" s="6">
        <v>0</v>
      </c>
      <c r="AC2686" s="6" t="str">
        <f>""</f>
        <v/>
      </c>
      <c r="AS2686" s="6">
        <v>0</v>
      </c>
      <c r="AT2686" s="6">
        <v>0</v>
      </c>
    </row>
    <row r="2687" spans="2:46">
      <c r="B2687" s="6" t="s">
        <v>112</v>
      </c>
      <c r="D2687" s="6" t="s">
        <v>8189</v>
      </c>
      <c r="F2687" s="6" t="s">
        <v>11109</v>
      </c>
      <c r="G2687" s="6" t="str">
        <f>"atm17wt002grL"</f>
        <v>atm17wt002grL</v>
      </c>
      <c r="H2687" s="6" t="s">
        <v>11110</v>
      </c>
      <c r="I2687" s="6" t="s">
        <v>11111</v>
      </c>
      <c r="J2687" s="6" t="str">
        <f>"Tomorrow Hoodie"</f>
        <v>Tomorrow Hoodie</v>
      </c>
      <c r="K2687" s="6">
        <v>0</v>
      </c>
      <c r="L2687" s="6">
        <v>0</v>
      </c>
      <c r="M2687" s="6">
        <v>0</v>
      </c>
      <c r="N2687" s="6" t="str">
        <f>""</f>
        <v/>
      </c>
      <c r="O2687" s="6">
        <v>24249</v>
      </c>
      <c r="P2687" s="6" t="s">
        <v>11112</v>
      </c>
      <c r="R2687" s="6" t="s">
        <v>9798</v>
      </c>
      <c r="S2687" s="6" t="s">
        <v>11113</v>
      </c>
      <c r="T2687" s="6">
        <v>0</v>
      </c>
      <c r="U2687" s="6">
        <v>0</v>
      </c>
      <c r="V2687" s="6">
        <v>0</v>
      </c>
      <c r="W2687" s="6">
        <v>0</v>
      </c>
      <c r="X2687" s="6" t="s">
        <v>169</v>
      </c>
      <c r="Z2687" s="6" t="s">
        <v>170</v>
      </c>
      <c r="AA2687" s="6" t="s">
        <v>171</v>
      </c>
      <c r="AB2687" s="6">
        <v>0</v>
      </c>
      <c r="AC2687" s="6" t="str">
        <f>""</f>
        <v/>
      </c>
      <c r="AS2687" s="6">
        <v>0</v>
      </c>
      <c r="AT2687" s="6">
        <v>0</v>
      </c>
    </row>
    <row r="2688" spans="2:46">
      <c r="B2688" s="6" t="s">
        <v>112</v>
      </c>
      <c r="D2688" s="6" t="s">
        <v>8189</v>
      </c>
      <c r="F2688" s="6" t="s">
        <v>11114</v>
      </c>
      <c r="G2688" s="6" t="str">
        <f>"atm17wt002grM"</f>
        <v>atm17wt002grM</v>
      </c>
      <c r="H2688" s="6" t="s">
        <v>11115</v>
      </c>
      <c r="I2688" s="6" t="s">
        <v>11111</v>
      </c>
      <c r="J2688" s="6" t="str">
        <f>"Tomorrow Hoodie"</f>
        <v>Tomorrow Hoodie</v>
      </c>
      <c r="K2688" s="6">
        <v>0</v>
      </c>
      <c r="L2688" s="6">
        <v>0</v>
      </c>
      <c r="M2688" s="6">
        <v>0</v>
      </c>
      <c r="N2688" s="6" t="str">
        <f>""</f>
        <v/>
      </c>
      <c r="O2688" s="6">
        <v>24248</v>
      </c>
      <c r="P2688" s="6" t="s">
        <v>11116</v>
      </c>
      <c r="R2688" s="6" t="s">
        <v>9803</v>
      </c>
      <c r="S2688" s="6" t="s">
        <v>11117</v>
      </c>
      <c r="T2688" s="6">
        <v>0</v>
      </c>
      <c r="U2688" s="6">
        <v>0</v>
      </c>
      <c r="V2688" s="6">
        <v>0</v>
      </c>
      <c r="W2688" s="6">
        <v>0</v>
      </c>
      <c r="X2688" s="6" t="s">
        <v>169</v>
      </c>
      <c r="Z2688" s="6" t="s">
        <v>170</v>
      </c>
      <c r="AA2688" s="6" t="s">
        <v>171</v>
      </c>
      <c r="AB2688" s="6">
        <v>0</v>
      </c>
      <c r="AC2688" s="6" t="str">
        <f>""</f>
        <v/>
      </c>
      <c r="AS2688" s="6">
        <v>0</v>
      </c>
      <c r="AT2688" s="6">
        <v>0</v>
      </c>
    </row>
    <row r="2689" spans="2:46">
      <c r="B2689" s="6" t="s">
        <v>112</v>
      </c>
      <c r="D2689" s="6" t="s">
        <v>8189</v>
      </c>
      <c r="F2689" s="6" t="s">
        <v>11118</v>
      </c>
      <c r="G2689" s="6" t="str">
        <f>"atm17wt002bkL"</f>
        <v>atm17wt002bkL</v>
      </c>
      <c r="H2689" s="6" t="s">
        <v>11119</v>
      </c>
      <c r="I2689" s="6" t="s">
        <v>11111</v>
      </c>
      <c r="J2689" s="6" t="str">
        <f>"Tomorrow Hoodie"</f>
        <v>Tomorrow Hoodie</v>
      </c>
      <c r="K2689" s="6">
        <v>0</v>
      </c>
      <c r="L2689" s="6">
        <v>0</v>
      </c>
      <c r="M2689" s="6">
        <v>0</v>
      </c>
      <c r="N2689" s="6" t="str">
        <f>""</f>
        <v/>
      </c>
      <c r="O2689" s="6">
        <v>24247</v>
      </c>
      <c r="P2689" s="6" t="s">
        <v>11119</v>
      </c>
      <c r="R2689" s="6" t="s">
        <v>1547</v>
      </c>
      <c r="S2689" s="6" t="s">
        <v>11120</v>
      </c>
      <c r="T2689" s="6">
        <v>0</v>
      </c>
      <c r="U2689" s="6">
        <v>0</v>
      </c>
      <c r="V2689" s="6">
        <v>0</v>
      </c>
      <c r="W2689" s="6">
        <v>0</v>
      </c>
      <c r="X2689" s="6" t="s">
        <v>169</v>
      </c>
      <c r="Z2689" s="6" t="s">
        <v>170</v>
      </c>
      <c r="AA2689" s="6" t="s">
        <v>171</v>
      </c>
      <c r="AB2689" s="6">
        <v>0</v>
      </c>
      <c r="AC2689" s="6" t="str">
        <f>""</f>
        <v/>
      </c>
      <c r="AS2689" s="6">
        <v>0</v>
      </c>
      <c r="AT2689" s="6">
        <v>0</v>
      </c>
    </row>
    <row r="2690" spans="2:46">
      <c r="B2690" s="6" t="s">
        <v>112</v>
      </c>
      <c r="D2690" s="6" t="s">
        <v>8189</v>
      </c>
      <c r="F2690" s="6" t="s">
        <v>11121</v>
      </c>
      <c r="G2690" s="6" t="str">
        <f>"atm17wt002bkM"</f>
        <v>atm17wt002bkM</v>
      </c>
      <c r="H2690" s="6" t="s">
        <v>11122</v>
      </c>
      <c r="I2690" s="6" t="s">
        <v>11111</v>
      </c>
      <c r="J2690" s="6" t="str">
        <f>"Tomorrow Hoodie"</f>
        <v>Tomorrow Hoodie</v>
      </c>
      <c r="K2690" s="6">
        <v>0</v>
      </c>
      <c r="L2690" s="6">
        <v>0</v>
      </c>
      <c r="M2690" s="6">
        <v>0</v>
      </c>
      <c r="N2690" s="6" t="str">
        <f>""</f>
        <v/>
      </c>
      <c r="O2690" s="6">
        <v>24246</v>
      </c>
      <c r="P2690" s="6" t="s">
        <v>11122</v>
      </c>
      <c r="R2690" s="6" t="s">
        <v>1551</v>
      </c>
      <c r="S2690" s="6" t="s">
        <v>11123</v>
      </c>
      <c r="T2690" s="6">
        <v>0</v>
      </c>
      <c r="U2690" s="6">
        <v>0</v>
      </c>
      <c r="V2690" s="6">
        <v>0</v>
      </c>
      <c r="W2690" s="6">
        <v>0</v>
      </c>
      <c r="X2690" s="6" t="s">
        <v>169</v>
      </c>
      <c r="Z2690" s="6" t="s">
        <v>170</v>
      </c>
      <c r="AA2690" s="6" t="s">
        <v>171</v>
      </c>
      <c r="AB2690" s="6">
        <v>0</v>
      </c>
      <c r="AC2690" s="6" t="str">
        <f>""</f>
        <v/>
      </c>
      <c r="AS2690" s="6">
        <v>0</v>
      </c>
      <c r="AT2690" s="6">
        <v>0</v>
      </c>
    </row>
    <row r="2691" spans="2:46">
      <c r="B2691" s="6" t="s">
        <v>112</v>
      </c>
      <c r="D2691" s="6" t="s">
        <v>8189</v>
      </c>
      <c r="F2691" s="6" t="s">
        <v>11124</v>
      </c>
      <c r="G2691" s="6" t="str">
        <f>"atm17wt001nvL"</f>
        <v>atm17wt001nvL</v>
      </c>
      <c r="H2691" s="6" t="s">
        <v>11125</v>
      </c>
      <c r="I2691" s="6" t="s">
        <v>11126</v>
      </c>
      <c r="J2691" s="6" t="str">
        <f>"Do It Hoodie"</f>
        <v>Do It Hoodie</v>
      </c>
      <c r="K2691" s="6">
        <v>0</v>
      </c>
      <c r="L2691" s="6">
        <v>0</v>
      </c>
      <c r="M2691" s="6">
        <v>0</v>
      </c>
      <c r="N2691" s="6" t="str">
        <f>""</f>
        <v/>
      </c>
      <c r="O2691" s="6">
        <v>24244</v>
      </c>
      <c r="P2691" s="6" t="s">
        <v>11125</v>
      </c>
      <c r="R2691" s="6" t="s">
        <v>9772</v>
      </c>
      <c r="S2691" s="6" t="s">
        <v>11127</v>
      </c>
      <c r="T2691" s="6">
        <v>0</v>
      </c>
      <c r="U2691" s="6">
        <v>0</v>
      </c>
      <c r="V2691" s="6">
        <v>0</v>
      </c>
      <c r="W2691" s="6">
        <v>0</v>
      </c>
      <c r="X2691" s="6" t="s">
        <v>169</v>
      </c>
      <c r="Z2691" s="6" t="s">
        <v>170</v>
      </c>
      <c r="AA2691" s="6" t="s">
        <v>171</v>
      </c>
      <c r="AB2691" s="6">
        <v>0</v>
      </c>
      <c r="AC2691" s="6" t="str">
        <f>""</f>
        <v/>
      </c>
      <c r="AS2691" s="6">
        <v>0</v>
      </c>
      <c r="AT2691" s="6">
        <v>0</v>
      </c>
    </row>
    <row r="2692" spans="2:46">
      <c r="B2692" s="6" t="s">
        <v>112</v>
      </c>
      <c r="D2692" s="6" t="s">
        <v>8189</v>
      </c>
      <c r="F2692" s="6" t="s">
        <v>11128</v>
      </c>
      <c r="G2692" s="6" t="str">
        <f>"atm17wt001nvM"</f>
        <v>atm17wt001nvM</v>
      </c>
      <c r="H2692" s="6" t="s">
        <v>11129</v>
      </c>
      <c r="I2692" s="6" t="s">
        <v>11126</v>
      </c>
      <c r="J2692" s="6" t="str">
        <f>"Do It Hoodie"</f>
        <v>Do It Hoodie</v>
      </c>
      <c r="K2692" s="6">
        <v>0</v>
      </c>
      <c r="L2692" s="6">
        <v>0</v>
      </c>
      <c r="M2692" s="6">
        <v>0</v>
      </c>
      <c r="N2692" s="6" t="str">
        <f>""</f>
        <v/>
      </c>
      <c r="O2692" s="6">
        <v>24243</v>
      </c>
      <c r="P2692" s="6" t="s">
        <v>11129</v>
      </c>
      <c r="R2692" s="6" t="s">
        <v>9777</v>
      </c>
      <c r="S2692" s="6" t="s">
        <v>11130</v>
      </c>
      <c r="T2692" s="6">
        <v>0</v>
      </c>
      <c r="U2692" s="6">
        <v>0</v>
      </c>
      <c r="V2692" s="6">
        <v>0</v>
      </c>
      <c r="W2692" s="6">
        <v>0</v>
      </c>
      <c r="X2692" s="6" t="s">
        <v>169</v>
      </c>
      <c r="Z2692" s="6" t="s">
        <v>170</v>
      </c>
      <c r="AA2692" s="6" t="s">
        <v>171</v>
      </c>
      <c r="AB2692" s="6">
        <v>0</v>
      </c>
      <c r="AC2692" s="6" t="str">
        <f>""</f>
        <v/>
      </c>
      <c r="AS2692" s="6">
        <v>0</v>
      </c>
      <c r="AT2692" s="6">
        <v>0</v>
      </c>
    </row>
    <row r="2693" spans="2:46">
      <c r="B2693" s="6" t="s">
        <v>112</v>
      </c>
      <c r="D2693" s="6" t="s">
        <v>8189</v>
      </c>
      <c r="F2693" s="6" t="s">
        <v>11131</v>
      </c>
      <c r="G2693" s="6" t="str">
        <f>"atm17wt001bkL"</f>
        <v>atm17wt001bkL</v>
      </c>
      <c r="H2693" s="6" t="s">
        <v>11132</v>
      </c>
      <c r="I2693" s="6" t="s">
        <v>11126</v>
      </c>
      <c r="J2693" s="6" t="str">
        <f>"Do It Hoodie"</f>
        <v>Do It Hoodie</v>
      </c>
      <c r="K2693" s="6">
        <v>0</v>
      </c>
      <c r="L2693" s="6">
        <v>0</v>
      </c>
      <c r="M2693" s="6">
        <v>0</v>
      </c>
      <c r="N2693" s="6" t="str">
        <f>""</f>
        <v/>
      </c>
      <c r="O2693" s="6">
        <v>24242</v>
      </c>
      <c r="P2693" s="6" t="s">
        <v>11132</v>
      </c>
      <c r="R2693" s="6" t="s">
        <v>1547</v>
      </c>
      <c r="S2693" s="6" t="s">
        <v>11133</v>
      </c>
      <c r="T2693" s="6">
        <v>0</v>
      </c>
      <c r="U2693" s="6">
        <v>0</v>
      </c>
      <c r="V2693" s="6">
        <v>0</v>
      </c>
      <c r="W2693" s="6">
        <v>0</v>
      </c>
      <c r="X2693" s="6" t="s">
        <v>169</v>
      </c>
      <c r="Z2693" s="6" t="s">
        <v>170</v>
      </c>
      <c r="AA2693" s="6" t="s">
        <v>171</v>
      </c>
      <c r="AB2693" s="6">
        <v>0</v>
      </c>
      <c r="AC2693" s="6" t="str">
        <f>""</f>
        <v/>
      </c>
      <c r="AS2693" s="6">
        <v>0</v>
      </c>
      <c r="AT2693" s="6">
        <v>0</v>
      </c>
    </row>
    <row r="2694" spans="2:46">
      <c r="B2694" s="6" t="s">
        <v>112</v>
      </c>
      <c r="D2694" s="6" t="s">
        <v>8189</v>
      </c>
      <c r="F2694" s="6" t="s">
        <v>11134</v>
      </c>
      <c r="G2694" s="6" t="str">
        <f>"atm17wt001bkM"</f>
        <v>atm17wt001bkM</v>
      </c>
      <c r="H2694" s="6" t="s">
        <v>11135</v>
      </c>
      <c r="I2694" s="6" t="s">
        <v>11126</v>
      </c>
      <c r="J2694" s="6" t="str">
        <f>"Do It Hoodie"</f>
        <v>Do It Hoodie</v>
      </c>
      <c r="K2694" s="6">
        <v>0</v>
      </c>
      <c r="L2694" s="6">
        <v>0</v>
      </c>
      <c r="M2694" s="6">
        <v>0</v>
      </c>
      <c r="N2694" s="6" t="str">
        <f>""</f>
        <v/>
      </c>
      <c r="O2694" s="6">
        <v>24241</v>
      </c>
      <c r="P2694" s="6" t="s">
        <v>11135</v>
      </c>
      <c r="R2694" s="6" t="s">
        <v>1551</v>
      </c>
      <c r="S2694" s="6" t="s">
        <v>11136</v>
      </c>
      <c r="T2694" s="6">
        <v>0</v>
      </c>
      <c r="U2694" s="6">
        <v>0</v>
      </c>
      <c r="V2694" s="6">
        <v>0</v>
      </c>
      <c r="W2694" s="6">
        <v>0</v>
      </c>
      <c r="X2694" s="6" t="s">
        <v>169</v>
      </c>
      <c r="Z2694" s="6" t="s">
        <v>170</v>
      </c>
      <c r="AA2694" s="6" t="s">
        <v>171</v>
      </c>
      <c r="AB2694" s="6">
        <v>0</v>
      </c>
      <c r="AC2694" s="6" t="str">
        <f>""</f>
        <v/>
      </c>
      <c r="AS2694" s="6">
        <v>0</v>
      </c>
      <c r="AT2694" s="6">
        <v>0</v>
      </c>
    </row>
    <row r="2695" spans="2:46">
      <c r="B2695" s="6" t="s">
        <v>112</v>
      </c>
      <c r="D2695" s="6" t="s">
        <v>8189</v>
      </c>
      <c r="F2695" s="6" t="s">
        <v>11137</v>
      </c>
      <c r="G2695" s="6" t="str">
        <f>"atm17wo003blL"</f>
        <v>atm17wo003blL</v>
      </c>
      <c r="H2695" s="6" t="s">
        <v>11138</v>
      </c>
      <c r="I2695" s="6" t="s">
        <v>11139</v>
      </c>
      <c r="J2695" s="6" t="str">
        <f>"Oversized Long Coat"</f>
        <v>Oversized Long Coat</v>
      </c>
      <c r="K2695" s="6">
        <v>0</v>
      </c>
      <c r="L2695" s="6">
        <v>0</v>
      </c>
      <c r="M2695" s="6">
        <v>0</v>
      </c>
      <c r="N2695" s="6" t="str">
        <f>""</f>
        <v/>
      </c>
      <c r="O2695" s="6">
        <v>24239</v>
      </c>
      <c r="P2695" s="6" t="s">
        <v>11138</v>
      </c>
      <c r="R2695" s="6" t="s">
        <v>1529</v>
      </c>
      <c r="S2695" s="6" t="s">
        <v>11140</v>
      </c>
      <c r="T2695" s="6">
        <v>0</v>
      </c>
      <c r="U2695" s="6">
        <v>0</v>
      </c>
      <c r="V2695" s="6">
        <v>0</v>
      </c>
      <c r="W2695" s="6">
        <v>0</v>
      </c>
      <c r="X2695" s="6" t="s">
        <v>169</v>
      </c>
      <c r="Z2695" s="6" t="s">
        <v>170</v>
      </c>
      <c r="AA2695" s="6" t="s">
        <v>171</v>
      </c>
      <c r="AB2695" s="6">
        <v>0</v>
      </c>
      <c r="AC2695" s="6" t="str">
        <f>""</f>
        <v/>
      </c>
      <c r="AS2695" s="6">
        <v>0</v>
      </c>
      <c r="AT2695" s="6">
        <v>0</v>
      </c>
    </row>
    <row r="2696" spans="2:46">
      <c r="B2696" s="6" t="s">
        <v>112</v>
      </c>
      <c r="D2696" s="6" t="s">
        <v>8189</v>
      </c>
      <c r="F2696" s="6" t="s">
        <v>11141</v>
      </c>
      <c r="G2696" s="6" t="str">
        <f>"atm17wo003blM"</f>
        <v>atm17wo003blM</v>
      </c>
      <c r="H2696" s="6" t="s">
        <v>11142</v>
      </c>
      <c r="I2696" s="6" t="s">
        <v>11139</v>
      </c>
      <c r="J2696" s="6" t="str">
        <f>"Oversized Long Coat"</f>
        <v>Oversized Long Coat</v>
      </c>
      <c r="K2696" s="6">
        <v>0</v>
      </c>
      <c r="L2696" s="6">
        <v>0</v>
      </c>
      <c r="M2696" s="6">
        <v>0</v>
      </c>
      <c r="N2696" s="6" t="str">
        <f>""</f>
        <v/>
      </c>
      <c r="O2696" s="6">
        <v>24238</v>
      </c>
      <c r="P2696" s="6" t="s">
        <v>11142</v>
      </c>
      <c r="R2696" s="6" t="s">
        <v>1533</v>
      </c>
      <c r="S2696" s="6" t="s">
        <v>11143</v>
      </c>
      <c r="T2696" s="6">
        <v>0</v>
      </c>
      <c r="U2696" s="6">
        <v>0</v>
      </c>
      <c r="V2696" s="6">
        <v>0</v>
      </c>
      <c r="W2696" s="6">
        <v>0</v>
      </c>
      <c r="X2696" s="6" t="s">
        <v>169</v>
      </c>
      <c r="Z2696" s="6" t="s">
        <v>170</v>
      </c>
      <c r="AA2696" s="6" t="s">
        <v>171</v>
      </c>
      <c r="AB2696" s="6">
        <v>0</v>
      </c>
      <c r="AC2696" s="6" t="str">
        <f>""</f>
        <v/>
      </c>
      <c r="AS2696" s="6">
        <v>0</v>
      </c>
      <c r="AT2696" s="6">
        <v>0</v>
      </c>
    </row>
    <row r="2697" spans="2:46">
      <c r="B2697" s="6" t="s">
        <v>112</v>
      </c>
      <c r="D2697" s="6" t="s">
        <v>8189</v>
      </c>
      <c r="F2697" s="6" t="s">
        <v>11144</v>
      </c>
      <c r="G2697" s="6" t="str">
        <f>"atm17wo003bkL"</f>
        <v>atm17wo003bkL</v>
      </c>
      <c r="H2697" s="6" t="s">
        <v>11145</v>
      </c>
      <c r="I2697" s="6" t="s">
        <v>11139</v>
      </c>
      <c r="J2697" s="6" t="str">
        <f>"Oversized Long Coat"</f>
        <v>Oversized Long Coat</v>
      </c>
      <c r="K2697" s="6">
        <v>0</v>
      </c>
      <c r="L2697" s="6">
        <v>0</v>
      </c>
      <c r="M2697" s="6">
        <v>0</v>
      </c>
      <c r="N2697" s="6" t="str">
        <f>""</f>
        <v/>
      </c>
      <c r="O2697" s="6">
        <v>24237</v>
      </c>
      <c r="P2697" s="6" t="s">
        <v>11145</v>
      </c>
      <c r="R2697" s="6" t="s">
        <v>1547</v>
      </c>
      <c r="S2697" s="6" t="s">
        <v>11146</v>
      </c>
      <c r="T2697" s="6">
        <v>0</v>
      </c>
      <c r="U2697" s="6">
        <v>0</v>
      </c>
      <c r="V2697" s="6">
        <v>0</v>
      </c>
      <c r="W2697" s="6">
        <v>0</v>
      </c>
      <c r="X2697" s="6" t="s">
        <v>169</v>
      </c>
      <c r="Z2697" s="6" t="s">
        <v>170</v>
      </c>
      <c r="AA2697" s="6" t="s">
        <v>171</v>
      </c>
      <c r="AB2697" s="6">
        <v>0</v>
      </c>
      <c r="AC2697" s="6" t="str">
        <f>""</f>
        <v/>
      </c>
      <c r="AS2697" s="6">
        <v>0</v>
      </c>
      <c r="AT2697" s="6">
        <v>0</v>
      </c>
    </row>
    <row r="2698" spans="2:46">
      <c r="B2698" s="6" t="s">
        <v>112</v>
      </c>
      <c r="D2698" s="6" t="s">
        <v>8189</v>
      </c>
      <c r="F2698" s="6" t="s">
        <v>11147</v>
      </c>
      <c r="G2698" s="6" t="str">
        <f>"atm17wo003bkM"</f>
        <v>atm17wo003bkM</v>
      </c>
      <c r="H2698" s="6" t="s">
        <v>11148</v>
      </c>
      <c r="I2698" s="6" t="s">
        <v>11139</v>
      </c>
      <c r="J2698" s="6" t="str">
        <f>"Oversized Long Coat"</f>
        <v>Oversized Long Coat</v>
      </c>
      <c r="K2698" s="6">
        <v>0</v>
      </c>
      <c r="L2698" s="6">
        <v>0</v>
      </c>
      <c r="M2698" s="6">
        <v>0</v>
      </c>
      <c r="N2698" s="6" t="str">
        <f>""</f>
        <v/>
      </c>
      <c r="O2698" s="6">
        <v>24236</v>
      </c>
      <c r="P2698" s="6" t="s">
        <v>11148</v>
      </c>
      <c r="R2698" s="6" t="s">
        <v>1551</v>
      </c>
      <c r="S2698" s="6" t="s">
        <v>11149</v>
      </c>
      <c r="T2698" s="6">
        <v>0</v>
      </c>
      <c r="U2698" s="6">
        <v>0</v>
      </c>
      <c r="V2698" s="6">
        <v>0</v>
      </c>
      <c r="W2698" s="6">
        <v>0</v>
      </c>
      <c r="X2698" s="6" t="s">
        <v>169</v>
      </c>
      <c r="Z2698" s="6" t="s">
        <v>170</v>
      </c>
      <c r="AA2698" s="6" t="s">
        <v>171</v>
      </c>
      <c r="AB2698" s="6">
        <v>0</v>
      </c>
      <c r="AC2698" s="6" t="str">
        <f>""</f>
        <v/>
      </c>
      <c r="AS2698" s="6">
        <v>0</v>
      </c>
      <c r="AT2698" s="6">
        <v>0</v>
      </c>
    </row>
    <row r="2699" spans="2:46">
      <c r="B2699" s="6" t="s">
        <v>112</v>
      </c>
      <c r="D2699" s="6" t="s">
        <v>8189</v>
      </c>
      <c r="F2699" s="6" t="s">
        <v>11150</v>
      </c>
      <c r="G2699" s="6" t="str">
        <f>"atm17wo002be"</f>
        <v>atm17wo002be</v>
      </c>
      <c r="I2699" s="6" t="s">
        <v>11151</v>
      </c>
      <c r="J2699" s="6" t="str">
        <f>"Duffle Zipper Jacket"</f>
        <v>Duffle Zipper Jacket</v>
      </c>
      <c r="K2699" s="6">
        <v>0</v>
      </c>
      <c r="L2699" s="6">
        <v>0</v>
      </c>
      <c r="M2699" s="6">
        <v>0</v>
      </c>
      <c r="N2699" s="6" t="str">
        <f>""</f>
        <v/>
      </c>
      <c r="O2699" s="6">
        <v>24234</v>
      </c>
      <c r="P2699" s="6" t="s">
        <v>11152</v>
      </c>
      <c r="R2699" s="6" t="s">
        <v>3268</v>
      </c>
      <c r="S2699" s="6" t="s">
        <v>11153</v>
      </c>
      <c r="T2699" s="6">
        <v>1</v>
      </c>
      <c r="U2699" s="6">
        <v>0</v>
      </c>
      <c r="V2699" s="6">
        <v>0</v>
      </c>
      <c r="W2699" s="6">
        <v>0</v>
      </c>
      <c r="X2699" s="6" t="s">
        <v>169</v>
      </c>
      <c r="Z2699" s="6" t="s">
        <v>170</v>
      </c>
      <c r="AA2699" s="6" t="s">
        <v>171</v>
      </c>
      <c r="AB2699" s="6">
        <v>0</v>
      </c>
      <c r="AC2699" s="6" t="str">
        <f>"KEY-061"</f>
        <v>KEY-061</v>
      </c>
      <c r="AQ2699" s="6" t="str">
        <f>""</f>
        <v/>
      </c>
      <c r="AR2699" s="6" t="s">
        <v>1567</v>
      </c>
      <c r="AS2699" s="6">
        <v>0</v>
      </c>
      <c r="AT2699" s="6">
        <v>1</v>
      </c>
    </row>
    <row r="2700" spans="2:46">
      <c r="B2700" s="6" t="s">
        <v>112</v>
      </c>
      <c r="D2700" s="6" t="s">
        <v>8189</v>
      </c>
      <c r="F2700" s="6" t="s">
        <v>11154</v>
      </c>
      <c r="G2700" s="6" t="str">
        <f>"atm17wo002bk"</f>
        <v>atm17wo002bk</v>
      </c>
      <c r="H2700" s="6" t="s">
        <v>11155</v>
      </c>
      <c r="I2700" s="6" t="s">
        <v>11151</v>
      </c>
      <c r="J2700" s="6" t="str">
        <f>"Duffle Zipper Jacket"</f>
        <v>Duffle Zipper Jacket</v>
      </c>
      <c r="K2700" s="6">
        <v>0</v>
      </c>
      <c r="L2700" s="6">
        <v>0</v>
      </c>
      <c r="M2700" s="6">
        <v>0</v>
      </c>
      <c r="N2700" s="6" t="str">
        <f>""</f>
        <v/>
      </c>
      <c r="O2700" s="6">
        <v>24233</v>
      </c>
      <c r="P2700" s="6" t="s">
        <v>11155</v>
      </c>
      <c r="R2700" s="6" t="s">
        <v>1565</v>
      </c>
      <c r="S2700" s="6" t="s">
        <v>11156</v>
      </c>
      <c r="T2700" s="6">
        <v>0</v>
      </c>
      <c r="U2700" s="6">
        <v>0</v>
      </c>
      <c r="V2700" s="6">
        <v>0</v>
      </c>
      <c r="W2700" s="6">
        <v>0</v>
      </c>
      <c r="X2700" s="6" t="s">
        <v>169</v>
      </c>
      <c r="Z2700" s="6" t="s">
        <v>170</v>
      </c>
      <c r="AA2700" s="6" t="s">
        <v>171</v>
      </c>
      <c r="AB2700" s="6">
        <v>0</v>
      </c>
      <c r="AC2700" s="6" t="str">
        <f>""</f>
        <v/>
      </c>
      <c r="AS2700" s="6">
        <v>0</v>
      </c>
      <c r="AT2700" s="6">
        <v>1</v>
      </c>
    </row>
    <row r="2701" spans="2:46">
      <c r="B2701" s="6" t="s">
        <v>112</v>
      </c>
      <c r="D2701" s="6" t="s">
        <v>8189</v>
      </c>
      <c r="F2701" s="6" t="s">
        <v>11157</v>
      </c>
      <c r="G2701" s="6" t="str">
        <f>"atm17wo001og"</f>
        <v>atm17wo001og</v>
      </c>
      <c r="H2701" s="6" t="s">
        <v>11158</v>
      </c>
      <c r="I2701" s="6" t="s">
        <v>11159</v>
      </c>
      <c r="J2701" s="6" t="str">
        <f>"Collar Oversized MA-1"</f>
        <v>Collar Oversized MA-1</v>
      </c>
      <c r="K2701" s="6">
        <v>0</v>
      </c>
      <c r="L2701" s="6">
        <v>0</v>
      </c>
      <c r="M2701" s="6">
        <v>0</v>
      </c>
      <c r="N2701" s="6" t="str">
        <f>""</f>
        <v/>
      </c>
      <c r="O2701" s="6">
        <v>24231</v>
      </c>
      <c r="P2701" s="6" t="s">
        <v>11160</v>
      </c>
      <c r="R2701" s="6" t="s">
        <v>1674</v>
      </c>
      <c r="S2701" s="6" t="s">
        <v>11161</v>
      </c>
      <c r="T2701" s="6">
        <v>0</v>
      </c>
      <c r="U2701" s="6">
        <v>0</v>
      </c>
      <c r="V2701" s="6">
        <v>0</v>
      </c>
      <c r="W2701" s="6">
        <v>0</v>
      </c>
      <c r="X2701" s="6" t="s">
        <v>169</v>
      </c>
      <c r="Z2701" s="6" t="s">
        <v>170</v>
      </c>
      <c r="AA2701" s="6" t="s">
        <v>171</v>
      </c>
      <c r="AB2701" s="6">
        <v>0</v>
      </c>
      <c r="AC2701" s="6" t="str">
        <f>""</f>
        <v/>
      </c>
      <c r="AS2701" s="6">
        <v>0</v>
      </c>
      <c r="AT2701" s="6">
        <v>0</v>
      </c>
    </row>
    <row r="2702" spans="2:46">
      <c r="B2702" s="6" t="s">
        <v>112</v>
      </c>
      <c r="D2702" s="6" t="s">
        <v>8189</v>
      </c>
      <c r="F2702" s="6" t="s">
        <v>11162</v>
      </c>
      <c r="G2702" s="6" t="str">
        <f>"atm17wo001bk"</f>
        <v>atm17wo001bk</v>
      </c>
      <c r="H2702" s="6" t="s">
        <v>11163</v>
      </c>
      <c r="I2702" s="6" t="s">
        <v>11159</v>
      </c>
      <c r="J2702" s="6" t="str">
        <f>"Collar Oversized MA-1"</f>
        <v>Collar Oversized MA-1</v>
      </c>
      <c r="K2702" s="6">
        <v>0</v>
      </c>
      <c r="L2702" s="6">
        <v>0</v>
      </c>
      <c r="M2702" s="6">
        <v>0</v>
      </c>
      <c r="N2702" s="6" t="str">
        <f>""</f>
        <v/>
      </c>
      <c r="O2702" s="6">
        <v>24230</v>
      </c>
      <c r="P2702" s="6" t="s">
        <v>11163</v>
      </c>
      <c r="R2702" s="6" t="s">
        <v>1565</v>
      </c>
      <c r="S2702" s="6" t="s">
        <v>11164</v>
      </c>
      <c r="T2702" s="6">
        <v>0</v>
      </c>
      <c r="U2702" s="6">
        <v>0</v>
      </c>
      <c r="V2702" s="6">
        <v>0</v>
      </c>
      <c r="W2702" s="6">
        <v>0</v>
      </c>
      <c r="X2702" s="6" t="s">
        <v>169</v>
      </c>
      <c r="Z2702" s="6" t="s">
        <v>170</v>
      </c>
      <c r="AA2702" s="6" t="s">
        <v>171</v>
      </c>
      <c r="AB2702" s="6">
        <v>0</v>
      </c>
      <c r="AC2702" s="6" t="str">
        <f>""</f>
        <v/>
      </c>
      <c r="AS2702" s="6">
        <v>0</v>
      </c>
      <c r="AT2702" s="6">
        <v>0</v>
      </c>
    </row>
    <row r="2703" spans="2:46">
      <c r="B2703" s="6" t="s">
        <v>112</v>
      </c>
      <c r="D2703" s="6" t="s">
        <v>8189</v>
      </c>
      <c r="F2703" s="6" t="s">
        <v>11165</v>
      </c>
      <c r="G2703" s="6" t="str">
        <f>"atm17fb002ivM"</f>
        <v>atm17fb002ivM</v>
      </c>
      <c r="H2703" s="6" t="s">
        <v>11166</v>
      </c>
      <c r="I2703" s="6" t="s">
        <v>11167</v>
      </c>
      <c r="J2703" s="6" t="str">
        <f>"Chino Skirt"</f>
        <v>Chino Skirt</v>
      </c>
      <c r="K2703" s="6">
        <v>0</v>
      </c>
      <c r="L2703" s="6">
        <v>0</v>
      </c>
      <c r="M2703" s="6">
        <v>0</v>
      </c>
      <c r="N2703" s="6" t="str">
        <f>""</f>
        <v/>
      </c>
      <c r="O2703" s="6">
        <v>24228</v>
      </c>
      <c r="P2703" s="6" t="s">
        <v>11166</v>
      </c>
      <c r="R2703" s="6" t="s">
        <v>11168</v>
      </c>
      <c r="S2703" s="6" t="s">
        <v>11169</v>
      </c>
      <c r="T2703" s="6">
        <v>0</v>
      </c>
      <c r="U2703" s="6">
        <v>0</v>
      </c>
      <c r="V2703" s="6">
        <v>0</v>
      </c>
      <c r="W2703" s="6">
        <v>0</v>
      </c>
      <c r="X2703" s="6" t="s">
        <v>169</v>
      </c>
      <c r="Z2703" s="6" t="s">
        <v>170</v>
      </c>
      <c r="AA2703" s="6" t="s">
        <v>171</v>
      </c>
      <c r="AB2703" s="6">
        <v>0</v>
      </c>
      <c r="AC2703" s="6" t="str">
        <f>""</f>
        <v/>
      </c>
      <c r="AS2703" s="6">
        <v>0</v>
      </c>
      <c r="AT2703" s="6">
        <v>0</v>
      </c>
    </row>
    <row r="2704" spans="2:46">
      <c r="B2704" s="6" t="s">
        <v>112</v>
      </c>
      <c r="D2704" s="6" t="s">
        <v>8189</v>
      </c>
      <c r="F2704" s="6" t="s">
        <v>11170</v>
      </c>
      <c r="G2704" s="6" t="str">
        <f>"atm17fb002ivS"</f>
        <v>atm17fb002ivS</v>
      </c>
      <c r="H2704" s="6" t="s">
        <v>11171</v>
      </c>
      <c r="I2704" s="6" t="s">
        <v>11167</v>
      </c>
      <c r="J2704" s="6" t="str">
        <f>"Chino Skirt"</f>
        <v>Chino Skirt</v>
      </c>
      <c r="K2704" s="6">
        <v>0</v>
      </c>
      <c r="L2704" s="6">
        <v>0</v>
      </c>
      <c r="M2704" s="6">
        <v>0</v>
      </c>
      <c r="N2704" s="6" t="str">
        <f>""</f>
        <v/>
      </c>
      <c r="O2704" s="6">
        <v>24227</v>
      </c>
      <c r="P2704" s="6" t="s">
        <v>11171</v>
      </c>
      <c r="R2704" s="6" t="s">
        <v>11172</v>
      </c>
      <c r="S2704" s="6" t="s">
        <v>11173</v>
      </c>
      <c r="T2704" s="6">
        <v>0</v>
      </c>
      <c r="U2704" s="6">
        <v>0</v>
      </c>
      <c r="V2704" s="6">
        <v>0</v>
      </c>
      <c r="W2704" s="6">
        <v>0</v>
      </c>
      <c r="X2704" s="6" t="s">
        <v>169</v>
      </c>
      <c r="Z2704" s="6" t="s">
        <v>170</v>
      </c>
      <c r="AA2704" s="6" t="s">
        <v>171</v>
      </c>
      <c r="AB2704" s="6">
        <v>0</v>
      </c>
      <c r="AC2704" s="6" t="str">
        <f>""</f>
        <v/>
      </c>
      <c r="AS2704" s="6">
        <v>0</v>
      </c>
      <c r="AT2704" s="6">
        <v>0</v>
      </c>
    </row>
    <row r="2705" spans="2:46">
      <c r="B2705" s="6" t="s">
        <v>112</v>
      </c>
      <c r="D2705" s="6" t="s">
        <v>8189</v>
      </c>
      <c r="F2705" s="6" t="s">
        <v>11174</v>
      </c>
      <c r="G2705" s="6" t="str">
        <f>"atm17fb002bkM"</f>
        <v>atm17fb002bkM</v>
      </c>
      <c r="H2705" s="6" t="s">
        <v>11175</v>
      </c>
      <c r="I2705" s="6" t="s">
        <v>11167</v>
      </c>
      <c r="J2705" s="6" t="str">
        <f>"Chino Skirt"</f>
        <v>Chino Skirt</v>
      </c>
      <c r="K2705" s="6">
        <v>0</v>
      </c>
      <c r="L2705" s="6">
        <v>0</v>
      </c>
      <c r="M2705" s="6">
        <v>0</v>
      </c>
      <c r="N2705" s="6" t="str">
        <f>""</f>
        <v/>
      </c>
      <c r="O2705" s="6">
        <v>24226</v>
      </c>
      <c r="P2705" s="6" t="s">
        <v>11175</v>
      </c>
      <c r="R2705" s="6" t="s">
        <v>1551</v>
      </c>
      <c r="S2705" s="6" t="s">
        <v>11176</v>
      </c>
      <c r="T2705" s="6">
        <v>0</v>
      </c>
      <c r="U2705" s="6">
        <v>0</v>
      </c>
      <c r="V2705" s="6">
        <v>0</v>
      </c>
      <c r="W2705" s="6">
        <v>0</v>
      </c>
      <c r="X2705" s="6" t="s">
        <v>169</v>
      </c>
      <c r="Z2705" s="6" t="s">
        <v>170</v>
      </c>
      <c r="AA2705" s="6" t="s">
        <v>171</v>
      </c>
      <c r="AB2705" s="6">
        <v>0</v>
      </c>
      <c r="AC2705" s="6" t="str">
        <f>""</f>
        <v/>
      </c>
      <c r="AS2705" s="6">
        <v>0</v>
      </c>
      <c r="AT2705" s="6">
        <v>0</v>
      </c>
    </row>
    <row r="2706" spans="2:46">
      <c r="B2706" s="6" t="s">
        <v>112</v>
      </c>
      <c r="D2706" s="6" t="s">
        <v>8189</v>
      </c>
      <c r="F2706" s="6" t="s">
        <v>11177</v>
      </c>
      <c r="G2706" s="6" t="str">
        <f>"atm17fb002bkS"</f>
        <v>atm17fb002bkS</v>
      </c>
      <c r="H2706" s="6" t="s">
        <v>11178</v>
      </c>
      <c r="I2706" s="6" t="s">
        <v>11167</v>
      </c>
      <c r="J2706" s="6" t="str">
        <f>"Chino Skirt"</f>
        <v>Chino Skirt</v>
      </c>
      <c r="K2706" s="6">
        <v>0</v>
      </c>
      <c r="L2706" s="6">
        <v>0</v>
      </c>
      <c r="M2706" s="6">
        <v>0</v>
      </c>
      <c r="N2706" s="6" t="str">
        <f>""</f>
        <v/>
      </c>
      <c r="O2706" s="6">
        <v>24225</v>
      </c>
      <c r="P2706" s="6" t="s">
        <v>11178</v>
      </c>
      <c r="R2706" s="6" t="s">
        <v>1555</v>
      </c>
      <c r="S2706" s="6" t="s">
        <v>11179</v>
      </c>
      <c r="T2706" s="6">
        <v>0</v>
      </c>
      <c r="U2706" s="6">
        <v>0</v>
      </c>
      <c r="V2706" s="6">
        <v>0</v>
      </c>
      <c r="W2706" s="6">
        <v>0</v>
      </c>
      <c r="X2706" s="6" t="s">
        <v>169</v>
      </c>
      <c r="Z2706" s="6" t="s">
        <v>170</v>
      </c>
      <c r="AA2706" s="6" t="s">
        <v>171</v>
      </c>
      <c r="AB2706" s="6">
        <v>0</v>
      </c>
      <c r="AC2706" s="6" t="str">
        <f>""</f>
        <v/>
      </c>
      <c r="AS2706" s="6">
        <v>0</v>
      </c>
      <c r="AT2706" s="6">
        <v>0</v>
      </c>
    </row>
    <row r="2707" spans="2:46">
      <c r="B2707" s="6" t="s">
        <v>112</v>
      </c>
      <c r="D2707" s="6" t="s">
        <v>8189</v>
      </c>
      <c r="F2707" s="6" t="s">
        <v>11180</v>
      </c>
      <c r="G2707" s="6" t="str">
        <f>"atm17fb001beL"</f>
        <v>atm17fb001beL</v>
      </c>
      <c r="H2707" s="6" t="s">
        <v>11181</v>
      </c>
      <c r="I2707" s="6" t="s">
        <v>11182</v>
      </c>
      <c r="J2707" s="6" t="str">
        <f t="shared" ref="J2707:J2712" si="17">"Bang Chino Pants"</f>
        <v>Bang Chino Pants</v>
      </c>
      <c r="K2707" s="6">
        <v>0</v>
      </c>
      <c r="L2707" s="6">
        <v>0</v>
      </c>
      <c r="M2707" s="6">
        <v>0</v>
      </c>
      <c r="N2707" s="6" t="str">
        <f>""</f>
        <v/>
      </c>
      <c r="O2707" s="6">
        <v>24223</v>
      </c>
      <c r="P2707" s="6" t="s">
        <v>11181</v>
      </c>
      <c r="R2707" s="6" t="s">
        <v>9752</v>
      </c>
      <c r="S2707" s="6" t="s">
        <v>11183</v>
      </c>
      <c r="T2707" s="6">
        <v>0</v>
      </c>
      <c r="U2707" s="6">
        <v>0</v>
      </c>
      <c r="V2707" s="6">
        <v>0</v>
      </c>
      <c r="W2707" s="6">
        <v>0</v>
      </c>
      <c r="X2707" s="6" t="s">
        <v>169</v>
      </c>
      <c r="Z2707" s="6" t="s">
        <v>170</v>
      </c>
      <c r="AA2707" s="6" t="s">
        <v>171</v>
      </c>
      <c r="AB2707" s="6">
        <v>0</v>
      </c>
      <c r="AC2707" s="6" t="str">
        <f>""</f>
        <v/>
      </c>
      <c r="AS2707" s="6">
        <v>0</v>
      </c>
      <c r="AT2707" s="6">
        <v>0</v>
      </c>
    </row>
    <row r="2708" spans="2:46">
      <c r="B2708" s="6" t="s">
        <v>112</v>
      </c>
      <c r="D2708" s="6" t="s">
        <v>8189</v>
      </c>
      <c r="F2708" s="6" t="s">
        <v>11184</v>
      </c>
      <c r="G2708" s="6" t="str">
        <f>"atm17fb001beM"</f>
        <v>atm17fb001beM</v>
      </c>
      <c r="H2708" s="6" t="s">
        <v>11185</v>
      </c>
      <c r="I2708" s="6" t="s">
        <v>11182</v>
      </c>
      <c r="J2708" s="6" t="str">
        <f t="shared" si="17"/>
        <v>Bang Chino Pants</v>
      </c>
      <c r="K2708" s="6">
        <v>0</v>
      </c>
      <c r="L2708" s="6">
        <v>0</v>
      </c>
      <c r="M2708" s="6">
        <v>0</v>
      </c>
      <c r="N2708" s="6" t="str">
        <f>""</f>
        <v/>
      </c>
      <c r="O2708" s="6">
        <v>24222</v>
      </c>
      <c r="P2708" s="6" t="s">
        <v>11185</v>
      </c>
      <c r="R2708" s="6" t="s">
        <v>9757</v>
      </c>
      <c r="S2708" s="6" t="s">
        <v>11186</v>
      </c>
      <c r="T2708" s="6">
        <v>0</v>
      </c>
      <c r="U2708" s="6">
        <v>0</v>
      </c>
      <c r="V2708" s="6">
        <v>0</v>
      </c>
      <c r="W2708" s="6">
        <v>0</v>
      </c>
      <c r="X2708" s="6" t="s">
        <v>169</v>
      </c>
      <c r="Z2708" s="6" t="s">
        <v>170</v>
      </c>
      <c r="AA2708" s="6" t="s">
        <v>171</v>
      </c>
      <c r="AB2708" s="6">
        <v>0</v>
      </c>
      <c r="AC2708" s="6" t="str">
        <f>""</f>
        <v/>
      </c>
      <c r="AS2708" s="6">
        <v>0</v>
      </c>
      <c r="AT2708" s="6">
        <v>0</v>
      </c>
    </row>
    <row r="2709" spans="2:46">
      <c r="B2709" s="6" t="s">
        <v>112</v>
      </c>
      <c r="D2709" s="6" t="s">
        <v>8189</v>
      </c>
      <c r="F2709" s="6" t="s">
        <v>11187</v>
      </c>
      <c r="G2709" s="6" t="str">
        <f>"atm17fb001beS"</f>
        <v>atm17fb001beS</v>
      </c>
      <c r="H2709" s="6" t="s">
        <v>11188</v>
      </c>
      <c r="I2709" s="6" t="s">
        <v>11182</v>
      </c>
      <c r="J2709" s="6" t="str">
        <f t="shared" si="17"/>
        <v>Bang Chino Pants</v>
      </c>
      <c r="K2709" s="6">
        <v>0</v>
      </c>
      <c r="L2709" s="6">
        <v>0</v>
      </c>
      <c r="M2709" s="6">
        <v>0</v>
      </c>
      <c r="N2709" s="6" t="str">
        <f>""</f>
        <v/>
      </c>
      <c r="O2709" s="6">
        <v>24221</v>
      </c>
      <c r="P2709" s="6" t="s">
        <v>11188</v>
      </c>
      <c r="R2709" s="6" t="s">
        <v>11189</v>
      </c>
      <c r="S2709" s="6" t="s">
        <v>11190</v>
      </c>
      <c r="T2709" s="6">
        <v>0</v>
      </c>
      <c r="U2709" s="6">
        <v>0</v>
      </c>
      <c r="V2709" s="6">
        <v>0</v>
      </c>
      <c r="W2709" s="6">
        <v>0</v>
      </c>
      <c r="X2709" s="6" t="s">
        <v>169</v>
      </c>
      <c r="Z2709" s="6" t="s">
        <v>170</v>
      </c>
      <c r="AA2709" s="6" t="s">
        <v>171</v>
      </c>
      <c r="AB2709" s="6">
        <v>0</v>
      </c>
      <c r="AC2709" s="6" t="str">
        <f>""</f>
        <v/>
      </c>
      <c r="AS2709" s="6">
        <v>0</v>
      </c>
      <c r="AT2709" s="6">
        <v>0</v>
      </c>
    </row>
    <row r="2710" spans="2:46">
      <c r="B2710" s="6" t="s">
        <v>112</v>
      </c>
      <c r="D2710" s="6" t="s">
        <v>8189</v>
      </c>
      <c r="F2710" s="6" t="s">
        <v>11191</v>
      </c>
      <c r="G2710" s="6" t="str">
        <f>"atm17fb001bkL"</f>
        <v>atm17fb001bkL</v>
      </c>
      <c r="H2710" s="6" t="s">
        <v>11192</v>
      </c>
      <c r="I2710" s="6" t="s">
        <v>11182</v>
      </c>
      <c r="J2710" s="6" t="str">
        <f t="shared" si="17"/>
        <v>Bang Chino Pants</v>
      </c>
      <c r="K2710" s="6">
        <v>0</v>
      </c>
      <c r="L2710" s="6">
        <v>0</v>
      </c>
      <c r="M2710" s="6">
        <v>0</v>
      </c>
      <c r="N2710" s="6" t="str">
        <f>""</f>
        <v/>
      </c>
      <c r="O2710" s="6">
        <v>24220</v>
      </c>
      <c r="P2710" s="6" t="s">
        <v>11192</v>
      </c>
      <c r="R2710" s="6" t="s">
        <v>1547</v>
      </c>
      <c r="S2710" s="6" t="s">
        <v>11193</v>
      </c>
      <c r="T2710" s="6">
        <v>0</v>
      </c>
      <c r="U2710" s="6">
        <v>0</v>
      </c>
      <c r="V2710" s="6">
        <v>0</v>
      </c>
      <c r="W2710" s="6">
        <v>0</v>
      </c>
      <c r="X2710" s="6" t="s">
        <v>169</v>
      </c>
      <c r="Z2710" s="6" t="s">
        <v>170</v>
      </c>
      <c r="AA2710" s="6" t="s">
        <v>171</v>
      </c>
      <c r="AB2710" s="6">
        <v>0</v>
      </c>
      <c r="AC2710" s="6" t="str">
        <f>""</f>
        <v/>
      </c>
      <c r="AS2710" s="6">
        <v>0</v>
      </c>
      <c r="AT2710" s="6">
        <v>0</v>
      </c>
    </row>
    <row r="2711" spans="2:46">
      <c r="B2711" s="6" t="s">
        <v>112</v>
      </c>
      <c r="D2711" s="6" t="s">
        <v>8189</v>
      </c>
      <c r="F2711" s="6" t="s">
        <v>11194</v>
      </c>
      <c r="G2711" s="6" t="str">
        <f>"atm17fb001bkM"</f>
        <v>atm17fb001bkM</v>
      </c>
      <c r="H2711" s="6" t="s">
        <v>11195</v>
      </c>
      <c r="I2711" s="6" t="s">
        <v>11182</v>
      </c>
      <c r="J2711" s="6" t="str">
        <f t="shared" si="17"/>
        <v>Bang Chino Pants</v>
      </c>
      <c r="K2711" s="6">
        <v>0</v>
      </c>
      <c r="L2711" s="6">
        <v>0</v>
      </c>
      <c r="M2711" s="6">
        <v>0</v>
      </c>
      <c r="N2711" s="6" t="str">
        <f>""</f>
        <v/>
      </c>
      <c r="O2711" s="6">
        <v>24219</v>
      </c>
      <c r="P2711" s="6" t="s">
        <v>11195</v>
      </c>
      <c r="R2711" s="6" t="s">
        <v>1551</v>
      </c>
      <c r="S2711" s="6" t="s">
        <v>11196</v>
      </c>
      <c r="T2711" s="6">
        <v>0</v>
      </c>
      <c r="U2711" s="6">
        <v>0</v>
      </c>
      <c r="V2711" s="6">
        <v>0</v>
      </c>
      <c r="W2711" s="6">
        <v>0</v>
      </c>
      <c r="X2711" s="6" t="s">
        <v>169</v>
      </c>
      <c r="Z2711" s="6" t="s">
        <v>170</v>
      </c>
      <c r="AA2711" s="6" t="s">
        <v>171</v>
      </c>
      <c r="AB2711" s="6">
        <v>0</v>
      </c>
      <c r="AC2711" s="6" t="str">
        <f>""</f>
        <v/>
      </c>
      <c r="AS2711" s="6">
        <v>0</v>
      </c>
      <c r="AT2711" s="6">
        <v>0</v>
      </c>
    </row>
    <row r="2712" spans="2:46">
      <c r="B2712" s="6" t="s">
        <v>112</v>
      </c>
      <c r="D2712" s="6" t="s">
        <v>8189</v>
      </c>
      <c r="F2712" s="6" t="s">
        <v>11197</v>
      </c>
      <c r="G2712" s="6" t="str">
        <f>"atm17fb001bkS"</f>
        <v>atm17fb001bkS</v>
      </c>
      <c r="H2712" s="6" t="s">
        <v>11198</v>
      </c>
      <c r="I2712" s="6" t="s">
        <v>11182</v>
      </c>
      <c r="J2712" s="6" t="str">
        <f t="shared" si="17"/>
        <v>Bang Chino Pants</v>
      </c>
      <c r="K2712" s="6">
        <v>0</v>
      </c>
      <c r="L2712" s="6">
        <v>0</v>
      </c>
      <c r="M2712" s="6">
        <v>0</v>
      </c>
      <c r="N2712" s="6" t="str">
        <f>""</f>
        <v/>
      </c>
      <c r="O2712" s="6">
        <v>24218</v>
      </c>
      <c r="P2712" s="6" t="s">
        <v>11198</v>
      </c>
      <c r="R2712" s="6" t="s">
        <v>1555</v>
      </c>
      <c r="S2712" s="6" t="s">
        <v>11199</v>
      </c>
      <c r="T2712" s="6">
        <v>0</v>
      </c>
      <c r="U2712" s="6">
        <v>0</v>
      </c>
      <c r="V2712" s="6">
        <v>0</v>
      </c>
      <c r="W2712" s="6">
        <v>0</v>
      </c>
      <c r="X2712" s="6" t="s">
        <v>169</v>
      </c>
      <c r="Z2712" s="6" t="s">
        <v>170</v>
      </c>
      <c r="AA2712" s="6" t="s">
        <v>171</v>
      </c>
      <c r="AB2712" s="6">
        <v>0</v>
      </c>
      <c r="AC2712" s="6" t="str">
        <f>""</f>
        <v/>
      </c>
      <c r="AS2712" s="6">
        <v>0</v>
      </c>
      <c r="AT2712" s="6">
        <v>0</v>
      </c>
    </row>
    <row r="2713" spans="2:46">
      <c r="B2713" s="6" t="s">
        <v>112</v>
      </c>
      <c r="D2713" s="6" t="s">
        <v>8189</v>
      </c>
      <c r="F2713" s="6" t="s">
        <v>11200</v>
      </c>
      <c r="G2713" s="6" t="str">
        <f>"atm17ft010rdL"</f>
        <v>atm17ft010rdL</v>
      </c>
      <c r="H2713" s="6" t="s">
        <v>11201</v>
      </c>
      <c r="I2713" s="6" t="s">
        <v>11202</v>
      </c>
      <c r="J2713" s="6" t="str">
        <f>"Stripe Zipper Shirt"</f>
        <v>Stripe Zipper Shirt</v>
      </c>
      <c r="K2713" s="6">
        <v>0</v>
      </c>
      <c r="L2713" s="6">
        <v>0</v>
      </c>
      <c r="M2713" s="6">
        <v>0</v>
      </c>
      <c r="N2713" s="6" t="str">
        <f>""</f>
        <v/>
      </c>
      <c r="O2713" s="6">
        <v>24216</v>
      </c>
      <c r="P2713" s="6" t="s">
        <v>11201</v>
      </c>
      <c r="R2713" s="6" t="s">
        <v>11034</v>
      </c>
      <c r="S2713" s="6" t="s">
        <v>11203</v>
      </c>
      <c r="T2713" s="6">
        <v>0</v>
      </c>
      <c r="U2713" s="6">
        <v>0</v>
      </c>
      <c r="V2713" s="6">
        <v>0</v>
      </c>
      <c r="W2713" s="6">
        <v>0</v>
      </c>
      <c r="X2713" s="6" t="s">
        <v>169</v>
      </c>
      <c r="Z2713" s="6" t="s">
        <v>170</v>
      </c>
      <c r="AA2713" s="6" t="s">
        <v>171</v>
      </c>
      <c r="AB2713" s="6">
        <v>0</v>
      </c>
      <c r="AC2713" s="6" t="str">
        <f>""</f>
        <v/>
      </c>
      <c r="AS2713" s="6">
        <v>0</v>
      </c>
      <c r="AT2713" s="6">
        <v>0</v>
      </c>
    </row>
    <row r="2714" spans="2:46">
      <c r="B2714" s="6" t="s">
        <v>112</v>
      </c>
      <c r="D2714" s="6" t="s">
        <v>8189</v>
      </c>
      <c r="F2714" s="6" t="s">
        <v>11204</v>
      </c>
      <c r="G2714" s="6" t="str">
        <f>"atm17ft010rdM"</f>
        <v>atm17ft010rdM</v>
      </c>
      <c r="H2714" s="6" t="s">
        <v>11205</v>
      </c>
      <c r="I2714" s="6" t="s">
        <v>11202</v>
      </c>
      <c r="J2714" s="6" t="str">
        <f>"Stripe Zipper Shirt"</f>
        <v>Stripe Zipper Shirt</v>
      </c>
      <c r="K2714" s="6">
        <v>0</v>
      </c>
      <c r="L2714" s="6">
        <v>0</v>
      </c>
      <c r="M2714" s="6">
        <v>0</v>
      </c>
      <c r="N2714" s="6" t="str">
        <f>""</f>
        <v/>
      </c>
      <c r="O2714" s="6">
        <v>24215</v>
      </c>
      <c r="P2714" s="6" t="s">
        <v>11205</v>
      </c>
      <c r="R2714" s="6" t="s">
        <v>11019</v>
      </c>
      <c r="S2714" s="6" t="s">
        <v>11206</v>
      </c>
      <c r="T2714" s="6">
        <v>0</v>
      </c>
      <c r="U2714" s="6">
        <v>0</v>
      </c>
      <c r="V2714" s="6">
        <v>0</v>
      </c>
      <c r="W2714" s="6">
        <v>0</v>
      </c>
      <c r="X2714" s="6" t="s">
        <v>169</v>
      </c>
      <c r="Z2714" s="6" t="s">
        <v>170</v>
      </c>
      <c r="AA2714" s="6" t="s">
        <v>171</v>
      </c>
      <c r="AB2714" s="6">
        <v>0</v>
      </c>
      <c r="AC2714" s="6" t="str">
        <f>""</f>
        <v/>
      </c>
      <c r="AS2714" s="6">
        <v>0</v>
      </c>
      <c r="AT2714" s="6">
        <v>0</v>
      </c>
    </row>
    <row r="2715" spans="2:46">
      <c r="B2715" s="6" t="s">
        <v>112</v>
      </c>
      <c r="D2715" s="6" t="s">
        <v>8189</v>
      </c>
      <c r="F2715" s="6" t="s">
        <v>11207</v>
      </c>
      <c r="G2715" s="6" t="str">
        <f>"atm17ft010bkL"</f>
        <v>atm17ft010bkL</v>
      </c>
      <c r="H2715" s="6" t="s">
        <v>11208</v>
      </c>
      <c r="I2715" s="6" t="s">
        <v>11202</v>
      </c>
      <c r="J2715" s="6" t="str">
        <f>"Stripe Zipper Shirt"</f>
        <v>Stripe Zipper Shirt</v>
      </c>
      <c r="K2715" s="6">
        <v>0</v>
      </c>
      <c r="L2715" s="6">
        <v>0</v>
      </c>
      <c r="M2715" s="6">
        <v>0</v>
      </c>
      <c r="N2715" s="6" t="str">
        <f>""</f>
        <v/>
      </c>
      <c r="O2715" s="6">
        <v>24214</v>
      </c>
      <c r="P2715" s="6" t="s">
        <v>11208</v>
      </c>
      <c r="R2715" s="6" t="s">
        <v>1547</v>
      </c>
      <c r="S2715" s="6" t="s">
        <v>11209</v>
      </c>
      <c r="T2715" s="6">
        <v>0</v>
      </c>
      <c r="U2715" s="6">
        <v>0</v>
      </c>
      <c r="V2715" s="6">
        <v>0</v>
      </c>
      <c r="W2715" s="6">
        <v>0</v>
      </c>
      <c r="X2715" s="6" t="s">
        <v>169</v>
      </c>
      <c r="Z2715" s="6" t="s">
        <v>170</v>
      </c>
      <c r="AA2715" s="6" t="s">
        <v>171</v>
      </c>
      <c r="AB2715" s="6">
        <v>0</v>
      </c>
      <c r="AC2715" s="6" t="str">
        <f>""</f>
        <v/>
      </c>
      <c r="AS2715" s="6">
        <v>0</v>
      </c>
      <c r="AT2715" s="6">
        <v>0</v>
      </c>
    </row>
    <row r="2716" spans="2:46">
      <c r="B2716" s="6" t="s">
        <v>112</v>
      </c>
      <c r="D2716" s="6" t="s">
        <v>8189</v>
      </c>
      <c r="F2716" s="6" t="s">
        <v>11210</v>
      </c>
      <c r="G2716" s="6" t="str">
        <f>"atm17ft010bkM"</f>
        <v>atm17ft010bkM</v>
      </c>
      <c r="H2716" s="6" t="s">
        <v>11211</v>
      </c>
      <c r="I2716" s="6" t="s">
        <v>11202</v>
      </c>
      <c r="J2716" s="6" t="str">
        <f>"Stripe Zipper Shirt"</f>
        <v>Stripe Zipper Shirt</v>
      </c>
      <c r="K2716" s="6">
        <v>0</v>
      </c>
      <c r="L2716" s="6">
        <v>0</v>
      </c>
      <c r="M2716" s="6">
        <v>0</v>
      </c>
      <c r="N2716" s="6" t="str">
        <f>""</f>
        <v/>
      </c>
      <c r="O2716" s="6">
        <v>24213</v>
      </c>
      <c r="P2716" s="6" t="s">
        <v>11211</v>
      </c>
      <c r="R2716" s="6" t="s">
        <v>1551</v>
      </c>
      <c r="S2716" s="6" t="s">
        <v>11212</v>
      </c>
      <c r="T2716" s="6">
        <v>0</v>
      </c>
      <c r="U2716" s="6">
        <v>0</v>
      </c>
      <c r="V2716" s="6">
        <v>0</v>
      </c>
      <c r="W2716" s="6">
        <v>0</v>
      </c>
      <c r="X2716" s="6" t="s">
        <v>169</v>
      </c>
      <c r="Z2716" s="6" t="s">
        <v>170</v>
      </c>
      <c r="AA2716" s="6" t="s">
        <v>171</v>
      </c>
      <c r="AB2716" s="6">
        <v>0</v>
      </c>
      <c r="AC2716" s="6" t="str">
        <f>""</f>
        <v/>
      </c>
      <c r="AS2716" s="6">
        <v>0</v>
      </c>
      <c r="AT2716" s="6">
        <v>0</v>
      </c>
    </row>
    <row r="2717" spans="2:46">
      <c r="B2717" s="6" t="s">
        <v>112</v>
      </c>
      <c r="D2717" s="6" t="s">
        <v>8189</v>
      </c>
      <c r="F2717" s="6" t="s">
        <v>11213</v>
      </c>
      <c r="G2717" s="6" t="str">
        <f>"atm17ft006grL"</f>
        <v>atm17ft006grL</v>
      </c>
      <c r="H2717" s="6" t="s">
        <v>11214</v>
      </c>
      <c r="I2717" s="6" t="s">
        <v>11215</v>
      </c>
      <c r="J2717" s="6" t="str">
        <f>"Tiger Hoodie"</f>
        <v>Tiger Hoodie</v>
      </c>
      <c r="K2717" s="6">
        <v>0</v>
      </c>
      <c r="L2717" s="6">
        <v>0</v>
      </c>
      <c r="M2717" s="6">
        <v>0</v>
      </c>
      <c r="N2717" s="6" t="str">
        <f>""</f>
        <v/>
      </c>
      <c r="O2717" s="6">
        <v>24211</v>
      </c>
      <c r="P2717" s="6" t="s">
        <v>11216</v>
      </c>
      <c r="R2717" s="6" t="s">
        <v>9798</v>
      </c>
      <c r="S2717" s="6" t="s">
        <v>11217</v>
      </c>
      <c r="T2717" s="6">
        <v>0</v>
      </c>
      <c r="U2717" s="6">
        <v>0</v>
      </c>
      <c r="V2717" s="6">
        <v>0</v>
      </c>
      <c r="W2717" s="6">
        <v>0</v>
      </c>
      <c r="X2717" s="6" t="s">
        <v>169</v>
      </c>
      <c r="Z2717" s="6" t="s">
        <v>170</v>
      </c>
      <c r="AA2717" s="6" t="s">
        <v>171</v>
      </c>
      <c r="AB2717" s="6">
        <v>0</v>
      </c>
      <c r="AC2717" s="6" t="str">
        <f>""</f>
        <v/>
      </c>
      <c r="AS2717" s="6">
        <v>0</v>
      </c>
      <c r="AT2717" s="6">
        <v>0</v>
      </c>
    </row>
    <row r="2718" spans="2:46">
      <c r="B2718" s="6" t="s">
        <v>112</v>
      </c>
      <c r="D2718" s="6" t="s">
        <v>8189</v>
      </c>
      <c r="F2718" s="6" t="s">
        <v>11218</v>
      </c>
      <c r="G2718" s="6" t="str">
        <f>"atm17ft006grM"</f>
        <v>atm17ft006grM</v>
      </c>
      <c r="H2718" s="6" t="s">
        <v>11219</v>
      </c>
      <c r="I2718" s="6" t="s">
        <v>11215</v>
      </c>
      <c r="J2718" s="6" t="str">
        <f>"Tiger Hoodie"</f>
        <v>Tiger Hoodie</v>
      </c>
      <c r="K2718" s="6">
        <v>0</v>
      </c>
      <c r="L2718" s="6">
        <v>0</v>
      </c>
      <c r="M2718" s="6">
        <v>0</v>
      </c>
      <c r="N2718" s="6" t="str">
        <f>""</f>
        <v/>
      </c>
      <c r="O2718" s="6">
        <v>24210</v>
      </c>
      <c r="P2718" s="6" t="s">
        <v>11220</v>
      </c>
      <c r="R2718" s="6" t="s">
        <v>9803</v>
      </c>
      <c r="S2718" s="6" t="s">
        <v>11221</v>
      </c>
      <c r="T2718" s="6">
        <v>0</v>
      </c>
      <c r="U2718" s="6">
        <v>0</v>
      </c>
      <c r="V2718" s="6">
        <v>0</v>
      </c>
      <c r="W2718" s="6">
        <v>0</v>
      </c>
      <c r="X2718" s="6" t="s">
        <v>169</v>
      </c>
      <c r="Z2718" s="6" t="s">
        <v>170</v>
      </c>
      <c r="AA2718" s="6" t="s">
        <v>171</v>
      </c>
      <c r="AB2718" s="6">
        <v>0</v>
      </c>
      <c r="AC2718" s="6" t="str">
        <f>""</f>
        <v/>
      </c>
      <c r="AS2718" s="6">
        <v>0</v>
      </c>
      <c r="AT2718" s="6">
        <v>0</v>
      </c>
    </row>
    <row r="2719" spans="2:46">
      <c r="B2719" s="6" t="s">
        <v>112</v>
      </c>
      <c r="D2719" s="6" t="s">
        <v>8189</v>
      </c>
      <c r="F2719" s="6" t="s">
        <v>11222</v>
      </c>
      <c r="G2719" s="6" t="str">
        <f>"atm17ft006bkL"</f>
        <v>atm17ft006bkL</v>
      </c>
      <c r="H2719" s="6" t="s">
        <v>11223</v>
      </c>
      <c r="I2719" s="6" t="s">
        <v>11215</v>
      </c>
      <c r="J2719" s="6" t="str">
        <f>"Tiger Hoodie"</f>
        <v>Tiger Hoodie</v>
      </c>
      <c r="K2719" s="6">
        <v>0</v>
      </c>
      <c r="L2719" s="6">
        <v>0</v>
      </c>
      <c r="M2719" s="6">
        <v>0</v>
      </c>
      <c r="N2719" s="6" t="str">
        <f>""</f>
        <v/>
      </c>
      <c r="O2719" s="6">
        <v>24209</v>
      </c>
      <c r="P2719" s="6" t="s">
        <v>11223</v>
      </c>
      <c r="R2719" s="6" t="s">
        <v>1547</v>
      </c>
      <c r="S2719" s="6" t="s">
        <v>11224</v>
      </c>
      <c r="T2719" s="6">
        <v>0</v>
      </c>
      <c r="U2719" s="6">
        <v>0</v>
      </c>
      <c r="V2719" s="6">
        <v>0</v>
      </c>
      <c r="W2719" s="6">
        <v>0</v>
      </c>
      <c r="X2719" s="6" t="s">
        <v>169</v>
      </c>
      <c r="Z2719" s="6" t="s">
        <v>170</v>
      </c>
      <c r="AA2719" s="6" t="s">
        <v>171</v>
      </c>
      <c r="AB2719" s="6">
        <v>0</v>
      </c>
      <c r="AC2719" s="6" t="str">
        <f>""</f>
        <v/>
      </c>
      <c r="AS2719" s="6">
        <v>0</v>
      </c>
      <c r="AT2719" s="6">
        <v>0</v>
      </c>
    </row>
    <row r="2720" spans="2:46">
      <c r="B2720" s="6" t="s">
        <v>112</v>
      </c>
      <c r="D2720" s="6" t="s">
        <v>8189</v>
      </c>
      <c r="F2720" s="6" t="s">
        <v>11225</v>
      </c>
      <c r="G2720" s="6" t="str">
        <f>"atm17ft006bkM"</f>
        <v>atm17ft006bkM</v>
      </c>
      <c r="H2720" s="6" t="s">
        <v>11226</v>
      </c>
      <c r="I2720" s="6" t="s">
        <v>11215</v>
      </c>
      <c r="J2720" s="6" t="str">
        <f>"Tiger Hoodie"</f>
        <v>Tiger Hoodie</v>
      </c>
      <c r="K2720" s="6">
        <v>0</v>
      </c>
      <c r="L2720" s="6">
        <v>0</v>
      </c>
      <c r="M2720" s="6">
        <v>0</v>
      </c>
      <c r="N2720" s="6" t="str">
        <f>""</f>
        <v/>
      </c>
      <c r="O2720" s="6">
        <v>24208</v>
      </c>
      <c r="P2720" s="6" t="s">
        <v>11226</v>
      </c>
      <c r="R2720" s="6" t="s">
        <v>1551</v>
      </c>
      <c r="S2720" s="6" t="s">
        <v>11227</v>
      </c>
      <c r="T2720" s="6">
        <v>0</v>
      </c>
      <c r="U2720" s="6">
        <v>0</v>
      </c>
      <c r="V2720" s="6">
        <v>0</v>
      </c>
      <c r="W2720" s="6">
        <v>0</v>
      </c>
      <c r="X2720" s="6" t="s">
        <v>169</v>
      </c>
      <c r="Z2720" s="6" t="s">
        <v>170</v>
      </c>
      <c r="AA2720" s="6" t="s">
        <v>171</v>
      </c>
      <c r="AB2720" s="6">
        <v>0</v>
      </c>
      <c r="AC2720" s="6" t="str">
        <f>""</f>
        <v/>
      </c>
      <c r="AS2720" s="6">
        <v>0</v>
      </c>
      <c r="AT2720" s="6">
        <v>0</v>
      </c>
    </row>
    <row r="2721" spans="2:46">
      <c r="B2721" s="6" t="s">
        <v>112</v>
      </c>
      <c r="D2721" s="6" t="s">
        <v>8189</v>
      </c>
      <c r="F2721" s="6" t="s">
        <v>11228</v>
      </c>
      <c r="G2721" s="6" t="str">
        <f>"atm17ft011be"</f>
        <v>atm17ft011be</v>
      </c>
      <c r="H2721" s="6" t="s">
        <v>11229</v>
      </c>
      <c r="I2721" s="6" t="s">
        <v>11230</v>
      </c>
      <c r="J2721" s="6" t="str">
        <f>"Tiger Cotton Shirt"</f>
        <v>Tiger Cotton Shirt</v>
      </c>
      <c r="K2721" s="6">
        <v>0</v>
      </c>
      <c r="L2721" s="6">
        <v>0</v>
      </c>
      <c r="M2721" s="6">
        <v>0</v>
      </c>
      <c r="N2721" s="6" t="str">
        <f>""</f>
        <v/>
      </c>
      <c r="O2721" s="6">
        <v>24206</v>
      </c>
      <c r="P2721" s="6" t="s">
        <v>11229</v>
      </c>
      <c r="R2721" s="6" t="s">
        <v>3268</v>
      </c>
      <c r="S2721" s="6" t="s">
        <v>11231</v>
      </c>
      <c r="T2721" s="6">
        <v>0</v>
      </c>
      <c r="U2721" s="6">
        <v>0</v>
      </c>
      <c r="V2721" s="6">
        <v>0</v>
      </c>
      <c r="W2721" s="6">
        <v>0</v>
      </c>
      <c r="X2721" s="6" t="s">
        <v>169</v>
      </c>
      <c r="Z2721" s="6" t="s">
        <v>170</v>
      </c>
      <c r="AA2721" s="6" t="s">
        <v>171</v>
      </c>
      <c r="AB2721" s="6">
        <v>0</v>
      </c>
      <c r="AC2721" s="6" t="str">
        <f>""</f>
        <v/>
      </c>
      <c r="AS2721" s="6">
        <v>0</v>
      </c>
      <c r="AT2721" s="6">
        <v>0</v>
      </c>
    </row>
    <row r="2722" spans="2:46">
      <c r="B2722" s="6" t="s">
        <v>112</v>
      </c>
      <c r="D2722" s="6" t="s">
        <v>8189</v>
      </c>
      <c r="F2722" s="6" t="s">
        <v>11232</v>
      </c>
      <c r="G2722" s="6" t="str">
        <f>"atm17ft011bk"</f>
        <v>atm17ft011bk</v>
      </c>
      <c r="H2722" s="6" t="s">
        <v>11233</v>
      </c>
      <c r="I2722" s="6" t="s">
        <v>11230</v>
      </c>
      <c r="J2722" s="6" t="str">
        <f>"Tiger Cotton Shirt"</f>
        <v>Tiger Cotton Shirt</v>
      </c>
      <c r="K2722" s="6">
        <v>0</v>
      </c>
      <c r="L2722" s="6">
        <v>0</v>
      </c>
      <c r="M2722" s="6">
        <v>0</v>
      </c>
      <c r="N2722" s="6" t="str">
        <f>""</f>
        <v/>
      </c>
      <c r="O2722" s="6">
        <v>24205</v>
      </c>
      <c r="P2722" s="6" t="s">
        <v>11233</v>
      </c>
      <c r="R2722" s="6" t="s">
        <v>1565</v>
      </c>
      <c r="S2722" s="6" t="s">
        <v>11234</v>
      </c>
      <c r="T2722" s="6">
        <v>0</v>
      </c>
      <c r="U2722" s="6">
        <v>0</v>
      </c>
      <c r="V2722" s="6">
        <v>0</v>
      </c>
      <c r="W2722" s="6">
        <v>0</v>
      </c>
      <c r="X2722" s="6" t="s">
        <v>169</v>
      </c>
      <c r="Z2722" s="6" t="s">
        <v>170</v>
      </c>
      <c r="AA2722" s="6" t="s">
        <v>171</v>
      </c>
      <c r="AB2722" s="6">
        <v>0</v>
      </c>
      <c r="AC2722" s="6" t="str">
        <f>""</f>
        <v/>
      </c>
      <c r="AS2722" s="6">
        <v>0</v>
      </c>
      <c r="AT2722" s="6">
        <v>0</v>
      </c>
    </row>
    <row r="2723" spans="2:46">
      <c r="B2723" s="6" t="s">
        <v>112</v>
      </c>
      <c r="D2723" s="6" t="s">
        <v>8189</v>
      </c>
      <c r="F2723" s="6" t="s">
        <v>11235</v>
      </c>
      <c r="G2723" s="6" t="str">
        <f>"atm17ft009rd"</f>
        <v>atm17ft009rd</v>
      </c>
      <c r="H2723" s="6" t="s">
        <v>11236</v>
      </c>
      <c r="I2723" s="6" t="s">
        <v>11237</v>
      </c>
      <c r="J2723" s="6" t="str">
        <f>"Smile Rugby Tee"</f>
        <v>Smile Rugby Tee</v>
      </c>
      <c r="K2723" s="6">
        <v>0</v>
      </c>
      <c r="L2723" s="6">
        <v>0</v>
      </c>
      <c r="M2723" s="6">
        <v>0</v>
      </c>
      <c r="N2723" s="6" t="str">
        <f>""</f>
        <v/>
      </c>
      <c r="O2723" s="6">
        <v>24203</v>
      </c>
      <c r="P2723" s="6" t="s">
        <v>11236</v>
      </c>
      <c r="R2723" s="6" t="s">
        <v>1599</v>
      </c>
      <c r="S2723" s="6" t="s">
        <v>11238</v>
      </c>
      <c r="T2723" s="6">
        <v>0</v>
      </c>
      <c r="U2723" s="6">
        <v>0</v>
      </c>
      <c r="V2723" s="6">
        <v>0</v>
      </c>
      <c r="W2723" s="6">
        <v>0</v>
      </c>
      <c r="X2723" s="6" t="s">
        <v>169</v>
      </c>
      <c r="Z2723" s="6" t="s">
        <v>170</v>
      </c>
      <c r="AA2723" s="6" t="s">
        <v>171</v>
      </c>
      <c r="AB2723" s="6">
        <v>0</v>
      </c>
      <c r="AC2723" s="6" t="str">
        <f>""</f>
        <v/>
      </c>
      <c r="AS2723" s="6">
        <v>0</v>
      </c>
      <c r="AT2723" s="6">
        <v>0</v>
      </c>
    </row>
    <row r="2724" spans="2:46">
      <c r="B2724" s="6" t="s">
        <v>112</v>
      </c>
      <c r="D2724" s="6" t="s">
        <v>8189</v>
      </c>
      <c r="F2724" s="6" t="s">
        <v>11239</v>
      </c>
      <c r="G2724" s="6" t="str">
        <f>"atm17ft009bk"</f>
        <v>atm17ft009bk</v>
      </c>
      <c r="H2724" s="6" t="s">
        <v>11240</v>
      </c>
      <c r="I2724" s="6" t="s">
        <v>11237</v>
      </c>
      <c r="J2724" s="6" t="str">
        <f>"Smile Rugby Tee"</f>
        <v>Smile Rugby Tee</v>
      </c>
      <c r="K2724" s="6">
        <v>0</v>
      </c>
      <c r="L2724" s="6">
        <v>0</v>
      </c>
      <c r="M2724" s="6">
        <v>0</v>
      </c>
      <c r="N2724" s="6" t="str">
        <f>""</f>
        <v/>
      </c>
      <c r="O2724" s="6">
        <v>24202</v>
      </c>
      <c r="P2724" s="6" t="s">
        <v>11240</v>
      </c>
      <c r="R2724" s="6" t="s">
        <v>1565</v>
      </c>
      <c r="S2724" s="6" t="s">
        <v>11241</v>
      </c>
      <c r="T2724" s="6">
        <v>0</v>
      </c>
      <c r="U2724" s="6">
        <v>0</v>
      </c>
      <c r="V2724" s="6">
        <v>0</v>
      </c>
      <c r="W2724" s="6">
        <v>0</v>
      </c>
      <c r="X2724" s="6" t="s">
        <v>169</v>
      </c>
      <c r="Z2724" s="6" t="s">
        <v>170</v>
      </c>
      <c r="AA2724" s="6" t="s">
        <v>171</v>
      </c>
      <c r="AB2724" s="6">
        <v>0</v>
      </c>
      <c r="AC2724" s="6" t="str">
        <f>""</f>
        <v/>
      </c>
      <c r="AS2724" s="6">
        <v>0</v>
      </c>
      <c r="AT2724" s="6">
        <v>0</v>
      </c>
    </row>
    <row r="2725" spans="2:46">
      <c r="B2725" s="6" t="s">
        <v>112</v>
      </c>
      <c r="D2725" s="6" t="s">
        <v>8189</v>
      </c>
      <c r="F2725" s="6" t="s">
        <v>11242</v>
      </c>
      <c r="G2725" s="6" t="str">
        <f>"atm17ft008wt"</f>
        <v>atm17ft008wt</v>
      </c>
      <c r="H2725" s="6" t="s">
        <v>11243</v>
      </c>
      <c r="I2725" s="6" t="s">
        <v>11244</v>
      </c>
      <c r="J2725" s="6" t="str">
        <f>"Print Long T-shirt"</f>
        <v>Print Long T-shirt</v>
      </c>
      <c r="K2725" s="6">
        <v>0</v>
      </c>
      <c r="L2725" s="6">
        <v>0</v>
      </c>
      <c r="M2725" s="6">
        <v>0</v>
      </c>
      <c r="N2725" s="6" t="str">
        <f>""</f>
        <v/>
      </c>
      <c r="O2725" s="6">
        <v>24200</v>
      </c>
      <c r="P2725" s="6" t="s">
        <v>11243</v>
      </c>
      <c r="R2725" s="6" t="s">
        <v>1591</v>
      </c>
      <c r="S2725" s="6" t="s">
        <v>11245</v>
      </c>
      <c r="T2725" s="6">
        <v>0</v>
      </c>
      <c r="U2725" s="6">
        <v>0</v>
      </c>
      <c r="V2725" s="6">
        <v>0</v>
      </c>
      <c r="W2725" s="6">
        <v>0</v>
      </c>
      <c r="X2725" s="6" t="s">
        <v>169</v>
      </c>
      <c r="Z2725" s="6" t="s">
        <v>170</v>
      </c>
      <c r="AA2725" s="6" t="s">
        <v>171</v>
      </c>
      <c r="AB2725" s="6">
        <v>0</v>
      </c>
      <c r="AC2725" s="6" t="str">
        <f>""</f>
        <v/>
      </c>
      <c r="AS2725" s="6">
        <v>0</v>
      </c>
      <c r="AT2725" s="6">
        <v>0</v>
      </c>
    </row>
    <row r="2726" spans="2:46">
      <c r="B2726" s="6" t="s">
        <v>112</v>
      </c>
      <c r="D2726" s="6" t="s">
        <v>8189</v>
      </c>
      <c r="F2726" s="6" t="s">
        <v>11246</v>
      </c>
      <c r="G2726" s="6" t="str">
        <f>"atm17ft008bk"</f>
        <v>atm17ft008bk</v>
      </c>
      <c r="H2726" s="6" t="s">
        <v>11247</v>
      </c>
      <c r="I2726" s="6" t="s">
        <v>11244</v>
      </c>
      <c r="J2726" s="6" t="str">
        <f>"Print Long T-shirt"</f>
        <v>Print Long T-shirt</v>
      </c>
      <c r="K2726" s="6">
        <v>0</v>
      </c>
      <c r="L2726" s="6">
        <v>0</v>
      </c>
      <c r="M2726" s="6">
        <v>0</v>
      </c>
      <c r="N2726" s="6" t="str">
        <f>""</f>
        <v/>
      </c>
      <c r="O2726" s="6">
        <v>24199</v>
      </c>
      <c r="P2726" s="6" t="s">
        <v>11247</v>
      </c>
      <c r="R2726" s="6" t="s">
        <v>1565</v>
      </c>
      <c r="S2726" s="6" t="s">
        <v>11248</v>
      </c>
      <c r="T2726" s="6">
        <v>0</v>
      </c>
      <c r="U2726" s="6">
        <v>0</v>
      </c>
      <c r="V2726" s="6">
        <v>0</v>
      </c>
      <c r="W2726" s="6">
        <v>0</v>
      </c>
      <c r="X2726" s="6" t="s">
        <v>169</v>
      </c>
      <c r="Z2726" s="6" t="s">
        <v>170</v>
      </c>
      <c r="AA2726" s="6" t="s">
        <v>171</v>
      </c>
      <c r="AB2726" s="6">
        <v>0</v>
      </c>
      <c r="AC2726" s="6" t="str">
        <f>""</f>
        <v/>
      </c>
      <c r="AS2726" s="6">
        <v>0</v>
      </c>
      <c r="AT2726" s="6">
        <v>0</v>
      </c>
    </row>
    <row r="2727" spans="2:46">
      <c r="B2727" s="6" t="s">
        <v>112</v>
      </c>
      <c r="D2727" s="6" t="s">
        <v>8189</v>
      </c>
      <c r="F2727" s="6" t="s">
        <v>11249</v>
      </c>
      <c r="G2727" s="6" t="str">
        <f>"atm17ft005gr"</f>
        <v>atm17ft005gr</v>
      </c>
      <c r="H2727" s="6" t="s">
        <v>11250</v>
      </c>
      <c r="I2727" s="6" t="s">
        <v>11251</v>
      </c>
      <c r="J2727" s="6" t="str">
        <f>"Anorak Sweatshirt"</f>
        <v>Anorak Sweatshirt</v>
      </c>
      <c r="K2727" s="6">
        <v>0</v>
      </c>
      <c r="L2727" s="6">
        <v>0</v>
      </c>
      <c r="M2727" s="6">
        <v>0</v>
      </c>
      <c r="N2727" s="6" t="str">
        <f>""</f>
        <v/>
      </c>
      <c r="O2727" s="6">
        <v>24197</v>
      </c>
      <c r="P2727" s="6" t="s">
        <v>11252</v>
      </c>
      <c r="R2727" s="6" t="s">
        <v>11075</v>
      </c>
      <c r="S2727" s="6" t="s">
        <v>11253</v>
      </c>
      <c r="T2727" s="6">
        <v>0</v>
      </c>
      <c r="U2727" s="6">
        <v>0</v>
      </c>
      <c r="V2727" s="6">
        <v>0</v>
      </c>
      <c r="W2727" s="6">
        <v>0</v>
      </c>
      <c r="X2727" s="6" t="s">
        <v>169</v>
      </c>
      <c r="Z2727" s="6" t="s">
        <v>170</v>
      </c>
      <c r="AA2727" s="6" t="s">
        <v>171</v>
      </c>
      <c r="AB2727" s="6">
        <v>0</v>
      </c>
      <c r="AC2727" s="6" t="str">
        <f>""</f>
        <v/>
      </c>
      <c r="AS2727" s="6">
        <v>0</v>
      </c>
      <c r="AT2727" s="6">
        <v>0</v>
      </c>
    </row>
    <row r="2728" spans="2:46">
      <c r="B2728" s="6" t="s">
        <v>112</v>
      </c>
      <c r="D2728" s="6" t="s">
        <v>8189</v>
      </c>
      <c r="F2728" s="6" t="s">
        <v>11254</v>
      </c>
      <c r="G2728" s="6" t="str">
        <f>"atm17ft005bk"</f>
        <v>atm17ft005bk</v>
      </c>
      <c r="H2728" s="6" t="s">
        <v>11255</v>
      </c>
      <c r="I2728" s="6" t="s">
        <v>11251</v>
      </c>
      <c r="J2728" s="6" t="str">
        <f>"Anorak Sweatshirt"</f>
        <v>Anorak Sweatshirt</v>
      </c>
      <c r="K2728" s="6">
        <v>0</v>
      </c>
      <c r="L2728" s="6">
        <v>0</v>
      </c>
      <c r="M2728" s="6">
        <v>0</v>
      </c>
      <c r="N2728" s="6" t="str">
        <f>""</f>
        <v/>
      </c>
      <c r="O2728" s="6">
        <v>24196</v>
      </c>
      <c r="P2728" s="6" t="s">
        <v>11255</v>
      </c>
      <c r="R2728" s="6" t="s">
        <v>1565</v>
      </c>
      <c r="S2728" s="6" t="s">
        <v>11256</v>
      </c>
      <c r="T2728" s="6">
        <v>0</v>
      </c>
      <c r="U2728" s="6">
        <v>0</v>
      </c>
      <c r="V2728" s="6">
        <v>0</v>
      </c>
      <c r="W2728" s="6">
        <v>0</v>
      </c>
      <c r="X2728" s="6" t="s">
        <v>169</v>
      </c>
      <c r="Z2728" s="6" t="s">
        <v>170</v>
      </c>
      <c r="AA2728" s="6" t="s">
        <v>171</v>
      </c>
      <c r="AB2728" s="6">
        <v>0</v>
      </c>
      <c r="AC2728" s="6" t="str">
        <f>""</f>
        <v/>
      </c>
      <c r="AS2728" s="6">
        <v>0</v>
      </c>
      <c r="AT2728" s="6">
        <v>0</v>
      </c>
    </row>
    <row r="2729" spans="2:46">
      <c r="B2729" s="6" t="s">
        <v>112</v>
      </c>
      <c r="D2729" s="6" t="s">
        <v>8189</v>
      </c>
      <c r="F2729" s="6" t="s">
        <v>11257</v>
      </c>
      <c r="G2729" s="6" t="str">
        <f>"atm17ft004gr"</f>
        <v>atm17ft004gr</v>
      </c>
      <c r="H2729" s="6" t="s">
        <v>11258</v>
      </c>
      <c r="I2729" s="6" t="s">
        <v>11259</v>
      </c>
      <c r="J2729" s="6" t="str">
        <f>"Star Sweatshirt"</f>
        <v>Star Sweatshirt</v>
      </c>
      <c r="K2729" s="6">
        <v>0</v>
      </c>
      <c r="L2729" s="6">
        <v>0</v>
      </c>
      <c r="M2729" s="6">
        <v>0</v>
      </c>
      <c r="N2729" s="6" t="str">
        <f>""</f>
        <v/>
      </c>
      <c r="O2729" s="6">
        <v>24194</v>
      </c>
      <c r="P2729" s="6" t="s">
        <v>11260</v>
      </c>
      <c r="R2729" s="6" t="s">
        <v>11075</v>
      </c>
      <c r="S2729" s="6" t="s">
        <v>11261</v>
      </c>
      <c r="T2729" s="6">
        <v>0</v>
      </c>
      <c r="U2729" s="6">
        <v>0</v>
      </c>
      <c r="V2729" s="6">
        <v>0</v>
      </c>
      <c r="W2729" s="6">
        <v>0</v>
      </c>
      <c r="X2729" s="6" t="s">
        <v>169</v>
      </c>
      <c r="Z2729" s="6" t="s">
        <v>170</v>
      </c>
      <c r="AA2729" s="6" t="s">
        <v>171</v>
      </c>
      <c r="AB2729" s="6">
        <v>0</v>
      </c>
      <c r="AC2729" s="6" t="str">
        <f>""</f>
        <v/>
      </c>
      <c r="AS2729" s="6">
        <v>0</v>
      </c>
      <c r="AT2729" s="6">
        <v>0</v>
      </c>
    </row>
    <row r="2730" spans="2:46">
      <c r="B2730" s="6" t="s">
        <v>112</v>
      </c>
      <c r="D2730" s="6" t="s">
        <v>8189</v>
      </c>
      <c r="F2730" s="6" t="s">
        <v>11262</v>
      </c>
      <c r="G2730" s="6" t="str">
        <f>"atm17ft004bk"</f>
        <v>atm17ft004bk</v>
      </c>
      <c r="H2730" s="6" t="s">
        <v>11263</v>
      </c>
      <c r="I2730" s="6" t="s">
        <v>11259</v>
      </c>
      <c r="J2730" s="6" t="str">
        <f>"Star Sweatshirt"</f>
        <v>Star Sweatshirt</v>
      </c>
      <c r="K2730" s="6">
        <v>0</v>
      </c>
      <c r="L2730" s="6">
        <v>0</v>
      </c>
      <c r="M2730" s="6">
        <v>0</v>
      </c>
      <c r="N2730" s="6" t="str">
        <f>""</f>
        <v/>
      </c>
      <c r="O2730" s="6">
        <v>24193</v>
      </c>
      <c r="P2730" s="6" t="s">
        <v>11263</v>
      </c>
      <c r="R2730" s="6" t="s">
        <v>1565</v>
      </c>
      <c r="S2730" s="6" t="s">
        <v>11264</v>
      </c>
      <c r="T2730" s="6">
        <v>0</v>
      </c>
      <c r="U2730" s="6">
        <v>0</v>
      </c>
      <c r="V2730" s="6">
        <v>0</v>
      </c>
      <c r="W2730" s="6">
        <v>0</v>
      </c>
      <c r="X2730" s="6" t="s">
        <v>169</v>
      </c>
      <c r="Z2730" s="6" t="s">
        <v>170</v>
      </c>
      <c r="AA2730" s="6" t="s">
        <v>171</v>
      </c>
      <c r="AB2730" s="6">
        <v>0</v>
      </c>
      <c r="AC2730" s="6" t="str">
        <f>""</f>
        <v/>
      </c>
      <c r="AS2730" s="6">
        <v>0</v>
      </c>
      <c r="AT2730" s="6">
        <v>0</v>
      </c>
    </row>
    <row r="2731" spans="2:46">
      <c r="B2731" s="6" t="s">
        <v>112</v>
      </c>
      <c r="D2731" s="6" t="s">
        <v>8189</v>
      </c>
      <c r="F2731" s="6" t="s">
        <v>11265</v>
      </c>
      <c r="G2731" s="6" t="str">
        <f>"atm17ft003nv"</f>
        <v>atm17ft003nv</v>
      </c>
      <c r="H2731" s="6" t="s">
        <v>11266</v>
      </c>
      <c r="I2731" s="6" t="s">
        <v>11267</v>
      </c>
      <c r="J2731" s="6" t="str">
        <f>"Tiger Sweatshirt"</f>
        <v>Tiger Sweatshirt</v>
      </c>
      <c r="K2731" s="6">
        <v>0</v>
      </c>
      <c r="L2731" s="6">
        <v>0</v>
      </c>
      <c r="M2731" s="6">
        <v>0</v>
      </c>
      <c r="N2731" s="6" t="str">
        <f>""</f>
        <v/>
      </c>
      <c r="O2731" s="6">
        <v>24191</v>
      </c>
      <c r="P2731" s="6" t="s">
        <v>11266</v>
      </c>
      <c r="R2731" s="6" t="s">
        <v>1630</v>
      </c>
      <c r="S2731" s="6" t="s">
        <v>11268</v>
      </c>
      <c r="T2731" s="6">
        <v>0</v>
      </c>
      <c r="U2731" s="6">
        <v>0</v>
      </c>
      <c r="V2731" s="6">
        <v>0</v>
      </c>
      <c r="W2731" s="6">
        <v>0</v>
      </c>
      <c r="X2731" s="6" t="s">
        <v>169</v>
      </c>
      <c r="Z2731" s="6" t="s">
        <v>170</v>
      </c>
      <c r="AA2731" s="6" t="s">
        <v>171</v>
      </c>
      <c r="AB2731" s="6">
        <v>0</v>
      </c>
      <c r="AC2731" s="6" t="str">
        <f>""</f>
        <v/>
      </c>
      <c r="AS2731" s="6">
        <v>0</v>
      </c>
      <c r="AT2731" s="6">
        <v>0</v>
      </c>
    </row>
    <row r="2732" spans="2:46">
      <c r="B2732" s="6" t="s">
        <v>112</v>
      </c>
      <c r="D2732" s="6" t="s">
        <v>8189</v>
      </c>
      <c r="F2732" s="6" t="s">
        <v>11269</v>
      </c>
      <c r="G2732" s="6" t="str">
        <f>"atm17ft003bk"</f>
        <v>atm17ft003bk</v>
      </c>
      <c r="H2732" s="6" t="s">
        <v>11270</v>
      </c>
      <c r="I2732" s="6" t="s">
        <v>11267</v>
      </c>
      <c r="J2732" s="6" t="str">
        <f>"Tiger Sweatshirt"</f>
        <v>Tiger Sweatshirt</v>
      </c>
      <c r="K2732" s="6">
        <v>0</v>
      </c>
      <c r="L2732" s="6">
        <v>0</v>
      </c>
      <c r="M2732" s="6">
        <v>0</v>
      </c>
      <c r="N2732" s="6" t="str">
        <f>""</f>
        <v/>
      </c>
      <c r="O2732" s="6">
        <v>24190</v>
      </c>
      <c r="P2732" s="6" t="s">
        <v>11270</v>
      </c>
      <c r="R2732" s="6" t="s">
        <v>1565</v>
      </c>
      <c r="S2732" s="6" t="s">
        <v>11271</v>
      </c>
      <c r="T2732" s="6">
        <v>0</v>
      </c>
      <c r="U2732" s="6">
        <v>0</v>
      </c>
      <c r="V2732" s="6">
        <v>0</v>
      </c>
      <c r="W2732" s="6">
        <v>0</v>
      </c>
      <c r="X2732" s="6" t="s">
        <v>169</v>
      </c>
      <c r="Z2732" s="6" t="s">
        <v>170</v>
      </c>
      <c r="AA2732" s="6" t="s">
        <v>171</v>
      </c>
      <c r="AB2732" s="6">
        <v>0</v>
      </c>
      <c r="AC2732" s="6" t="str">
        <f>""</f>
        <v/>
      </c>
      <c r="AS2732" s="6">
        <v>0</v>
      </c>
      <c r="AT2732" s="6">
        <v>0</v>
      </c>
    </row>
    <row r="2733" spans="2:46">
      <c r="B2733" s="6" t="s">
        <v>112</v>
      </c>
      <c r="D2733" s="6" t="s">
        <v>8189</v>
      </c>
      <c r="F2733" s="6" t="s">
        <v>11272</v>
      </c>
      <c r="G2733" s="6" t="str">
        <f>"atm17ft002gr"</f>
        <v>atm17ft002gr</v>
      </c>
      <c r="H2733" s="6" t="s">
        <v>11273</v>
      </c>
      <c r="I2733" s="6" t="s">
        <v>11274</v>
      </c>
      <c r="J2733" s="6" t="str">
        <f>"Bang Sweatshirt"</f>
        <v>Bang Sweatshirt</v>
      </c>
      <c r="K2733" s="6">
        <v>0</v>
      </c>
      <c r="L2733" s="6">
        <v>0</v>
      </c>
      <c r="M2733" s="6">
        <v>0</v>
      </c>
      <c r="N2733" s="6" t="str">
        <f>""</f>
        <v/>
      </c>
      <c r="O2733" s="6">
        <v>24188</v>
      </c>
      <c r="P2733" s="6" t="s">
        <v>11275</v>
      </c>
      <c r="R2733" s="6" t="s">
        <v>1623</v>
      </c>
      <c r="S2733" s="6" t="s">
        <v>11276</v>
      </c>
      <c r="T2733" s="6">
        <v>0</v>
      </c>
      <c r="U2733" s="6">
        <v>0</v>
      </c>
      <c r="V2733" s="6">
        <v>0</v>
      </c>
      <c r="W2733" s="6">
        <v>0</v>
      </c>
      <c r="X2733" s="6" t="s">
        <v>169</v>
      </c>
      <c r="Z2733" s="6" t="s">
        <v>170</v>
      </c>
      <c r="AA2733" s="6" t="s">
        <v>171</v>
      </c>
      <c r="AB2733" s="6">
        <v>0</v>
      </c>
      <c r="AC2733" s="6" t="str">
        <f>""</f>
        <v/>
      </c>
      <c r="AS2733" s="6">
        <v>0</v>
      </c>
      <c r="AT2733" s="6">
        <v>0</v>
      </c>
    </row>
    <row r="2734" spans="2:46">
      <c r="B2734" s="6" t="s">
        <v>112</v>
      </c>
      <c r="D2734" s="6" t="s">
        <v>8189</v>
      </c>
      <c r="F2734" s="6" t="s">
        <v>11277</v>
      </c>
      <c r="G2734" s="6" t="str">
        <f>"atm17ft002bk"</f>
        <v>atm17ft002bk</v>
      </c>
      <c r="H2734" s="6" t="s">
        <v>11278</v>
      </c>
      <c r="I2734" s="6" t="s">
        <v>11274</v>
      </c>
      <c r="J2734" s="6" t="str">
        <f>"Bang Sweatshirt"</f>
        <v>Bang Sweatshirt</v>
      </c>
      <c r="K2734" s="6">
        <v>0</v>
      </c>
      <c r="L2734" s="6">
        <v>0</v>
      </c>
      <c r="M2734" s="6">
        <v>0</v>
      </c>
      <c r="N2734" s="6" t="str">
        <f>""</f>
        <v/>
      </c>
      <c r="O2734" s="6">
        <v>24187</v>
      </c>
      <c r="P2734" s="6" t="s">
        <v>11278</v>
      </c>
      <c r="R2734" s="6" t="s">
        <v>1565</v>
      </c>
      <c r="S2734" s="6" t="s">
        <v>11279</v>
      </c>
      <c r="T2734" s="6">
        <v>0</v>
      </c>
      <c r="U2734" s="6">
        <v>0</v>
      </c>
      <c r="V2734" s="6">
        <v>0</v>
      </c>
      <c r="W2734" s="6">
        <v>0</v>
      </c>
      <c r="X2734" s="6" t="s">
        <v>169</v>
      </c>
      <c r="Z2734" s="6" t="s">
        <v>170</v>
      </c>
      <c r="AA2734" s="6" t="s">
        <v>171</v>
      </c>
      <c r="AB2734" s="6">
        <v>0</v>
      </c>
      <c r="AC2734" s="6" t="str">
        <f>""</f>
        <v/>
      </c>
      <c r="AS2734" s="6">
        <v>0</v>
      </c>
      <c r="AT2734" s="6">
        <v>0</v>
      </c>
    </row>
    <row r="2735" spans="2:46">
      <c r="B2735" s="6" t="s">
        <v>112</v>
      </c>
      <c r="D2735" s="6" t="s">
        <v>8189</v>
      </c>
      <c r="F2735" s="6" t="s">
        <v>11280</v>
      </c>
      <c r="G2735" s="6" t="str">
        <f>"atm17ft001gr"</f>
        <v>atm17ft001gr</v>
      </c>
      <c r="H2735" s="6" t="s">
        <v>11281</v>
      </c>
      <c r="I2735" s="6" t="s">
        <v>11282</v>
      </c>
      <c r="J2735" s="6" t="str">
        <f>"Smile Sweatshirt"</f>
        <v>Smile Sweatshirt</v>
      </c>
      <c r="K2735" s="6">
        <v>0</v>
      </c>
      <c r="L2735" s="6">
        <v>0</v>
      </c>
      <c r="M2735" s="6">
        <v>0</v>
      </c>
      <c r="N2735" s="6" t="str">
        <f>""</f>
        <v/>
      </c>
      <c r="O2735" s="6">
        <v>24185</v>
      </c>
      <c r="P2735" s="6" t="s">
        <v>11283</v>
      </c>
      <c r="R2735" s="6" t="s">
        <v>11075</v>
      </c>
      <c r="S2735" s="6" t="s">
        <v>11284</v>
      </c>
      <c r="T2735" s="6">
        <v>0</v>
      </c>
      <c r="U2735" s="6">
        <v>0</v>
      </c>
      <c r="V2735" s="6">
        <v>0</v>
      </c>
      <c r="W2735" s="6">
        <v>0</v>
      </c>
      <c r="X2735" s="6" t="s">
        <v>169</v>
      </c>
      <c r="Z2735" s="6" t="s">
        <v>170</v>
      </c>
      <c r="AA2735" s="6" t="s">
        <v>171</v>
      </c>
      <c r="AB2735" s="6">
        <v>0</v>
      </c>
      <c r="AC2735" s="6" t="str">
        <f>""</f>
        <v/>
      </c>
      <c r="AS2735" s="6">
        <v>0</v>
      </c>
      <c r="AT2735" s="6">
        <v>0</v>
      </c>
    </row>
    <row r="2736" spans="2:46">
      <c r="B2736" s="6" t="s">
        <v>112</v>
      </c>
      <c r="D2736" s="6" t="s">
        <v>8189</v>
      </c>
      <c r="F2736" s="6" t="s">
        <v>11285</v>
      </c>
      <c r="G2736" s="6" t="str">
        <f>"atm17ft001bk"</f>
        <v>atm17ft001bk</v>
      </c>
      <c r="H2736" s="6" t="s">
        <v>11286</v>
      </c>
      <c r="I2736" s="6" t="s">
        <v>11282</v>
      </c>
      <c r="J2736" s="6" t="str">
        <f>"Smile Sweatshirt"</f>
        <v>Smile Sweatshirt</v>
      </c>
      <c r="K2736" s="6">
        <v>0</v>
      </c>
      <c r="L2736" s="6">
        <v>0</v>
      </c>
      <c r="M2736" s="6">
        <v>0</v>
      </c>
      <c r="N2736" s="6" t="str">
        <f>""</f>
        <v/>
      </c>
      <c r="O2736" s="6">
        <v>24184</v>
      </c>
      <c r="P2736" s="6" t="s">
        <v>11286</v>
      </c>
      <c r="R2736" s="6" t="s">
        <v>1565</v>
      </c>
      <c r="S2736" s="6" t="s">
        <v>11287</v>
      </c>
      <c r="T2736" s="6">
        <v>0</v>
      </c>
      <c r="U2736" s="6">
        <v>0</v>
      </c>
      <c r="V2736" s="6">
        <v>0</v>
      </c>
      <c r="W2736" s="6">
        <v>0</v>
      </c>
      <c r="X2736" s="6" t="s">
        <v>169</v>
      </c>
      <c r="Z2736" s="6" t="s">
        <v>170</v>
      </c>
      <c r="AA2736" s="6" t="s">
        <v>171</v>
      </c>
      <c r="AB2736" s="6">
        <v>0</v>
      </c>
      <c r="AC2736" s="6" t="str">
        <f>""</f>
        <v/>
      </c>
      <c r="AS2736" s="6">
        <v>0</v>
      </c>
      <c r="AT2736" s="6">
        <v>0</v>
      </c>
    </row>
    <row r="2737" spans="2:46">
      <c r="B2737" s="6" t="s">
        <v>112</v>
      </c>
      <c r="D2737" s="6" t="s">
        <v>8189</v>
      </c>
      <c r="F2737" s="6" t="s">
        <v>11288</v>
      </c>
      <c r="G2737" s="6" t="str">
        <f>"atm17fo003bl"</f>
        <v>atm17fo003bl</v>
      </c>
      <c r="H2737" s="6" t="s">
        <v>11289</v>
      </c>
      <c r="I2737" s="6" t="s">
        <v>11290</v>
      </c>
      <c r="J2737" s="6" t="str">
        <f>"Pocket Anorak"</f>
        <v>Pocket Anorak</v>
      </c>
      <c r="K2737" s="6">
        <v>0</v>
      </c>
      <c r="L2737" s="6">
        <v>0</v>
      </c>
      <c r="M2737" s="6">
        <v>0</v>
      </c>
      <c r="N2737" s="6" t="str">
        <f>""</f>
        <v/>
      </c>
      <c r="O2737" s="6">
        <v>24182</v>
      </c>
      <c r="P2737" s="6" t="s">
        <v>11289</v>
      </c>
      <c r="R2737" s="6" t="s">
        <v>1603</v>
      </c>
      <c r="S2737" s="6" t="s">
        <v>11291</v>
      </c>
      <c r="T2737" s="6">
        <v>0</v>
      </c>
      <c r="U2737" s="6">
        <v>0</v>
      </c>
      <c r="V2737" s="6">
        <v>0</v>
      </c>
      <c r="W2737" s="6">
        <v>0</v>
      </c>
      <c r="X2737" s="6" t="s">
        <v>169</v>
      </c>
      <c r="Z2737" s="6" t="s">
        <v>170</v>
      </c>
      <c r="AA2737" s="6" t="s">
        <v>171</v>
      </c>
      <c r="AB2737" s="6">
        <v>0</v>
      </c>
      <c r="AC2737" s="6" t="str">
        <f>""</f>
        <v/>
      </c>
      <c r="AS2737" s="6">
        <v>0</v>
      </c>
      <c r="AT2737" s="6">
        <v>0</v>
      </c>
    </row>
    <row r="2738" spans="2:46">
      <c r="B2738" s="6" t="s">
        <v>112</v>
      </c>
      <c r="D2738" s="6" t="s">
        <v>8189</v>
      </c>
      <c r="F2738" s="6" t="s">
        <v>11292</v>
      </c>
      <c r="G2738" s="6" t="str">
        <f>"atm17fo003bk"</f>
        <v>atm17fo003bk</v>
      </c>
      <c r="H2738" s="6" t="s">
        <v>11293</v>
      </c>
      <c r="I2738" s="6" t="s">
        <v>11290</v>
      </c>
      <c r="J2738" s="6" t="str">
        <f>"Pocket Anorak"</f>
        <v>Pocket Anorak</v>
      </c>
      <c r="K2738" s="6">
        <v>0</v>
      </c>
      <c r="L2738" s="6">
        <v>0</v>
      </c>
      <c r="M2738" s="6">
        <v>0</v>
      </c>
      <c r="N2738" s="6" t="str">
        <f>""</f>
        <v/>
      </c>
      <c r="O2738" s="6">
        <v>24181</v>
      </c>
      <c r="P2738" s="6" t="s">
        <v>11293</v>
      </c>
      <c r="R2738" s="6" t="s">
        <v>1565</v>
      </c>
      <c r="S2738" s="6" t="s">
        <v>11294</v>
      </c>
      <c r="T2738" s="6">
        <v>0</v>
      </c>
      <c r="U2738" s="6">
        <v>0</v>
      </c>
      <c r="V2738" s="6">
        <v>0</v>
      </c>
      <c r="W2738" s="6">
        <v>0</v>
      </c>
      <c r="X2738" s="6" t="s">
        <v>169</v>
      </c>
      <c r="Z2738" s="6" t="s">
        <v>170</v>
      </c>
      <c r="AA2738" s="6" t="s">
        <v>171</v>
      </c>
      <c r="AB2738" s="6">
        <v>0</v>
      </c>
      <c r="AC2738" s="6" t="str">
        <f>""</f>
        <v/>
      </c>
      <c r="AS2738" s="6">
        <v>0</v>
      </c>
      <c r="AT2738" s="6">
        <v>0</v>
      </c>
    </row>
    <row r="2739" spans="2:46">
      <c r="B2739" s="6" t="s">
        <v>112</v>
      </c>
      <c r="D2739" s="6" t="s">
        <v>8189</v>
      </c>
      <c r="F2739" s="6" t="s">
        <v>11295</v>
      </c>
      <c r="G2739" s="6" t="str">
        <f>"atm17fo002pk"</f>
        <v>atm17fo002pk</v>
      </c>
      <c r="H2739" s="6" t="s">
        <v>11296</v>
      </c>
      <c r="I2739" s="6" t="s">
        <v>59</v>
      </c>
      <c r="J2739" s="6" t="str">
        <f>"Print Cotton Jacket"</f>
        <v>Print Cotton Jacket</v>
      </c>
      <c r="K2739" s="6">
        <v>0</v>
      </c>
      <c r="L2739" s="6">
        <v>0</v>
      </c>
      <c r="M2739" s="6">
        <v>0</v>
      </c>
      <c r="N2739" s="6" t="str">
        <f>""</f>
        <v/>
      </c>
      <c r="O2739" s="6">
        <v>24179</v>
      </c>
      <c r="P2739" s="6" t="s">
        <v>11296</v>
      </c>
      <c r="R2739" s="6" t="s">
        <v>1619</v>
      </c>
      <c r="S2739" s="6" t="s">
        <v>11297</v>
      </c>
      <c r="T2739" s="6">
        <v>0</v>
      </c>
      <c r="U2739" s="6">
        <v>0</v>
      </c>
      <c r="V2739" s="6">
        <v>0</v>
      </c>
      <c r="W2739" s="6">
        <v>0</v>
      </c>
      <c r="X2739" s="6" t="s">
        <v>169</v>
      </c>
      <c r="Z2739" s="6" t="s">
        <v>170</v>
      </c>
      <c r="AA2739" s="6" t="s">
        <v>171</v>
      </c>
      <c r="AB2739" s="6">
        <v>0</v>
      </c>
      <c r="AC2739" s="6" t="str">
        <f>""</f>
        <v/>
      </c>
      <c r="AS2739" s="6">
        <v>0</v>
      </c>
      <c r="AT2739" s="6">
        <v>0</v>
      </c>
    </row>
    <row r="2740" spans="2:46">
      <c r="B2740" s="6" t="s">
        <v>112</v>
      </c>
      <c r="D2740" s="6" t="s">
        <v>8189</v>
      </c>
      <c r="F2740" s="6" t="s">
        <v>11298</v>
      </c>
      <c r="G2740" s="6" t="str">
        <f>"atm17fo002bk"</f>
        <v>atm17fo002bk</v>
      </c>
      <c r="H2740" s="6" t="s">
        <v>58</v>
      </c>
      <c r="I2740" s="6" t="s">
        <v>59</v>
      </c>
      <c r="J2740" s="6" t="str">
        <f>"Print Cotton Jacket"</f>
        <v>Print Cotton Jacket</v>
      </c>
      <c r="K2740" s="6">
        <v>0</v>
      </c>
      <c r="L2740" s="6">
        <v>0</v>
      </c>
      <c r="M2740" s="6">
        <v>0</v>
      </c>
      <c r="N2740" s="6" t="str">
        <f>""</f>
        <v/>
      </c>
      <c r="O2740" s="6">
        <v>24178</v>
      </c>
      <c r="P2740" s="6" t="s">
        <v>58</v>
      </c>
      <c r="R2740" s="6" t="s">
        <v>1565</v>
      </c>
      <c r="S2740" s="6" t="s">
        <v>11299</v>
      </c>
      <c r="T2740" s="6">
        <v>0</v>
      </c>
      <c r="U2740" s="6">
        <v>0</v>
      </c>
      <c r="V2740" s="6">
        <v>0</v>
      </c>
      <c r="W2740" s="6">
        <v>0</v>
      </c>
      <c r="X2740" s="6" t="s">
        <v>169</v>
      </c>
      <c r="Z2740" s="6" t="s">
        <v>170</v>
      </c>
      <c r="AA2740" s="6" t="s">
        <v>171</v>
      </c>
      <c r="AB2740" s="6">
        <v>0</v>
      </c>
      <c r="AC2740" s="6" t="str">
        <f>"KEY-018"</f>
        <v>KEY-018</v>
      </c>
      <c r="AS2740" s="6">
        <v>0</v>
      </c>
      <c r="AT2740" s="6">
        <v>0</v>
      </c>
    </row>
    <row r="2741" spans="2:46">
      <c r="B2741" s="6" t="s">
        <v>112</v>
      </c>
      <c r="D2741" s="6" t="s">
        <v>8189</v>
      </c>
      <c r="F2741" s="6" t="s">
        <v>11300</v>
      </c>
      <c r="G2741" s="6" t="str">
        <f>"atm17ub002bk"</f>
        <v>atm17ub002bk</v>
      </c>
      <c r="H2741" s="6" t="s">
        <v>11301</v>
      </c>
      <c r="I2741" s="6" t="s">
        <v>11302</v>
      </c>
      <c r="J2741" s="6" t="str">
        <f>"Sweat Half Pants"</f>
        <v>Sweat Half Pants</v>
      </c>
      <c r="K2741" s="6">
        <v>0</v>
      </c>
      <c r="L2741" s="6">
        <v>0</v>
      </c>
      <c r="M2741" s="6">
        <v>0</v>
      </c>
      <c r="N2741" s="6" t="str">
        <f>""</f>
        <v/>
      </c>
      <c r="O2741" s="6">
        <v>24176</v>
      </c>
      <c r="P2741" s="6" t="s">
        <v>11301</v>
      </c>
      <c r="R2741" s="6" t="s">
        <v>11303</v>
      </c>
      <c r="S2741" s="6" t="s">
        <v>11304</v>
      </c>
      <c r="T2741" s="6">
        <v>0</v>
      </c>
      <c r="U2741" s="6">
        <v>0</v>
      </c>
      <c r="V2741" s="6">
        <v>0</v>
      </c>
      <c r="W2741" s="6">
        <v>0</v>
      </c>
      <c r="X2741" s="6" t="s">
        <v>169</v>
      </c>
      <c r="Z2741" s="6" t="s">
        <v>170</v>
      </c>
      <c r="AA2741" s="6" t="s">
        <v>171</v>
      </c>
      <c r="AB2741" s="6">
        <v>0</v>
      </c>
      <c r="AC2741" s="6" t="str">
        <f>""</f>
        <v/>
      </c>
      <c r="AS2741" s="6">
        <v>0</v>
      </c>
      <c r="AT2741" s="6">
        <v>0</v>
      </c>
    </row>
    <row r="2742" spans="2:46">
      <c r="B2742" s="6" t="s">
        <v>112</v>
      </c>
      <c r="D2742" s="6" t="s">
        <v>8189</v>
      </c>
      <c r="F2742" s="6" t="s">
        <v>11305</v>
      </c>
      <c r="G2742" s="6" t="str">
        <f>"atm17ub002bl"</f>
        <v>atm17ub002bl</v>
      </c>
      <c r="H2742" s="6" t="s">
        <v>11306</v>
      </c>
      <c r="I2742" s="6" t="s">
        <v>11302</v>
      </c>
      <c r="J2742" s="6" t="str">
        <f>"Sweat Half Pants"</f>
        <v>Sweat Half Pants</v>
      </c>
      <c r="K2742" s="6">
        <v>0</v>
      </c>
      <c r="L2742" s="6">
        <v>0</v>
      </c>
      <c r="M2742" s="6">
        <v>0</v>
      </c>
      <c r="N2742" s="6" t="str">
        <f>""</f>
        <v/>
      </c>
      <c r="O2742" s="6">
        <v>24175</v>
      </c>
      <c r="P2742" s="6" t="s">
        <v>11306</v>
      </c>
      <c r="R2742" s="6" t="s">
        <v>11307</v>
      </c>
      <c r="S2742" s="6" t="s">
        <v>11308</v>
      </c>
      <c r="T2742" s="6">
        <v>0</v>
      </c>
      <c r="U2742" s="6">
        <v>0</v>
      </c>
      <c r="V2742" s="6">
        <v>0</v>
      </c>
      <c r="W2742" s="6">
        <v>0</v>
      </c>
      <c r="X2742" s="6" t="s">
        <v>169</v>
      </c>
      <c r="Z2742" s="6" t="s">
        <v>170</v>
      </c>
      <c r="AA2742" s="6" t="s">
        <v>171</v>
      </c>
      <c r="AB2742" s="6">
        <v>0</v>
      </c>
      <c r="AC2742" s="6" t="str">
        <f>""</f>
        <v/>
      </c>
      <c r="AS2742" s="6">
        <v>0</v>
      </c>
      <c r="AT2742" s="6">
        <v>0</v>
      </c>
    </row>
    <row r="2743" spans="2:46">
      <c r="B2743" s="6" t="s">
        <v>112</v>
      </c>
      <c r="D2743" s="6" t="s">
        <v>8189</v>
      </c>
      <c r="F2743" s="6" t="s">
        <v>11309</v>
      </c>
      <c r="G2743" s="6" t="str">
        <f>"atm17ub001bk"</f>
        <v>atm17ub001bk</v>
      </c>
      <c r="I2743" s="6" t="s">
        <v>11310</v>
      </c>
      <c r="J2743" s="6" t="str">
        <f>"Cotton Half Pants"</f>
        <v>Cotton Half Pants</v>
      </c>
      <c r="K2743" s="6">
        <v>0</v>
      </c>
      <c r="L2743" s="6">
        <v>0</v>
      </c>
      <c r="M2743" s="6">
        <v>0</v>
      </c>
      <c r="N2743" s="6" t="str">
        <f>""</f>
        <v/>
      </c>
      <c r="O2743" s="6">
        <v>24173</v>
      </c>
      <c r="P2743" s="6" t="s">
        <v>11311</v>
      </c>
      <c r="R2743" s="6" t="s">
        <v>11303</v>
      </c>
      <c r="S2743" s="6" t="s">
        <v>11312</v>
      </c>
      <c r="T2743" s="6">
        <v>2</v>
      </c>
      <c r="U2743" s="6">
        <v>0</v>
      </c>
      <c r="V2743" s="6">
        <v>0</v>
      </c>
      <c r="W2743" s="6">
        <v>0</v>
      </c>
      <c r="X2743" s="6" t="s">
        <v>169</v>
      </c>
      <c r="Z2743" s="6" t="s">
        <v>170</v>
      </c>
      <c r="AA2743" s="6" t="s">
        <v>171</v>
      </c>
      <c r="AB2743" s="6">
        <v>0</v>
      </c>
      <c r="AC2743" s="6" t="str">
        <f>"KEY-068"</f>
        <v>KEY-068</v>
      </c>
      <c r="AQ2743" s="6" t="str">
        <f>""</f>
        <v/>
      </c>
      <c r="AR2743" s="6" t="s">
        <v>1567</v>
      </c>
      <c r="AS2743" s="6">
        <v>0</v>
      </c>
      <c r="AT2743" s="6">
        <v>2</v>
      </c>
    </row>
    <row r="2744" spans="2:46">
      <c r="B2744" s="6" t="s">
        <v>112</v>
      </c>
      <c r="D2744" s="6" t="s">
        <v>8189</v>
      </c>
      <c r="F2744" s="6" t="s">
        <v>11313</v>
      </c>
      <c r="G2744" s="6" t="str">
        <f>"atm17ub001be"</f>
        <v>atm17ub001be</v>
      </c>
      <c r="H2744" s="6" t="s">
        <v>11314</v>
      </c>
      <c r="I2744" s="6" t="s">
        <v>11310</v>
      </c>
      <c r="J2744" s="6" t="str">
        <f>"Cotton Half Pants"</f>
        <v>Cotton Half Pants</v>
      </c>
      <c r="K2744" s="6">
        <v>0</v>
      </c>
      <c r="L2744" s="6">
        <v>0</v>
      </c>
      <c r="M2744" s="6">
        <v>0</v>
      </c>
      <c r="N2744" s="6" t="str">
        <f>""</f>
        <v/>
      </c>
      <c r="O2744" s="6">
        <v>24172</v>
      </c>
      <c r="P2744" s="6" t="s">
        <v>11314</v>
      </c>
      <c r="R2744" s="6" t="s">
        <v>11315</v>
      </c>
      <c r="S2744" s="6" t="s">
        <v>11316</v>
      </c>
      <c r="T2744" s="6">
        <v>0</v>
      </c>
      <c r="U2744" s="6">
        <v>0</v>
      </c>
      <c r="V2744" s="6">
        <v>0</v>
      </c>
      <c r="W2744" s="6">
        <v>0</v>
      </c>
      <c r="X2744" s="6" t="s">
        <v>169</v>
      </c>
      <c r="Z2744" s="6" t="s">
        <v>170</v>
      </c>
      <c r="AA2744" s="6" t="s">
        <v>171</v>
      </c>
      <c r="AB2744" s="6">
        <v>0</v>
      </c>
      <c r="AC2744" s="6" t="str">
        <f>""</f>
        <v/>
      </c>
      <c r="AS2744" s="6">
        <v>0</v>
      </c>
      <c r="AT2744" s="6">
        <v>0</v>
      </c>
    </row>
    <row r="2745" spans="2:46">
      <c r="B2745" s="6" t="s">
        <v>112</v>
      </c>
      <c r="D2745" s="6" t="s">
        <v>8189</v>
      </c>
      <c r="F2745" s="6" t="s">
        <v>11317</v>
      </c>
      <c r="G2745" s="6" t="str">
        <f>"atm17ub001wt"</f>
        <v>atm17ub001wt</v>
      </c>
      <c r="H2745" s="6" t="s">
        <v>11318</v>
      </c>
      <c r="I2745" s="6" t="s">
        <v>11310</v>
      </c>
      <c r="J2745" s="6" t="str">
        <f>"Cotton Half Pants"</f>
        <v>Cotton Half Pants</v>
      </c>
      <c r="K2745" s="6">
        <v>0</v>
      </c>
      <c r="L2745" s="6">
        <v>0</v>
      </c>
      <c r="M2745" s="6">
        <v>0</v>
      </c>
      <c r="N2745" s="6" t="str">
        <f>""</f>
        <v/>
      </c>
      <c r="O2745" s="6">
        <v>24171</v>
      </c>
      <c r="P2745" s="6" t="s">
        <v>11318</v>
      </c>
      <c r="R2745" s="6" t="s">
        <v>11319</v>
      </c>
      <c r="S2745" s="6" t="s">
        <v>11320</v>
      </c>
      <c r="T2745" s="6">
        <v>0</v>
      </c>
      <c r="U2745" s="6">
        <v>0</v>
      </c>
      <c r="V2745" s="6">
        <v>0</v>
      </c>
      <c r="W2745" s="6">
        <v>0</v>
      </c>
      <c r="X2745" s="6" t="s">
        <v>169</v>
      </c>
      <c r="Z2745" s="6" t="s">
        <v>170</v>
      </c>
      <c r="AA2745" s="6" t="s">
        <v>171</v>
      </c>
      <c r="AB2745" s="6">
        <v>0</v>
      </c>
      <c r="AC2745" s="6" t="str">
        <f>""</f>
        <v/>
      </c>
      <c r="AS2745" s="6">
        <v>0</v>
      </c>
      <c r="AT2745" s="6">
        <v>0</v>
      </c>
    </row>
    <row r="2746" spans="2:46" ht="66">
      <c r="B2746" s="6" t="s">
        <v>112</v>
      </c>
      <c r="D2746" s="6" t="s">
        <v>8189</v>
      </c>
      <c r="F2746" s="6" t="s">
        <v>11321</v>
      </c>
      <c r="G2746" s="6" t="str">
        <f>"atm17ut010bk"</f>
        <v>atm17ut010bk</v>
      </c>
      <c r="H2746" s="6" t="s">
        <v>11322</v>
      </c>
      <c r="I2746" s="7" t="s">
        <v>11323</v>
      </c>
      <c r="J2746" s="6" t="str">
        <f>"Ticket Raglan 
Half T-shirt"</f>
        <v>Ticket Raglan 
Half T-shirt</v>
      </c>
      <c r="K2746" s="6">
        <v>0</v>
      </c>
      <c r="L2746" s="6">
        <v>0</v>
      </c>
      <c r="M2746" s="6">
        <v>0</v>
      </c>
      <c r="N2746" s="6" t="str">
        <f>""</f>
        <v/>
      </c>
      <c r="O2746" s="6">
        <v>24169</v>
      </c>
      <c r="P2746" s="6" t="s">
        <v>11322</v>
      </c>
      <c r="R2746" s="6" t="s">
        <v>11303</v>
      </c>
      <c r="S2746" s="7" t="s">
        <v>11324</v>
      </c>
      <c r="T2746" s="6">
        <v>0</v>
      </c>
      <c r="U2746" s="6">
        <v>0</v>
      </c>
      <c r="V2746" s="6">
        <v>0</v>
      </c>
      <c r="W2746" s="6">
        <v>0</v>
      </c>
      <c r="X2746" s="6" t="s">
        <v>169</v>
      </c>
      <c r="Z2746" s="6" t="s">
        <v>170</v>
      </c>
      <c r="AA2746" s="6" t="s">
        <v>171</v>
      </c>
      <c r="AB2746" s="6">
        <v>0</v>
      </c>
      <c r="AC2746" s="6" t="str">
        <f>""</f>
        <v/>
      </c>
      <c r="AS2746" s="6">
        <v>0</v>
      </c>
      <c r="AT2746" s="6">
        <v>0</v>
      </c>
    </row>
    <row r="2747" spans="2:46" ht="66">
      <c r="B2747" s="6" t="s">
        <v>112</v>
      </c>
      <c r="D2747" s="6" t="s">
        <v>8189</v>
      </c>
      <c r="F2747" s="6" t="s">
        <v>11325</v>
      </c>
      <c r="G2747" s="6" t="str">
        <f>"atm17ut010wt"</f>
        <v>atm17ut010wt</v>
      </c>
      <c r="H2747" s="6" t="s">
        <v>11326</v>
      </c>
      <c r="I2747" s="7" t="s">
        <v>11323</v>
      </c>
      <c r="J2747" s="6" t="str">
        <f>"Ticket Raglan 
Half T-shirt"</f>
        <v>Ticket Raglan 
Half T-shirt</v>
      </c>
      <c r="K2747" s="6">
        <v>0</v>
      </c>
      <c r="L2747" s="6">
        <v>0</v>
      </c>
      <c r="M2747" s="6">
        <v>0</v>
      </c>
      <c r="N2747" s="6" t="str">
        <f>""</f>
        <v/>
      </c>
      <c r="O2747" s="6">
        <v>24168</v>
      </c>
      <c r="P2747" s="6" t="s">
        <v>11326</v>
      </c>
      <c r="R2747" s="6" t="s">
        <v>11319</v>
      </c>
      <c r="S2747" s="7" t="s">
        <v>11327</v>
      </c>
      <c r="T2747" s="6">
        <v>0</v>
      </c>
      <c r="U2747" s="6">
        <v>0</v>
      </c>
      <c r="V2747" s="6">
        <v>0</v>
      </c>
      <c r="W2747" s="6">
        <v>0</v>
      </c>
      <c r="X2747" s="6" t="s">
        <v>169</v>
      </c>
      <c r="Z2747" s="6" t="s">
        <v>170</v>
      </c>
      <c r="AA2747" s="6" t="s">
        <v>171</v>
      </c>
      <c r="AB2747" s="6">
        <v>0</v>
      </c>
      <c r="AC2747" s="6" t="str">
        <f>""</f>
        <v/>
      </c>
      <c r="AS2747" s="6">
        <v>0</v>
      </c>
      <c r="AT2747" s="6">
        <v>0</v>
      </c>
    </row>
    <row r="2748" spans="2:46" ht="66">
      <c r="B2748" s="6" t="s">
        <v>112</v>
      </c>
      <c r="D2748" s="6" t="s">
        <v>8189</v>
      </c>
      <c r="F2748" s="6" t="s">
        <v>11328</v>
      </c>
      <c r="G2748" s="6" t="str">
        <f>"atm17ut009rd"</f>
        <v>atm17ut009rd</v>
      </c>
      <c r="H2748" s="6" t="s">
        <v>11329</v>
      </c>
      <c r="I2748" s="7" t="s">
        <v>11330</v>
      </c>
      <c r="J2748" s="6" t="str">
        <f>"City Raglan 
Half T-shirt"</f>
        <v>City Raglan 
Half T-shirt</v>
      </c>
      <c r="K2748" s="6">
        <v>0</v>
      </c>
      <c r="L2748" s="6">
        <v>0</v>
      </c>
      <c r="M2748" s="6">
        <v>0</v>
      </c>
      <c r="N2748" s="6" t="str">
        <f>""</f>
        <v/>
      </c>
      <c r="O2748" s="6">
        <v>24166</v>
      </c>
      <c r="P2748" s="6" t="s">
        <v>11329</v>
      </c>
      <c r="R2748" s="6" t="s">
        <v>11331</v>
      </c>
      <c r="S2748" s="7" t="s">
        <v>11332</v>
      </c>
      <c r="T2748" s="6">
        <v>0</v>
      </c>
      <c r="U2748" s="6">
        <v>0</v>
      </c>
      <c r="V2748" s="6">
        <v>0</v>
      </c>
      <c r="W2748" s="6">
        <v>0</v>
      </c>
      <c r="X2748" s="6" t="s">
        <v>169</v>
      </c>
      <c r="Z2748" s="6" t="s">
        <v>170</v>
      </c>
      <c r="AA2748" s="6" t="s">
        <v>171</v>
      </c>
      <c r="AB2748" s="6">
        <v>0</v>
      </c>
      <c r="AC2748" s="6" t="str">
        <f>""</f>
        <v/>
      </c>
      <c r="AS2748" s="6">
        <v>0</v>
      </c>
      <c r="AT2748" s="6">
        <v>0</v>
      </c>
    </row>
    <row r="2749" spans="2:46" ht="66">
      <c r="B2749" s="6" t="s">
        <v>112</v>
      </c>
      <c r="D2749" s="6" t="s">
        <v>8189</v>
      </c>
      <c r="F2749" s="6" t="s">
        <v>11333</v>
      </c>
      <c r="G2749" s="6" t="str">
        <f>"atm17ut009bl"</f>
        <v>atm17ut009bl</v>
      </c>
      <c r="H2749" s="6" t="s">
        <v>11334</v>
      </c>
      <c r="I2749" s="7" t="s">
        <v>11330</v>
      </c>
      <c r="J2749" s="6" t="str">
        <f>"City Raglan 
Half T-shirt"</f>
        <v>City Raglan 
Half T-shirt</v>
      </c>
      <c r="K2749" s="6">
        <v>0</v>
      </c>
      <c r="L2749" s="6">
        <v>0</v>
      </c>
      <c r="M2749" s="6">
        <v>0</v>
      </c>
      <c r="N2749" s="6" t="str">
        <f>""</f>
        <v/>
      </c>
      <c r="O2749" s="6">
        <v>24165</v>
      </c>
      <c r="P2749" s="6" t="s">
        <v>11334</v>
      </c>
      <c r="R2749" s="6" t="s">
        <v>11307</v>
      </c>
      <c r="S2749" s="7" t="s">
        <v>11335</v>
      </c>
      <c r="T2749" s="6">
        <v>0</v>
      </c>
      <c r="U2749" s="6">
        <v>0</v>
      </c>
      <c r="V2749" s="6">
        <v>0</v>
      </c>
      <c r="W2749" s="6">
        <v>0</v>
      </c>
      <c r="X2749" s="6" t="s">
        <v>169</v>
      </c>
      <c r="Z2749" s="6" t="s">
        <v>170</v>
      </c>
      <c r="AA2749" s="6" t="s">
        <v>171</v>
      </c>
      <c r="AB2749" s="6">
        <v>0</v>
      </c>
      <c r="AC2749" s="6" t="str">
        <f>""</f>
        <v/>
      </c>
      <c r="AS2749" s="6">
        <v>0</v>
      </c>
      <c r="AT2749" s="6">
        <v>0</v>
      </c>
    </row>
    <row r="2750" spans="2:46" ht="49.5">
      <c r="B2750" s="6" t="s">
        <v>112</v>
      </c>
      <c r="D2750" s="6" t="s">
        <v>8189</v>
      </c>
      <c r="F2750" s="6" t="s">
        <v>11336</v>
      </c>
      <c r="G2750" s="6" t="str">
        <f>"atm17ut008pk"</f>
        <v>atm17ut008pk</v>
      </c>
      <c r="H2750" s="6" t="s">
        <v>11337</v>
      </c>
      <c r="I2750" s="7" t="s">
        <v>11338</v>
      </c>
      <c r="J2750" s="6" t="str">
        <f>"Lettering 
Half T-shirt"</f>
        <v>Lettering 
Half T-shirt</v>
      </c>
      <c r="K2750" s="6">
        <v>0</v>
      </c>
      <c r="L2750" s="6">
        <v>0</v>
      </c>
      <c r="M2750" s="6">
        <v>0</v>
      </c>
      <c r="N2750" s="6" t="str">
        <f>""</f>
        <v/>
      </c>
      <c r="O2750" s="6">
        <v>24163</v>
      </c>
      <c r="P2750" s="6" t="s">
        <v>11337</v>
      </c>
      <c r="R2750" s="6" t="s">
        <v>11339</v>
      </c>
      <c r="S2750" s="7" t="s">
        <v>11340</v>
      </c>
      <c r="T2750" s="6">
        <v>0</v>
      </c>
      <c r="U2750" s="6">
        <v>0</v>
      </c>
      <c r="V2750" s="6">
        <v>0</v>
      </c>
      <c r="W2750" s="6">
        <v>0</v>
      </c>
      <c r="X2750" s="6" t="s">
        <v>169</v>
      </c>
      <c r="Z2750" s="6" t="s">
        <v>170</v>
      </c>
      <c r="AA2750" s="6" t="s">
        <v>171</v>
      </c>
      <c r="AB2750" s="6">
        <v>0</v>
      </c>
      <c r="AC2750" s="6" t="str">
        <f>""</f>
        <v/>
      </c>
      <c r="AS2750" s="6">
        <v>0</v>
      </c>
      <c r="AT2750" s="6">
        <v>0</v>
      </c>
    </row>
    <row r="2751" spans="2:46" ht="49.5">
      <c r="B2751" s="6" t="s">
        <v>112</v>
      </c>
      <c r="D2751" s="6" t="s">
        <v>8189</v>
      </c>
      <c r="F2751" s="6" t="s">
        <v>11341</v>
      </c>
      <c r="G2751" s="6" t="str">
        <f>"atm17ut008og"</f>
        <v>atm17ut008og</v>
      </c>
      <c r="H2751" s="6" t="s">
        <v>11342</v>
      </c>
      <c r="I2751" s="7" t="s">
        <v>11338</v>
      </c>
      <c r="J2751" s="6" t="str">
        <f>"Lettering 
Half T-shirt"</f>
        <v>Lettering 
Half T-shirt</v>
      </c>
      <c r="K2751" s="6">
        <v>0</v>
      </c>
      <c r="L2751" s="6">
        <v>0</v>
      </c>
      <c r="M2751" s="6">
        <v>0</v>
      </c>
      <c r="N2751" s="6" t="str">
        <f>""</f>
        <v/>
      </c>
      <c r="O2751" s="6">
        <v>24162</v>
      </c>
      <c r="P2751" s="6" t="s">
        <v>11343</v>
      </c>
      <c r="R2751" s="6" t="s">
        <v>11344</v>
      </c>
      <c r="S2751" s="7" t="s">
        <v>11345</v>
      </c>
      <c r="T2751" s="6">
        <v>0</v>
      </c>
      <c r="U2751" s="6">
        <v>0</v>
      </c>
      <c r="V2751" s="6">
        <v>0</v>
      </c>
      <c r="W2751" s="6">
        <v>0</v>
      </c>
      <c r="X2751" s="6" t="s">
        <v>169</v>
      </c>
      <c r="Z2751" s="6" t="s">
        <v>170</v>
      </c>
      <c r="AA2751" s="6" t="s">
        <v>171</v>
      </c>
      <c r="AB2751" s="6">
        <v>0</v>
      </c>
      <c r="AC2751" s="6" t="str">
        <f>""</f>
        <v/>
      </c>
      <c r="AS2751" s="6">
        <v>0</v>
      </c>
      <c r="AT2751" s="6">
        <v>0</v>
      </c>
    </row>
    <row r="2752" spans="2:46">
      <c r="B2752" s="6" t="s">
        <v>112</v>
      </c>
      <c r="D2752" s="6" t="s">
        <v>8189</v>
      </c>
      <c r="F2752" s="6" t="s">
        <v>11346</v>
      </c>
      <c r="G2752" s="6" t="str">
        <f>"atm17ut007bk"</f>
        <v>atm17ut007bk</v>
      </c>
      <c r="H2752" s="6" t="s">
        <v>11347</v>
      </c>
      <c r="I2752" s="6" t="s">
        <v>11348</v>
      </c>
      <c r="J2752" s="6" t="str">
        <f>"Guard Half T-shirt"</f>
        <v>Guard Half T-shirt</v>
      </c>
      <c r="K2752" s="6">
        <v>0</v>
      </c>
      <c r="L2752" s="6">
        <v>0</v>
      </c>
      <c r="M2752" s="6">
        <v>0</v>
      </c>
      <c r="N2752" s="6" t="str">
        <f>""</f>
        <v/>
      </c>
      <c r="O2752" s="6">
        <v>24160</v>
      </c>
      <c r="P2752" s="6" t="s">
        <v>11347</v>
      </c>
      <c r="R2752" s="6" t="s">
        <v>11303</v>
      </c>
      <c r="S2752" s="6" t="s">
        <v>11349</v>
      </c>
      <c r="T2752" s="6">
        <v>0</v>
      </c>
      <c r="U2752" s="6">
        <v>0</v>
      </c>
      <c r="V2752" s="6">
        <v>0</v>
      </c>
      <c r="W2752" s="6">
        <v>0</v>
      </c>
      <c r="X2752" s="6" t="s">
        <v>169</v>
      </c>
      <c r="Z2752" s="6" t="s">
        <v>170</v>
      </c>
      <c r="AA2752" s="6" t="s">
        <v>171</v>
      </c>
      <c r="AB2752" s="6">
        <v>0</v>
      </c>
      <c r="AC2752" s="6" t="str">
        <f>""</f>
        <v/>
      </c>
      <c r="AS2752" s="6">
        <v>0</v>
      </c>
      <c r="AT2752" s="6">
        <v>0</v>
      </c>
    </row>
    <row r="2753" spans="2:46">
      <c r="B2753" s="6" t="s">
        <v>112</v>
      </c>
      <c r="D2753" s="6" t="s">
        <v>8189</v>
      </c>
      <c r="F2753" s="6" t="s">
        <v>11350</v>
      </c>
      <c r="G2753" s="6" t="str">
        <f>"atm17ut007ye"</f>
        <v>atm17ut007ye</v>
      </c>
      <c r="H2753" s="6" t="s">
        <v>11351</v>
      </c>
      <c r="I2753" s="6" t="s">
        <v>11348</v>
      </c>
      <c r="J2753" s="6" t="str">
        <f>"Guard Half T-shirt"</f>
        <v>Guard Half T-shirt</v>
      </c>
      <c r="K2753" s="6">
        <v>0</v>
      </c>
      <c r="L2753" s="6">
        <v>0</v>
      </c>
      <c r="M2753" s="6">
        <v>0</v>
      </c>
      <c r="N2753" s="6" t="str">
        <f>""</f>
        <v/>
      </c>
      <c r="O2753" s="6">
        <v>24159</v>
      </c>
      <c r="P2753" s="6" t="s">
        <v>11351</v>
      </c>
      <c r="R2753" s="6" t="s">
        <v>11352</v>
      </c>
      <c r="S2753" s="6" t="s">
        <v>11353</v>
      </c>
      <c r="T2753" s="6">
        <v>0</v>
      </c>
      <c r="U2753" s="6">
        <v>0</v>
      </c>
      <c r="V2753" s="6">
        <v>0</v>
      </c>
      <c r="W2753" s="6">
        <v>0</v>
      </c>
      <c r="X2753" s="6" t="s">
        <v>169</v>
      </c>
      <c r="Z2753" s="6" t="s">
        <v>170</v>
      </c>
      <c r="AA2753" s="6" t="s">
        <v>171</v>
      </c>
      <c r="AB2753" s="6">
        <v>0</v>
      </c>
      <c r="AC2753" s="6" t="str">
        <f>""</f>
        <v/>
      </c>
      <c r="AS2753" s="6">
        <v>0</v>
      </c>
      <c r="AT2753" s="6">
        <v>0</v>
      </c>
    </row>
    <row r="2754" spans="2:46">
      <c r="B2754" s="6" t="s">
        <v>112</v>
      </c>
      <c r="D2754" s="6" t="s">
        <v>8189</v>
      </c>
      <c r="F2754" s="6" t="s">
        <v>11354</v>
      </c>
      <c r="G2754" s="6" t="str">
        <f>"atm17ut006bk"</f>
        <v>atm17ut006bk</v>
      </c>
      <c r="H2754" s="6" t="s">
        <v>11355</v>
      </c>
      <c r="I2754" s="6" t="s">
        <v>11356</v>
      </c>
      <c r="J2754" s="6" t="str">
        <f>"Cobra Half T-shirt"</f>
        <v>Cobra Half T-shirt</v>
      </c>
      <c r="K2754" s="6">
        <v>0</v>
      </c>
      <c r="L2754" s="6">
        <v>0</v>
      </c>
      <c r="M2754" s="6">
        <v>0</v>
      </c>
      <c r="N2754" s="6" t="str">
        <f>""</f>
        <v/>
      </c>
      <c r="O2754" s="6">
        <v>24157</v>
      </c>
      <c r="P2754" s="6" t="s">
        <v>11355</v>
      </c>
      <c r="R2754" s="6" t="s">
        <v>11303</v>
      </c>
      <c r="S2754" s="6" t="s">
        <v>11357</v>
      </c>
      <c r="T2754" s="6">
        <v>0</v>
      </c>
      <c r="U2754" s="6">
        <v>0</v>
      </c>
      <c r="V2754" s="6">
        <v>0</v>
      </c>
      <c r="W2754" s="6">
        <v>0</v>
      </c>
      <c r="X2754" s="6" t="s">
        <v>169</v>
      </c>
      <c r="Z2754" s="6" t="s">
        <v>170</v>
      </c>
      <c r="AA2754" s="6" t="s">
        <v>171</v>
      </c>
      <c r="AB2754" s="6">
        <v>0</v>
      </c>
      <c r="AC2754" s="6" t="str">
        <f>""</f>
        <v/>
      </c>
      <c r="AS2754" s="6">
        <v>0</v>
      </c>
      <c r="AT2754" s="6">
        <v>0</v>
      </c>
    </row>
    <row r="2755" spans="2:46">
      <c r="B2755" s="6" t="s">
        <v>112</v>
      </c>
      <c r="D2755" s="6" t="s">
        <v>8189</v>
      </c>
      <c r="F2755" s="6" t="s">
        <v>11358</v>
      </c>
      <c r="G2755" s="6" t="str">
        <f>"atm17ut006wt"</f>
        <v>atm17ut006wt</v>
      </c>
      <c r="H2755" s="6" t="s">
        <v>11359</v>
      </c>
      <c r="I2755" s="6" t="s">
        <v>11356</v>
      </c>
      <c r="J2755" s="6" t="str">
        <f>"Cobra Half T-shirt"</f>
        <v>Cobra Half T-shirt</v>
      </c>
      <c r="K2755" s="6">
        <v>0</v>
      </c>
      <c r="L2755" s="6">
        <v>0</v>
      </c>
      <c r="M2755" s="6">
        <v>0</v>
      </c>
      <c r="N2755" s="6" t="str">
        <f>""</f>
        <v/>
      </c>
      <c r="O2755" s="6">
        <v>24156</v>
      </c>
      <c r="P2755" s="6" t="s">
        <v>11359</v>
      </c>
      <c r="R2755" s="6" t="s">
        <v>11319</v>
      </c>
      <c r="S2755" s="6" t="s">
        <v>11360</v>
      </c>
      <c r="T2755" s="6">
        <v>0</v>
      </c>
      <c r="U2755" s="6">
        <v>0</v>
      </c>
      <c r="V2755" s="6">
        <v>0</v>
      </c>
      <c r="W2755" s="6">
        <v>0</v>
      </c>
      <c r="X2755" s="6" t="s">
        <v>169</v>
      </c>
      <c r="Z2755" s="6" t="s">
        <v>170</v>
      </c>
      <c r="AA2755" s="6" t="s">
        <v>171</v>
      </c>
      <c r="AB2755" s="6">
        <v>0</v>
      </c>
      <c r="AC2755" s="6" t="str">
        <f>""</f>
        <v/>
      </c>
      <c r="AS2755" s="6">
        <v>0</v>
      </c>
      <c r="AT2755" s="6">
        <v>0</v>
      </c>
    </row>
    <row r="2756" spans="2:46">
      <c r="B2756" s="6" t="s">
        <v>112</v>
      </c>
      <c r="D2756" s="6" t="s">
        <v>8189</v>
      </c>
      <c r="F2756" s="6" t="s">
        <v>11361</v>
      </c>
      <c r="G2756" s="6" t="str">
        <f>"atm17ut005bk"</f>
        <v>atm17ut005bk</v>
      </c>
      <c r="H2756" s="6" t="s">
        <v>11362</v>
      </c>
      <c r="I2756" s="6" t="s">
        <v>11363</v>
      </c>
      <c r="J2756" s="6" t="str">
        <f>"Wolf Half T-shirt"</f>
        <v>Wolf Half T-shirt</v>
      </c>
      <c r="K2756" s="6">
        <v>0</v>
      </c>
      <c r="L2756" s="6">
        <v>0</v>
      </c>
      <c r="M2756" s="6">
        <v>0</v>
      </c>
      <c r="N2756" s="6" t="str">
        <f>""</f>
        <v/>
      </c>
      <c r="O2756" s="6">
        <v>24154</v>
      </c>
      <c r="P2756" s="6" t="s">
        <v>11362</v>
      </c>
      <c r="R2756" s="6" t="s">
        <v>11303</v>
      </c>
      <c r="S2756" s="6" t="s">
        <v>11364</v>
      </c>
      <c r="T2756" s="6">
        <v>0</v>
      </c>
      <c r="U2756" s="6">
        <v>0</v>
      </c>
      <c r="V2756" s="6">
        <v>0</v>
      </c>
      <c r="W2756" s="6">
        <v>0</v>
      </c>
      <c r="X2756" s="6" t="s">
        <v>169</v>
      </c>
      <c r="Z2756" s="6" t="s">
        <v>170</v>
      </c>
      <c r="AA2756" s="6" t="s">
        <v>171</v>
      </c>
      <c r="AB2756" s="6">
        <v>0</v>
      </c>
      <c r="AC2756" s="6" t="str">
        <f>""</f>
        <v/>
      </c>
      <c r="AS2756" s="6">
        <v>0</v>
      </c>
      <c r="AT2756" s="6">
        <v>0</v>
      </c>
    </row>
    <row r="2757" spans="2:46">
      <c r="B2757" s="6" t="s">
        <v>112</v>
      </c>
      <c r="D2757" s="6" t="s">
        <v>8189</v>
      </c>
      <c r="F2757" s="6" t="s">
        <v>11365</v>
      </c>
      <c r="G2757" s="6" t="str">
        <f>"atm17ut005wt"</f>
        <v>atm17ut005wt</v>
      </c>
      <c r="H2757" s="6" t="s">
        <v>11366</v>
      </c>
      <c r="I2757" s="6" t="s">
        <v>11363</v>
      </c>
      <c r="J2757" s="6" t="str">
        <f>"Wolf Half T-shirt"</f>
        <v>Wolf Half T-shirt</v>
      </c>
      <c r="K2757" s="6">
        <v>0</v>
      </c>
      <c r="L2757" s="6">
        <v>0</v>
      </c>
      <c r="M2757" s="6">
        <v>0</v>
      </c>
      <c r="N2757" s="6" t="str">
        <f>""</f>
        <v/>
      </c>
      <c r="O2757" s="6">
        <v>24153</v>
      </c>
      <c r="P2757" s="6" t="s">
        <v>11366</v>
      </c>
      <c r="R2757" s="6" t="s">
        <v>11319</v>
      </c>
      <c r="S2757" s="6" t="s">
        <v>11367</v>
      </c>
      <c r="T2757" s="6">
        <v>0</v>
      </c>
      <c r="U2757" s="6">
        <v>0</v>
      </c>
      <c r="V2757" s="6">
        <v>0</v>
      </c>
      <c r="W2757" s="6">
        <v>0</v>
      </c>
      <c r="X2757" s="6" t="s">
        <v>169</v>
      </c>
      <c r="Z2757" s="6" t="s">
        <v>170</v>
      </c>
      <c r="AA2757" s="6" t="s">
        <v>171</v>
      </c>
      <c r="AB2757" s="6">
        <v>0</v>
      </c>
      <c r="AC2757" s="6" t="str">
        <f>""</f>
        <v/>
      </c>
      <c r="AS2757" s="6">
        <v>0</v>
      </c>
      <c r="AT2757" s="6">
        <v>0</v>
      </c>
    </row>
    <row r="2758" spans="2:46" ht="49.5">
      <c r="B2758" s="6" t="s">
        <v>112</v>
      </c>
      <c r="D2758" s="6" t="s">
        <v>8189</v>
      </c>
      <c r="F2758" s="6" t="s">
        <v>11368</v>
      </c>
      <c r="G2758" s="6" t="str">
        <f>"atm17ut004bl"</f>
        <v>atm17ut004bl</v>
      </c>
      <c r="I2758" s="7" t="s">
        <v>11369</v>
      </c>
      <c r="J2758" s="6" t="str">
        <f>"Welcome 
Half T-shirt"</f>
        <v>Welcome 
Half T-shirt</v>
      </c>
      <c r="K2758" s="6">
        <v>0</v>
      </c>
      <c r="L2758" s="6">
        <v>0</v>
      </c>
      <c r="M2758" s="6">
        <v>0</v>
      </c>
      <c r="N2758" s="6" t="str">
        <f>""</f>
        <v/>
      </c>
      <c r="O2758" s="6">
        <v>24151</v>
      </c>
      <c r="P2758" s="6" t="s">
        <v>11370</v>
      </c>
      <c r="R2758" s="6" t="s">
        <v>11307</v>
      </c>
      <c r="S2758" s="7" t="s">
        <v>11371</v>
      </c>
      <c r="T2758" s="6">
        <v>1</v>
      </c>
      <c r="U2758" s="6">
        <v>0</v>
      </c>
      <c r="V2758" s="6">
        <v>0</v>
      </c>
      <c r="W2758" s="6">
        <v>0</v>
      </c>
      <c r="X2758" s="6" t="s">
        <v>169</v>
      </c>
      <c r="Z2758" s="6" t="s">
        <v>170</v>
      </c>
      <c r="AA2758" s="6" t="s">
        <v>171</v>
      </c>
      <c r="AB2758" s="6">
        <v>0</v>
      </c>
      <c r="AC2758" s="6" t="str">
        <f>"KEY-069"</f>
        <v>KEY-069</v>
      </c>
      <c r="AQ2758" s="6" t="str">
        <f>""</f>
        <v/>
      </c>
      <c r="AR2758" s="6" t="s">
        <v>1567</v>
      </c>
      <c r="AS2758" s="6">
        <v>0</v>
      </c>
      <c r="AT2758" s="6">
        <v>1</v>
      </c>
    </row>
    <row r="2759" spans="2:46" ht="49.5">
      <c r="B2759" s="6" t="s">
        <v>112</v>
      </c>
      <c r="D2759" s="6" t="s">
        <v>8189</v>
      </c>
      <c r="F2759" s="6" t="s">
        <v>11372</v>
      </c>
      <c r="G2759" s="6" t="str">
        <f>"atm17ut004wt"</f>
        <v>atm17ut004wt</v>
      </c>
      <c r="H2759" s="6" t="s">
        <v>11373</v>
      </c>
      <c r="I2759" s="7" t="s">
        <v>11369</v>
      </c>
      <c r="J2759" s="6" t="str">
        <f>"Welcome 
Half T-shirt"</f>
        <v>Welcome 
Half T-shirt</v>
      </c>
      <c r="K2759" s="6">
        <v>0</v>
      </c>
      <c r="L2759" s="6">
        <v>0</v>
      </c>
      <c r="M2759" s="6">
        <v>0</v>
      </c>
      <c r="N2759" s="6" t="str">
        <f>""</f>
        <v/>
      </c>
      <c r="O2759" s="6">
        <v>24150</v>
      </c>
      <c r="P2759" s="6" t="s">
        <v>11373</v>
      </c>
      <c r="R2759" s="6" t="s">
        <v>11319</v>
      </c>
      <c r="S2759" s="7" t="s">
        <v>11374</v>
      </c>
      <c r="T2759" s="6">
        <v>0</v>
      </c>
      <c r="U2759" s="6">
        <v>0</v>
      </c>
      <c r="V2759" s="6">
        <v>0</v>
      </c>
      <c r="W2759" s="6">
        <v>0</v>
      </c>
      <c r="X2759" s="6" t="s">
        <v>169</v>
      </c>
      <c r="Z2759" s="6" t="s">
        <v>170</v>
      </c>
      <c r="AA2759" s="6" t="s">
        <v>171</v>
      </c>
      <c r="AB2759" s="6">
        <v>0</v>
      </c>
      <c r="AC2759" s="6" t="str">
        <f>""</f>
        <v/>
      </c>
      <c r="AS2759" s="6">
        <v>0</v>
      </c>
      <c r="AT2759" s="6">
        <v>0</v>
      </c>
    </row>
    <row r="2760" spans="2:46" ht="49.5">
      <c r="B2760" s="6" t="s">
        <v>112</v>
      </c>
      <c r="D2760" s="6" t="s">
        <v>8189</v>
      </c>
      <c r="F2760" s="6" t="s">
        <v>11375</v>
      </c>
      <c r="G2760" s="6" t="str">
        <f>"atm17ut003ye"</f>
        <v>atm17ut003ye</v>
      </c>
      <c r="I2760" s="7" t="s">
        <v>11376</v>
      </c>
      <c r="J2760" s="6" t="str">
        <f>"Big Collar 
Rugby Tee"</f>
        <v>Big Collar 
Rugby Tee</v>
      </c>
      <c r="K2760" s="6">
        <v>0</v>
      </c>
      <c r="L2760" s="6">
        <v>0</v>
      </c>
      <c r="M2760" s="6">
        <v>0</v>
      </c>
      <c r="N2760" s="6" t="str">
        <f>""</f>
        <v/>
      </c>
      <c r="O2760" s="6">
        <v>24148</v>
      </c>
      <c r="P2760" s="6" t="s">
        <v>11377</v>
      </c>
      <c r="R2760" s="6" t="s">
        <v>11352</v>
      </c>
      <c r="S2760" s="7" t="s">
        <v>11378</v>
      </c>
      <c r="T2760" s="6">
        <v>2</v>
      </c>
      <c r="U2760" s="6">
        <v>0</v>
      </c>
      <c r="V2760" s="6">
        <v>0</v>
      </c>
      <c r="W2760" s="6">
        <v>0</v>
      </c>
      <c r="X2760" s="6" t="s">
        <v>169</v>
      </c>
      <c r="Z2760" s="6" t="s">
        <v>170</v>
      </c>
      <c r="AA2760" s="6" t="s">
        <v>171</v>
      </c>
      <c r="AB2760" s="6">
        <v>0</v>
      </c>
      <c r="AC2760" s="6" t="str">
        <f>"KEY-046"</f>
        <v>KEY-046</v>
      </c>
      <c r="AQ2760" s="6" t="str">
        <f>""</f>
        <v/>
      </c>
      <c r="AR2760" s="6" t="s">
        <v>1567</v>
      </c>
      <c r="AS2760" s="6">
        <v>0</v>
      </c>
      <c r="AT2760" s="6">
        <v>2</v>
      </c>
    </row>
    <row r="2761" spans="2:46" ht="49.5">
      <c r="B2761" s="6" t="s">
        <v>112</v>
      </c>
      <c r="D2761" s="6" t="s">
        <v>8189</v>
      </c>
      <c r="F2761" s="6" t="s">
        <v>11379</v>
      </c>
      <c r="G2761" s="6" t="str">
        <f>"atm17ut003sk"</f>
        <v>atm17ut003sk</v>
      </c>
      <c r="H2761" s="6" t="s">
        <v>11380</v>
      </c>
      <c r="I2761" s="7" t="s">
        <v>11376</v>
      </c>
      <c r="J2761" s="6" t="str">
        <f>"Big Collar 
Rugby Tee"</f>
        <v>Big Collar 
Rugby Tee</v>
      </c>
      <c r="K2761" s="6">
        <v>0</v>
      </c>
      <c r="L2761" s="6">
        <v>0</v>
      </c>
      <c r="M2761" s="6">
        <v>0</v>
      </c>
      <c r="N2761" s="6" t="str">
        <f>""</f>
        <v/>
      </c>
      <c r="O2761" s="6">
        <v>24147</v>
      </c>
      <c r="P2761" s="6" t="s">
        <v>11380</v>
      </c>
      <c r="R2761" s="6" t="s">
        <v>11381</v>
      </c>
      <c r="S2761" s="7" t="s">
        <v>11382</v>
      </c>
      <c r="T2761" s="6">
        <v>0</v>
      </c>
      <c r="U2761" s="6">
        <v>0</v>
      </c>
      <c r="V2761" s="6">
        <v>0</v>
      </c>
      <c r="W2761" s="6">
        <v>0</v>
      </c>
      <c r="X2761" s="6" t="s">
        <v>169</v>
      </c>
      <c r="Z2761" s="6" t="s">
        <v>170</v>
      </c>
      <c r="AA2761" s="6" t="s">
        <v>171</v>
      </c>
      <c r="AB2761" s="6">
        <v>0</v>
      </c>
      <c r="AC2761" s="6" t="str">
        <f>""</f>
        <v/>
      </c>
      <c r="AS2761" s="6">
        <v>0</v>
      </c>
      <c r="AT2761" s="6">
        <v>0</v>
      </c>
    </row>
    <row r="2762" spans="2:46" ht="49.5">
      <c r="B2762" s="6" t="s">
        <v>112</v>
      </c>
      <c r="D2762" s="6" t="s">
        <v>8189</v>
      </c>
      <c r="F2762" s="6" t="s">
        <v>11383</v>
      </c>
      <c r="G2762" s="6" t="str">
        <f>"atm17ut003rd"</f>
        <v>atm17ut003rd</v>
      </c>
      <c r="H2762" s="6" t="s">
        <v>11384</v>
      </c>
      <c r="I2762" s="7" t="s">
        <v>11376</v>
      </c>
      <c r="J2762" s="6" t="str">
        <f>"Big Collar 
Rugby Tee"</f>
        <v>Big Collar 
Rugby Tee</v>
      </c>
      <c r="K2762" s="6">
        <v>0</v>
      </c>
      <c r="L2762" s="6">
        <v>0</v>
      </c>
      <c r="M2762" s="6">
        <v>0</v>
      </c>
      <c r="N2762" s="6" t="str">
        <f>""</f>
        <v/>
      </c>
      <c r="O2762" s="6">
        <v>24146</v>
      </c>
      <c r="P2762" s="6" t="s">
        <v>11384</v>
      </c>
      <c r="R2762" s="6" t="s">
        <v>11331</v>
      </c>
      <c r="S2762" s="7" t="s">
        <v>11385</v>
      </c>
      <c r="T2762" s="6">
        <v>0</v>
      </c>
      <c r="U2762" s="6">
        <v>0</v>
      </c>
      <c r="V2762" s="6">
        <v>0</v>
      </c>
      <c r="W2762" s="6">
        <v>0</v>
      </c>
      <c r="X2762" s="6" t="s">
        <v>169</v>
      </c>
      <c r="Z2762" s="6" t="s">
        <v>170</v>
      </c>
      <c r="AA2762" s="6" t="s">
        <v>171</v>
      </c>
      <c r="AB2762" s="6">
        <v>0</v>
      </c>
      <c r="AC2762" s="6" t="str">
        <f>""</f>
        <v/>
      </c>
      <c r="AS2762" s="6">
        <v>0</v>
      </c>
      <c r="AT2762" s="6">
        <v>0</v>
      </c>
    </row>
    <row r="2763" spans="2:46">
      <c r="B2763" s="6" t="s">
        <v>112</v>
      </c>
      <c r="D2763" s="6" t="s">
        <v>8189</v>
      </c>
      <c r="F2763" s="6" t="s">
        <v>11386</v>
      </c>
      <c r="G2763" s="6" t="str">
        <f>"atm17ut002kk"</f>
        <v>atm17ut002kk</v>
      </c>
      <c r="I2763" s="6" t="s">
        <v>11387</v>
      </c>
      <c r="J2763" s="6" t="str">
        <f>"Skull Half-Shirt"</f>
        <v>Skull Half-Shirt</v>
      </c>
      <c r="K2763" s="6">
        <v>0</v>
      </c>
      <c r="L2763" s="6">
        <v>0</v>
      </c>
      <c r="M2763" s="6">
        <v>0</v>
      </c>
      <c r="N2763" s="6" t="str">
        <f>""</f>
        <v/>
      </c>
      <c r="O2763" s="6">
        <v>24144</v>
      </c>
      <c r="P2763" s="6" t="s">
        <v>11388</v>
      </c>
      <c r="R2763" s="6" t="s">
        <v>11389</v>
      </c>
      <c r="S2763" s="6" t="s">
        <v>11390</v>
      </c>
      <c r="T2763" s="6">
        <v>1</v>
      </c>
      <c r="U2763" s="6">
        <v>0</v>
      </c>
      <c r="V2763" s="6">
        <v>0</v>
      </c>
      <c r="W2763" s="6">
        <v>0</v>
      </c>
      <c r="X2763" s="6" t="s">
        <v>169</v>
      </c>
      <c r="Z2763" s="6" t="s">
        <v>170</v>
      </c>
      <c r="AA2763" s="6" t="s">
        <v>171</v>
      </c>
      <c r="AB2763" s="6">
        <v>0</v>
      </c>
      <c r="AC2763" s="6" t="str">
        <f>"KEY-061"</f>
        <v>KEY-061</v>
      </c>
      <c r="AQ2763" s="6" t="str">
        <f>""</f>
        <v/>
      </c>
      <c r="AR2763" s="6" t="s">
        <v>1567</v>
      </c>
      <c r="AS2763" s="6">
        <v>0</v>
      </c>
      <c r="AT2763" s="6">
        <v>1</v>
      </c>
    </row>
    <row r="2764" spans="2:46">
      <c r="B2764" s="6" t="s">
        <v>112</v>
      </c>
      <c r="D2764" s="6" t="s">
        <v>8189</v>
      </c>
      <c r="F2764" s="6" t="s">
        <v>11391</v>
      </c>
      <c r="G2764" s="6" t="str">
        <f>"atm17ut002wt"</f>
        <v>atm17ut002wt</v>
      </c>
      <c r="I2764" s="6" t="s">
        <v>11387</v>
      </c>
      <c r="J2764" s="6" t="str">
        <f>"Skull Half-Shirt"</f>
        <v>Skull Half-Shirt</v>
      </c>
      <c r="K2764" s="6">
        <v>0</v>
      </c>
      <c r="L2764" s="6">
        <v>0</v>
      </c>
      <c r="M2764" s="6">
        <v>0</v>
      </c>
      <c r="N2764" s="6" t="str">
        <f>""</f>
        <v/>
      </c>
      <c r="O2764" s="6">
        <v>24143</v>
      </c>
      <c r="P2764" s="6" t="s">
        <v>11392</v>
      </c>
      <c r="R2764" s="6" t="s">
        <v>11319</v>
      </c>
      <c r="S2764" s="6" t="s">
        <v>11393</v>
      </c>
      <c r="T2764" s="6">
        <v>1</v>
      </c>
      <c r="U2764" s="6">
        <v>0</v>
      </c>
      <c r="V2764" s="6">
        <v>0</v>
      </c>
      <c r="W2764" s="6">
        <v>0</v>
      </c>
      <c r="X2764" s="6" t="s">
        <v>169</v>
      </c>
      <c r="Z2764" s="6" t="s">
        <v>170</v>
      </c>
      <c r="AA2764" s="6" t="s">
        <v>171</v>
      </c>
      <c r="AB2764" s="6">
        <v>0</v>
      </c>
      <c r="AC2764" s="6" t="str">
        <f>"KEY-068"</f>
        <v>KEY-068</v>
      </c>
      <c r="AQ2764" s="6" t="str">
        <f>""</f>
        <v/>
      </c>
      <c r="AR2764" s="6" t="s">
        <v>1567</v>
      </c>
      <c r="AS2764" s="6">
        <v>0</v>
      </c>
      <c r="AT2764" s="6">
        <v>1</v>
      </c>
    </row>
    <row r="2765" spans="2:46">
      <c r="B2765" s="6" t="s">
        <v>112</v>
      </c>
      <c r="D2765" s="6" t="s">
        <v>8189</v>
      </c>
      <c r="F2765" s="6" t="s">
        <v>11394</v>
      </c>
      <c r="G2765" s="6" t="str">
        <f>"atm17ut001bl"</f>
        <v>atm17ut001bl</v>
      </c>
      <c r="H2765" s="6" t="s">
        <v>11395</v>
      </c>
      <c r="I2765" s="6" t="s">
        <v>11396</v>
      </c>
      <c r="J2765" s="6" t="str">
        <f>"Wolf Printing Shirt"</f>
        <v>Wolf Printing Shirt</v>
      </c>
      <c r="K2765" s="6">
        <v>0</v>
      </c>
      <c r="L2765" s="6">
        <v>0</v>
      </c>
      <c r="M2765" s="6">
        <v>0</v>
      </c>
      <c r="N2765" s="6" t="str">
        <f>""</f>
        <v/>
      </c>
      <c r="O2765" s="6">
        <v>24141</v>
      </c>
      <c r="P2765" s="6" t="s">
        <v>11395</v>
      </c>
      <c r="R2765" s="6" t="s">
        <v>11307</v>
      </c>
      <c r="S2765" s="6" t="s">
        <v>11397</v>
      </c>
      <c r="T2765" s="6">
        <v>0</v>
      </c>
      <c r="U2765" s="6">
        <v>0</v>
      </c>
      <c r="V2765" s="6">
        <v>0</v>
      </c>
      <c r="W2765" s="6">
        <v>0</v>
      </c>
      <c r="X2765" s="6" t="s">
        <v>169</v>
      </c>
      <c r="Z2765" s="6" t="s">
        <v>170</v>
      </c>
      <c r="AA2765" s="6" t="s">
        <v>171</v>
      </c>
      <c r="AB2765" s="6">
        <v>0</v>
      </c>
      <c r="AC2765" s="6" t="str">
        <f>""</f>
        <v/>
      </c>
      <c r="AS2765" s="6">
        <v>0</v>
      </c>
      <c r="AT2765" s="6">
        <v>0</v>
      </c>
    </row>
    <row r="2766" spans="2:46">
      <c r="B2766" s="6" t="s">
        <v>112</v>
      </c>
      <c r="D2766" s="6" t="s">
        <v>8189</v>
      </c>
      <c r="F2766" s="6" t="s">
        <v>11398</v>
      </c>
      <c r="G2766" s="6" t="str">
        <f>"atm17ut001wt"</f>
        <v>atm17ut001wt</v>
      </c>
      <c r="I2766" s="6" t="s">
        <v>11396</v>
      </c>
      <c r="J2766" s="6" t="str">
        <f>"Wolf Printing Shirt"</f>
        <v>Wolf Printing Shirt</v>
      </c>
      <c r="K2766" s="6">
        <v>0</v>
      </c>
      <c r="L2766" s="6">
        <v>0</v>
      </c>
      <c r="M2766" s="6">
        <v>0</v>
      </c>
      <c r="N2766" s="6" t="str">
        <f>""</f>
        <v/>
      </c>
      <c r="O2766" s="6">
        <v>24140</v>
      </c>
      <c r="P2766" s="6" t="s">
        <v>11399</v>
      </c>
      <c r="R2766" s="6" t="s">
        <v>11319</v>
      </c>
      <c r="S2766" s="6" t="s">
        <v>11400</v>
      </c>
      <c r="T2766" s="6">
        <v>4</v>
      </c>
      <c r="U2766" s="6">
        <v>0</v>
      </c>
      <c r="V2766" s="6">
        <v>0</v>
      </c>
      <c r="W2766" s="6">
        <v>0</v>
      </c>
      <c r="X2766" s="6" t="s">
        <v>169</v>
      </c>
      <c r="Z2766" s="6" t="s">
        <v>170</v>
      </c>
      <c r="AA2766" s="6" t="s">
        <v>171</v>
      </c>
      <c r="AB2766" s="6">
        <v>0</v>
      </c>
      <c r="AC2766" s="6" t="str">
        <f>"KEY-056"</f>
        <v>KEY-056</v>
      </c>
      <c r="AQ2766" s="6" t="str">
        <f>""</f>
        <v/>
      </c>
      <c r="AR2766" s="6" t="s">
        <v>1567</v>
      </c>
      <c r="AS2766" s="6">
        <v>0</v>
      </c>
      <c r="AT2766" s="6">
        <v>4</v>
      </c>
    </row>
    <row r="2767" spans="2:46">
      <c r="B2767" s="6" t="s">
        <v>112</v>
      </c>
      <c r="D2767" s="6" t="s">
        <v>8189</v>
      </c>
      <c r="F2767" s="6" t="s">
        <v>11401</v>
      </c>
      <c r="G2767" s="6" t="str">
        <f>"atm16ut004pk"</f>
        <v>atm16ut004pk</v>
      </c>
      <c r="H2767" s="6" t="s">
        <v>11402</v>
      </c>
      <c r="I2767" s="6" t="s">
        <v>11403</v>
      </c>
      <c r="J2767" s="6" t="str">
        <f>"D-ring PK"</f>
        <v>D-ring PK</v>
      </c>
      <c r="K2767" s="6">
        <v>0</v>
      </c>
      <c r="L2767" s="6">
        <v>0</v>
      </c>
      <c r="M2767" s="6">
        <v>0</v>
      </c>
      <c r="N2767" s="6" t="str">
        <f>""</f>
        <v/>
      </c>
      <c r="O2767" s="6">
        <v>24138</v>
      </c>
      <c r="P2767" s="6" t="s">
        <v>11402</v>
      </c>
      <c r="R2767" s="6" t="s">
        <v>3165</v>
      </c>
      <c r="S2767" s="6" t="s">
        <v>11404</v>
      </c>
      <c r="T2767" s="6">
        <v>0</v>
      </c>
      <c r="U2767" s="6">
        <v>0</v>
      </c>
      <c r="V2767" s="6">
        <v>0</v>
      </c>
      <c r="W2767" s="6">
        <v>0</v>
      </c>
      <c r="X2767" s="6" t="s">
        <v>169</v>
      </c>
      <c r="Z2767" s="6" t="s">
        <v>170</v>
      </c>
      <c r="AA2767" s="6" t="s">
        <v>171</v>
      </c>
      <c r="AB2767" s="6">
        <v>0</v>
      </c>
      <c r="AC2767" s="6" t="str">
        <f>""</f>
        <v/>
      </c>
      <c r="AS2767" s="6">
        <v>0</v>
      </c>
      <c r="AT2767" s="6">
        <v>0</v>
      </c>
    </row>
    <row r="2768" spans="2:46">
      <c r="B2768" s="6" t="s">
        <v>112</v>
      </c>
      <c r="D2768" s="6" t="s">
        <v>8189</v>
      </c>
      <c r="F2768" s="6" t="s">
        <v>11405</v>
      </c>
      <c r="G2768" s="6" t="str">
        <f>"atm16ut004sk"</f>
        <v>atm16ut004sk</v>
      </c>
      <c r="H2768" s="6" t="s">
        <v>11406</v>
      </c>
      <c r="I2768" s="6" t="s">
        <v>11403</v>
      </c>
      <c r="J2768" s="6" t="str">
        <f>"D-ring PK"</f>
        <v>D-ring PK</v>
      </c>
      <c r="K2768" s="6">
        <v>0</v>
      </c>
      <c r="L2768" s="6">
        <v>0</v>
      </c>
      <c r="M2768" s="6">
        <v>0</v>
      </c>
      <c r="N2768" s="6" t="str">
        <f>""</f>
        <v/>
      </c>
      <c r="O2768" s="6">
        <v>24137</v>
      </c>
      <c r="P2768" s="6" t="s">
        <v>11406</v>
      </c>
      <c r="R2768" s="6" t="s">
        <v>11407</v>
      </c>
      <c r="S2768" s="6" t="s">
        <v>11408</v>
      </c>
      <c r="T2768" s="6">
        <v>0</v>
      </c>
      <c r="U2768" s="6">
        <v>0</v>
      </c>
      <c r="V2768" s="6">
        <v>0</v>
      </c>
      <c r="W2768" s="6">
        <v>0</v>
      </c>
      <c r="X2768" s="6" t="s">
        <v>169</v>
      </c>
      <c r="Z2768" s="6" t="s">
        <v>170</v>
      </c>
      <c r="AA2768" s="6" t="s">
        <v>171</v>
      </c>
      <c r="AB2768" s="6">
        <v>0</v>
      </c>
      <c r="AC2768" s="6" t="str">
        <f>""</f>
        <v/>
      </c>
      <c r="AS2768" s="6">
        <v>0</v>
      </c>
      <c r="AT2768" s="6">
        <v>0</v>
      </c>
    </row>
    <row r="2769" spans="2:46">
      <c r="B2769" s="6" t="s">
        <v>112</v>
      </c>
      <c r="D2769" s="6" t="s">
        <v>8189</v>
      </c>
      <c r="F2769" s="6" t="s">
        <v>11409</v>
      </c>
      <c r="G2769" s="6" t="str">
        <f>"atm16ut003pk"</f>
        <v>atm16ut003pk</v>
      </c>
      <c r="H2769" s="6" t="s">
        <v>11410</v>
      </c>
      <c r="I2769" s="6" t="s">
        <v>11411</v>
      </c>
      <c r="J2769" s="6" t="str">
        <f>"Print T-shirt"</f>
        <v>Print T-shirt</v>
      </c>
      <c r="K2769" s="6">
        <v>0</v>
      </c>
      <c r="L2769" s="6">
        <v>0</v>
      </c>
      <c r="M2769" s="6">
        <v>0</v>
      </c>
      <c r="N2769" s="6" t="str">
        <f>""</f>
        <v/>
      </c>
      <c r="O2769" s="6">
        <v>24135</v>
      </c>
      <c r="P2769" s="6" t="s">
        <v>11410</v>
      </c>
      <c r="R2769" s="6" t="s">
        <v>3165</v>
      </c>
      <c r="S2769" s="6" t="s">
        <v>11412</v>
      </c>
      <c r="T2769" s="6">
        <v>0</v>
      </c>
      <c r="U2769" s="6">
        <v>0</v>
      </c>
      <c r="V2769" s="6">
        <v>0</v>
      </c>
      <c r="W2769" s="6">
        <v>0</v>
      </c>
      <c r="X2769" s="6" t="s">
        <v>169</v>
      </c>
      <c r="Z2769" s="6" t="s">
        <v>170</v>
      </c>
      <c r="AA2769" s="6" t="s">
        <v>171</v>
      </c>
      <c r="AB2769" s="6">
        <v>0</v>
      </c>
      <c r="AC2769" s="6" t="str">
        <f>""</f>
        <v/>
      </c>
      <c r="AS2769" s="6">
        <v>0</v>
      </c>
      <c r="AT2769" s="6">
        <v>0</v>
      </c>
    </row>
    <row r="2770" spans="2:46">
      <c r="B2770" s="6" t="s">
        <v>112</v>
      </c>
      <c r="D2770" s="6" t="s">
        <v>8189</v>
      </c>
      <c r="F2770" s="6" t="s">
        <v>11413</v>
      </c>
      <c r="G2770" s="6" t="str">
        <f>"atm16ut003sk"</f>
        <v>atm16ut003sk</v>
      </c>
      <c r="H2770" s="6" t="s">
        <v>11414</v>
      </c>
      <c r="I2770" s="6" t="s">
        <v>11411</v>
      </c>
      <c r="J2770" s="6" t="str">
        <f>"Print T-shirt"</f>
        <v>Print T-shirt</v>
      </c>
      <c r="K2770" s="6">
        <v>0</v>
      </c>
      <c r="L2770" s="6">
        <v>0</v>
      </c>
      <c r="M2770" s="6">
        <v>0</v>
      </c>
      <c r="N2770" s="6" t="str">
        <f>""</f>
        <v/>
      </c>
      <c r="O2770" s="6">
        <v>24134</v>
      </c>
      <c r="P2770" s="6" t="s">
        <v>11414</v>
      </c>
      <c r="R2770" s="6" t="s">
        <v>11407</v>
      </c>
      <c r="S2770" s="6" t="s">
        <v>11415</v>
      </c>
      <c r="T2770" s="6">
        <v>0</v>
      </c>
      <c r="U2770" s="6">
        <v>0</v>
      </c>
      <c r="V2770" s="6">
        <v>0</v>
      </c>
      <c r="W2770" s="6">
        <v>0</v>
      </c>
      <c r="X2770" s="6" t="s">
        <v>169</v>
      </c>
      <c r="Z2770" s="6" t="s">
        <v>170</v>
      </c>
      <c r="AA2770" s="6" t="s">
        <v>171</v>
      </c>
      <c r="AB2770" s="6">
        <v>0</v>
      </c>
      <c r="AC2770" s="6" t="str">
        <f>""</f>
        <v/>
      </c>
      <c r="AS2770" s="6">
        <v>0</v>
      </c>
      <c r="AT2770" s="6">
        <v>0</v>
      </c>
    </row>
    <row r="2771" spans="2:46">
      <c r="B2771" s="6" t="s">
        <v>112</v>
      </c>
      <c r="D2771" s="6" t="s">
        <v>8189</v>
      </c>
      <c r="F2771" s="6" t="s">
        <v>11416</v>
      </c>
      <c r="G2771" s="6" t="str">
        <f>"atm16ut002sk"</f>
        <v>atm16ut002sk</v>
      </c>
      <c r="H2771" s="6" t="s">
        <v>11417</v>
      </c>
      <c r="I2771" s="6" t="s">
        <v>11418</v>
      </c>
      <c r="J2771" s="6" t="str">
        <f>"Stripe T-shirt"</f>
        <v>Stripe T-shirt</v>
      </c>
      <c r="K2771" s="6">
        <v>0</v>
      </c>
      <c r="L2771" s="6">
        <v>0</v>
      </c>
      <c r="M2771" s="6">
        <v>0</v>
      </c>
      <c r="N2771" s="6" t="str">
        <f>""</f>
        <v/>
      </c>
      <c r="O2771" s="6">
        <v>24132</v>
      </c>
      <c r="P2771" s="6" t="s">
        <v>11417</v>
      </c>
      <c r="R2771" s="6" t="s">
        <v>11407</v>
      </c>
      <c r="S2771" s="6" t="s">
        <v>11419</v>
      </c>
      <c r="T2771" s="6">
        <v>0</v>
      </c>
      <c r="U2771" s="6">
        <v>0</v>
      </c>
      <c r="V2771" s="6">
        <v>0</v>
      </c>
      <c r="W2771" s="6">
        <v>0</v>
      </c>
      <c r="X2771" s="6" t="s">
        <v>169</v>
      </c>
      <c r="Z2771" s="6" t="s">
        <v>170</v>
      </c>
      <c r="AA2771" s="6" t="s">
        <v>171</v>
      </c>
      <c r="AB2771" s="6">
        <v>0</v>
      </c>
      <c r="AC2771" s="6" t="str">
        <f>""</f>
        <v/>
      </c>
      <c r="AS2771" s="6">
        <v>0</v>
      </c>
      <c r="AT2771" s="6">
        <v>0</v>
      </c>
    </row>
    <row r="2772" spans="2:46">
      <c r="B2772" s="6" t="s">
        <v>112</v>
      </c>
      <c r="D2772" s="6" t="s">
        <v>8189</v>
      </c>
      <c r="F2772" s="6" t="s">
        <v>11420</v>
      </c>
      <c r="G2772" s="6" t="str">
        <f>"atm16ut001bk"</f>
        <v>atm16ut001bk</v>
      </c>
      <c r="H2772" s="6" t="s">
        <v>11421</v>
      </c>
      <c r="I2772" s="6" t="s">
        <v>11418</v>
      </c>
      <c r="J2772" s="6" t="str">
        <f>"Stripe T-shirt"</f>
        <v>Stripe T-shirt</v>
      </c>
      <c r="K2772" s="6">
        <v>0</v>
      </c>
      <c r="L2772" s="6">
        <v>0</v>
      </c>
      <c r="M2772" s="6">
        <v>0</v>
      </c>
      <c r="N2772" s="6" t="str">
        <f>""</f>
        <v/>
      </c>
      <c r="O2772" s="6">
        <v>24131</v>
      </c>
      <c r="P2772" s="6" t="s">
        <v>11421</v>
      </c>
      <c r="R2772" s="6" t="s">
        <v>2989</v>
      </c>
      <c r="S2772" s="6" t="s">
        <v>11422</v>
      </c>
      <c r="T2772" s="6">
        <v>0</v>
      </c>
      <c r="U2772" s="6">
        <v>0</v>
      </c>
      <c r="V2772" s="6">
        <v>0</v>
      </c>
      <c r="W2772" s="6">
        <v>0</v>
      </c>
      <c r="X2772" s="6" t="s">
        <v>169</v>
      </c>
      <c r="Z2772" s="6" t="s">
        <v>170</v>
      </c>
      <c r="AA2772" s="6" t="s">
        <v>171</v>
      </c>
      <c r="AB2772" s="6">
        <v>0</v>
      </c>
      <c r="AC2772" s="6" t="str">
        <f>""</f>
        <v/>
      </c>
      <c r="AS2772" s="6">
        <v>0</v>
      </c>
      <c r="AT2772" s="6">
        <v>0</v>
      </c>
    </row>
    <row r="2773" spans="2:46">
      <c r="B2773" s="6" t="s">
        <v>112</v>
      </c>
      <c r="D2773" s="6" t="s">
        <v>8189</v>
      </c>
      <c r="F2773" s="6" t="s">
        <v>11423</v>
      </c>
      <c r="G2773" s="6" t="str">
        <f>"atm17so004wt"</f>
        <v>atm17so004wt</v>
      </c>
      <c r="H2773" s="6" t="s">
        <v>11424</v>
      </c>
      <c r="I2773" s="6" t="s">
        <v>11425</v>
      </c>
      <c r="J2773" s="6" t="str">
        <f>"Belt Check Shirt"</f>
        <v>Belt Check Shirt</v>
      </c>
      <c r="K2773" s="6">
        <v>0</v>
      </c>
      <c r="L2773" s="6">
        <v>0</v>
      </c>
      <c r="M2773" s="6">
        <v>0</v>
      </c>
      <c r="N2773" s="6" t="str">
        <f>""</f>
        <v/>
      </c>
      <c r="O2773" s="6">
        <v>24129</v>
      </c>
      <c r="P2773" s="6" t="s">
        <v>11424</v>
      </c>
      <c r="R2773" s="6" t="s">
        <v>11319</v>
      </c>
      <c r="S2773" s="6" t="s">
        <v>11426</v>
      </c>
      <c r="T2773" s="6">
        <v>0</v>
      </c>
      <c r="U2773" s="6">
        <v>0</v>
      </c>
      <c r="V2773" s="6">
        <v>0</v>
      </c>
      <c r="W2773" s="6">
        <v>0</v>
      </c>
      <c r="X2773" s="6" t="s">
        <v>169</v>
      </c>
      <c r="Z2773" s="6" t="s">
        <v>170</v>
      </c>
      <c r="AA2773" s="6" t="s">
        <v>171</v>
      </c>
      <c r="AB2773" s="6">
        <v>0</v>
      </c>
      <c r="AC2773" s="6" t="str">
        <f>""</f>
        <v/>
      </c>
      <c r="AS2773" s="6">
        <v>0</v>
      </c>
      <c r="AT2773" s="6">
        <v>0</v>
      </c>
    </row>
    <row r="2774" spans="2:46">
      <c r="B2774" s="6" t="s">
        <v>112</v>
      </c>
      <c r="D2774" s="6" t="s">
        <v>8189</v>
      </c>
      <c r="F2774" s="6" t="s">
        <v>11427</v>
      </c>
      <c r="G2774" s="6" t="str">
        <f>"atm17so004bk"</f>
        <v>atm17so004bk</v>
      </c>
      <c r="H2774" s="6" t="s">
        <v>11428</v>
      </c>
      <c r="I2774" s="6" t="s">
        <v>11425</v>
      </c>
      <c r="J2774" s="6" t="str">
        <f>"Belt Check Shirt"</f>
        <v>Belt Check Shirt</v>
      </c>
      <c r="K2774" s="6">
        <v>0</v>
      </c>
      <c r="L2774" s="6">
        <v>0</v>
      </c>
      <c r="M2774" s="6">
        <v>0</v>
      </c>
      <c r="N2774" s="6" t="str">
        <f>""</f>
        <v/>
      </c>
      <c r="O2774" s="6">
        <v>24128</v>
      </c>
      <c r="P2774" s="6" t="s">
        <v>11428</v>
      </c>
      <c r="R2774" s="6" t="s">
        <v>11303</v>
      </c>
      <c r="S2774" s="6" t="s">
        <v>11429</v>
      </c>
      <c r="T2774" s="6">
        <v>0</v>
      </c>
      <c r="U2774" s="6">
        <v>0</v>
      </c>
      <c r="V2774" s="6">
        <v>0</v>
      </c>
      <c r="W2774" s="6">
        <v>0</v>
      </c>
      <c r="X2774" s="6" t="s">
        <v>169</v>
      </c>
      <c r="Z2774" s="6" t="s">
        <v>170</v>
      </c>
      <c r="AA2774" s="6" t="s">
        <v>171</v>
      </c>
      <c r="AB2774" s="6">
        <v>0</v>
      </c>
      <c r="AC2774" s="6" t="str">
        <f>""</f>
        <v/>
      </c>
      <c r="AS2774" s="6">
        <v>0</v>
      </c>
      <c r="AT2774" s="6">
        <v>0</v>
      </c>
    </row>
    <row r="2775" spans="2:46">
      <c r="B2775" s="6" t="s">
        <v>112</v>
      </c>
      <c r="D2775" s="6" t="s">
        <v>8189</v>
      </c>
      <c r="F2775" s="6" t="s">
        <v>11430</v>
      </c>
      <c r="G2775" s="6" t="str">
        <f>"atm17sa001pk"</f>
        <v>atm17sa001pk</v>
      </c>
      <c r="H2775" s="6" t="s">
        <v>11431</v>
      </c>
      <c r="I2775" s="6" t="s">
        <v>11432</v>
      </c>
      <c r="J2775" s="6" t="str">
        <f>"Label Cap"</f>
        <v>Label Cap</v>
      </c>
      <c r="K2775" s="6">
        <v>0</v>
      </c>
      <c r="L2775" s="6">
        <v>0</v>
      </c>
      <c r="M2775" s="6">
        <v>0</v>
      </c>
      <c r="N2775" s="6" t="str">
        <f>""</f>
        <v/>
      </c>
      <c r="O2775" s="6">
        <v>24126</v>
      </c>
      <c r="P2775" s="6" t="s">
        <v>11431</v>
      </c>
      <c r="R2775" s="6" t="s">
        <v>11339</v>
      </c>
      <c r="S2775" s="6" t="s">
        <v>11433</v>
      </c>
      <c r="T2775" s="6">
        <v>0</v>
      </c>
      <c r="U2775" s="6">
        <v>0</v>
      </c>
      <c r="V2775" s="6">
        <v>0</v>
      </c>
      <c r="W2775" s="6">
        <v>0</v>
      </c>
      <c r="X2775" s="6" t="s">
        <v>169</v>
      </c>
      <c r="Z2775" s="6" t="s">
        <v>170</v>
      </c>
      <c r="AA2775" s="6" t="s">
        <v>171</v>
      </c>
      <c r="AB2775" s="6">
        <v>0</v>
      </c>
      <c r="AC2775" s="6" t="str">
        <f>""</f>
        <v/>
      </c>
      <c r="AS2775" s="6">
        <v>0</v>
      </c>
      <c r="AT2775" s="6">
        <v>0</v>
      </c>
    </row>
    <row r="2776" spans="2:46">
      <c r="B2776" s="6" t="s">
        <v>112</v>
      </c>
      <c r="D2776" s="6" t="s">
        <v>8189</v>
      </c>
      <c r="F2776" s="6" t="s">
        <v>11434</v>
      </c>
      <c r="G2776" s="6" t="str">
        <f>"atm17sa001wt"</f>
        <v>atm17sa001wt</v>
      </c>
      <c r="H2776" s="6" t="s">
        <v>11435</v>
      </c>
      <c r="I2776" s="6" t="s">
        <v>11432</v>
      </c>
      <c r="J2776" s="6" t="str">
        <f>"Label Cap"</f>
        <v>Label Cap</v>
      </c>
      <c r="K2776" s="6">
        <v>0</v>
      </c>
      <c r="L2776" s="6">
        <v>0</v>
      </c>
      <c r="M2776" s="6">
        <v>0</v>
      </c>
      <c r="N2776" s="6" t="str">
        <f>""</f>
        <v/>
      </c>
      <c r="O2776" s="6">
        <v>24125</v>
      </c>
      <c r="P2776" s="6" t="s">
        <v>11435</v>
      </c>
      <c r="R2776" s="6" t="s">
        <v>11319</v>
      </c>
      <c r="S2776" s="6" t="s">
        <v>11436</v>
      </c>
      <c r="T2776" s="6">
        <v>0</v>
      </c>
      <c r="U2776" s="6">
        <v>0</v>
      </c>
      <c r="V2776" s="6">
        <v>0</v>
      </c>
      <c r="W2776" s="6">
        <v>0</v>
      </c>
      <c r="X2776" s="6" t="s">
        <v>169</v>
      </c>
      <c r="Z2776" s="6" t="s">
        <v>170</v>
      </c>
      <c r="AA2776" s="6" t="s">
        <v>171</v>
      </c>
      <c r="AB2776" s="6">
        <v>0</v>
      </c>
      <c r="AC2776" s="6" t="str">
        <f>""</f>
        <v/>
      </c>
      <c r="AS2776" s="6">
        <v>0</v>
      </c>
      <c r="AT2776" s="6">
        <v>0</v>
      </c>
    </row>
    <row r="2777" spans="2:46">
      <c r="B2777" s="6" t="s">
        <v>112</v>
      </c>
      <c r="D2777" s="6" t="s">
        <v>8189</v>
      </c>
      <c r="F2777" s="6" t="s">
        <v>11437</v>
      </c>
      <c r="G2777" s="6" t="str">
        <f>"atm17sa001bk"</f>
        <v>atm17sa001bk</v>
      </c>
      <c r="H2777" s="6" t="s">
        <v>11438</v>
      </c>
      <c r="I2777" s="6" t="s">
        <v>11432</v>
      </c>
      <c r="J2777" s="6" t="str">
        <f>"Label Cap"</f>
        <v>Label Cap</v>
      </c>
      <c r="K2777" s="6">
        <v>0</v>
      </c>
      <c r="L2777" s="6">
        <v>0</v>
      </c>
      <c r="M2777" s="6">
        <v>0</v>
      </c>
      <c r="N2777" s="6" t="str">
        <f>""</f>
        <v/>
      </c>
      <c r="O2777" s="6">
        <v>24124</v>
      </c>
      <c r="P2777" s="6" t="s">
        <v>11438</v>
      </c>
      <c r="R2777" s="6" t="s">
        <v>11303</v>
      </c>
      <c r="S2777" s="6" t="s">
        <v>11439</v>
      </c>
      <c r="T2777" s="6">
        <v>0</v>
      </c>
      <c r="U2777" s="6">
        <v>0</v>
      </c>
      <c r="V2777" s="6">
        <v>0</v>
      </c>
      <c r="W2777" s="6">
        <v>0</v>
      </c>
      <c r="X2777" s="6" t="s">
        <v>169</v>
      </c>
      <c r="Z2777" s="6" t="s">
        <v>170</v>
      </c>
      <c r="AA2777" s="6" t="s">
        <v>171</v>
      </c>
      <c r="AB2777" s="6">
        <v>0</v>
      </c>
      <c r="AC2777" s="6" t="str">
        <f>""</f>
        <v/>
      </c>
      <c r="AS2777" s="6">
        <v>0</v>
      </c>
      <c r="AT2777" s="6">
        <v>0</v>
      </c>
    </row>
    <row r="2778" spans="2:46">
      <c r="B2778" s="6" t="s">
        <v>112</v>
      </c>
      <c r="D2778" s="6" t="s">
        <v>8189</v>
      </c>
      <c r="F2778" s="6" t="s">
        <v>11440</v>
      </c>
      <c r="G2778" s="6" t="str">
        <f>"atm17sb003bkl"</f>
        <v>atm17sb003bkl</v>
      </c>
      <c r="H2778" s="6" t="s">
        <v>11441</v>
      </c>
      <c r="I2778" s="6" t="s">
        <v>11442</v>
      </c>
      <c r="J2778" s="6" t="str">
        <f>"Piping Sweatpants"</f>
        <v>Piping Sweatpants</v>
      </c>
      <c r="K2778" s="6">
        <v>0</v>
      </c>
      <c r="L2778" s="6">
        <v>0</v>
      </c>
      <c r="M2778" s="6">
        <v>0</v>
      </c>
      <c r="N2778" s="6" t="str">
        <f>""</f>
        <v/>
      </c>
      <c r="O2778" s="6">
        <v>24122</v>
      </c>
      <c r="P2778" s="6" t="s">
        <v>11441</v>
      </c>
      <c r="R2778" s="6" t="s">
        <v>1547</v>
      </c>
      <c r="S2778" s="6" t="s">
        <v>11443</v>
      </c>
      <c r="T2778" s="6">
        <v>0</v>
      </c>
      <c r="U2778" s="6">
        <v>0</v>
      </c>
      <c r="V2778" s="6">
        <v>0</v>
      </c>
      <c r="W2778" s="6">
        <v>0</v>
      </c>
      <c r="X2778" s="6" t="s">
        <v>169</v>
      </c>
      <c r="Z2778" s="6" t="s">
        <v>170</v>
      </c>
      <c r="AA2778" s="6" t="s">
        <v>171</v>
      </c>
      <c r="AB2778" s="6">
        <v>0</v>
      </c>
      <c r="AC2778" s="6" t="str">
        <f>""</f>
        <v/>
      </c>
      <c r="AS2778" s="6">
        <v>0</v>
      </c>
      <c r="AT2778" s="6">
        <v>0</v>
      </c>
    </row>
    <row r="2779" spans="2:46">
      <c r="B2779" s="6" t="s">
        <v>112</v>
      </c>
      <c r="D2779" s="6" t="s">
        <v>8189</v>
      </c>
      <c r="F2779" s="6" t="s">
        <v>11444</v>
      </c>
      <c r="G2779" s="6" t="str">
        <f>"atm17sb003bk"</f>
        <v>atm17sb003bk</v>
      </c>
      <c r="H2779" s="6" t="s">
        <v>11445</v>
      </c>
      <c r="I2779" s="6" t="s">
        <v>11442</v>
      </c>
      <c r="J2779" s="6" t="str">
        <f>"Piping Sweatpants"</f>
        <v>Piping Sweatpants</v>
      </c>
      <c r="K2779" s="6">
        <v>0</v>
      </c>
      <c r="L2779" s="6">
        <v>0</v>
      </c>
      <c r="M2779" s="6">
        <v>0</v>
      </c>
      <c r="N2779" s="6" t="str">
        <f>""</f>
        <v/>
      </c>
      <c r="O2779" s="6">
        <v>24121</v>
      </c>
      <c r="P2779" s="6" t="s">
        <v>11446</v>
      </c>
      <c r="R2779" s="6" t="s">
        <v>1551</v>
      </c>
      <c r="S2779" s="6" t="s">
        <v>11447</v>
      </c>
      <c r="T2779" s="6">
        <v>0</v>
      </c>
      <c r="U2779" s="6">
        <v>0</v>
      </c>
      <c r="V2779" s="6">
        <v>0</v>
      </c>
      <c r="W2779" s="6">
        <v>0</v>
      </c>
      <c r="X2779" s="6" t="s">
        <v>169</v>
      </c>
      <c r="Z2779" s="6" t="s">
        <v>170</v>
      </c>
      <c r="AA2779" s="6" t="s">
        <v>171</v>
      </c>
      <c r="AB2779" s="6">
        <v>0</v>
      </c>
      <c r="AC2779" s="6" t="str">
        <f>""</f>
        <v/>
      </c>
      <c r="AS2779" s="6">
        <v>0</v>
      </c>
      <c r="AT2779" s="6">
        <v>0</v>
      </c>
    </row>
    <row r="2780" spans="2:46">
      <c r="B2780" s="6" t="s">
        <v>112</v>
      </c>
      <c r="D2780" s="6" t="s">
        <v>8189</v>
      </c>
      <c r="F2780" s="6" t="s">
        <v>11448</v>
      </c>
      <c r="G2780" s="6" t="str">
        <f>"atm17sb002pkM"</f>
        <v>atm17sb002pkM</v>
      </c>
      <c r="H2780" s="6" t="s">
        <v>11449</v>
      </c>
      <c r="I2780" s="6" t="s">
        <v>11450</v>
      </c>
      <c r="J2780" s="6" t="str">
        <f>"Cotton Skirt"</f>
        <v>Cotton Skirt</v>
      </c>
      <c r="K2780" s="6">
        <v>0</v>
      </c>
      <c r="L2780" s="6">
        <v>0</v>
      </c>
      <c r="M2780" s="6">
        <v>0</v>
      </c>
      <c r="N2780" s="6" t="str">
        <f>""</f>
        <v/>
      </c>
      <c r="O2780" s="6">
        <v>24119</v>
      </c>
      <c r="P2780" s="6" t="s">
        <v>11449</v>
      </c>
      <c r="R2780" s="6" t="s">
        <v>11451</v>
      </c>
      <c r="S2780" s="6" t="s">
        <v>11452</v>
      </c>
      <c r="T2780" s="6">
        <v>0</v>
      </c>
      <c r="U2780" s="6">
        <v>0</v>
      </c>
      <c r="V2780" s="6">
        <v>0</v>
      </c>
      <c r="W2780" s="6">
        <v>0</v>
      </c>
      <c r="X2780" s="6" t="s">
        <v>169</v>
      </c>
      <c r="Z2780" s="6" t="s">
        <v>170</v>
      </c>
      <c r="AA2780" s="6" t="s">
        <v>171</v>
      </c>
      <c r="AB2780" s="6">
        <v>0</v>
      </c>
      <c r="AC2780" s="6" t="str">
        <f>""</f>
        <v/>
      </c>
      <c r="AS2780" s="6">
        <v>0</v>
      </c>
      <c r="AT2780" s="6">
        <v>0</v>
      </c>
    </row>
    <row r="2781" spans="2:46">
      <c r="B2781" s="6" t="s">
        <v>112</v>
      </c>
      <c r="D2781" s="6" t="s">
        <v>8189</v>
      </c>
      <c r="F2781" s="6" t="s">
        <v>11453</v>
      </c>
      <c r="G2781" s="6" t="str">
        <f>"atm17sb002pkS"</f>
        <v>atm17sb002pkS</v>
      </c>
      <c r="H2781" s="6" t="s">
        <v>11454</v>
      </c>
      <c r="I2781" s="6" t="s">
        <v>11450</v>
      </c>
      <c r="J2781" s="6" t="str">
        <f>"Cotton Skirt"</f>
        <v>Cotton Skirt</v>
      </c>
      <c r="K2781" s="6">
        <v>0</v>
      </c>
      <c r="L2781" s="6">
        <v>0</v>
      </c>
      <c r="M2781" s="6">
        <v>0</v>
      </c>
      <c r="N2781" s="6" t="str">
        <f>""</f>
        <v/>
      </c>
      <c r="O2781" s="6">
        <v>24118</v>
      </c>
      <c r="P2781" s="6" t="s">
        <v>11454</v>
      </c>
      <c r="R2781" s="6" t="s">
        <v>11455</v>
      </c>
      <c r="S2781" s="6" t="s">
        <v>11456</v>
      </c>
      <c r="T2781" s="6">
        <v>0</v>
      </c>
      <c r="U2781" s="6">
        <v>0</v>
      </c>
      <c r="V2781" s="6">
        <v>0</v>
      </c>
      <c r="W2781" s="6">
        <v>0</v>
      </c>
      <c r="X2781" s="6" t="s">
        <v>169</v>
      </c>
      <c r="Z2781" s="6" t="s">
        <v>170</v>
      </c>
      <c r="AA2781" s="6" t="s">
        <v>171</v>
      </c>
      <c r="AB2781" s="6">
        <v>0</v>
      </c>
      <c r="AC2781" s="6" t="str">
        <f>""</f>
        <v/>
      </c>
      <c r="AS2781" s="6">
        <v>0</v>
      </c>
      <c r="AT2781" s="6">
        <v>0</v>
      </c>
    </row>
    <row r="2782" spans="2:46">
      <c r="B2782" s="6" t="s">
        <v>112</v>
      </c>
      <c r="D2782" s="6" t="s">
        <v>8189</v>
      </c>
      <c r="F2782" s="6" t="s">
        <v>11457</v>
      </c>
      <c r="G2782" s="6" t="str">
        <f>"atm17sb002bkM"</f>
        <v>atm17sb002bkM</v>
      </c>
      <c r="H2782" s="6" t="s">
        <v>11458</v>
      </c>
      <c r="I2782" s="6" t="s">
        <v>11450</v>
      </c>
      <c r="J2782" s="6" t="str">
        <f>"Cotton Skirt"</f>
        <v>Cotton Skirt</v>
      </c>
      <c r="K2782" s="6">
        <v>0</v>
      </c>
      <c r="L2782" s="6">
        <v>0</v>
      </c>
      <c r="M2782" s="6">
        <v>0</v>
      </c>
      <c r="N2782" s="6" t="str">
        <f>""</f>
        <v/>
      </c>
      <c r="O2782" s="6">
        <v>24117</v>
      </c>
      <c r="P2782" s="6" t="s">
        <v>11458</v>
      </c>
      <c r="R2782" s="6" t="s">
        <v>1551</v>
      </c>
      <c r="S2782" s="6" t="s">
        <v>11459</v>
      </c>
      <c r="T2782" s="6">
        <v>0</v>
      </c>
      <c r="U2782" s="6">
        <v>0</v>
      </c>
      <c r="V2782" s="6">
        <v>0</v>
      </c>
      <c r="W2782" s="6">
        <v>0</v>
      </c>
      <c r="X2782" s="6" t="s">
        <v>169</v>
      </c>
      <c r="Z2782" s="6" t="s">
        <v>170</v>
      </c>
      <c r="AA2782" s="6" t="s">
        <v>171</v>
      </c>
      <c r="AB2782" s="6">
        <v>0</v>
      </c>
      <c r="AC2782" s="6" t="str">
        <f>""</f>
        <v/>
      </c>
      <c r="AS2782" s="6">
        <v>0</v>
      </c>
      <c r="AT2782" s="6">
        <v>0</v>
      </c>
    </row>
    <row r="2783" spans="2:46">
      <c r="B2783" s="6" t="s">
        <v>112</v>
      </c>
      <c r="D2783" s="6" t="s">
        <v>8189</v>
      </c>
      <c r="F2783" s="6" t="s">
        <v>11460</v>
      </c>
      <c r="G2783" s="6" t="str">
        <f>"atm17sb002bkS"</f>
        <v>atm17sb002bkS</v>
      </c>
      <c r="H2783" s="6" t="s">
        <v>11461</v>
      </c>
      <c r="I2783" s="6" t="s">
        <v>11450</v>
      </c>
      <c r="J2783" s="6" t="str">
        <f>"Cotton Skirt"</f>
        <v>Cotton Skirt</v>
      </c>
      <c r="K2783" s="6">
        <v>0</v>
      </c>
      <c r="L2783" s="6">
        <v>0</v>
      </c>
      <c r="M2783" s="6">
        <v>0</v>
      </c>
      <c r="N2783" s="6" t="str">
        <f>""</f>
        <v/>
      </c>
      <c r="O2783" s="6">
        <v>24116</v>
      </c>
      <c r="P2783" s="6" t="s">
        <v>11461</v>
      </c>
      <c r="R2783" s="6" t="s">
        <v>1555</v>
      </c>
      <c r="S2783" s="6" t="s">
        <v>11462</v>
      </c>
      <c r="T2783" s="6">
        <v>0</v>
      </c>
      <c r="U2783" s="6">
        <v>0</v>
      </c>
      <c r="V2783" s="6">
        <v>0</v>
      </c>
      <c r="W2783" s="6">
        <v>0</v>
      </c>
      <c r="X2783" s="6" t="s">
        <v>169</v>
      </c>
      <c r="Z2783" s="6" t="s">
        <v>170</v>
      </c>
      <c r="AA2783" s="6" t="s">
        <v>171</v>
      </c>
      <c r="AB2783" s="6">
        <v>0</v>
      </c>
      <c r="AC2783" s="6" t="str">
        <f>""</f>
        <v/>
      </c>
      <c r="AS2783" s="6">
        <v>0</v>
      </c>
      <c r="AT2783" s="6">
        <v>0</v>
      </c>
    </row>
    <row r="2784" spans="2:46">
      <c r="B2784" s="6" t="s">
        <v>112</v>
      </c>
      <c r="D2784" s="6" t="s">
        <v>8189</v>
      </c>
      <c r="F2784" s="6" t="s">
        <v>11463</v>
      </c>
      <c r="G2784" s="6" t="str">
        <f>"atm17st009wt"</f>
        <v>atm17st009wt</v>
      </c>
      <c r="H2784" s="6" t="s">
        <v>11464</v>
      </c>
      <c r="I2784" s="6" t="s">
        <v>11465</v>
      </c>
      <c r="J2784" s="6" t="str">
        <f>"Cash Only T-shirt"</f>
        <v>Cash Only T-shirt</v>
      </c>
      <c r="K2784" s="6">
        <v>0</v>
      </c>
      <c r="L2784" s="6">
        <v>0</v>
      </c>
      <c r="M2784" s="6">
        <v>0</v>
      </c>
      <c r="N2784" s="6" t="str">
        <f>""</f>
        <v/>
      </c>
      <c r="O2784" s="6">
        <v>24114</v>
      </c>
      <c r="P2784" s="6" t="s">
        <v>11464</v>
      </c>
      <c r="R2784" s="6" t="s">
        <v>11319</v>
      </c>
      <c r="S2784" s="6" t="s">
        <v>11466</v>
      </c>
      <c r="T2784" s="6">
        <v>0</v>
      </c>
      <c r="U2784" s="6">
        <v>0</v>
      </c>
      <c r="V2784" s="6">
        <v>0</v>
      </c>
      <c r="W2784" s="6">
        <v>0</v>
      </c>
      <c r="X2784" s="6" t="s">
        <v>169</v>
      </c>
      <c r="Z2784" s="6" t="s">
        <v>170</v>
      </c>
      <c r="AA2784" s="6" t="s">
        <v>171</v>
      </c>
      <c r="AB2784" s="6">
        <v>0</v>
      </c>
      <c r="AC2784" s="6" t="str">
        <f>""</f>
        <v/>
      </c>
      <c r="AS2784" s="6">
        <v>0</v>
      </c>
      <c r="AT2784" s="6">
        <v>0</v>
      </c>
    </row>
    <row r="2785" spans="2:46">
      <c r="B2785" s="6" t="s">
        <v>112</v>
      </c>
      <c r="D2785" s="6" t="s">
        <v>8189</v>
      </c>
      <c r="F2785" s="6" t="s">
        <v>11467</v>
      </c>
      <c r="G2785" s="6" t="str">
        <f>"atm17st009bk"</f>
        <v>atm17st009bk</v>
      </c>
      <c r="H2785" s="6" t="s">
        <v>11468</v>
      </c>
      <c r="I2785" s="6" t="s">
        <v>11465</v>
      </c>
      <c r="J2785" s="6" t="str">
        <f>"Cash Only T-shirt"</f>
        <v>Cash Only T-shirt</v>
      </c>
      <c r="K2785" s="6">
        <v>0</v>
      </c>
      <c r="L2785" s="6">
        <v>0</v>
      </c>
      <c r="M2785" s="6">
        <v>0</v>
      </c>
      <c r="N2785" s="6" t="str">
        <f>""</f>
        <v/>
      </c>
      <c r="O2785" s="6">
        <v>24113</v>
      </c>
      <c r="P2785" s="6" t="s">
        <v>11468</v>
      </c>
      <c r="R2785" s="6" t="s">
        <v>11303</v>
      </c>
      <c r="S2785" s="6" t="s">
        <v>11469</v>
      </c>
      <c r="T2785" s="6">
        <v>0</v>
      </c>
      <c r="U2785" s="6">
        <v>0</v>
      </c>
      <c r="V2785" s="6">
        <v>0</v>
      </c>
      <c r="W2785" s="6">
        <v>0</v>
      </c>
      <c r="X2785" s="6" t="s">
        <v>169</v>
      </c>
      <c r="Z2785" s="6" t="s">
        <v>170</v>
      </c>
      <c r="AA2785" s="6" t="s">
        <v>171</v>
      </c>
      <c r="AB2785" s="6">
        <v>0</v>
      </c>
      <c r="AC2785" s="6" t="str">
        <f>""</f>
        <v/>
      </c>
      <c r="AS2785" s="6">
        <v>0</v>
      </c>
      <c r="AT2785" s="6">
        <v>0</v>
      </c>
    </row>
    <row r="2786" spans="2:46">
      <c r="B2786" s="6" t="s">
        <v>112</v>
      </c>
      <c r="D2786" s="6" t="s">
        <v>8189</v>
      </c>
      <c r="F2786" s="6" t="s">
        <v>11470</v>
      </c>
      <c r="G2786" s="6" t="str">
        <f>"atm17st008pk"</f>
        <v>atm17st008pk</v>
      </c>
      <c r="H2786" s="6" t="s">
        <v>11471</v>
      </c>
      <c r="I2786" s="6" t="s">
        <v>11472</v>
      </c>
      <c r="J2786" s="6" t="str">
        <f>"2ST Sleeve T-shirt"</f>
        <v>2ST Sleeve T-shirt</v>
      </c>
      <c r="K2786" s="6">
        <v>0</v>
      </c>
      <c r="L2786" s="6">
        <v>0</v>
      </c>
      <c r="M2786" s="6">
        <v>0</v>
      </c>
      <c r="N2786" s="6" t="str">
        <f>""</f>
        <v/>
      </c>
      <c r="O2786" s="6">
        <v>24111</v>
      </c>
      <c r="P2786" s="6" t="s">
        <v>11471</v>
      </c>
      <c r="R2786" s="6" t="s">
        <v>11339</v>
      </c>
      <c r="S2786" s="6" t="s">
        <v>11473</v>
      </c>
      <c r="T2786" s="6">
        <v>0</v>
      </c>
      <c r="U2786" s="6">
        <v>0</v>
      </c>
      <c r="V2786" s="6">
        <v>0</v>
      </c>
      <c r="W2786" s="6">
        <v>0</v>
      </c>
      <c r="X2786" s="6" t="s">
        <v>169</v>
      </c>
      <c r="Z2786" s="6" t="s">
        <v>170</v>
      </c>
      <c r="AA2786" s="6" t="s">
        <v>171</v>
      </c>
      <c r="AB2786" s="6">
        <v>0</v>
      </c>
      <c r="AC2786" s="6" t="str">
        <f>""</f>
        <v/>
      </c>
      <c r="AS2786" s="6">
        <v>0</v>
      </c>
      <c r="AT2786" s="6">
        <v>0</v>
      </c>
    </row>
    <row r="2787" spans="2:46">
      <c r="B2787" s="6" t="s">
        <v>112</v>
      </c>
      <c r="D2787" s="6" t="s">
        <v>8189</v>
      </c>
      <c r="F2787" s="6" t="s">
        <v>11474</v>
      </c>
      <c r="G2787" s="6" t="str">
        <f>"atm17st008ye"</f>
        <v>atm17st008ye</v>
      </c>
      <c r="I2787" s="6" t="s">
        <v>11472</v>
      </c>
      <c r="J2787" s="6" t="str">
        <f>"2ST Sleeve T-shirt"</f>
        <v>2ST Sleeve T-shirt</v>
      </c>
      <c r="K2787" s="6">
        <v>0</v>
      </c>
      <c r="L2787" s="6">
        <v>0</v>
      </c>
      <c r="M2787" s="6">
        <v>0</v>
      </c>
      <c r="N2787" s="6" t="str">
        <f>""</f>
        <v/>
      </c>
      <c r="O2787" s="6">
        <v>24110</v>
      </c>
      <c r="P2787" s="6" t="s">
        <v>11475</v>
      </c>
      <c r="R2787" s="6" t="s">
        <v>11352</v>
      </c>
      <c r="S2787" s="6" t="s">
        <v>11476</v>
      </c>
      <c r="T2787" s="6">
        <v>1</v>
      </c>
      <c r="U2787" s="6">
        <v>0</v>
      </c>
      <c r="V2787" s="6">
        <v>0</v>
      </c>
      <c r="W2787" s="6">
        <v>0</v>
      </c>
      <c r="X2787" s="6" t="s">
        <v>169</v>
      </c>
      <c r="Z2787" s="6" t="s">
        <v>170</v>
      </c>
      <c r="AA2787" s="6" t="s">
        <v>171</v>
      </c>
      <c r="AB2787" s="6">
        <v>0</v>
      </c>
      <c r="AC2787" s="6" t="str">
        <f>"KEY-019"</f>
        <v>KEY-019</v>
      </c>
      <c r="AQ2787" s="6" t="str">
        <f>""</f>
        <v/>
      </c>
      <c r="AR2787" s="6" t="s">
        <v>1472</v>
      </c>
      <c r="AS2787" s="6">
        <v>0</v>
      </c>
      <c r="AT2787" s="6">
        <v>1</v>
      </c>
    </row>
    <row r="2788" spans="2:46">
      <c r="B2788" s="6" t="s">
        <v>112</v>
      </c>
      <c r="D2788" s="6" t="s">
        <v>8189</v>
      </c>
      <c r="F2788" s="6" t="s">
        <v>11477</v>
      </c>
      <c r="G2788" s="6" t="str">
        <f>"atm17st007wt"</f>
        <v>atm17st007wt</v>
      </c>
      <c r="H2788" s="6" t="s">
        <v>11478</v>
      </c>
      <c r="I2788" s="6" t="s">
        <v>11479</v>
      </c>
      <c r="J2788" s="6" t="str">
        <f>"ATM Sleeve T-shirt"</f>
        <v>ATM Sleeve T-shirt</v>
      </c>
      <c r="K2788" s="6">
        <v>0</v>
      </c>
      <c r="L2788" s="6">
        <v>0</v>
      </c>
      <c r="M2788" s="6">
        <v>0</v>
      </c>
      <c r="N2788" s="6" t="str">
        <f>""</f>
        <v/>
      </c>
      <c r="O2788" s="6">
        <v>24108</v>
      </c>
      <c r="P2788" s="6" t="s">
        <v>11478</v>
      </c>
      <c r="R2788" s="6" t="s">
        <v>11319</v>
      </c>
      <c r="S2788" s="6" t="s">
        <v>11480</v>
      </c>
      <c r="T2788" s="6">
        <v>0</v>
      </c>
      <c r="U2788" s="6">
        <v>0</v>
      </c>
      <c r="V2788" s="6">
        <v>0</v>
      </c>
      <c r="W2788" s="6">
        <v>0</v>
      </c>
      <c r="X2788" s="6" t="s">
        <v>169</v>
      </c>
      <c r="Z2788" s="6" t="s">
        <v>170</v>
      </c>
      <c r="AA2788" s="6" t="s">
        <v>171</v>
      </c>
      <c r="AB2788" s="6">
        <v>0</v>
      </c>
      <c r="AC2788" s="6" t="str">
        <f>""</f>
        <v/>
      </c>
      <c r="AS2788" s="6">
        <v>0</v>
      </c>
      <c r="AT2788" s="6">
        <v>0</v>
      </c>
    </row>
    <row r="2789" spans="2:46">
      <c r="B2789" s="6" t="s">
        <v>112</v>
      </c>
      <c r="D2789" s="6" t="s">
        <v>8189</v>
      </c>
      <c r="F2789" s="6" t="s">
        <v>11481</v>
      </c>
      <c r="G2789" s="6" t="str">
        <f>"atm17st007nv"</f>
        <v>atm17st007nv</v>
      </c>
      <c r="H2789" s="6" t="s">
        <v>11482</v>
      </c>
      <c r="I2789" s="6" t="s">
        <v>11479</v>
      </c>
      <c r="J2789" s="6" t="str">
        <f>"ATM Sleeve T-shirt"</f>
        <v>ATM Sleeve T-shirt</v>
      </c>
      <c r="K2789" s="6">
        <v>0</v>
      </c>
      <c r="L2789" s="6">
        <v>0</v>
      </c>
      <c r="M2789" s="6">
        <v>0</v>
      </c>
      <c r="N2789" s="6" t="str">
        <f>""</f>
        <v/>
      </c>
      <c r="O2789" s="6">
        <v>24107</v>
      </c>
      <c r="P2789" s="6" t="s">
        <v>11482</v>
      </c>
      <c r="R2789" s="6" t="s">
        <v>11483</v>
      </c>
      <c r="S2789" s="6" t="s">
        <v>11484</v>
      </c>
      <c r="T2789" s="6">
        <v>0</v>
      </c>
      <c r="U2789" s="6">
        <v>0</v>
      </c>
      <c r="V2789" s="6">
        <v>0</v>
      </c>
      <c r="W2789" s="6">
        <v>0</v>
      </c>
      <c r="X2789" s="6" t="s">
        <v>169</v>
      </c>
      <c r="Z2789" s="6" t="s">
        <v>170</v>
      </c>
      <c r="AA2789" s="6" t="s">
        <v>171</v>
      </c>
      <c r="AB2789" s="6">
        <v>0</v>
      </c>
      <c r="AC2789" s="6" t="str">
        <f>""</f>
        <v/>
      </c>
      <c r="AS2789" s="6">
        <v>0</v>
      </c>
      <c r="AT2789" s="6">
        <v>0</v>
      </c>
    </row>
    <row r="2790" spans="2:46">
      <c r="B2790" s="6" t="s">
        <v>112</v>
      </c>
      <c r="D2790" s="6" t="s">
        <v>8189</v>
      </c>
      <c r="F2790" s="6" t="s">
        <v>11485</v>
      </c>
      <c r="G2790" s="6" t="str">
        <f>"atm17st006be"</f>
        <v>atm17st006be</v>
      </c>
      <c r="H2790" s="6" t="s">
        <v>11486</v>
      </c>
      <c r="I2790" s="6" t="s">
        <v>11487</v>
      </c>
      <c r="J2790" s="6" t="str">
        <f>"Crop Sweatshirt"</f>
        <v>Crop Sweatshirt</v>
      </c>
      <c r="K2790" s="6">
        <v>0</v>
      </c>
      <c r="L2790" s="6">
        <v>0</v>
      </c>
      <c r="M2790" s="6">
        <v>0</v>
      </c>
      <c r="N2790" s="6" t="str">
        <f>""</f>
        <v/>
      </c>
      <c r="O2790" s="6">
        <v>24105</v>
      </c>
      <c r="P2790" s="6" t="s">
        <v>11486</v>
      </c>
      <c r="R2790" s="6" t="s">
        <v>11315</v>
      </c>
      <c r="S2790" s="6" t="s">
        <v>11488</v>
      </c>
      <c r="T2790" s="6">
        <v>0</v>
      </c>
      <c r="U2790" s="6">
        <v>0</v>
      </c>
      <c r="V2790" s="6">
        <v>0</v>
      </c>
      <c r="W2790" s="6">
        <v>0</v>
      </c>
      <c r="X2790" s="6" t="s">
        <v>169</v>
      </c>
      <c r="Z2790" s="6" t="s">
        <v>170</v>
      </c>
      <c r="AA2790" s="6" t="s">
        <v>171</v>
      </c>
      <c r="AB2790" s="6">
        <v>0</v>
      </c>
      <c r="AC2790" s="6" t="str">
        <f>""</f>
        <v/>
      </c>
      <c r="AS2790" s="6">
        <v>0</v>
      </c>
      <c r="AT2790" s="6">
        <v>0</v>
      </c>
    </row>
    <row r="2791" spans="2:46">
      <c r="B2791" s="6" t="s">
        <v>112</v>
      </c>
      <c r="D2791" s="6" t="s">
        <v>8189</v>
      </c>
      <c r="F2791" s="6" t="s">
        <v>11489</v>
      </c>
      <c r="G2791" s="6" t="str">
        <f>"atm17st006nv"</f>
        <v>atm17st006nv</v>
      </c>
      <c r="H2791" s="6" t="s">
        <v>11490</v>
      </c>
      <c r="I2791" s="6" t="s">
        <v>11487</v>
      </c>
      <c r="J2791" s="6" t="str">
        <f>"Crop Sweatshirt"</f>
        <v>Crop Sweatshirt</v>
      </c>
      <c r="K2791" s="6">
        <v>0</v>
      </c>
      <c r="L2791" s="6">
        <v>0</v>
      </c>
      <c r="M2791" s="6">
        <v>0</v>
      </c>
      <c r="N2791" s="6" t="str">
        <f>""</f>
        <v/>
      </c>
      <c r="O2791" s="6">
        <v>24104</v>
      </c>
      <c r="P2791" s="6" t="s">
        <v>11490</v>
      </c>
      <c r="R2791" s="6" t="s">
        <v>11483</v>
      </c>
      <c r="S2791" s="6" t="s">
        <v>11491</v>
      </c>
      <c r="T2791" s="6">
        <v>0</v>
      </c>
      <c r="U2791" s="6">
        <v>0</v>
      </c>
      <c r="V2791" s="6">
        <v>0</v>
      </c>
      <c r="W2791" s="6">
        <v>0</v>
      </c>
      <c r="X2791" s="6" t="s">
        <v>169</v>
      </c>
      <c r="Z2791" s="6" t="s">
        <v>170</v>
      </c>
      <c r="AA2791" s="6" t="s">
        <v>171</v>
      </c>
      <c r="AB2791" s="6">
        <v>0</v>
      </c>
      <c r="AC2791" s="6" t="str">
        <f>""</f>
        <v/>
      </c>
      <c r="AS2791" s="6">
        <v>0</v>
      </c>
      <c r="AT2791" s="6">
        <v>0</v>
      </c>
    </row>
    <row r="2792" spans="2:46">
      <c r="B2792" s="6" t="s">
        <v>112</v>
      </c>
      <c r="D2792" s="6" t="s">
        <v>8189</v>
      </c>
      <c r="F2792" s="6" t="s">
        <v>11492</v>
      </c>
      <c r="G2792" s="6" t="str">
        <f>"atm17st005ye"</f>
        <v>atm17st005ye</v>
      </c>
      <c r="H2792" s="6" t="s">
        <v>11493</v>
      </c>
      <c r="I2792" s="6" t="s">
        <v>11494</v>
      </c>
      <c r="J2792" s="6" t="str">
        <f>"Pocket Sweatshirt"</f>
        <v>Pocket Sweatshirt</v>
      </c>
      <c r="K2792" s="6">
        <v>0</v>
      </c>
      <c r="L2792" s="6">
        <v>0</v>
      </c>
      <c r="M2792" s="6">
        <v>0</v>
      </c>
      <c r="N2792" s="6" t="str">
        <f>""</f>
        <v/>
      </c>
      <c r="O2792" s="6">
        <v>24102</v>
      </c>
      <c r="P2792" s="6" t="s">
        <v>11493</v>
      </c>
      <c r="R2792" s="6" t="s">
        <v>11352</v>
      </c>
      <c r="S2792" s="6" t="s">
        <v>11495</v>
      </c>
      <c r="T2792" s="6">
        <v>0</v>
      </c>
      <c r="U2792" s="6">
        <v>0</v>
      </c>
      <c r="V2792" s="6">
        <v>0</v>
      </c>
      <c r="W2792" s="6">
        <v>0</v>
      </c>
      <c r="X2792" s="6" t="s">
        <v>169</v>
      </c>
      <c r="Z2792" s="6" t="s">
        <v>170</v>
      </c>
      <c r="AA2792" s="6" t="s">
        <v>171</v>
      </c>
      <c r="AB2792" s="6">
        <v>0</v>
      </c>
      <c r="AC2792" s="6" t="str">
        <f>""</f>
        <v/>
      </c>
      <c r="AS2792" s="6">
        <v>0</v>
      </c>
      <c r="AT2792" s="6">
        <v>0</v>
      </c>
    </row>
    <row r="2793" spans="2:46">
      <c r="B2793" s="6" t="s">
        <v>112</v>
      </c>
      <c r="D2793" s="6" t="s">
        <v>8189</v>
      </c>
      <c r="F2793" s="6" t="s">
        <v>11496</v>
      </c>
      <c r="G2793" s="6" t="str">
        <f>"atm17st005bk"</f>
        <v>atm17st005bk</v>
      </c>
      <c r="H2793" s="6" t="s">
        <v>11497</v>
      </c>
      <c r="I2793" s="6" t="s">
        <v>11494</v>
      </c>
      <c r="J2793" s="6" t="str">
        <f>"Pocket Sweatshirt"</f>
        <v>Pocket Sweatshirt</v>
      </c>
      <c r="K2793" s="6">
        <v>0</v>
      </c>
      <c r="L2793" s="6">
        <v>0</v>
      </c>
      <c r="M2793" s="6">
        <v>0</v>
      </c>
      <c r="N2793" s="6" t="str">
        <f>""</f>
        <v/>
      </c>
      <c r="O2793" s="6">
        <v>24101</v>
      </c>
      <c r="P2793" s="6" t="s">
        <v>11497</v>
      </c>
      <c r="R2793" s="6" t="s">
        <v>11303</v>
      </c>
      <c r="S2793" s="6" t="s">
        <v>11498</v>
      </c>
      <c r="T2793" s="6">
        <v>0</v>
      </c>
      <c r="U2793" s="6">
        <v>0</v>
      </c>
      <c r="V2793" s="6">
        <v>0</v>
      </c>
      <c r="W2793" s="6">
        <v>0</v>
      </c>
      <c r="X2793" s="6" t="s">
        <v>169</v>
      </c>
      <c r="Z2793" s="6" t="s">
        <v>170</v>
      </c>
      <c r="AA2793" s="6" t="s">
        <v>171</v>
      </c>
      <c r="AB2793" s="6">
        <v>0</v>
      </c>
      <c r="AC2793" s="6" t="str">
        <f>""</f>
        <v/>
      </c>
      <c r="AS2793" s="6">
        <v>0</v>
      </c>
      <c r="AT2793" s="6">
        <v>0</v>
      </c>
    </row>
    <row r="2794" spans="2:46">
      <c r="B2794" s="6" t="s">
        <v>112</v>
      </c>
      <c r="D2794" s="6" t="s">
        <v>8189</v>
      </c>
      <c r="F2794" s="6" t="s">
        <v>11499</v>
      </c>
      <c r="G2794" s="6" t="str">
        <f>"atm17st004gr"</f>
        <v>atm17st004gr</v>
      </c>
      <c r="H2794" s="6" t="s">
        <v>11500</v>
      </c>
      <c r="I2794" s="6" t="s">
        <v>11501</v>
      </c>
      <c r="J2794" s="6" t="str">
        <f>"Bank Sweatshirt"</f>
        <v>Bank Sweatshirt</v>
      </c>
      <c r="K2794" s="6">
        <v>0</v>
      </c>
      <c r="L2794" s="6">
        <v>0</v>
      </c>
      <c r="M2794" s="6">
        <v>0</v>
      </c>
      <c r="N2794" s="6" t="str">
        <f>""</f>
        <v/>
      </c>
      <c r="O2794" s="6">
        <v>24099</v>
      </c>
      <c r="P2794" s="6" t="s">
        <v>11502</v>
      </c>
      <c r="R2794" s="6" t="s">
        <v>11503</v>
      </c>
      <c r="S2794" s="6" t="s">
        <v>11504</v>
      </c>
      <c r="T2794" s="6">
        <v>0</v>
      </c>
      <c r="U2794" s="6">
        <v>0</v>
      </c>
      <c r="V2794" s="6">
        <v>0</v>
      </c>
      <c r="W2794" s="6">
        <v>0</v>
      </c>
      <c r="X2794" s="6" t="s">
        <v>169</v>
      </c>
      <c r="Z2794" s="6" t="s">
        <v>170</v>
      </c>
      <c r="AA2794" s="6" t="s">
        <v>171</v>
      </c>
      <c r="AB2794" s="6">
        <v>0</v>
      </c>
      <c r="AC2794" s="6" t="str">
        <f>""</f>
        <v/>
      </c>
      <c r="AS2794" s="6">
        <v>0</v>
      </c>
      <c r="AT2794" s="6">
        <v>0</v>
      </c>
    </row>
    <row r="2795" spans="2:46">
      <c r="B2795" s="6" t="s">
        <v>112</v>
      </c>
      <c r="D2795" s="6" t="s">
        <v>8189</v>
      </c>
      <c r="F2795" s="6" t="s">
        <v>11505</v>
      </c>
      <c r="G2795" s="6" t="str">
        <f>"atm17st004bk"</f>
        <v>atm17st004bk</v>
      </c>
      <c r="H2795" s="6" t="s">
        <v>11506</v>
      </c>
      <c r="I2795" s="6" t="s">
        <v>11501</v>
      </c>
      <c r="J2795" s="6" t="str">
        <f>"Bank Sweatshirt"</f>
        <v>Bank Sweatshirt</v>
      </c>
      <c r="K2795" s="6">
        <v>0</v>
      </c>
      <c r="L2795" s="6">
        <v>0</v>
      </c>
      <c r="M2795" s="6">
        <v>0</v>
      </c>
      <c r="N2795" s="6" t="str">
        <f>""</f>
        <v/>
      </c>
      <c r="O2795" s="6">
        <v>24098</v>
      </c>
      <c r="P2795" s="6" t="s">
        <v>11506</v>
      </c>
      <c r="R2795" s="6" t="s">
        <v>11303</v>
      </c>
      <c r="S2795" s="6" t="s">
        <v>11507</v>
      </c>
      <c r="T2795" s="6">
        <v>0</v>
      </c>
      <c r="U2795" s="6">
        <v>0</v>
      </c>
      <c r="V2795" s="6">
        <v>0</v>
      </c>
      <c r="W2795" s="6">
        <v>0</v>
      </c>
      <c r="X2795" s="6" t="s">
        <v>169</v>
      </c>
      <c r="Z2795" s="6" t="s">
        <v>170</v>
      </c>
      <c r="AA2795" s="6" t="s">
        <v>171</v>
      </c>
      <c r="AB2795" s="6">
        <v>0</v>
      </c>
      <c r="AC2795" s="6" t="str">
        <f>""</f>
        <v/>
      </c>
      <c r="AS2795" s="6">
        <v>0</v>
      </c>
      <c r="AT2795" s="6">
        <v>0</v>
      </c>
    </row>
    <row r="2796" spans="2:46">
      <c r="B2796" s="6" t="s">
        <v>112</v>
      </c>
      <c r="D2796" s="6" t="s">
        <v>8189</v>
      </c>
      <c r="F2796" s="6" t="s">
        <v>11508</v>
      </c>
      <c r="G2796" s="6" t="str">
        <f>"atm17st003wt"</f>
        <v>atm17st003wt</v>
      </c>
      <c r="H2796" s="6" t="s">
        <v>11509</v>
      </c>
      <c r="I2796" s="6" t="s">
        <v>11510</v>
      </c>
      <c r="J2796" s="6" t="str">
        <f>"Guard Sweatshirt"</f>
        <v>Guard Sweatshirt</v>
      </c>
      <c r="K2796" s="6">
        <v>0</v>
      </c>
      <c r="L2796" s="6">
        <v>0</v>
      </c>
      <c r="M2796" s="6">
        <v>0</v>
      </c>
      <c r="N2796" s="6" t="str">
        <f>""</f>
        <v/>
      </c>
      <c r="O2796" s="6">
        <v>24096</v>
      </c>
      <c r="P2796" s="6" t="s">
        <v>11509</v>
      </c>
      <c r="R2796" s="6" t="s">
        <v>11319</v>
      </c>
      <c r="S2796" s="6" t="s">
        <v>11511</v>
      </c>
      <c r="T2796" s="6">
        <v>0</v>
      </c>
      <c r="U2796" s="6">
        <v>0</v>
      </c>
      <c r="V2796" s="6">
        <v>0</v>
      </c>
      <c r="W2796" s="6">
        <v>0</v>
      </c>
      <c r="X2796" s="6" t="s">
        <v>169</v>
      </c>
      <c r="Z2796" s="6" t="s">
        <v>170</v>
      </c>
      <c r="AA2796" s="6" t="s">
        <v>171</v>
      </c>
      <c r="AB2796" s="6">
        <v>0</v>
      </c>
      <c r="AC2796" s="6" t="str">
        <f>""</f>
        <v/>
      </c>
      <c r="AS2796" s="6">
        <v>0</v>
      </c>
      <c r="AT2796" s="6">
        <v>0</v>
      </c>
    </row>
    <row r="2797" spans="2:46">
      <c r="B2797" s="6" t="s">
        <v>112</v>
      </c>
      <c r="D2797" s="6" t="s">
        <v>8189</v>
      </c>
      <c r="F2797" s="6" t="s">
        <v>11512</v>
      </c>
      <c r="G2797" s="6" t="str">
        <f>"atm17st003bk"</f>
        <v>atm17st003bk</v>
      </c>
      <c r="H2797" s="6" t="s">
        <v>11513</v>
      </c>
      <c r="I2797" s="6" t="s">
        <v>11510</v>
      </c>
      <c r="J2797" s="6" t="str">
        <f>"Guard Sweatshirt"</f>
        <v>Guard Sweatshirt</v>
      </c>
      <c r="K2797" s="6">
        <v>0</v>
      </c>
      <c r="L2797" s="6">
        <v>0</v>
      </c>
      <c r="M2797" s="6">
        <v>0</v>
      </c>
      <c r="N2797" s="6" t="str">
        <f>""</f>
        <v/>
      </c>
      <c r="O2797" s="6">
        <v>24095</v>
      </c>
      <c r="P2797" s="6" t="s">
        <v>11513</v>
      </c>
      <c r="R2797" s="6" t="s">
        <v>11303</v>
      </c>
      <c r="S2797" s="6" t="s">
        <v>11514</v>
      </c>
      <c r="T2797" s="6">
        <v>0</v>
      </c>
      <c r="U2797" s="6">
        <v>0</v>
      </c>
      <c r="V2797" s="6">
        <v>0</v>
      </c>
      <c r="W2797" s="6">
        <v>0</v>
      </c>
      <c r="X2797" s="6" t="s">
        <v>169</v>
      </c>
      <c r="Z2797" s="6" t="s">
        <v>170</v>
      </c>
      <c r="AA2797" s="6" t="s">
        <v>171</v>
      </c>
      <c r="AB2797" s="6">
        <v>0</v>
      </c>
      <c r="AC2797" s="6" t="str">
        <f>""</f>
        <v/>
      </c>
      <c r="AS2797" s="6">
        <v>0</v>
      </c>
      <c r="AT2797" s="6">
        <v>0</v>
      </c>
    </row>
    <row r="2798" spans="2:46">
      <c r="B2798" s="6" t="s">
        <v>112</v>
      </c>
      <c r="D2798" s="6" t="s">
        <v>8189</v>
      </c>
      <c r="F2798" s="6" t="s">
        <v>11515</v>
      </c>
      <c r="G2798" s="6" t="str">
        <f>"atm17st002gr"</f>
        <v>atm17st002gr</v>
      </c>
      <c r="H2798" s="6" t="s">
        <v>11516</v>
      </c>
      <c r="I2798" s="6" t="s">
        <v>11517</v>
      </c>
      <c r="J2798" s="6" t="str">
        <f>"Zip-up Hoodie"</f>
        <v>Zip-up Hoodie</v>
      </c>
      <c r="K2798" s="6">
        <v>0</v>
      </c>
      <c r="L2798" s="6">
        <v>0</v>
      </c>
      <c r="M2798" s="6">
        <v>0</v>
      </c>
      <c r="N2798" s="6" t="str">
        <f>""</f>
        <v/>
      </c>
      <c r="O2798" s="6">
        <v>24093</v>
      </c>
      <c r="P2798" s="6" t="s">
        <v>11518</v>
      </c>
      <c r="R2798" s="6" t="s">
        <v>11503</v>
      </c>
      <c r="S2798" s="6" t="s">
        <v>11519</v>
      </c>
      <c r="T2798" s="6">
        <v>0</v>
      </c>
      <c r="U2798" s="6">
        <v>0</v>
      </c>
      <c r="V2798" s="6">
        <v>0</v>
      </c>
      <c r="W2798" s="6">
        <v>0</v>
      </c>
      <c r="X2798" s="6" t="s">
        <v>169</v>
      </c>
      <c r="Z2798" s="6" t="s">
        <v>170</v>
      </c>
      <c r="AA2798" s="6" t="s">
        <v>171</v>
      </c>
      <c r="AB2798" s="6">
        <v>0</v>
      </c>
      <c r="AC2798" s="6" t="str">
        <f>""</f>
        <v/>
      </c>
      <c r="AS2798" s="6">
        <v>0</v>
      </c>
      <c r="AT2798" s="6">
        <v>0</v>
      </c>
    </row>
    <row r="2799" spans="2:46">
      <c r="B2799" s="6" t="s">
        <v>112</v>
      </c>
      <c r="D2799" s="6" t="s">
        <v>8189</v>
      </c>
      <c r="F2799" s="6" t="s">
        <v>11520</v>
      </c>
      <c r="G2799" s="6" t="str">
        <f>"atm17st002bk"</f>
        <v>atm17st002bk</v>
      </c>
      <c r="H2799" s="6" t="s">
        <v>11521</v>
      </c>
      <c r="I2799" s="6" t="s">
        <v>11517</v>
      </c>
      <c r="J2799" s="6" t="str">
        <f>"Zip-up Hoodie"</f>
        <v>Zip-up Hoodie</v>
      </c>
      <c r="K2799" s="6">
        <v>0</v>
      </c>
      <c r="L2799" s="6">
        <v>0</v>
      </c>
      <c r="M2799" s="6">
        <v>0</v>
      </c>
      <c r="N2799" s="6" t="str">
        <f>""</f>
        <v/>
      </c>
      <c r="O2799" s="6">
        <v>24092</v>
      </c>
      <c r="P2799" s="6" t="s">
        <v>11521</v>
      </c>
      <c r="R2799" s="6" t="s">
        <v>11303</v>
      </c>
      <c r="S2799" s="6" t="s">
        <v>11522</v>
      </c>
      <c r="T2799" s="6">
        <v>0</v>
      </c>
      <c r="U2799" s="6">
        <v>0</v>
      </c>
      <c r="V2799" s="6">
        <v>0</v>
      </c>
      <c r="W2799" s="6">
        <v>0</v>
      </c>
      <c r="X2799" s="6" t="s">
        <v>169</v>
      </c>
      <c r="Z2799" s="6" t="s">
        <v>170</v>
      </c>
      <c r="AA2799" s="6" t="s">
        <v>171</v>
      </c>
      <c r="AB2799" s="6">
        <v>0</v>
      </c>
      <c r="AC2799" s="6" t="str">
        <f>""</f>
        <v/>
      </c>
      <c r="AS2799" s="6">
        <v>0</v>
      </c>
      <c r="AT2799" s="6">
        <v>0</v>
      </c>
    </row>
    <row r="2800" spans="2:46">
      <c r="B2800" s="6" t="s">
        <v>112</v>
      </c>
      <c r="D2800" s="6" t="s">
        <v>8189</v>
      </c>
      <c r="F2800" s="6" t="s">
        <v>11523</v>
      </c>
      <c r="G2800" s="6" t="str">
        <f>"atm17st001gr"</f>
        <v>atm17st001gr</v>
      </c>
      <c r="H2800" s="6" t="s">
        <v>11524</v>
      </c>
      <c r="I2800" s="6" t="s">
        <v>11525</v>
      </c>
      <c r="J2800" s="6" t="str">
        <f>"ATM Hoodie"</f>
        <v>ATM Hoodie</v>
      </c>
      <c r="K2800" s="6">
        <v>0</v>
      </c>
      <c r="L2800" s="6">
        <v>0</v>
      </c>
      <c r="M2800" s="6">
        <v>0</v>
      </c>
      <c r="N2800" s="6" t="str">
        <f>""</f>
        <v/>
      </c>
      <c r="O2800" s="6">
        <v>24090</v>
      </c>
      <c r="P2800" s="6" t="s">
        <v>11526</v>
      </c>
      <c r="R2800" s="6" t="s">
        <v>11503</v>
      </c>
      <c r="S2800" s="6" t="s">
        <v>11527</v>
      </c>
      <c r="T2800" s="6">
        <v>0</v>
      </c>
      <c r="U2800" s="6">
        <v>0</v>
      </c>
      <c r="V2800" s="6">
        <v>0</v>
      </c>
      <c r="W2800" s="6">
        <v>0</v>
      </c>
      <c r="X2800" s="6" t="s">
        <v>169</v>
      </c>
      <c r="Z2800" s="6" t="s">
        <v>170</v>
      </c>
      <c r="AA2800" s="6" t="s">
        <v>171</v>
      </c>
      <c r="AB2800" s="6">
        <v>0</v>
      </c>
      <c r="AC2800" s="6" t="str">
        <f>""</f>
        <v/>
      </c>
      <c r="AS2800" s="6">
        <v>0</v>
      </c>
      <c r="AT2800" s="6">
        <v>0</v>
      </c>
    </row>
    <row r="2801" spans="2:46">
      <c r="B2801" s="6" t="s">
        <v>112</v>
      </c>
      <c r="D2801" s="6" t="s">
        <v>8189</v>
      </c>
      <c r="F2801" s="6" t="s">
        <v>11528</v>
      </c>
      <c r="G2801" s="6" t="str">
        <f>"atm17st001bk"</f>
        <v>atm17st001bk</v>
      </c>
      <c r="H2801" s="6" t="s">
        <v>11529</v>
      </c>
      <c r="I2801" s="6" t="s">
        <v>11525</v>
      </c>
      <c r="J2801" s="6" t="str">
        <f>"ATM Hoodie"</f>
        <v>ATM Hoodie</v>
      </c>
      <c r="K2801" s="6">
        <v>0</v>
      </c>
      <c r="L2801" s="6">
        <v>0</v>
      </c>
      <c r="M2801" s="6">
        <v>0</v>
      </c>
      <c r="N2801" s="6" t="str">
        <f>""</f>
        <v/>
      </c>
      <c r="O2801" s="6">
        <v>24089</v>
      </c>
      <c r="P2801" s="6" t="s">
        <v>11529</v>
      </c>
      <c r="R2801" s="6" t="s">
        <v>11303</v>
      </c>
      <c r="S2801" s="6" t="s">
        <v>11530</v>
      </c>
      <c r="T2801" s="6">
        <v>0</v>
      </c>
      <c r="U2801" s="6">
        <v>0</v>
      </c>
      <c r="V2801" s="6">
        <v>0</v>
      </c>
      <c r="W2801" s="6">
        <v>0</v>
      </c>
      <c r="X2801" s="6" t="s">
        <v>169</v>
      </c>
      <c r="Z2801" s="6" t="s">
        <v>170</v>
      </c>
      <c r="AA2801" s="6" t="s">
        <v>171</v>
      </c>
      <c r="AB2801" s="6">
        <v>0</v>
      </c>
      <c r="AC2801" s="6" t="str">
        <f>""</f>
        <v/>
      </c>
      <c r="AS2801" s="6">
        <v>0</v>
      </c>
      <c r="AT2801" s="6">
        <v>0</v>
      </c>
    </row>
    <row r="2802" spans="2:46">
      <c r="B2802" s="6" t="s">
        <v>112</v>
      </c>
      <c r="D2802" s="6" t="s">
        <v>8189</v>
      </c>
      <c r="F2802" s="6" t="s">
        <v>11531</v>
      </c>
      <c r="G2802" s="6" t="str">
        <f>"atm16wt006cr"</f>
        <v>atm16wt006cr</v>
      </c>
      <c r="H2802" s="6" t="s">
        <v>11532</v>
      </c>
      <c r="I2802" s="6" t="s">
        <v>11533</v>
      </c>
      <c r="J2802" s="6" t="str">
        <f>"Poodle Hoodie"</f>
        <v>Poodle Hoodie</v>
      </c>
      <c r="K2802" s="6">
        <v>0</v>
      </c>
      <c r="L2802" s="6">
        <v>0</v>
      </c>
      <c r="M2802" s="6">
        <v>0</v>
      </c>
      <c r="N2802" s="6" t="str">
        <f>""</f>
        <v/>
      </c>
      <c r="O2802" s="6">
        <v>24086</v>
      </c>
      <c r="P2802" s="6" t="s">
        <v>11532</v>
      </c>
      <c r="R2802" s="6" t="s">
        <v>11534</v>
      </c>
      <c r="S2802" s="6" t="s">
        <v>11535</v>
      </c>
      <c r="T2802" s="6">
        <v>0</v>
      </c>
      <c r="U2802" s="6">
        <v>0</v>
      </c>
      <c r="V2802" s="6">
        <v>0</v>
      </c>
      <c r="W2802" s="6">
        <v>0</v>
      </c>
      <c r="X2802" s="6" t="s">
        <v>169</v>
      </c>
      <c r="Z2802" s="6" t="s">
        <v>170</v>
      </c>
      <c r="AA2802" s="6" t="s">
        <v>171</v>
      </c>
      <c r="AB2802" s="6">
        <v>0</v>
      </c>
      <c r="AC2802" s="6" t="str">
        <f>""</f>
        <v/>
      </c>
      <c r="AS2802" s="6">
        <v>0</v>
      </c>
      <c r="AT2802" s="6">
        <v>0</v>
      </c>
    </row>
    <row r="2803" spans="2:46">
      <c r="B2803" s="6" t="s">
        <v>112</v>
      </c>
      <c r="D2803" s="6" t="s">
        <v>8189</v>
      </c>
      <c r="F2803" s="6" t="s">
        <v>11536</v>
      </c>
      <c r="G2803" s="6" t="str">
        <f>"atm16wt006bk"</f>
        <v>atm16wt006bk</v>
      </c>
      <c r="H2803" s="6" t="s">
        <v>11537</v>
      </c>
      <c r="I2803" s="6" t="s">
        <v>11533</v>
      </c>
      <c r="J2803" s="6" t="str">
        <f>"Poodle Hoodie"</f>
        <v>Poodle Hoodie</v>
      </c>
      <c r="K2803" s="6">
        <v>0</v>
      </c>
      <c r="L2803" s="6">
        <v>0</v>
      </c>
      <c r="M2803" s="6">
        <v>0</v>
      </c>
      <c r="N2803" s="6" t="str">
        <f>""</f>
        <v/>
      </c>
      <c r="O2803" s="6">
        <v>24085</v>
      </c>
      <c r="P2803" s="6" t="s">
        <v>11537</v>
      </c>
      <c r="R2803" s="6" t="s">
        <v>2989</v>
      </c>
      <c r="S2803" s="6" t="s">
        <v>11538</v>
      </c>
      <c r="T2803" s="6">
        <v>0</v>
      </c>
      <c r="U2803" s="6">
        <v>0</v>
      </c>
      <c r="V2803" s="6">
        <v>0</v>
      </c>
      <c r="W2803" s="6">
        <v>0</v>
      </c>
      <c r="X2803" s="6" t="s">
        <v>169</v>
      </c>
      <c r="Z2803" s="6" t="s">
        <v>170</v>
      </c>
      <c r="AA2803" s="6" t="s">
        <v>171</v>
      </c>
      <c r="AB2803" s="6">
        <v>0</v>
      </c>
      <c r="AC2803" s="6" t="str">
        <f>""</f>
        <v/>
      </c>
      <c r="AS2803" s="6">
        <v>0</v>
      </c>
      <c r="AT2803" s="6">
        <v>0</v>
      </c>
    </row>
    <row r="2804" spans="2:46">
      <c r="B2804" s="6" t="s">
        <v>112</v>
      </c>
      <c r="D2804" s="6" t="s">
        <v>8189</v>
      </c>
      <c r="F2804" s="6" t="s">
        <v>11539</v>
      </c>
      <c r="G2804" s="6" t="str">
        <f>"atm16wt005nv"</f>
        <v>atm16wt005nv</v>
      </c>
      <c r="H2804" s="6" t="s">
        <v>11540</v>
      </c>
      <c r="I2804" s="6" t="s">
        <v>11541</v>
      </c>
      <c r="J2804" s="6" t="str">
        <f>"Zipper Sweatshirt"</f>
        <v>Zipper Sweatshirt</v>
      </c>
      <c r="K2804" s="6">
        <v>0</v>
      </c>
      <c r="L2804" s="6">
        <v>0</v>
      </c>
      <c r="M2804" s="6">
        <v>0</v>
      </c>
      <c r="N2804" s="6" t="str">
        <f>""</f>
        <v/>
      </c>
      <c r="O2804" s="6">
        <v>24087</v>
      </c>
      <c r="P2804" s="6" t="s">
        <v>11540</v>
      </c>
      <c r="R2804" s="6" t="s">
        <v>2943</v>
      </c>
      <c r="S2804" s="6" t="s">
        <v>11542</v>
      </c>
      <c r="T2804" s="6">
        <v>0</v>
      </c>
      <c r="U2804" s="6">
        <v>0</v>
      </c>
      <c r="V2804" s="6">
        <v>0</v>
      </c>
      <c r="W2804" s="6">
        <v>0</v>
      </c>
      <c r="X2804" s="6" t="s">
        <v>169</v>
      </c>
      <c r="Z2804" s="6" t="s">
        <v>170</v>
      </c>
      <c r="AA2804" s="6" t="s">
        <v>171</v>
      </c>
      <c r="AB2804" s="6">
        <v>0</v>
      </c>
      <c r="AC2804" s="6" t="str">
        <f>""</f>
        <v/>
      </c>
      <c r="AS2804" s="6">
        <v>0</v>
      </c>
      <c r="AT2804" s="6">
        <v>0</v>
      </c>
    </row>
    <row r="2805" spans="2:46">
      <c r="B2805" s="6" t="s">
        <v>112</v>
      </c>
      <c r="D2805" s="6" t="s">
        <v>8189</v>
      </c>
      <c r="F2805" s="6" t="s">
        <v>11543</v>
      </c>
      <c r="G2805" s="6" t="str">
        <f>"atm16wt005bk"</f>
        <v>atm16wt005bk</v>
      </c>
      <c r="H2805" s="6" t="s">
        <v>11544</v>
      </c>
      <c r="I2805" s="6" t="s">
        <v>11541</v>
      </c>
      <c r="J2805" s="6" t="str">
        <f>"Zipper Sweatshirt"</f>
        <v>Zipper Sweatshirt</v>
      </c>
      <c r="K2805" s="6">
        <v>0</v>
      </c>
      <c r="L2805" s="6">
        <v>0</v>
      </c>
      <c r="M2805" s="6">
        <v>0</v>
      </c>
      <c r="N2805" s="6" t="str">
        <f>""</f>
        <v/>
      </c>
      <c r="O2805" s="6">
        <v>24083</v>
      </c>
      <c r="P2805" s="6" t="s">
        <v>11544</v>
      </c>
      <c r="R2805" s="6" t="s">
        <v>2989</v>
      </c>
      <c r="S2805" s="6" t="s">
        <v>11545</v>
      </c>
      <c r="T2805" s="6">
        <v>0</v>
      </c>
      <c r="U2805" s="6">
        <v>0</v>
      </c>
      <c r="V2805" s="6">
        <v>0</v>
      </c>
      <c r="W2805" s="6">
        <v>0</v>
      </c>
      <c r="X2805" s="6" t="s">
        <v>169</v>
      </c>
      <c r="Z2805" s="6" t="s">
        <v>170</v>
      </c>
      <c r="AA2805" s="6" t="s">
        <v>171</v>
      </c>
      <c r="AB2805" s="6">
        <v>0</v>
      </c>
      <c r="AC2805" s="6" t="str">
        <f>""</f>
        <v/>
      </c>
      <c r="AS2805" s="6">
        <v>0</v>
      </c>
      <c r="AT2805" s="6">
        <v>1</v>
      </c>
    </row>
    <row r="2806" spans="2:46">
      <c r="B2806" s="6" t="s">
        <v>112</v>
      </c>
      <c r="D2806" s="6" t="s">
        <v>8189</v>
      </c>
      <c r="F2806" s="6" t="s">
        <v>11546</v>
      </c>
      <c r="G2806" s="6" t="str">
        <f>"atm16wt004gr"</f>
        <v>atm16wt004gr</v>
      </c>
      <c r="H2806" s="6" t="s">
        <v>11547</v>
      </c>
      <c r="I2806" s="6" t="s">
        <v>11548</v>
      </c>
      <c r="J2806" s="6" t="str">
        <f>"Knit Sweatshirt"</f>
        <v>Knit Sweatshirt</v>
      </c>
      <c r="K2806" s="6">
        <v>0</v>
      </c>
      <c r="L2806" s="6">
        <v>0</v>
      </c>
      <c r="M2806" s="6">
        <v>0</v>
      </c>
      <c r="N2806" s="6" t="str">
        <f>""</f>
        <v/>
      </c>
      <c r="O2806" s="6">
        <v>24081</v>
      </c>
      <c r="P2806" s="6" t="s">
        <v>11549</v>
      </c>
      <c r="R2806" s="6" t="s">
        <v>11550</v>
      </c>
      <c r="S2806" s="6" t="s">
        <v>11551</v>
      </c>
      <c r="T2806" s="6">
        <v>0</v>
      </c>
      <c r="U2806" s="6">
        <v>0</v>
      </c>
      <c r="V2806" s="6">
        <v>0</v>
      </c>
      <c r="W2806" s="6">
        <v>0</v>
      </c>
      <c r="X2806" s="6" t="s">
        <v>169</v>
      </c>
      <c r="Z2806" s="6" t="s">
        <v>170</v>
      </c>
      <c r="AA2806" s="6" t="s">
        <v>171</v>
      </c>
      <c r="AB2806" s="6">
        <v>0</v>
      </c>
      <c r="AC2806" s="6" t="str">
        <f>""</f>
        <v/>
      </c>
      <c r="AS2806" s="6">
        <v>0</v>
      </c>
      <c r="AT2806" s="6">
        <v>0</v>
      </c>
    </row>
    <row r="2807" spans="2:46">
      <c r="B2807" s="6" t="s">
        <v>112</v>
      </c>
      <c r="D2807" s="6" t="s">
        <v>8189</v>
      </c>
      <c r="F2807" s="6" t="s">
        <v>11552</v>
      </c>
      <c r="G2807" s="6" t="str">
        <f>"atm16wt004bk"</f>
        <v>atm16wt004bk</v>
      </c>
      <c r="I2807" s="6" t="s">
        <v>11548</v>
      </c>
      <c r="J2807" s="6" t="str">
        <f>"Knit Sweatshirt"</f>
        <v>Knit Sweatshirt</v>
      </c>
      <c r="K2807" s="6">
        <v>0</v>
      </c>
      <c r="L2807" s="6">
        <v>0</v>
      </c>
      <c r="M2807" s="6">
        <v>0</v>
      </c>
      <c r="N2807" s="6" t="str">
        <f>""</f>
        <v/>
      </c>
      <c r="O2807" s="6">
        <v>24080</v>
      </c>
      <c r="P2807" s="6" t="s">
        <v>11553</v>
      </c>
      <c r="R2807" s="6" t="s">
        <v>2989</v>
      </c>
      <c r="S2807" s="6" t="s">
        <v>11554</v>
      </c>
      <c r="T2807" s="6">
        <v>2</v>
      </c>
      <c r="U2807" s="6">
        <v>0</v>
      </c>
      <c r="V2807" s="6">
        <v>0</v>
      </c>
      <c r="W2807" s="6">
        <v>0</v>
      </c>
      <c r="X2807" s="6" t="s">
        <v>169</v>
      </c>
      <c r="Z2807" s="6" t="s">
        <v>170</v>
      </c>
      <c r="AA2807" s="6" t="s">
        <v>171</v>
      </c>
      <c r="AB2807" s="6">
        <v>0</v>
      </c>
      <c r="AC2807" s="6" t="str">
        <f>"KEY-068"</f>
        <v>KEY-068</v>
      </c>
      <c r="AQ2807" s="6" t="str">
        <f>""</f>
        <v/>
      </c>
      <c r="AR2807" s="6" t="s">
        <v>1567</v>
      </c>
      <c r="AS2807" s="6">
        <v>0</v>
      </c>
      <c r="AT2807" s="6">
        <v>2</v>
      </c>
    </row>
    <row r="2808" spans="2:46">
      <c r="B2808" s="6" t="s">
        <v>112</v>
      </c>
      <c r="D2808" s="6" t="s">
        <v>8189</v>
      </c>
      <c r="F2808" s="6" t="s">
        <v>11555</v>
      </c>
      <c r="G2808" s="6" t="str">
        <f>"atm16wt003gr"</f>
        <v>atm16wt003gr</v>
      </c>
      <c r="H2808" s="6" t="s">
        <v>11556</v>
      </c>
      <c r="I2808" s="6" t="s">
        <v>11557</v>
      </c>
      <c r="J2808" s="6" t="str">
        <f>"Crop Hoodie"</f>
        <v>Crop Hoodie</v>
      </c>
      <c r="K2808" s="6">
        <v>0</v>
      </c>
      <c r="L2808" s="6">
        <v>0</v>
      </c>
      <c r="M2808" s="6">
        <v>0</v>
      </c>
      <c r="N2808" s="6" t="str">
        <f>""</f>
        <v/>
      </c>
      <c r="O2808" s="6">
        <v>24078</v>
      </c>
      <c r="P2808" s="6" t="s">
        <v>11558</v>
      </c>
      <c r="R2808" s="6" t="s">
        <v>11550</v>
      </c>
      <c r="S2808" s="6" t="s">
        <v>11559</v>
      </c>
      <c r="T2808" s="6">
        <v>0</v>
      </c>
      <c r="U2808" s="6">
        <v>0</v>
      </c>
      <c r="V2808" s="6">
        <v>0</v>
      </c>
      <c r="W2808" s="6">
        <v>0</v>
      </c>
      <c r="X2808" s="6" t="s">
        <v>169</v>
      </c>
      <c r="Z2808" s="6" t="s">
        <v>170</v>
      </c>
      <c r="AA2808" s="6" t="s">
        <v>171</v>
      </c>
      <c r="AB2808" s="6">
        <v>0</v>
      </c>
      <c r="AC2808" s="6" t="str">
        <f>""</f>
        <v/>
      </c>
      <c r="AS2808" s="6">
        <v>0</v>
      </c>
      <c r="AT2808" s="6">
        <v>0</v>
      </c>
    </row>
    <row r="2809" spans="2:46">
      <c r="B2809" s="6" t="s">
        <v>112</v>
      </c>
      <c r="D2809" s="6" t="s">
        <v>8189</v>
      </c>
      <c r="F2809" s="6" t="s">
        <v>11560</v>
      </c>
      <c r="G2809" s="6" t="str">
        <f>"atm16wt003bk"</f>
        <v>atm16wt003bk</v>
      </c>
      <c r="H2809" s="6" t="s">
        <v>11561</v>
      </c>
      <c r="I2809" s="6" t="s">
        <v>11557</v>
      </c>
      <c r="J2809" s="6" t="str">
        <f>"Crop Hoodie"</f>
        <v>Crop Hoodie</v>
      </c>
      <c r="K2809" s="6">
        <v>0</v>
      </c>
      <c r="L2809" s="6">
        <v>0</v>
      </c>
      <c r="M2809" s="6">
        <v>0</v>
      </c>
      <c r="N2809" s="6" t="str">
        <f>""</f>
        <v/>
      </c>
      <c r="O2809" s="6">
        <v>24077</v>
      </c>
      <c r="P2809" s="6" t="s">
        <v>11561</v>
      </c>
      <c r="R2809" s="6" t="s">
        <v>2989</v>
      </c>
      <c r="S2809" s="6" t="s">
        <v>11562</v>
      </c>
      <c r="T2809" s="6">
        <v>0</v>
      </c>
      <c r="U2809" s="6">
        <v>0</v>
      </c>
      <c r="V2809" s="6">
        <v>0</v>
      </c>
      <c r="W2809" s="6">
        <v>0</v>
      </c>
      <c r="X2809" s="6" t="s">
        <v>169</v>
      </c>
      <c r="Z2809" s="6" t="s">
        <v>170</v>
      </c>
      <c r="AA2809" s="6" t="s">
        <v>171</v>
      </c>
      <c r="AB2809" s="6">
        <v>0</v>
      </c>
      <c r="AC2809" s="6" t="str">
        <f>""</f>
        <v/>
      </c>
      <c r="AS2809" s="6">
        <v>0</v>
      </c>
      <c r="AT2809" s="6">
        <v>0</v>
      </c>
    </row>
    <row r="2810" spans="2:46">
      <c r="B2810" s="6" t="s">
        <v>112</v>
      </c>
      <c r="D2810" s="6" t="s">
        <v>8189</v>
      </c>
      <c r="F2810" s="6" t="s">
        <v>11563</v>
      </c>
      <c r="G2810" s="6" t="str">
        <f>"atm16wt002gr"</f>
        <v>atm16wt002gr</v>
      </c>
      <c r="H2810" s="6" t="s">
        <v>11564</v>
      </c>
      <c r="I2810" s="6" t="s">
        <v>11565</v>
      </c>
      <c r="J2810" s="6" t="str">
        <f>"Print Hoodie"</f>
        <v>Print Hoodie</v>
      </c>
      <c r="K2810" s="6">
        <v>0</v>
      </c>
      <c r="L2810" s="6">
        <v>0</v>
      </c>
      <c r="M2810" s="6">
        <v>0</v>
      </c>
      <c r="N2810" s="6" t="str">
        <f>""</f>
        <v/>
      </c>
      <c r="O2810" s="6">
        <v>24075</v>
      </c>
      <c r="P2810" s="6" t="s">
        <v>11566</v>
      </c>
      <c r="R2810" s="6" t="s">
        <v>11550</v>
      </c>
      <c r="S2810" s="6" t="s">
        <v>11567</v>
      </c>
      <c r="T2810" s="6">
        <v>0</v>
      </c>
      <c r="U2810" s="6">
        <v>0</v>
      </c>
      <c r="V2810" s="6">
        <v>0</v>
      </c>
      <c r="W2810" s="6">
        <v>0</v>
      </c>
      <c r="X2810" s="6" t="s">
        <v>169</v>
      </c>
      <c r="Z2810" s="6" t="s">
        <v>170</v>
      </c>
      <c r="AA2810" s="6" t="s">
        <v>171</v>
      </c>
      <c r="AB2810" s="6">
        <v>0</v>
      </c>
      <c r="AC2810" s="6" t="str">
        <f>""</f>
        <v/>
      </c>
      <c r="AS2810" s="6">
        <v>0</v>
      </c>
      <c r="AT2810" s="6">
        <v>0</v>
      </c>
    </row>
    <row r="2811" spans="2:46">
      <c r="B2811" s="6" t="s">
        <v>112</v>
      </c>
      <c r="D2811" s="6" t="s">
        <v>8189</v>
      </c>
      <c r="F2811" s="6" t="s">
        <v>11568</v>
      </c>
      <c r="G2811" s="6" t="str">
        <f>"atm16wt002bk"</f>
        <v>atm16wt002bk</v>
      </c>
      <c r="H2811" s="6" t="s">
        <v>11569</v>
      </c>
      <c r="I2811" s="6" t="s">
        <v>11565</v>
      </c>
      <c r="J2811" s="6" t="str">
        <f>"Print Hoodie"</f>
        <v>Print Hoodie</v>
      </c>
      <c r="K2811" s="6">
        <v>0</v>
      </c>
      <c r="L2811" s="6">
        <v>0</v>
      </c>
      <c r="M2811" s="6">
        <v>0</v>
      </c>
      <c r="N2811" s="6" t="str">
        <f>""</f>
        <v/>
      </c>
      <c r="O2811" s="6">
        <v>24074</v>
      </c>
      <c r="P2811" s="6" t="s">
        <v>11569</v>
      </c>
      <c r="R2811" s="6" t="s">
        <v>2989</v>
      </c>
      <c r="S2811" s="6" t="s">
        <v>11570</v>
      </c>
      <c r="T2811" s="6">
        <v>0</v>
      </c>
      <c r="U2811" s="6">
        <v>0</v>
      </c>
      <c r="V2811" s="6">
        <v>0</v>
      </c>
      <c r="W2811" s="6">
        <v>0</v>
      </c>
      <c r="X2811" s="6" t="s">
        <v>169</v>
      </c>
      <c r="Z2811" s="6" t="s">
        <v>170</v>
      </c>
      <c r="AA2811" s="6" t="s">
        <v>171</v>
      </c>
      <c r="AB2811" s="6">
        <v>0</v>
      </c>
      <c r="AC2811" s="6" t="str">
        <f>""</f>
        <v/>
      </c>
      <c r="AS2811" s="6">
        <v>0</v>
      </c>
      <c r="AT2811" s="6">
        <v>0</v>
      </c>
    </row>
    <row r="2812" spans="2:46">
      <c r="B2812" s="6" t="s">
        <v>112</v>
      </c>
      <c r="D2812" s="6" t="s">
        <v>8189</v>
      </c>
      <c r="F2812" s="6" t="s">
        <v>11571</v>
      </c>
      <c r="G2812" s="6" t="str">
        <f>"atm16wt001nv"</f>
        <v>atm16wt001nv</v>
      </c>
      <c r="H2812" s="6" t="s">
        <v>11572</v>
      </c>
      <c r="I2812" s="6" t="s">
        <v>11573</v>
      </c>
      <c r="J2812" s="6" t="str">
        <f>"Fake Hoodie"</f>
        <v>Fake Hoodie</v>
      </c>
      <c r="K2812" s="6">
        <v>0</v>
      </c>
      <c r="L2812" s="6">
        <v>0</v>
      </c>
      <c r="M2812" s="6">
        <v>0</v>
      </c>
      <c r="N2812" s="6" t="str">
        <f>""</f>
        <v/>
      </c>
      <c r="O2812" s="6">
        <v>24072</v>
      </c>
      <c r="P2812" s="6" t="s">
        <v>11572</v>
      </c>
      <c r="R2812" s="6" t="s">
        <v>2943</v>
      </c>
      <c r="S2812" s="6" t="s">
        <v>11574</v>
      </c>
      <c r="T2812" s="6">
        <v>0</v>
      </c>
      <c r="U2812" s="6">
        <v>0</v>
      </c>
      <c r="V2812" s="6">
        <v>0</v>
      </c>
      <c r="W2812" s="6">
        <v>0</v>
      </c>
      <c r="X2812" s="6" t="s">
        <v>169</v>
      </c>
      <c r="Z2812" s="6" t="s">
        <v>170</v>
      </c>
      <c r="AA2812" s="6" t="s">
        <v>171</v>
      </c>
      <c r="AB2812" s="6">
        <v>0</v>
      </c>
      <c r="AC2812" s="6" t="str">
        <f>""</f>
        <v/>
      </c>
      <c r="AS2812" s="6">
        <v>0</v>
      </c>
      <c r="AT2812" s="6">
        <v>0</v>
      </c>
    </row>
    <row r="2813" spans="2:46">
      <c r="B2813" s="6" t="s">
        <v>112</v>
      </c>
      <c r="D2813" s="6" t="s">
        <v>8189</v>
      </c>
      <c r="F2813" s="6" t="s">
        <v>11575</v>
      </c>
      <c r="G2813" s="6" t="str">
        <f>"atm16wt001gr"</f>
        <v>atm16wt001gr</v>
      </c>
      <c r="H2813" s="6" t="s">
        <v>11576</v>
      </c>
      <c r="I2813" s="6" t="s">
        <v>11573</v>
      </c>
      <c r="J2813" s="6" t="str">
        <f>"Fake Hoodie"</f>
        <v>Fake Hoodie</v>
      </c>
      <c r="K2813" s="6">
        <v>0</v>
      </c>
      <c r="L2813" s="6">
        <v>0</v>
      </c>
      <c r="M2813" s="6">
        <v>0</v>
      </c>
      <c r="N2813" s="6" t="str">
        <f>""</f>
        <v/>
      </c>
      <c r="O2813" s="6">
        <v>24071</v>
      </c>
      <c r="P2813" s="6" t="s">
        <v>11577</v>
      </c>
      <c r="R2813" s="6" t="s">
        <v>11550</v>
      </c>
      <c r="S2813" s="6" t="s">
        <v>11578</v>
      </c>
      <c r="T2813" s="6">
        <v>0</v>
      </c>
      <c r="U2813" s="6">
        <v>0</v>
      </c>
      <c r="V2813" s="6">
        <v>0</v>
      </c>
      <c r="W2813" s="6">
        <v>0</v>
      </c>
      <c r="X2813" s="6" t="s">
        <v>169</v>
      </c>
      <c r="Z2813" s="6" t="s">
        <v>170</v>
      </c>
      <c r="AA2813" s="6" t="s">
        <v>171</v>
      </c>
      <c r="AB2813" s="6">
        <v>0</v>
      </c>
      <c r="AC2813" s="6" t="str">
        <f>""</f>
        <v/>
      </c>
      <c r="AS2813" s="6">
        <v>0</v>
      </c>
      <c r="AT2813" s="6">
        <v>0</v>
      </c>
    </row>
    <row r="2814" spans="2:46">
      <c r="B2814" s="6" t="s">
        <v>11579</v>
      </c>
      <c r="D2814" s="6" t="s">
        <v>8189</v>
      </c>
      <c r="F2814" s="6" t="s">
        <v>11580</v>
      </c>
      <c r="G2814" s="6" t="str">
        <f>"SJLP7F3U09XL"</f>
        <v>SJLP7F3U09XL</v>
      </c>
      <c r="H2814" s="6" t="s">
        <v>11581</v>
      </c>
      <c r="I2814" s="6" t="s">
        <v>11582</v>
      </c>
      <c r="J2814" s="6" t="str">
        <f>"[LIP UNDER POINT] MARILYN SWEAT SHIRT"</f>
        <v>[LIP UNDER POINT] MARILYN SWEAT SHIRT</v>
      </c>
      <c r="K2814" s="6">
        <v>0</v>
      </c>
      <c r="L2814" s="6">
        <v>0</v>
      </c>
      <c r="M2814" s="6">
        <v>0</v>
      </c>
      <c r="N2814" s="6" t="str">
        <f>""</f>
        <v/>
      </c>
      <c r="O2814" s="6">
        <v>24069</v>
      </c>
      <c r="P2814" s="6" t="s">
        <v>11581</v>
      </c>
      <c r="R2814" s="6" t="s">
        <v>11583</v>
      </c>
      <c r="S2814" s="6" t="s">
        <v>11584</v>
      </c>
      <c r="T2814" s="6">
        <v>0</v>
      </c>
      <c r="U2814" s="6">
        <v>0</v>
      </c>
      <c r="V2814" s="6">
        <v>0</v>
      </c>
      <c r="W2814" s="6">
        <v>0</v>
      </c>
      <c r="X2814" s="6" t="s">
        <v>169</v>
      </c>
      <c r="Z2814" s="6" t="s">
        <v>170</v>
      </c>
      <c r="AA2814" s="6" t="s">
        <v>171</v>
      </c>
      <c r="AB2814" s="6">
        <v>0</v>
      </c>
      <c r="AC2814" s="6" t="str">
        <f>""</f>
        <v/>
      </c>
      <c r="AS2814" s="6">
        <v>0</v>
      </c>
      <c r="AT2814" s="6">
        <v>0</v>
      </c>
    </row>
    <row r="2815" spans="2:46">
      <c r="B2815" s="6" t="s">
        <v>11579</v>
      </c>
      <c r="D2815" s="6" t="s">
        <v>8189</v>
      </c>
      <c r="F2815" s="6" t="s">
        <v>11585</v>
      </c>
      <c r="G2815" s="6" t="str">
        <f>"SJLP7F3U09L"</f>
        <v>SJLP7F3U09L</v>
      </c>
      <c r="H2815" s="6" t="s">
        <v>11586</v>
      </c>
      <c r="I2815" s="6" t="s">
        <v>11582</v>
      </c>
      <c r="J2815" s="6" t="str">
        <f>"[LIP UNDER POINT] MARILYN SWEAT SHIRT"</f>
        <v>[LIP UNDER POINT] MARILYN SWEAT SHIRT</v>
      </c>
      <c r="K2815" s="6">
        <v>0</v>
      </c>
      <c r="L2815" s="6">
        <v>0</v>
      </c>
      <c r="M2815" s="6">
        <v>0</v>
      </c>
      <c r="N2815" s="6" t="str">
        <f>""</f>
        <v/>
      </c>
      <c r="O2815" s="6">
        <v>24068</v>
      </c>
      <c r="P2815" s="6" t="s">
        <v>11586</v>
      </c>
      <c r="R2815" s="6" t="s">
        <v>11587</v>
      </c>
      <c r="S2815" s="6" t="s">
        <v>11588</v>
      </c>
      <c r="T2815" s="6">
        <v>0</v>
      </c>
      <c r="U2815" s="6">
        <v>0</v>
      </c>
      <c r="V2815" s="6">
        <v>0</v>
      </c>
      <c r="W2815" s="6">
        <v>0</v>
      </c>
      <c r="X2815" s="6" t="s">
        <v>169</v>
      </c>
      <c r="Z2815" s="6" t="s">
        <v>170</v>
      </c>
      <c r="AA2815" s="6" t="s">
        <v>171</v>
      </c>
      <c r="AB2815" s="6">
        <v>0</v>
      </c>
      <c r="AC2815" s="6" t="str">
        <f>""</f>
        <v/>
      </c>
      <c r="AS2815" s="6">
        <v>0</v>
      </c>
      <c r="AT2815" s="6">
        <v>0</v>
      </c>
    </row>
    <row r="2816" spans="2:46">
      <c r="B2816" s="6" t="s">
        <v>11579</v>
      </c>
      <c r="D2816" s="6" t="s">
        <v>8189</v>
      </c>
      <c r="F2816" s="6" t="s">
        <v>11589</v>
      </c>
      <c r="G2816" s="6" t="str">
        <f>"SJLP7F3U09M"</f>
        <v>SJLP7F3U09M</v>
      </c>
      <c r="H2816" s="6" t="s">
        <v>11590</v>
      </c>
      <c r="I2816" s="6" t="s">
        <v>11582</v>
      </c>
      <c r="J2816" s="6" t="str">
        <f>"[LIP UNDER POINT] MARILYN SWEAT SHIRT"</f>
        <v>[LIP UNDER POINT] MARILYN SWEAT SHIRT</v>
      </c>
      <c r="K2816" s="6">
        <v>0</v>
      </c>
      <c r="L2816" s="6">
        <v>0</v>
      </c>
      <c r="M2816" s="6">
        <v>0</v>
      </c>
      <c r="N2816" s="6" t="str">
        <f>""</f>
        <v/>
      </c>
      <c r="O2816" s="6">
        <v>24067</v>
      </c>
      <c r="P2816" s="6" t="s">
        <v>11590</v>
      </c>
      <c r="R2816" s="6" t="s">
        <v>9514</v>
      </c>
      <c r="S2816" s="6" t="s">
        <v>11591</v>
      </c>
      <c r="T2816" s="6">
        <v>0</v>
      </c>
      <c r="U2816" s="6">
        <v>0</v>
      </c>
      <c r="V2816" s="6">
        <v>0</v>
      </c>
      <c r="W2816" s="6">
        <v>0</v>
      </c>
      <c r="X2816" s="6" t="s">
        <v>169</v>
      </c>
      <c r="Z2816" s="6" t="s">
        <v>170</v>
      </c>
      <c r="AA2816" s="6" t="s">
        <v>171</v>
      </c>
      <c r="AB2816" s="6">
        <v>0</v>
      </c>
      <c r="AC2816" s="6" t="str">
        <f>""</f>
        <v/>
      </c>
      <c r="AS2816" s="6">
        <v>0</v>
      </c>
      <c r="AT2816" s="6">
        <v>1</v>
      </c>
    </row>
    <row r="2817" spans="2:46">
      <c r="B2817" s="6" t="s">
        <v>11579</v>
      </c>
      <c r="D2817" s="6" t="s">
        <v>8189</v>
      </c>
      <c r="F2817" s="6" t="s">
        <v>11592</v>
      </c>
      <c r="G2817" s="6" t="str">
        <f>"SJLP7F3U17XL"</f>
        <v>SJLP7F3U17XL</v>
      </c>
      <c r="H2817" s="6" t="s">
        <v>11593</v>
      </c>
      <c r="I2817" s="6" t="s">
        <v>11594</v>
      </c>
      <c r="J2817" s="6" t="str">
        <f>"[LIP UNDER POINT] MARILYN HOODIE"</f>
        <v>[LIP UNDER POINT] MARILYN HOODIE</v>
      </c>
      <c r="K2817" s="6">
        <v>0</v>
      </c>
      <c r="L2817" s="6">
        <v>0</v>
      </c>
      <c r="M2817" s="6">
        <v>0</v>
      </c>
      <c r="N2817" s="6" t="str">
        <f>""</f>
        <v/>
      </c>
      <c r="O2817" s="6">
        <v>24065</v>
      </c>
      <c r="P2817" s="6" t="s">
        <v>11593</v>
      </c>
      <c r="R2817" s="6" t="s">
        <v>11583</v>
      </c>
      <c r="S2817" s="6" t="s">
        <v>11595</v>
      </c>
      <c r="T2817" s="6">
        <v>0</v>
      </c>
      <c r="U2817" s="6">
        <v>0</v>
      </c>
      <c r="V2817" s="6">
        <v>0</v>
      </c>
      <c r="W2817" s="6">
        <v>0</v>
      </c>
      <c r="X2817" s="6" t="s">
        <v>169</v>
      </c>
      <c r="Z2817" s="6" t="s">
        <v>170</v>
      </c>
      <c r="AA2817" s="6" t="s">
        <v>171</v>
      </c>
      <c r="AB2817" s="6">
        <v>0</v>
      </c>
      <c r="AC2817" s="6" t="str">
        <f>""</f>
        <v/>
      </c>
      <c r="AS2817" s="6">
        <v>0</v>
      </c>
      <c r="AT2817" s="6">
        <v>0</v>
      </c>
    </row>
    <row r="2818" spans="2:46">
      <c r="B2818" s="6" t="s">
        <v>11579</v>
      </c>
      <c r="D2818" s="6" t="s">
        <v>8189</v>
      </c>
      <c r="F2818" s="6" t="s">
        <v>11596</v>
      </c>
      <c r="G2818" s="6" t="str">
        <f>"SJLP7F3U17L"</f>
        <v>SJLP7F3U17L</v>
      </c>
      <c r="H2818" s="6" t="s">
        <v>11597</v>
      </c>
      <c r="I2818" s="6" t="s">
        <v>11594</v>
      </c>
      <c r="J2818" s="6" t="str">
        <f>"[LIP UNDER POINT] MARILYN HOODIE"</f>
        <v>[LIP UNDER POINT] MARILYN HOODIE</v>
      </c>
      <c r="K2818" s="6">
        <v>0</v>
      </c>
      <c r="L2818" s="6">
        <v>0</v>
      </c>
      <c r="M2818" s="6">
        <v>0</v>
      </c>
      <c r="N2818" s="6" t="str">
        <f>""</f>
        <v/>
      </c>
      <c r="O2818" s="6">
        <v>24064</v>
      </c>
      <c r="P2818" s="6" t="s">
        <v>11597</v>
      </c>
      <c r="R2818" s="6" t="s">
        <v>11587</v>
      </c>
      <c r="S2818" s="6" t="s">
        <v>11598</v>
      </c>
      <c r="T2818" s="6">
        <v>0</v>
      </c>
      <c r="U2818" s="6">
        <v>0</v>
      </c>
      <c r="V2818" s="6">
        <v>0</v>
      </c>
      <c r="W2818" s="6">
        <v>0</v>
      </c>
      <c r="X2818" s="6" t="s">
        <v>169</v>
      </c>
      <c r="Z2818" s="6" t="s">
        <v>170</v>
      </c>
      <c r="AA2818" s="6" t="s">
        <v>171</v>
      </c>
      <c r="AB2818" s="6">
        <v>0</v>
      </c>
      <c r="AC2818" s="6" t="str">
        <f>""</f>
        <v/>
      </c>
      <c r="AS2818" s="6">
        <v>0</v>
      </c>
      <c r="AT2818" s="6">
        <v>0</v>
      </c>
    </row>
    <row r="2819" spans="2:46">
      <c r="B2819" s="6" t="s">
        <v>11579</v>
      </c>
      <c r="D2819" s="6" t="s">
        <v>8189</v>
      </c>
      <c r="F2819" s="6" t="s">
        <v>11599</v>
      </c>
      <c r="G2819" s="6" t="str">
        <f>"SJLP7F3U17M"</f>
        <v>SJLP7F3U17M</v>
      </c>
      <c r="H2819" s="6" t="s">
        <v>11600</v>
      </c>
      <c r="I2819" s="6" t="s">
        <v>11594</v>
      </c>
      <c r="J2819" s="6" t="str">
        <f>"[LIP UNDER POINT] MARILYN HOODIE"</f>
        <v>[LIP UNDER POINT] MARILYN HOODIE</v>
      </c>
      <c r="K2819" s="6">
        <v>0</v>
      </c>
      <c r="L2819" s="6">
        <v>0</v>
      </c>
      <c r="M2819" s="6">
        <v>0</v>
      </c>
      <c r="N2819" s="6" t="str">
        <f>""</f>
        <v/>
      </c>
      <c r="O2819" s="6">
        <v>24063</v>
      </c>
      <c r="P2819" s="6" t="s">
        <v>11600</v>
      </c>
      <c r="R2819" s="6" t="s">
        <v>9514</v>
      </c>
      <c r="S2819" s="6" t="s">
        <v>11601</v>
      </c>
      <c r="T2819" s="6">
        <v>0</v>
      </c>
      <c r="U2819" s="6">
        <v>0</v>
      </c>
      <c r="V2819" s="6">
        <v>0</v>
      </c>
      <c r="W2819" s="6">
        <v>0</v>
      </c>
      <c r="X2819" s="6" t="s">
        <v>169</v>
      </c>
      <c r="Z2819" s="6" t="s">
        <v>170</v>
      </c>
      <c r="AA2819" s="6" t="s">
        <v>171</v>
      </c>
      <c r="AB2819" s="6">
        <v>0</v>
      </c>
      <c r="AC2819" s="6" t="str">
        <f>""</f>
        <v/>
      </c>
      <c r="AS2819" s="6">
        <v>0</v>
      </c>
      <c r="AT2819" s="6">
        <v>1</v>
      </c>
    </row>
    <row r="2820" spans="2:46">
      <c r="B2820" s="6" t="s">
        <v>11579</v>
      </c>
      <c r="D2820" s="6" t="s">
        <v>8189</v>
      </c>
      <c r="F2820" s="6" t="s">
        <v>11602</v>
      </c>
      <c r="G2820" s="6" t="str">
        <f>"SJLP7F3U25XL"</f>
        <v>SJLP7F3U25XL</v>
      </c>
      <c r="H2820" s="6" t="s">
        <v>11603</v>
      </c>
      <c r="I2820" s="6" t="s">
        <v>11604</v>
      </c>
      <c r="J2820" s="6" t="str">
        <f>"[LIP UNDER POINT] MARILYN HOOD ZIP-UP"</f>
        <v>[LIP UNDER POINT] MARILYN HOOD ZIP-UP</v>
      </c>
      <c r="K2820" s="6">
        <v>0</v>
      </c>
      <c r="L2820" s="6">
        <v>0</v>
      </c>
      <c r="M2820" s="6">
        <v>0</v>
      </c>
      <c r="N2820" s="6" t="str">
        <f>""</f>
        <v/>
      </c>
      <c r="O2820" s="6">
        <v>24061</v>
      </c>
      <c r="P2820" s="6" t="s">
        <v>11603</v>
      </c>
      <c r="R2820" s="6" t="s">
        <v>11583</v>
      </c>
      <c r="S2820" s="6" t="s">
        <v>11605</v>
      </c>
      <c r="T2820" s="6">
        <v>0</v>
      </c>
      <c r="U2820" s="6">
        <v>0</v>
      </c>
      <c r="V2820" s="6">
        <v>0</v>
      </c>
      <c r="W2820" s="6">
        <v>0</v>
      </c>
      <c r="X2820" s="6" t="s">
        <v>169</v>
      </c>
      <c r="Z2820" s="6" t="s">
        <v>170</v>
      </c>
      <c r="AA2820" s="6" t="s">
        <v>171</v>
      </c>
      <c r="AB2820" s="6">
        <v>0</v>
      </c>
      <c r="AC2820" s="6" t="str">
        <f>""</f>
        <v/>
      </c>
      <c r="AS2820" s="6">
        <v>0</v>
      </c>
      <c r="AT2820" s="6">
        <v>0</v>
      </c>
    </row>
    <row r="2821" spans="2:46">
      <c r="B2821" s="6" t="s">
        <v>11579</v>
      </c>
      <c r="D2821" s="6" t="s">
        <v>8189</v>
      </c>
      <c r="F2821" s="6" t="s">
        <v>11606</v>
      </c>
      <c r="G2821" s="6" t="str">
        <f>"SJLP7F3U25L"</f>
        <v>SJLP7F3U25L</v>
      </c>
      <c r="H2821" s="6" t="s">
        <v>11607</v>
      </c>
      <c r="I2821" s="6" t="s">
        <v>11604</v>
      </c>
      <c r="J2821" s="6" t="str">
        <f>"[LIP UNDER POINT] MARILYN HOOD ZIP-UP"</f>
        <v>[LIP UNDER POINT] MARILYN HOOD ZIP-UP</v>
      </c>
      <c r="K2821" s="6">
        <v>0</v>
      </c>
      <c r="L2821" s="6">
        <v>0</v>
      </c>
      <c r="M2821" s="6">
        <v>0</v>
      </c>
      <c r="N2821" s="6" t="str">
        <f>""</f>
        <v/>
      </c>
      <c r="O2821" s="6">
        <v>24060</v>
      </c>
      <c r="P2821" s="6" t="s">
        <v>11607</v>
      </c>
      <c r="R2821" s="6" t="s">
        <v>11587</v>
      </c>
      <c r="S2821" s="6" t="s">
        <v>11608</v>
      </c>
      <c r="T2821" s="6">
        <v>0</v>
      </c>
      <c r="U2821" s="6">
        <v>0</v>
      </c>
      <c r="V2821" s="6">
        <v>0</v>
      </c>
      <c r="W2821" s="6">
        <v>0</v>
      </c>
      <c r="X2821" s="6" t="s">
        <v>169</v>
      </c>
      <c r="Z2821" s="6" t="s">
        <v>170</v>
      </c>
      <c r="AA2821" s="6" t="s">
        <v>171</v>
      </c>
      <c r="AB2821" s="6">
        <v>0</v>
      </c>
      <c r="AC2821" s="6" t="str">
        <f>""</f>
        <v/>
      </c>
      <c r="AS2821" s="6">
        <v>0</v>
      </c>
      <c r="AT2821" s="6">
        <v>0</v>
      </c>
    </row>
    <row r="2822" spans="2:46">
      <c r="B2822" s="6" t="s">
        <v>11579</v>
      </c>
      <c r="D2822" s="6" t="s">
        <v>8189</v>
      </c>
      <c r="F2822" s="6" t="s">
        <v>11609</v>
      </c>
      <c r="G2822" s="6" t="str">
        <f>"SJLP7F3U25M"</f>
        <v>SJLP7F3U25M</v>
      </c>
      <c r="H2822" s="6" t="s">
        <v>11610</v>
      </c>
      <c r="I2822" s="6" t="s">
        <v>11604</v>
      </c>
      <c r="J2822" s="6" t="str">
        <f>"[LIP UNDER POINT] MARILYN HOOD ZIP-UP"</f>
        <v>[LIP UNDER POINT] MARILYN HOOD ZIP-UP</v>
      </c>
      <c r="K2822" s="6">
        <v>0</v>
      </c>
      <c r="L2822" s="6">
        <v>0</v>
      </c>
      <c r="M2822" s="6">
        <v>0</v>
      </c>
      <c r="N2822" s="6" t="str">
        <f>""</f>
        <v/>
      </c>
      <c r="O2822" s="6">
        <v>24059</v>
      </c>
      <c r="P2822" s="6" t="s">
        <v>11610</v>
      </c>
      <c r="R2822" s="6" t="s">
        <v>9514</v>
      </c>
      <c r="S2822" s="6" t="s">
        <v>11611</v>
      </c>
      <c r="T2822" s="6">
        <v>0</v>
      </c>
      <c r="U2822" s="6">
        <v>0</v>
      </c>
      <c r="V2822" s="6">
        <v>0</v>
      </c>
      <c r="W2822" s="6">
        <v>0</v>
      </c>
      <c r="X2822" s="6" t="s">
        <v>169</v>
      </c>
      <c r="Z2822" s="6" t="s">
        <v>170</v>
      </c>
      <c r="AA2822" s="6" t="s">
        <v>171</v>
      </c>
      <c r="AB2822" s="6">
        <v>0</v>
      </c>
      <c r="AC2822" s="6" t="str">
        <f>""</f>
        <v/>
      </c>
      <c r="AS2822" s="6">
        <v>0</v>
      </c>
      <c r="AT2822" s="6">
        <v>0</v>
      </c>
    </row>
    <row r="2823" spans="2:46">
      <c r="B2823" s="6" t="s">
        <v>11612</v>
      </c>
      <c r="D2823" s="6" t="s">
        <v>8189</v>
      </c>
      <c r="F2823" s="6" t="s">
        <v>11613</v>
      </c>
      <c r="G2823" s="6" t="str">
        <f>"3175224102625204"</f>
        <v>3175224102625204</v>
      </c>
      <c r="H2823" s="6">
        <v>3175224102625200</v>
      </c>
      <c r="I2823" s="6" t="s">
        <v>11614</v>
      </c>
      <c r="J2823" s="6" t="str">
        <f>"SNAKE ROSE T-SHIRTS_BLUE"</f>
        <v>SNAKE ROSE T-SHIRTS_BLUE</v>
      </c>
      <c r="K2823" s="6">
        <v>0</v>
      </c>
      <c r="L2823" s="6">
        <v>0</v>
      </c>
      <c r="M2823" s="6">
        <v>0</v>
      </c>
      <c r="N2823" s="6" t="str">
        <f>""</f>
        <v/>
      </c>
      <c r="O2823" s="6">
        <v>24057</v>
      </c>
      <c r="P2823" s="6" t="s">
        <v>11615</v>
      </c>
      <c r="R2823" s="6" t="s">
        <v>2175</v>
      </c>
      <c r="S2823" s="6" t="s">
        <v>11616</v>
      </c>
      <c r="T2823" s="6">
        <v>0</v>
      </c>
      <c r="U2823" s="6">
        <v>0</v>
      </c>
      <c r="V2823" s="6">
        <v>0</v>
      </c>
      <c r="W2823" s="6">
        <v>0</v>
      </c>
      <c r="X2823" s="6" t="s">
        <v>169</v>
      </c>
      <c r="Z2823" s="6" t="s">
        <v>170</v>
      </c>
      <c r="AA2823" s="6" t="s">
        <v>171</v>
      </c>
      <c r="AB2823" s="6">
        <v>0</v>
      </c>
      <c r="AC2823" s="6" t="str">
        <f>""</f>
        <v/>
      </c>
      <c r="AS2823" s="6">
        <v>0</v>
      </c>
      <c r="AT2823" s="6">
        <v>1</v>
      </c>
    </row>
    <row r="2824" spans="2:46">
      <c r="B2824" s="6" t="s">
        <v>11612</v>
      </c>
      <c r="D2824" s="6" t="s">
        <v>8189</v>
      </c>
      <c r="F2824" s="6" t="s">
        <v>11617</v>
      </c>
      <c r="G2824" s="6" t="str">
        <f>"3175224102545204"</f>
        <v>3175224102545204</v>
      </c>
      <c r="H2824" s="6">
        <v>3175224102545200</v>
      </c>
      <c r="I2824" s="6" t="s">
        <v>11618</v>
      </c>
      <c r="J2824" s="6" t="str">
        <f>"SNAKE ROSE T-SHIRTS_GREEN"</f>
        <v>SNAKE ROSE T-SHIRTS_GREEN</v>
      </c>
      <c r="K2824" s="6">
        <v>0</v>
      </c>
      <c r="L2824" s="6">
        <v>0</v>
      </c>
      <c r="M2824" s="6">
        <v>0</v>
      </c>
      <c r="N2824" s="6" t="str">
        <f>""</f>
        <v/>
      </c>
      <c r="O2824" s="6">
        <v>24055</v>
      </c>
      <c r="P2824" s="6" t="s">
        <v>11619</v>
      </c>
      <c r="R2824" s="6" t="s">
        <v>2512</v>
      </c>
      <c r="S2824" s="6" t="s">
        <v>11620</v>
      </c>
      <c r="T2824" s="6">
        <v>0</v>
      </c>
      <c r="U2824" s="6">
        <v>0</v>
      </c>
      <c r="V2824" s="6">
        <v>0</v>
      </c>
      <c r="W2824" s="6">
        <v>0</v>
      </c>
      <c r="X2824" s="6" t="s">
        <v>169</v>
      </c>
      <c r="Z2824" s="6" t="s">
        <v>170</v>
      </c>
      <c r="AA2824" s="6" t="s">
        <v>171</v>
      </c>
      <c r="AB2824" s="6">
        <v>0</v>
      </c>
      <c r="AC2824" s="6" t="str">
        <f>""</f>
        <v/>
      </c>
      <c r="AS2824" s="6">
        <v>0</v>
      </c>
      <c r="AT2824" s="6">
        <v>0</v>
      </c>
    </row>
    <row r="2825" spans="2:46">
      <c r="B2825" s="6" t="s">
        <v>11612</v>
      </c>
      <c r="D2825" s="6" t="s">
        <v>8189</v>
      </c>
      <c r="F2825" s="6" t="s">
        <v>11621</v>
      </c>
      <c r="G2825" s="6" t="str">
        <f>"3176224148945104"</f>
        <v>3176224148945104</v>
      </c>
      <c r="H2825" s="6">
        <v>3176224148945100</v>
      </c>
      <c r="I2825" s="6" t="s">
        <v>11622</v>
      </c>
      <c r="J2825" s="6" t="str">
        <f>"MUMMIES T-SHIRTS_GREEN"</f>
        <v>MUMMIES T-SHIRTS_GREEN</v>
      </c>
      <c r="K2825" s="6">
        <v>0</v>
      </c>
      <c r="L2825" s="6">
        <v>0</v>
      </c>
      <c r="M2825" s="6">
        <v>0</v>
      </c>
      <c r="N2825" s="6" t="str">
        <f>""</f>
        <v/>
      </c>
      <c r="O2825" s="6">
        <v>24053</v>
      </c>
      <c r="P2825" s="6" t="s">
        <v>11623</v>
      </c>
      <c r="R2825" s="6" t="s">
        <v>5406</v>
      </c>
      <c r="S2825" s="6" t="s">
        <v>11624</v>
      </c>
      <c r="T2825" s="6">
        <v>0</v>
      </c>
      <c r="U2825" s="6">
        <v>0</v>
      </c>
      <c r="V2825" s="6">
        <v>0</v>
      </c>
      <c r="W2825" s="6">
        <v>0</v>
      </c>
      <c r="X2825" s="6" t="s">
        <v>169</v>
      </c>
      <c r="Z2825" s="6" t="s">
        <v>170</v>
      </c>
      <c r="AA2825" s="6" t="s">
        <v>171</v>
      </c>
      <c r="AB2825" s="6">
        <v>0</v>
      </c>
      <c r="AC2825" s="6" t="str">
        <f>""</f>
        <v/>
      </c>
      <c r="AS2825" s="6">
        <v>0</v>
      </c>
      <c r="AT2825" s="6">
        <v>1</v>
      </c>
    </row>
    <row r="2826" spans="2:46">
      <c r="B2826" s="6" t="s">
        <v>11612</v>
      </c>
      <c r="D2826" s="6" t="s">
        <v>8189</v>
      </c>
      <c r="F2826" s="6" t="s">
        <v>11625</v>
      </c>
      <c r="G2826" s="6" t="str">
        <f>"3176224148945105"</f>
        <v>3176224148945105</v>
      </c>
      <c r="H2826" s="6">
        <v>3176224148945100</v>
      </c>
      <c r="I2826" s="6" t="s">
        <v>11622</v>
      </c>
      <c r="J2826" s="6" t="str">
        <f>"MUMMIES T-SHIRTS_GREEN"</f>
        <v>MUMMIES T-SHIRTS_GREEN</v>
      </c>
      <c r="K2826" s="6">
        <v>0</v>
      </c>
      <c r="L2826" s="6">
        <v>0</v>
      </c>
      <c r="M2826" s="6">
        <v>0</v>
      </c>
      <c r="N2826" s="6" t="str">
        <f>""</f>
        <v/>
      </c>
      <c r="O2826" s="6">
        <v>24052</v>
      </c>
      <c r="P2826" s="6" t="s">
        <v>11626</v>
      </c>
      <c r="R2826" s="6" t="s">
        <v>5649</v>
      </c>
      <c r="S2826" s="6" t="s">
        <v>11627</v>
      </c>
      <c r="T2826" s="6">
        <v>0</v>
      </c>
      <c r="U2826" s="6">
        <v>0</v>
      </c>
      <c r="V2826" s="6">
        <v>0</v>
      </c>
      <c r="W2826" s="6">
        <v>0</v>
      </c>
      <c r="X2826" s="6" t="s">
        <v>169</v>
      </c>
      <c r="Z2826" s="6" t="s">
        <v>170</v>
      </c>
      <c r="AA2826" s="6" t="s">
        <v>171</v>
      </c>
      <c r="AB2826" s="6">
        <v>0</v>
      </c>
      <c r="AC2826" s="6" t="str">
        <f>""</f>
        <v/>
      </c>
      <c r="AS2826" s="6">
        <v>0</v>
      </c>
      <c r="AT2826" s="6">
        <v>1</v>
      </c>
    </row>
    <row r="2827" spans="2:46">
      <c r="B2827" s="6" t="s">
        <v>11612</v>
      </c>
      <c r="D2827" s="6" t="s">
        <v>8189</v>
      </c>
      <c r="F2827" s="6" t="s">
        <v>11628</v>
      </c>
      <c r="G2827" s="6" t="str">
        <f>"3176224148899205"</f>
        <v>3176224148899205</v>
      </c>
      <c r="H2827" s="6">
        <v>3176224148899200</v>
      </c>
      <c r="I2827" s="6" t="s">
        <v>11629</v>
      </c>
      <c r="J2827" s="6" t="str">
        <f>"MUMMIES T-SHIRTS_BLACK"</f>
        <v>MUMMIES T-SHIRTS_BLACK</v>
      </c>
      <c r="K2827" s="6">
        <v>0</v>
      </c>
      <c r="L2827" s="6">
        <v>0</v>
      </c>
      <c r="M2827" s="6">
        <v>0</v>
      </c>
      <c r="N2827" s="6" t="str">
        <f>""</f>
        <v/>
      </c>
      <c r="O2827" s="6">
        <v>24050</v>
      </c>
      <c r="P2827" s="6" t="s">
        <v>11630</v>
      </c>
      <c r="R2827" s="6" t="s">
        <v>5106</v>
      </c>
      <c r="S2827" s="6" t="s">
        <v>11631</v>
      </c>
      <c r="T2827" s="6">
        <v>0</v>
      </c>
      <c r="U2827" s="6">
        <v>0</v>
      </c>
      <c r="V2827" s="6">
        <v>0</v>
      </c>
      <c r="W2827" s="6">
        <v>0</v>
      </c>
      <c r="X2827" s="6" t="s">
        <v>169</v>
      </c>
      <c r="Z2827" s="6" t="s">
        <v>170</v>
      </c>
      <c r="AA2827" s="6" t="s">
        <v>171</v>
      </c>
      <c r="AB2827" s="6">
        <v>0</v>
      </c>
      <c r="AC2827" s="6" t="str">
        <f>""</f>
        <v/>
      </c>
      <c r="AS2827" s="6">
        <v>0</v>
      </c>
      <c r="AT2827" s="6">
        <v>2</v>
      </c>
    </row>
    <row r="2828" spans="2:46">
      <c r="B2828" s="6" t="s">
        <v>11612</v>
      </c>
      <c r="D2828" s="6" t="s">
        <v>8189</v>
      </c>
      <c r="F2828" s="6" t="s">
        <v>11632</v>
      </c>
      <c r="G2828" s="6" t="str">
        <f>"3176224148899204"</f>
        <v>3176224148899204</v>
      </c>
      <c r="H2828" s="6">
        <v>3176224148899200</v>
      </c>
      <c r="I2828" s="6" t="s">
        <v>11629</v>
      </c>
      <c r="J2828" s="6" t="str">
        <f>"MUMMIES T-SHIRTS_BLACK"</f>
        <v>MUMMIES T-SHIRTS_BLACK</v>
      </c>
      <c r="K2828" s="6">
        <v>0</v>
      </c>
      <c r="L2828" s="6">
        <v>0</v>
      </c>
      <c r="M2828" s="6">
        <v>0</v>
      </c>
      <c r="N2828" s="6" t="str">
        <f>""</f>
        <v/>
      </c>
      <c r="O2828" s="6">
        <v>24049</v>
      </c>
      <c r="P2828" s="6" t="s">
        <v>11633</v>
      </c>
      <c r="R2828" s="6" t="s">
        <v>601</v>
      </c>
      <c r="S2828" s="6" t="s">
        <v>11634</v>
      </c>
      <c r="T2828" s="6">
        <v>0</v>
      </c>
      <c r="U2828" s="6">
        <v>0</v>
      </c>
      <c r="V2828" s="6">
        <v>0</v>
      </c>
      <c r="W2828" s="6">
        <v>0</v>
      </c>
      <c r="X2828" s="6" t="s">
        <v>169</v>
      </c>
      <c r="Z2828" s="6" t="s">
        <v>170</v>
      </c>
      <c r="AA2828" s="6" t="s">
        <v>171</v>
      </c>
      <c r="AB2828" s="6">
        <v>0</v>
      </c>
      <c r="AC2828" s="6" t="str">
        <f>""</f>
        <v/>
      </c>
      <c r="AS2828" s="6">
        <v>0</v>
      </c>
      <c r="AT2828" s="6">
        <v>0</v>
      </c>
    </row>
    <row r="2829" spans="2:46">
      <c r="B2829" s="6" t="s">
        <v>11612</v>
      </c>
      <c r="D2829" s="6" t="s">
        <v>8189</v>
      </c>
      <c r="F2829" s="6" t="s">
        <v>11635</v>
      </c>
      <c r="G2829" s="6" t="str">
        <f>"3172224101865205"</f>
        <v>3172224101865205</v>
      </c>
      <c r="H2829" s="6">
        <v>3172224101865200</v>
      </c>
      <c r="I2829" s="6" t="s">
        <v>11636</v>
      </c>
      <c r="J2829" s="6" t="str">
        <f>"POCKET STRIPE T-SHIRTS_YELLOW"</f>
        <v>POCKET STRIPE T-SHIRTS_YELLOW</v>
      </c>
      <c r="K2829" s="6">
        <v>0</v>
      </c>
      <c r="L2829" s="6">
        <v>0</v>
      </c>
      <c r="M2829" s="6">
        <v>0</v>
      </c>
      <c r="N2829" s="6" t="str">
        <f>""</f>
        <v/>
      </c>
      <c r="O2829" s="6">
        <v>24047</v>
      </c>
      <c r="P2829" s="6" t="s">
        <v>11637</v>
      </c>
      <c r="R2829" s="6" t="s">
        <v>5329</v>
      </c>
      <c r="S2829" s="6" t="s">
        <v>11638</v>
      </c>
      <c r="T2829" s="6">
        <v>0</v>
      </c>
      <c r="U2829" s="6">
        <v>0</v>
      </c>
      <c r="V2829" s="6">
        <v>0</v>
      </c>
      <c r="W2829" s="6">
        <v>0</v>
      </c>
      <c r="X2829" s="6" t="s">
        <v>169</v>
      </c>
      <c r="Z2829" s="6" t="s">
        <v>170</v>
      </c>
      <c r="AA2829" s="6" t="s">
        <v>171</v>
      </c>
      <c r="AB2829" s="6">
        <v>0</v>
      </c>
      <c r="AC2829" s="6" t="str">
        <f>""</f>
        <v/>
      </c>
      <c r="AS2829" s="6">
        <v>0</v>
      </c>
      <c r="AT2829" s="6">
        <v>0</v>
      </c>
    </row>
    <row r="2830" spans="2:46">
      <c r="B2830" s="6" t="s">
        <v>11612</v>
      </c>
      <c r="D2830" s="6" t="s">
        <v>8189</v>
      </c>
      <c r="F2830" s="6" t="s">
        <v>11639</v>
      </c>
      <c r="G2830" s="6" t="str">
        <f>"3172224101865204"</f>
        <v>3172224101865204</v>
      </c>
      <c r="H2830" s="6">
        <v>3172224101865200</v>
      </c>
      <c r="I2830" s="6" t="s">
        <v>11636</v>
      </c>
      <c r="J2830" s="6" t="str">
        <f>"POCKET STRIPE T-SHIRTS_YELLOW"</f>
        <v>POCKET STRIPE T-SHIRTS_YELLOW</v>
      </c>
      <c r="K2830" s="6">
        <v>0</v>
      </c>
      <c r="L2830" s="6">
        <v>0</v>
      </c>
      <c r="M2830" s="6">
        <v>0</v>
      </c>
      <c r="N2830" s="6" t="str">
        <f>""</f>
        <v/>
      </c>
      <c r="O2830" s="6">
        <v>24046</v>
      </c>
      <c r="P2830" s="6" t="s">
        <v>11640</v>
      </c>
      <c r="R2830" s="6" t="s">
        <v>3653</v>
      </c>
      <c r="S2830" s="6" t="s">
        <v>11641</v>
      </c>
      <c r="T2830" s="6">
        <v>0</v>
      </c>
      <c r="U2830" s="6">
        <v>0</v>
      </c>
      <c r="V2830" s="6">
        <v>0</v>
      </c>
      <c r="W2830" s="6">
        <v>0</v>
      </c>
      <c r="X2830" s="6" t="s">
        <v>169</v>
      </c>
      <c r="Z2830" s="6" t="s">
        <v>170</v>
      </c>
      <c r="AA2830" s="6" t="s">
        <v>171</v>
      </c>
      <c r="AB2830" s="6">
        <v>0</v>
      </c>
      <c r="AC2830" s="6" t="str">
        <f>""</f>
        <v/>
      </c>
      <c r="AS2830" s="6">
        <v>0</v>
      </c>
      <c r="AT2830" s="6">
        <v>1</v>
      </c>
    </row>
    <row r="2831" spans="2:46">
      <c r="B2831" s="6" t="s">
        <v>11612</v>
      </c>
      <c r="D2831" s="6" t="s">
        <v>8189</v>
      </c>
      <c r="F2831" s="6" t="s">
        <v>11642</v>
      </c>
      <c r="G2831" s="6" t="str">
        <f>"3176224148701205"</f>
        <v>3176224148701205</v>
      </c>
      <c r="H2831" s="6">
        <v>3176224148701200</v>
      </c>
      <c r="I2831" s="6" t="s">
        <v>11643</v>
      </c>
      <c r="J2831" s="6" t="str">
        <f>"POCKET STRIPE T-SHIRTS_PINK"</f>
        <v>POCKET STRIPE T-SHIRTS_PINK</v>
      </c>
      <c r="K2831" s="6">
        <v>0</v>
      </c>
      <c r="L2831" s="6">
        <v>0</v>
      </c>
      <c r="M2831" s="6">
        <v>0</v>
      </c>
      <c r="N2831" s="6" t="str">
        <f>""</f>
        <v/>
      </c>
      <c r="O2831" s="6">
        <v>24044</v>
      </c>
      <c r="P2831" s="6" t="s">
        <v>11644</v>
      </c>
      <c r="R2831" s="6" t="s">
        <v>5293</v>
      </c>
      <c r="S2831" s="6" t="s">
        <v>11645</v>
      </c>
      <c r="T2831" s="6">
        <v>0</v>
      </c>
      <c r="U2831" s="6">
        <v>0</v>
      </c>
      <c r="V2831" s="6">
        <v>0</v>
      </c>
      <c r="W2831" s="6">
        <v>0</v>
      </c>
      <c r="X2831" s="6" t="s">
        <v>169</v>
      </c>
      <c r="Z2831" s="6" t="s">
        <v>170</v>
      </c>
      <c r="AA2831" s="6" t="s">
        <v>171</v>
      </c>
      <c r="AB2831" s="6">
        <v>0</v>
      </c>
      <c r="AC2831" s="6" t="str">
        <f>""</f>
        <v/>
      </c>
      <c r="AS2831" s="6">
        <v>0</v>
      </c>
      <c r="AT2831" s="6">
        <v>0</v>
      </c>
    </row>
    <row r="2832" spans="2:46">
      <c r="B2832" s="6" t="s">
        <v>11612</v>
      </c>
      <c r="D2832" s="6" t="s">
        <v>8189</v>
      </c>
      <c r="F2832" s="6" t="s">
        <v>11646</v>
      </c>
      <c r="G2832" s="6" t="str">
        <f>"3176224148701204"</f>
        <v>3176224148701204</v>
      </c>
      <c r="H2832" s="6">
        <v>3176224148701200</v>
      </c>
      <c r="I2832" s="6" t="s">
        <v>11643</v>
      </c>
      <c r="J2832" s="6" t="str">
        <f>"POCKET STRIPE T-SHIRTS_PINK"</f>
        <v>POCKET STRIPE T-SHIRTS_PINK</v>
      </c>
      <c r="K2832" s="6">
        <v>0</v>
      </c>
      <c r="L2832" s="6">
        <v>0</v>
      </c>
      <c r="M2832" s="6">
        <v>0</v>
      </c>
      <c r="N2832" s="6" t="str">
        <f>""</f>
        <v/>
      </c>
      <c r="O2832" s="6">
        <v>24043</v>
      </c>
      <c r="P2832" s="6" t="s">
        <v>11647</v>
      </c>
      <c r="R2832" s="6" t="s">
        <v>3708</v>
      </c>
      <c r="S2832" s="6" t="s">
        <v>11648</v>
      </c>
      <c r="T2832" s="6">
        <v>0</v>
      </c>
      <c r="U2832" s="6">
        <v>0</v>
      </c>
      <c r="V2832" s="6">
        <v>0</v>
      </c>
      <c r="W2832" s="6">
        <v>0</v>
      </c>
      <c r="X2832" s="6" t="s">
        <v>169</v>
      </c>
      <c r="Z2832" s="6" t="s">
        <v>170</v>
      </c>
      <c r="AA2832" s="6" t="s">
        <v>171</v>
      </c>
      <c r="AB2832" s="6">
        <v>0</v>
      </c>
      <c r="AC2832" s="6" t="str">
        <f>""</f>
        <v/>
      </c>
      <c r="AS2832" s="6">
        <v>0</v>
      </c>
      <c r="AT2832" s="6">
        <v>3</v>
      </c>
    </row>
    <row r="2833" spans="2:46">
      <c r="B2833" s="6" t="s">
        <v>11612</v>
      </c>
      <c r="D2833" s="6" t="s">
        <v>8189</v>
      </c>
      <c r="F2833" s="6" t="s">
        <v>11649</v>
      </c>
      <c r="G2833" s="6" t="str">
        <f>"3172224101799205"</f>
        <v>3172224101799205</v>
      </c>
      <c r="H2833" s="6">
        <v>3172224101799200</v>
      </c>
      <c r="I2833" s="6" t="s">
        <v>11650</v>
      </c>
      <c r="J2833" s="6" t="str">
        <f>"POCKET STRIPE T-SHIRTS_WHITE"</f>
        <v>POCKET STRIPE T-SHIRTS_WHITE</v>
      </c>
      <c r="K2833" s="6">
        <v>0</v>
      </c>
      <c r="L2833" s="6">
        <v>0</v>
      </c>
      <c r="M2833" s="6">
        <v>0</v>
      </c>
      <c r="N2833" s="6" t="str">
        <f>""</f>
        <v/>
      </c>
      <c r="O2833" s="6">
        <v>24041</v>
      </c>
      <c r="P2833" s="6" t="s">
        <v>11651</v>
      </c>
      <c r="R2833" s="6" t="s">
        <v>11652</v>
      </c>
      <c r="S2833" s="6" t="s">
        <v>11653</v>
      </c>
      <c r="T2833" s="6">
        <v>0</v>
      </c>
      <c r="U2833" s="6">
        <v>0</v>
      </c>
      <c r="V2833" s="6">
        <v>0</v>
      </c>
      <c r="W2833" s="6">
        <v>0</v>
      </c>
      <c r="X2833" s="6" t="s">
        <v>169</v>
      </c>
      <c r="Z2833" s="6" t="s">
        <v>170</v>
      </c>
      <c r="AA2833" s="6" t="s">
        <v>171</v>
      </c>
      <c r="AB2833" s="6">
        <v>0</v>
      </c>
      <c r="AC2833" s="6" t="str">
        <f>""</f>
        <v/>
      </c>
      <c r="AS2833" s="6">
        <v>0</v>
      </c>
      <c r="AT2833" s="6">
        <v>0</v>
      </c>
    </row>
    <row r="2834" spans="2:46">
      <c r="B2834" s="6" t="s">
        <v>11612</v>
      </c>
      <c r="D2834" s="6" t="s">
        <v>8189</v>
      </c>
      <c r="F2834" s="6" t="s">
        <v>11654</v>
      </c>
      <c r="G2834" s="6" t="str">
        <f>"3172224101799204"</f>
        <v>3172224101799204</v>
      </c>
      <c r="H2834" s="6">
        <v>3172224101799200</v>
      </c>
      <c r="I2834" s="6" t="s">
        <v>11650</v>
      </c>
      <c r="J2834" s="6" t="str">
        <f>"POCKET STRIPE T-SHIRTS_WHITE"</f>
        <v>POCKET STRIPE T-SHIRTS_WHITE</v>
      </c>
      <c r="K2834" s="6">
        <v>0</v>
      </c>
      <c r="L2834" s="6">
        <v>0</v>
      </c>
      <c r="M2834" s="6">
        <v>0</v>
      </c>
      <c r="N2834" s="6" t="str">
        <f>""</f>
        <v/>
      </c>
      <c r="O2834" s="6">
        <v>24040</v>
      </c>
      <c r="P2834" s="6" t="s">
        <v>11655</v>
      </c>
      <c r="R2834" s="6" t="s">
        <v>11656</v>
      </c>
      <c r="S2834" s="6" t="s">
        <v>11657</v>
      </c>
      <c r="T2834" s="6">
        <v>0</v>
      </c>
      <c r="U2834" s="6">
        <v>0</v>
      </c>
      <c r="V2834" s="6">
        <v>0</v>
      </c>
      <c r="W2834" s="6">
        <v>0</v>
      </c>
      <c r="X2834" s="6" t="s">
        <v>169</v>
      </c>
      <c r="Z2834" s="6" t="s">
        <v>170</v>
      </c>
      <c r="AA2834" s="6" t="s">
        <v>171</v>
      </c>
      <c r="AB2834" s="6">
        <v>0</v>
      </c>
      <c r="AC2834" s="6" t="str">
        <f>""</f>
        <v/>
      </c>
      <c r="AS2834" s="6">
        <v>0</v>
      </c>
      <c r="AT2834" s="6">
        <v>0</v>
      </c>
    </row>
    <row r="2835" spans="2:46">
      <c r="B2835" s="6" t="s">
        <v>11612</v>
      </c>
      <c r="D2835" s="6" t="s">
        <v>8189</v>
      </c>
      <c r="F2835" s="6" t="s">
        <v>11658</v>
      </c>
      <c r="G2835" s="6" t="str">
        <f>"3175224102725204"</f>
        <v>3175224102725204</v>
      </c>
      <c r="H2835" s="6">
        <v>3175224102725200</v>
      </c>
      <c r="I2835" s="6" t="s">
        <v>11659</v>
      </c>
      <c r="J2835" s="6" t="str">
        <f>"BLACK LEOPARD STRIPE SWEAT SHIRTS_BLUE"</f>
        <v>BLACK LEOPARD STRIPE SWEAT SHIRTS_BLUE</v>
      </c>
      <c r="K2835" s="6">
        <v>0</v>
      </c>
      <c r="L2835" s="6">
        <v>0</v>
      </c>
      <c r="M2835" s="6">
        <v>0</v>
      </c>
      <c r="N2835" s="6" t="str">
        <f>""</f>
        <v/>
      </c>
      <c r="O2835" s="6">
        <v>24038</v>
      </c>
      <c r="P2835" s="6" t="s">
        <v>11660</v>
      </c>
      <c r="R2835" s="6" t="s">
        <v>2175</v>
      </c>
      <c r="S2835" s="6" t="s">
        <v>11661</v>
      </c>
      <c r="T2835" s="6">
        <v>0</v>
      </c>
      <c r="U2835" s="6">
        <v>0</v>
      </c>
      <c r="V2835" s="6">
        <v>0</v>
      </c>
      <c r="W2835" s="6">
        <v>0</v>
      </c>
      <c r="X2835" s="6" t="s">
        <v>169</v>
      </c>
      <c r="Z2835" s="6" t="s">
        <v>170</v>
      </c>
      <c r="AA2835" s="6" t="s">
        <v>171</v>
      </c>
      <c r="AB2835" s="6">
        <v>0</v>
      </c>
      <c r="AC2835" s="6" t="str">
        <f>""</f>
        <v/>
      </c>
      <c r="AS2835" s="6">
        <v>0</v>
      </c>
      <c r="AT2835" s="6">
        <v>2</v>
      </c>
    </row>
    <row r="2836" spans="2:46">
      <c r="B2836" s="6" t="s">
        <v>11612</v>
      </c>
      <c r="D2836" s="6" t="s">
        <v>8189</v>
      </c>
      <c r="F2836" s="6" t="s">
        <v>11662</v>
      </c>
      <c r="G2836" s="6" t="str">
        <f>"3175224102845204"</f>
        <v>3175224102845204</v>
      </c>
      <c r="H2836" s="6">
        <v>3175224102845200</v>
      </c>
      <c r="I2836" s="6" t="s">
        <v>11663</v>
      </c>
      <c r="J2836" s="6" t="str">
        <f>"BLACK LEOPARD STRIPE SWEAT SHIRTS_GREEN"</f>
        <v>BLACK LEOPARD STRIPE SWEAT SHIRTS_GREEN</v>
      </c>
      <c r="K2836" s="6">
        <v>0</v>
      </c>
      <c r="L2836" s="6">
        <v>0</v>
      </c>
      <c r="M2836" s="6">
        <v>0</v>
      </c>
      <c r="N2836" s="6" t="str">
        <f>""</f>
        <v/>
      </c>
      <c r="O2836" s="6">
        <v>24036</v>
      </c>
      <c r="P2836" s="6" t="s">
        <v>11664</v>
      </c>
      <c r="R2836" s="6" t="s">
        <v>2512</v>
      </c>
      <c r="S2836" s="6" t="s">
        <v>11665</v>
      </c>
      <c r="T2836" s="6">
        <v>0</v>
      </c>
      <c r="U2836" s="6">
        <v>0</v>
      </c>
      <c r="V2836" s="6">
        <v>0</v>
      </c>
      <c r="W2836" s="6">
        <v>0</v>
      </c>
      <c r="X2836" s="6" t="s">
        <v>169</v>
      </c>
      <c r="Z2836" s="6" t="s">
        <v>170</v>
      </c>
      <c r="AA2836" s="6" t="s">
        <v>171</v>
      </c>
      <c r="AB2836" s="6">
        <v>0</v>
      </c>
      <c r="AC2836" s="6" t="str">
        <f>""</f>
        <v/>
      </c>
      <c r="AS2836" s="6">
        <v>0</v>
      </c>
      <c r="AT2836" s="6">
        <v>2</v>
      </c>
    </row>
    <row r="2837" spans="2:46">
      <c r="B2837" s="6" t="s">
        <v>11612</v>
      </c>
      <c r="D2837" s="6" t="s">
        <v>8189</v>
      </c>
      <c r="F2837" s="6" t="s">
        <v>11666</v>
      </c>
      <c r="G2837" s="6" t="str">
        <f>"3175224102245205"</f>
        <v>3175224102245205</v>
      </c>
      <c r="H2837" s="6">
        <v>3175224102245200</v>
      </c>
      <c r="I2837" s="6" t="s">
        <v>11667</v>
      </c>
      <c r="J2837" s="6" t="str">
        <f>"COBRA(EMROIDERY) SWEAT SHIRTS_,MINT"</f>
        <v>COBRA(EMROIDERY) SWEAT SHIRTS_,MINT</v>
      </c>
      <c r="K2837" s="6">
        <v>0</v>
      </c>
      <c r="L2837" s="6">
        <v>0</v>
      </c>
      <c r="M2837" s="6">
        <v>0</v>
      </c>
      <c r="N2837" s="6" t="str">
        <f>""</f>
        <v/>
      </c>
      <c r="O2837" s="6">
        <v>24034</v>
      </c>
      <c r="P2837" s="6" t="s">
        <v>11668</v>
      </c>
      <c r="R2837" s="6" t="s">
        <v>11669</v>
      </c>
      <c r="S2837" s="6" t="s">
        <v>11670</v>
      </c>
      <c r="T2837" s="6">
        <v>0</v>
      </c>
      <c r="U2837" s="6">
        <v>0</v>
      </c>
      <c r="V2837" s="6">
        <v>0</v>
      </c>
      <c r="W2837" s="6">
        <v>0</v>
      </c>
      <c r="X2837" s="6" t="s">
        <v>169</v>
      </c>
      <c r="Z2837" s="6" t="s">
        <v>170</v>
      </c>
      <c r="AA2837" s="6" t="s">
        <v>171</v>
      </c>
      <c r="AB2837" s="6">
        <v>0</v>
      </c>
      <c r="AC2837" s="6" t="str">
        <f>""</f>
        <v/>
      </c>
      <c r="AS2837" s="6">
        <v>0</v>
      </c>
      <c r="AT2837" s="6">
        <v>2</v>
      </c>
    </row>
    <row r="2838" spans="2:46">
      <c r="B2838" s="6" t="s">
        <v>11612</v>
      </c>
      <c r="D2838" s="6" t="s">
        <v>8189</v>
      </c>
      <c r="F2838" s="6" t="s">
        <v>11671</v>
      </c>
      <c r="G2838" s="6" t="str">
        <f>"3175224102245204"</f>
        <v>3175224102245204</v>
      </c>
      <c r="H2838" s="6">
        <v>3175224102245200</v>
      </c>
      <c r="I2838" s="6" t="s">
        <v>11667</v>
      </c>
      <c r="J2838" s="6" t="str">
        <f>"COBRA(EMROIDERY) SWEAT SHIRTS_,MINT"</f>
        <v>COBRA(EMROIDERY) SWEAT SHIRTS_,MINT</v>
      </c>
      <c r="K2838" s="6">
        <v>0</v>
      </c>
      <c r="L2838" s="6">
        <v>0</v>
      </c>
      <c r="M2838" s="6">
        <v>0</v>
      </c>
      <c r="N2838" s="6" t="str">
        <f>""</f>
        <v/>
      </c>
      <c r="O2838" s="6">
        <v>24033</v>
      </c>
      <c r="P2838" s="6" t="s">
        <v>11672</v>
      </c>
      <c r="R2838" s="6" t="s">
        <v>11673</v>
      </c>
      <c r="S2838" s="6" t="s">
        <v>11674</v>
      </c>
      <c r="T2838" s="6">
        <v>0</v>
      </c>
      <c r="U2838" s="6">
        <v>0</v>
      </c>
      <c r="V2838" s="6">
        <v>0</v>
      </c>
      <c r="W2838" s="6">
        <v>0</v>
      </c>
      <c r="X2838" s="6" t="s">
        <v>169</v>
      </c>
      <c r="Z2838" s="6" t="s">
        <v>170</v>
      </c>
      <c r="AA2838" s="6" t="s">
        <v>171</v>
      </c>
      <c r="AB2838" s="6">
        <v>0</v>
      </c>
      <c r="AC2838" s="6" t="str">
        <f>""</f>
        <v/>
      </c>
      <c r="AS2838" s="6">
        <v>0</v>
      </c>
      <c r="AT2838" s="6">
        <v>0</v>
      </c>
    </row>
    <row r="2839" spans="2:46">
      <c r="B2839" s="6" t="s">
        <v>11612</v>
      </c>
      <c r="D2839" s="6" t="s">
        <v>8189</v>
      </c>
      <c r="F2839" s="6" t="s">
        <v>11675</v>
      </c>
      <c r="G2839" s="6" t="str">
        <f>"3175224102323205"</f>
        <v>3175224102323205</v>
      </c>
      <c r="H2839" s="6">
        <v>3175224102323200</v>
      </c>
      <c r="I2839" s="6" t="s">
        <v>11676</v>
      </c>
      <c r="J2839" s="6" t="str">
        <f>"SCORPION(EMROIDERY) SWEAT SHIRTS_,BLUE"</f>
        <v>SCORPION(EMROIDERY) SWEAT SHIRTS_,BLUE</v>
      </c>
      <c r="K2839" s="6">
        <v>0</v>
      </c>
      <c r="L2839" s="6">
        <v>0</v>
      </c>
      <c r="M2839" s="6">
        <v>0</v>
      </c>
      <c r="N2839" s="6" t="str">
        <f>""</f>
        <v/>
      </c>
      <c r="O2839" s="6">
        <v>24031</v>
      </c>
      <c r="P2839" s="6" t="s">
        <v>11677</v>
      </c>
      <c r="R2839" s="6" t="s">
        <v>5275</v>
      </c>
      <c r="S2839" s="6" t="s">
        <v>11678</v>
      </c>
      <c r="T2839" s="6">
        <v>0</v>
      </c>
      <c r="U2839" s="6">
        <v>0</v>
      </c>
      <c r="V2839" s="6">
        <v>0</v>
      </c>
      <c r="W2839" s="6">
        <v>0</v>
      </c>
      <c r="X2839" s="6" t="s">
        <v>169</v>
      </c>
      <c r="Z2839" s="6" t="s">
        <v>170</v>
      </c>
      <c r="AA2839" s="6" t="s">
        <v>171</v>
      </c>
      <c r="AB2839" s="6">
        <v>0</v>
      </c>
      <c r="AC2839" s="6" t="str">
        <f>""</f>
        <v/>
      </c>
      <c r="AS2839" s="6">
        <v>0</v>
      </c>
      <c r="AT2839" s="6">
        <v>2</v>
      </c>
    </row>
    <row r="2840" spans="2:46">
      <c r="B2840" s="6" t="s">
        <v>11612</v>
      </c>
      <c r="D2840" s="6" t="s">
        <v>8189</v>
      </c>
      <c r="F2840" s="6" t="s">
        <v>11679</v>
      </c>
      <c r="G2840" s="6" t="str">
        <f>"3175224102323204"</f>
        <v>3175224102323204</v>
      </c>
      <c r="H2840" s="6">
        <v>3175224102323200</v>
      </c>
      <c r="I2840" s="6" t="s">
        <v>11676</v>
      </c>
      <c r="J2840" s="6" t="str">
        <f>"SCORPION(EMROIDERY) SWEAT SHIRTS_,BLUE"</f>
        <v>SCORPION(EMROIDERY) SWEAT SHIRTS_,BLUE</v>
      </c>
      <c r="K2840" s="6">
        <v>0</v>
      </c>
      <c r="L2840" s="6">
        <v>0</v>
      </c>
      <c r="M2840" s="6">
        <v>0</v>
      </c>
      <c r="N2840" s="6" t="str">
        <f>""</f>
        <v/>
      </c>
      <c r="O2840" s="6">
        <v>24030</v>
      </c>
      <c r="P2840" s="6" t="s">
        <v>11680</v>
      </c>
      <c r="R2840" s="6" t="s">
        <v>5340</v>
      </c>
      <c r="S2840" s="6" t="s">
        <v>11681</v>
      </c>
      <c r="T2840" s="6">
        <v>0</v>
      </c>
      <c r="U2840" s="6">
        <v>0</v>
      </c>
      <c r="V2840" s="6">
        <v>0</v>
      </c>
      <c r="W2840" s="6">
        <v>0</v>
      </c>
      <c r="X2840" s="6" t="s">
        <v>169</v>
      </c>
      <c r="Z2840" s="6" t="s">
        <v>170</v>
      </c>
      <c r="AA2840" s="6" t="s">
        <v>171</v>
      </c>
      <c r="AB2840" s="6">
        <v>0</v>
      </c>
      <c r="AC2840" s="6" t="str">
        <f>""</f>
        <v/>
      </c>
      <c r="AS2840" s="6">
        <v>0</v>
      </c>
      <c r="AT2840" s="6">
        <v>1</v>
      </c>
    </row>
    <row r="2841" spans="2:46">
      <c r="B2841" s="6" t="s">
        <v>11612</v>
      </c>
      <c r="D2841" s="6" t="s">
        <v>8189</v>
      </c>
      <c r="F2841" s="6" t="s">
        <v>11682</v>
      </c>
      <c r="G2841" s="6" t="str">
        <f>"3175224102425205"</f>
        <v>3175224102425205</v>
      </c>
      <c r="H2841" s="6">
        <v>3175224102425200</v>
      </c>
      <c r="I2841" s="6" t="s">
        <v>11683</v>
      </c>
      <c r="J2841" s="6" t="str">
        <f>"SKINK(EMROIDERY) SWEAT SHIRTS_COBALT"</f>
        <v>SKINK(EMROIDERY) SWEAT SHIRTS_COBALT</v>
      </c>
      <c r="K2841" s="6">
        <v>0</v>
      </c>
      <c r="L2841" s="6">
        <v>0</v>
      </c>
      <c r="M2841" s="6">
        <v>0</v>
      </c>
      <c r="N2841" s="6" t="str">
        <f>""</f>
        <v/>
      </c>
      <c r="O2841" s="6">
        <v>24028</v>
      </c>
      <c r="P2841" s="6" t="s">
        <v>11684</v>
      </c>
      <c r="R2841" s="6" t="s">
        <v>11685</v>
      </c>
      <c r="S2841" s="6" t="s">
        <v>11686</v>
      </c>
      <c r="T2841" s="6">
        <v>0</v>
      </c>
      <c r="U2841" s="6">
        <v>0</v>
      </c>
      <c r="V2841" s="6">
        <v>0</v>
      </c>
      <c r="W2841" s="6">
        <v>0</v>
      </c>
      <c r="X2841" s="6" t="s">
        <v>169</v>
      </c>
      <c r="Z2841" s="6" t="s">
        <v>170</v>
      </c>
      <c r="AA2841" s="6" t="s">
        <v>171</v>
      </c>
      <c r="AB2841" s="6">
        <v>0</v>
      </c>
      <c r="AC2841" s="6" t="str">
        <f>""</f>
        <v/>
      </c>
      <c r="AS2841" s="6">
        <v>0</v>
      </c>
      <c r="AT2841" s="6">
        <v>2</v>
      </c>
    </row>
    <row r="2842" spans="2:46">
      <c r="B2842" s="6" t="s">
        <v>11612</v>
      </c>
      <c r="D2842" s="6" t="s">
        <v>8189</v>
      </c>
      <c r="F2842" s="6" t="s">
        <v>11687</v>
      </c>
      <c r="G2842" s="6" t="str">
        <f>"3175224102425204"</f>
        <v>3175224102425204</v>
      </c>
      <c r="H2842" s="6">
        <v>3175224102425200</v>
      </c>
      <c r="I2842" s="6" t="s">
        <v>11683</v>
      </c>
      <c r="J2842" s="6" t="str">
        <f>"SKINK(EMROIDERY) SWEAT SHIRTS_COBALT"</f>
        <v>SKINK(EMROIDERY) SWEAT SHIRTS_COBALT</v>
      </c>
      <c r="K2842" s="6">
        <v>0</v>
      </c>
      <c r="L2842" s="6">
        <v>0</v>
      </c>
      <c r="M2842" s="6">
        <v>0</v>
      </c>
      <c r="N2842" s="6" t="str">
        <f>""</f>
        <v/>
      </c>
      <c r="O2842" s="6">
        <v>24027</v>
      </c>
      <c r="P2842" s="6" t="s">
        <v>11688</v>
      </c>
      <c r="R2842" s="6" t="s">
        <v>11689</v>
      </c>
      <c r="S2842" s="6" t="s">
        <v>11690</v>
      </c>
      <c r="T2842" s="6">
        <v>0</v>
      </c>
      <c r="U2842" s="6">
        <v>0</v>
      </c>
      <c r="V2842" s="6">
        <v>0</v>
      </c>
      <c r="W2842" s="6">
        <v>0</v>
      </c>
      <c r="X2842" s="6" t="s">
        <v>169</v>
      </c>
      <c r="Z2842" s="6" t="s">
        <v>170</v>
      </c>
      <c r="AA2842" s="6" t="s">
        <v>171</v>
      </c>
      <c r="AB2842" s="6">
        <v>0</v>
      </c>
      <c r="AC2842" s="6" t="str">
        <f>""</f>
        <v/>
      </c>
      <c r="AS2842" s="6">
        <v>0</v>
      </c>
      <c r="AT2842" s="6">
        <v>1</v>
      </c>
    </row>
    <row r="2843" spans="2:46">
      <c r="B2843" s="6" t="s">
        <v>11612</v>
      </c>
      <c r="D2843" s="6" t="s">
        <v>8189</v>
      </c>
      <c r="F2843" s="6" t="s">
        <v>11691</v>
      </c>
      <c r="G2843" s="6" t="str">
        <f>"3175224101965205"</f>
        <v>3175224101965205</v>
      </c>
      <c r="H2843" s="6">
        <v>3175224101965200</v>
      </c>
      <c r="I2843" s="6" t="s">
        <v>11692</v>
      </c>
      <c r="J2843" s="6" t="str">
        <f>"SKINK(EMBROIDERY) LONG LEEVES_YELLOW"</f>
        <v>SKINK(EMBROIDERY) LONG LEEVES_YELLOW</v>
      </c>
      <c r="K2843" s="6">
        <v>0</v>
      </c>
      <c r="L2843" s="6">
        <v>0</v>
      </c>
      <c r="M2843" s="6">
        <v>0</v>
      </c>
      <c r="N2843" s="6" t="str">
        <f>""</f>
        <v/>
      </c>
      <c r="O2843" s="6">
        <v>24025</v>
      </c>
      <c r="P2843" s="6" t="s">
        <v>11693</v>
      </c>
      <c r="R2843" s="6" t="s">
        <v>5329</v>
      </c>
      <c r="S2843" s="6" t="s">
        <v>11694</v>
      </c>
      <c r="T2843" s="6">
        <v>0</v>
      </c>
      <c r="U2843" s="6">
        <v>0</v>
      </c>
      <c r="V2843" s="6">
        <v>0</v>
      </c>
      <c r="W2843" s="6">
        <v>0</v>
      </c>
      <c r="X2843" s="6" t="s">
        <v>169</v>
      </c>
      <c r="Z2843" s="6" t="s">
        <v>170</v>
      </c>
      <c r="AA2843" s="6" t="s">
        <v>171</v>
      </c>
      <c r="AB2843" s="6">
        <v>0</v>
      </c>
      <c r="AC2843" s="6" t="str">
        <f>""</f>
        <v/>
      </c>
      <c r="AS2843" s="6">
        <v>0</v>
      </c>
      <c r="AT2843" s="6">
        <v>2</v>
      </c>
    </row>
    <row r="2844" spans="2:46">
      <c r="B2844" s="6" t="s">
        <v>11612</v>
      </c>
      <c r="D2844" s="6" t="s">
        <v>8189</v>
      </c>
      <c r="F2844" s="6" t="s">
        <v>11695</v>
      </c>
      <c r="G2844" s="6" t="str">
        <f>"3175224101965204"</f>
        <v>3175224101965204</v>
      </c>
      <c r="H2844" s="6">
        <v>3175224101965200</v>
      </c>
      <c r="I2844" s="6" t="s">
        <v>11692</v>
      </c>
      <c r="J2844" s="6" t="str">
        <f>"SKINK(EMBROIDERY) LONG LEEVES_YELLOW"</f>
        <v>SKINK(EMBROIDERY) LONG LEEVES_YELLOW</v>
      </c>
      <c r="K2844" s="6">
        <v>0</v>
      </c>
      <c r="L2844" s="6">
        <v>0</v>
      </c>
      <c r="M2844" s="6">
        <v>0</v>
      </c>
      <c r="N2844" s="6" t="str">
        <f>""</f>
        <v/>
      </c>
      <c r="O2844" s="6">
        <v>24024</v>
      </c>
      <c r="P2844" s="6" t="s">
        <v>11696</v>
      </c>
      <c r="R2844" s="6" t="s">
        <v>3653</v>
      </c>
      <c r="S2844" s="6" t="s">
        <v>11697</v>
      </c>
      <c r="T2844" s="6">
        <v>0</v>
      </c>
      <c r="U2844" s="6">
        <v>0</v>
      </c>
      <c r="V2844" s="6">
        <v>0</v>
      </c>
      <c r="W2844" s="6">
        <v>0</v>
      </c>
      <c r="X2844" s="6" t="s">
        <v>169</v>
      </c>
      <c r="Z2844" s="6" t="s">
        <v>170</v>
      </c>
      <c r="AA2844" s="6" t="s">
        <v>171</v>
      </c>
      <c r="AB2844" s="6">
        <v>0</v>
      </c>
      <c r="AC2844" s="6" t="str">
        <f>""</f>
        <v/>
      </c>
      <c r="AS2844" s="6">
        <v>0</v>
      </c>
      <c r="AT2844" s="6">
        <v>2</v>
      </c>
    </row>
    <row r="2845" spans="2:46">
      <c r="B2845" s="6" t="s">
        <v>11612</v>
      </c>
      <c r="D2845" s="6" t="s">
        <v>8189</v>
      </c>
      <c r="F2845" s="6" t="s">
        <v>11698</v>
      </c>
      <c r="G2845" s="6" t="str">
        <f>"3175224101899205"</f>
        <v>3175224101899205</v>
      </c>
      <c r="H2845" s="6">
        <v>3175224101899200</v>
      </c>
      <c r="I2845" s="6" t="s">
        <v>11699</v>
      </c>
      <c r="J2845" s="6" t="str">
        <f>"SKINK(EMBROIDERY) LONG LEEVES_BLACK"</f>
        <v>SKINK(EMBROIDERY) LONG LEEVES_BLACK</v>
      </c>
      <c r="K2845" s="6">
        <v>0</v>
      </c>
      <c r="L2845" s="6">
        <v>0</v>
      </c>
      <c r="M2845" s="6">
        <v>0</v>
      </c>
      <c r="N2845" s="6" t="str">
        <f>""</f>
        <v/>
      </c>
      <c r="O2845" s="6">
        <v>24022</v>
      </c>
      <c r="P2845" s="6" t="s">
        <v>11700</v>
      </c>
      <c r="R2845" s="6" t="s">
        <v>5106</v>
      </c>
      <c r="S2845" s="6" t="s">
        <v>11701</v>
      </c>
      <c r="T2845" s="6">
        <v>0</v>
      </c>
      <c r="U2845" s="6">
        <v>0</v>
      </c>
      <c r="V2845" s="6">
        <v>0</v>
      </c>
      <c r="W2845" s="6">
        <v>0</v>
      </c>
      <c r="X2845" s="6" t="s">
        <v>169</v>
      </c>
      <c r="Z2845" s="6" t="s">
        <v>170</v>
      </c>
      <c r="AA2845" s="6" t="s">
        <v>171</v>
      </c>
      <c r="AB2845" s="6">
        <v>0</v>
      </c>
      <c r="AC2845" s="6" t="str">
        <f>""</f>
        <v/>
      </c>
      <c r="AS2845" s="6">
        <v>0</v>
      </c>
      <c r="AT2845" s="6">
        <v>2</v>
      </c>
    </row>
    <row r="2846" spans="2:46">
      <c r="B2846" s="6" t="s">
        <v>11612</v>
      </c>
      <c r="D2846" s="6" t="s">
        <v>8189</v>
      </c>
      <c r="F2846" s="6" t="s">
        <v>11702</v>
      </c>
      <c r="G2846" s="6" t="str">
        <f>"3175224101899204"</f>
        <v>3175224101899204</v>
      </c>
      <c r="H2846" s="6">
        <v>3175224101899200</v>
      </c>
      <c r="I2846" s="6" t="s">
        <v>11699</v>
      </c>
      <c r="J2846" s="6" t="str">
        <f>"SKINK(EMBROIDERY) LONG LEEVES_BLACK"</f>
        <v>SKINK(EMBROIDERY) LONG LEEVES_BLACK</v>
      </c>
      <c r="K2846" s="6">
        <v>0</v>
      </c>
      <c r="L2846" s="6">
        <v>0</v>
      </c>
      <c r="M2846" s="6">
        <v>0</v>
      </c>
      <c r="N2846" s="6" t="str">
        <f>""</f>
        <v/>
      </c>
      <c r="O2846" s="6">
        <v>24021</v>
      </c>
      <c r="P2846" s="6" t="s">
        <v>11703</v>
      </c>
      <c r="R2846" s="6" t="s">
        <v>601</v>
      </c>
      <c r="S2846" s="6" t="s">
        <v>11704</v>
      </c>
      <c r="T2846" s="6">
        <v>0</v>
      </c>
      <c r="U2846" s="6">
        <v>0</v>
      </c>
      <c r="V2846" s="6">
        <v>0</v>
      </c>
      <c r="W2846" s="6">
        <v>0</v>
      </c>
      <c r="X2846" s="6" t="s">
        <v>169</v>
      </c>
      <c r="Z2846" s="6" t="s">
        <v>170</v>
      </c>
      <c r="AA2846" s="6" t="s">
        <v>171</v>
      </c>
      <c r="AB2846" s="6">
        <v>0</v>
      </c>
      <c r="AC2846" s="6" t="str">
        <f>""</f>
        <v/>
      </c>
      <c r="AS2846" s="6">
        <v>0</v>
      </c>
      <c r="AT2846" s="6">
        <v>0</v>
      </c>
    </row>
    <row r="2847" spans="2:46">
      <c r="B2847" s="6" t="s">
        <v>11612</v>
      </c>
      <c r="D2847" s="6" t="s">
        <v>8189</v>
      </c>
      <c r="F2847" s="6" t="s">
        <v>11705</v>
      </c>
      <c r="G2847" s="6" t="str">
        <f>"3175224101501205"</f>
        <v>3175224101501205</v>
      </c>
      <c r="H2847" s="6">
        <v>3175224101501200</v>
      </c>
      <c r="I2847" s="6" t="s">
        <v>11706</v>
      </c>
      <c r="J2847" s="6" t="str">
        <f>"COBRA(EMBROIDERY) LONG LEEVES_PINK"</f>
        <v>COBRA(EMBROIDERY) LONG LEEVES_PINK</v>
      </c>
      <c r="K2847" s="6">
        <v>0</v>
      </c>
      <c r="L2847" s="6">
        <v>0</v>
      </c>
      <c r="M2847" s="6">
        <v>0</v>
      </c>
      <c r="N2847" s="6" t="str">
        <f>""</f>
        <v/>
      </c>
      <c r="O2847" s="6">
        <v>24019</v>
      </c>
      <c r="P2847" s="6" t="s">
        <v>11707</v>
      </c>
      <c r="R2847" s="6" t="s">
        <v>5293</v>
      </c>
      <c r="S2847" s="6" t="s">
        <v>11708</v>
      </c>
      <c r="T2847" s="6">
        <v>0</v>
      </c>
      <c r="U2847" s="6">
        <v>0</v>
      </c>
      <c r="V2847" s="6">
        <v>0</v>
      </c>
      <c r="W2847" s="6">
        <v>0</v>
      </c>
      <c r="X2847" s="6" t="s">
        <v>169</v>
      </c>
      <c r="Z2847" s="6" t="s">
        <v>170</v>
      </c>
      <c r="AA2847" s="6" t="s">
        <v>171</v>
      </c>
      <c r="AB2847" s="6">
        <v>0</v>
      </c>
      <c r="AC2847" s="6" t="str">
        <f>""</f>
        <v/>
      </c>
      <c r="AS2847" s="6">
        <v>0</v>
      </c>
      <c r="AT2847" s="6">
        <v>2</v>
      </c>
    </row>
    <row r="2848" spans="2:46">
      <c r="B2848" s="6" t="s">
        <v>11612</v>
      </c>
      <c r="D2848" s="6" t="s">
        <v>8189</v>
      </c>
      <c r="F2848" s="6" t="s">
        <v>11709</v>
      </c>
      <c r="G2848" s="6" t="str">
        <f>"3175224101501204"</f>
        <v>3175224101501204</v>
      </c>
      <c r="H2848" s="6">
        <v>3175224101501200</v>
      </c>
      <c r="I2848" s="6" t="s">
        <v>11706</v>
      </c>
      <c r="J2848" s="6" t="str">
        <f>"COBRA(EMBROIDERY) LONG LEEVES_PINK"</f>
        <v>COBRA(EMBROIDERY) LONG LEEVES_PINK</v>
      </c>
      <c r="K2848" s="6">
        <v>0</v>
      </c>
      <c r="L2848" s="6">
        <v>0</v>
      </c>
      <c r="M2848" s="6">
        <v>0</v>
      </c>
      <c r="N2848" s="6" t="str">
        <f>""</f>
        <v/>
      </c>
      <c r="O2848" s="6">
        <v>24018</v>
      </c>
      <c r="P2848" s="6" t="s">
        <v>11710</v>
      </c>
      <c r="R2848" s="6" t="s">
        <v>3708</v>
      </c>
      <c r="S2848" s="6" t="s">
        <v>11711</v>
      </c>
      <c r="T2848" s="6">
        <v>0</v>
      </c>
      <c r="U2848" s="6">
        <v>0</v>
      </c>
      <c r="V2848" s="6">
        <v>0</v>
      </c>
      <c r="W2848" s="6">
        <v>0</v>
      </c>
      <c r="X2848" s="6" t="s">
        <v>169</v>
      </c>
      <c r="Z2848" s="6" t="s">
        <v>170</v>
      </c>
      <c r="AA2848" s="6" t="s">
        <v>171</v>
      </c>
      <c r="AB2848" s="6">
        <v>0</v>
      </c>
      <c r="AC2848" s="6" t="str">
        <f>""</f>
        <v/>
      </c>
      <c r="AS2848" s="6">
        <v>0</v>
      </c>
      <c r="AT2848" s="6">
        <v>0</v>
      </c>
    </row>
    <row r="2849" spans="2:46">
      <c r="B2849" s="6" t="s">
        <v>11612</v>
      </c>
      <c r="D2849" s="6" t="s">
        <v>8189</v>
      </c>
      <c r="F2849" s="6" t="s">
        <v>11712</v>
      </c>
      <c r="G2849" s="6" t="str">
        <f>"3175224101499205"</f>
        <v>3175224101499205</v>
      </c>
      <c r="H2849" s="6">
        <v>3175224101499200</v>
      </c>
      <c r="I2849" s="6" t="s">
        <v>11713</v>
      </c>
      <c r="J2849" s="6" t="str">
        <f>"COBRA(EMBROIDERY) LONG LEEVES_BLACK"</f>
        <v>COBRA(EMBROIDERY) LONG LEEVES_BLACK</v>
      </c>
      <c r="K2849" s="6">
        <v>0</v>
      </c>
      <c r="L2849" s="6">
        <v>0</v>
      </c>
      <c r="M2849" s="6">
        <v>0</v>
      </c>
      <c r="N2849" s="6" t="str">
        <f>""</f>
        <v/>
      </c>
      <c r="O2849" s="6">
        <v>24016</v>
      </c>
      <c r="P2849" s="6" t="s">
        <v>11714</v>
      </c>
      <c r="R2849" s="6" t="s">
        <v>5106</v>
      </c>
      <c r="S2849" s="6" t="s">
        <v>11715</v>
      </c>
      <c r="T2849" s="6">
        <v>0</v>
      </c>
      <c r="U2849" s="6">
        <v>0</v>
      </c>
      <c r="V2849" s="6">
        <v>0</v>
      </c>
      <c r="W2849" s="6">
        <v>0</v>
      </c>
      <c r="X2849" s="6" t="s">
        <v>169</v>
      </c>
      <c r="Z2849" s="6" t="s">
        <v>170</v>
      </c>
      <c r="AA2849" s="6" t="s">
        <v>171</v>
      </c>
      <c r="AB2849" s="6">
        <v>0</v>
      </c>
      <c r="AC2849" s="6" t="str">
        <f>""</f>
        <v/>
      </c>
      <c r="AS2849" s="6">
        <v>0</v>
      </c>
      <c r="AT2849" s="6">
        <v>2</v>
      </c>
    </row>
    <row r="2850" spans="2:46">
      <c r="B2850" s="6" t="s">
        <v>11612</v>
      </c>
      <c r="D2850" s="6" t="s">
        <v>8189</v>
      </c>
      <c r="F2850" s="6" t="s">
        <v>11716</v>
      </c>
      <c r="G2850" s="6" t="str">
        <f>"3175224101499204"</f>
        <v>3175224101499204</v>
      </c>
      <c r="H2850" s="6">
        <v>3175224101499200</v>
      </c>
      <c r="I2850" s="6" t="s">
        <v>11713</v>
      </c>
      <c r="J2850" s="6" t="str">
        <f>"COBRA(EMBROIDERY) LONG LEEVES_BLACK"</f>
        <v>COBRA(EMBROIDERY) LONG LEEVES_BLACK</v>
      </c>
      <c r="K2850" s="6">
        <v>0</v>
      </c>
      <c r="L2850" s="6">
        <v>0</v>
      </c>
      <c r="M2850" s="6">
        <v>0</v>
      </c>
      <c r="N2850" s="6" t="str">
        <f>""</f>
        <v/>
      </c>
      <c r="O2850" s="6">
        <v>24015</v>
      </c>
      <c r="P2850" s="6" t="s">
        <v>11717</v>
      </c>
      <c r="R2850" s="6" t="s">
        <v>601</v>
      </c>
      <c r="S2850" s="6" t="s">
        <v>11718</v>
      </c>
      <c r="T2850" s="6">
        <v>0</v>
      </c>
      <c r="U2850" s="6">
        <v>0</v>
      </c>
      <c r="V2850" s="6">
        <v>0</v>
      </c>
      <c r="W2850" s="6">
        <v>0</v>
      </c>
      <c r="X2850" s="6" t="s">
        <v>169</v>
      </c>
      <c r="Z2850" s="6" t="s">
        <v>170</v>
      </c>
      <c r="AA2850" s="6" t="s">
        <v>171</v>
      </c>
      <c r="AB2850" s="6">
        <v>0</v>
      </c>
      <c r="AC2850" s="6" t="str">
        <f>""</f>
        <v/>
      </c>
      <c r="AS2850" s="6">
        <v>0</v>
      </c>
      <c r="AT2850" s="6">
        <v>1</v>
      </c>
    </row>
    <row r="2851" spans="2:46">
      <c r="B2851" s="6" t="s">
        <v>11612</v>
      </c>
      <c r="D2851" s="6" t="s">
        <v>8189</v>
      </c>
      <c r="F2851" s="6" t="s">
        <v>11719</v>
      </c>
      <c r="G2851" s="6" t="str">
        <f>"3175224102145205"</f>
        <v>3175224102145205</v>
      </c>
      <c r="H2851" s="6">
        <v>3175224102145200</v>
      </c>
      <c r="I2851" s="6" t="s">
        <v>11720</v>
      </c>
      <c r="J2851" s="6" t="str">
        <f>"SCORPION(EMBROIDERY) LONG LEEVES_GREEN"</f>
        <v>SCORPION(EMBROIDERY) LONG LEEVES_GREEN</v>
      </c>
      <c r="K2851" s="6">
        <v>0</v>
      </c>
      <c r="L2851" s="6">
        <v>0</v>
      </c>
      <c r="M2851" s="6">
        <v>0</v>
      </c>
      <c r="N2851" s="6" t="str">
        <f>""</f>
        <v/>
      </c>
      <c r="O2851" s="6">
        <v>24013</v>
      </c>
      <c r="P2851" s="6" t="s">
        <v>11721</v>
      </c>
      <c r="R2851" s="6" t="s">
        <v>5406</v>
      </c>
      <c r="S2851" s="6" t="s">
        <v>11722</v>
      </c>
      <c r="T2851" s="6">
        <v>0</v>
      </c>
      <c r="U2851" s="6">
        <v>0</v>
      </c>
      <c r="V2851" s="6">
        <v>0</v>
      </c>
      <c r="W2851" s="6">
        <v>0</v>
      </c>
      <c r="X2851" s="6" t="s">
        <v>169</v>
      </c>
      <c r="Z2851" s="6" t="s">
        <v>170</v>
      </c>
      <c r="AA2851" s="6" t="s">
        <v>171</v>
      </c>
      <c r="AB2851" s="6">
        <v>0</v>
      </c>
      <c r="AC2851" s="6" t="str">
        <f>""</f>
        <v/>
      </c>
      <c r="AS2851" s="6">
        <v>0</v>
      </c>
      <c r="AT2851" s="6">
        <v>2</v>
      </c>
    </row>
    <row r="2852" spans="2:46">
      <c r="B2852" s="6" t="s">
        <v>11612</v>
      </c>
      <c r="D2852" s="6" t="s">
        <v>8189</v>
      </c>
      <c r="F2852" s="6" t="s">
        <v>11723</v>
      </c>
      <c r="G2852" s="6" t="str">
        <f>"3175224102145204"</f>
        <v>3175224102145204</v>
      </c>
      <c r="H2852" s="6">
        <v>3175224102145200</v>
      </c>
      <c r="I2852" s="6" t="s">
        <v>11720</v>
      </c>
      <c r="J2852" s="6" t="str">
        <f>"SCORPION(EMBROIDERY) LONG LEEVES_GREEN"</f>
        <v>SCORPION(EMBROIDERY) LONG LEEVES_GREEN</v>
      </c>
      <c r="K2852" s="6">
        <v>0</v>
      </c>
      <c r="L2852" s="6">
        <v>0</v>
      </c>
      <c r="M2852" s="6">
        <v>0</v>
      </c>
      <c r="N2852" s="6" t="str">
        <f>""</f>
        <v/>
      </c>
      <c r="O2852" s="6">
        <v>24012</v>
      </c>
      <c r="P2852" s="6" t="s">
        <v>11724</v>
      </c>
      <c r="R2852" s="6" t="s">
        <v>5649</v>
      </c>
      <c r="S2852" s="6" t="s">
        <v>11725</v>
      </c>
      <c r="T2852" s="6">
        <v>0</v>
      </c>
      <c r="U2852" s="6">
        <v>0</v>
      </c>
      <c r="V2852" s="6">
        <v>0</v>
      </c>
      <c r="W2852" s="6">
        <v>0</v>
      </c>
      <c r="X2852" s="6" t="s">
        <v>169</v>
      </c>
      <c r="Z2852" s="6" t="s">
        <v>170</v>
      </c>
      <c r="AA2852" s="6" t="s">
        <v>171</v>
      </c>
      <c r="AB2852" s="6">
        <v>0</v>
      </c>
      <c r="AC2852" s="6" t="str">
        <f>""</f>
        <v/>
      </c>
      <c r="AS2852" s="6">
        <v>0</v>
      </c>
      <c r="AT2852" s="6">
        <v>2</v>
      </c>
    </row>
    <row r="2853" spans="2:46">
      <c r="B2853" s="6" t="s">
        <v>11612</v>
      </c>
      <c r="D2853" s="6" t="s">
        <v>8189</v>
      </c>
      <c r="F2853" s="6" t="s">
        <v>11726</v>
      </c>
      <c r="G2853" s="6" t="str">
        <f>"3175224102099205"</f>
        <v>3175224102099205</v>
      </c>
      <c r="H2853" s="6">
        <v>3175224102099200</v>
      </c>
      <c r="I2853" s="6" t="s">
        <v>11727</v>
      </c>
      <c r="J2853" s="6" t="str">
        <f>"SCORPION(EMBROIDERY) LONG LEEVES_BLACK"</f>
        <v>SCORPION(EMBROIDERY) LONG LEEVES_BLACK</v>
      </c>
      <c r="K2853" s="6">
        <v>0</v>
      </c>
      <c r="L2853" s="6">
        <v>0</v>
      </c>
      <c r="M2853" s="6">
        <v>0</v>
      </c>
      <c r="N2853" s="6" t="str">
        <f>""</f>
        <v/>
      </c>
      <c r="O2853" s="6">
        <v>24010</v>
      </c>
      <c r="P2853" s="6" t="s">
        <v>11728</v>
      </c>
      <c r="R2853" s="6" t="s">
        <v>5106</v>
      </c>
      <c r="S2853" s="6" t="s">
        <v>11729</v>
      </c>
      <c r="T2853" s="6">
        <v>0</v>
      </c>
      <c r="U2853" s="6">
        <v>0</v>
      </c>
      <c r="V2853" s="6">
        <v>0</v>
      </c>
      <c r="W2853" s="6">
        <v>0</v>
      </c>
      <c r="X2853" s="6" t="s">
        <v>169</v>
      </c>
      <c r="Z2853" s="6" t="s">
        <v>170</v>
      </c>
      <c r="AA2853" s="6" t="s">
        <v>171</v>
      </c>
      <c r="AB2853" s="6">
        <v>0</v>
      </c>
      <c r="AC2853" s="6" t="str">
        <f>""</f>
        <v/>
      </c>
      <c r="AS2853" s="6">
        <v>0</v>
      </c>
      <c r="AT2853" s="6">
        <v>2</v>
      </c>
    </row>
    <row r="2854" spans="2:46">
      <c r="B2854" s="6" t="s">
        <v>11612</v>
      </c>
      <c r="D2854" s="6" t="s">
        <v>8189</v>
      </c>
      <c r="F2854" s="6" t="s">
        <v>11730</v>
      </c>
      <c r="G2854" s="6" t="str">
        <f>"3175224102099204"</f>
        <v>3175224102099204</v>
      </c>
      <c r="H2854" s="6">
        <v>3175224102099200</v>
      </c>
      <c r="I2854" s="6" t="s">
        <v>11727</v>
      </c>
      <c r="J2854" s="6" t="str">
        <f>"SCORPION(EMBROIDERY) LONG LEEVES_BLACK"</f>
        <v>SCORPION(EMBROIDERY) LONG LEEVES_BLACK</v>
      </c>
      <c r="K2854" s="6">
        <v>0</v>
      </c>
      <c r="L2854" s="6">
        <v>0</v>
      </c>
      <c r="M2854" s="6">
        <v>0</v>
      </c>
      <c r="N2854" s="6" t="str">
        <f>""</f>
        <v/>
      </c>
      <c r="O2854" s="6">
        <v>24009</v>
      </c>
      <c r="P2854" s="6" t="s">
        <v>11731</v>
      </c>
      <c r="R2854" s="6" t="s">
        <v>601</v>
      </c>
      <c r="S2854" s="6" t="s">
        <v>11732</v>
      </c>
      <c r="T2854" s="6">
        <v>0</v>
      </c>
      <c r="U2854" s="6">
        <v>0</v>
      </c>
      <c r="V2854" s="6">
        <v>0</v>
      </c>
      <c r="W2854" s="6">
        <v>0</v>
      </c>
      <c r="X2854" s="6" t="s">
        <v>169</v>
      </c>
      <c r="Z2854" s="6" t="s">
        <v>170</v>
      </c>
      <c r="AA2854" s="6" t="s">
        <v>171</v>
      </c>
      <c r="AB2854" s="6">
        <v>0</v>
      </c>
      <c r="AC2854" s="6" t="str">
        <f>""</f>
        <v/>
      </c>
      <c r="AS2854" s="6">
        <v>0</v>
      </c>
      <c r="AT2854" s="6">
        <v>1</v>
      </c>
    </row>
    <row r="2855" spans="2:46">
      <c r="B2855" s="6" t="s">
        <v>11612</v>
      </c>
      <c r="D2855" s="6" t="s">
        <v>8189</v>
      </c>
      <c r="F2855" s="6" t="s">
        <v>11733</v>
      </c>
      <c r="G2855" s="6" t="str">
        <f>"3175234101661208"</f>
        <v>3175234101661208</v>
      </c>
      <c r="H2855" s="6">
        <v>3175234101661200</v>
      </c>
      <c r="I2855" s="6" t="s">
        <v>11734</v>
      </c>
      <c r="J2855" s="6" t="str">
        <f>"SNAKE ROSE HOODIE"</f>
        <v>SNAKE ROSE HOODIE</v>
      </c>
      <c r="K2855" s="6">
        <v>0</v>
      </c>
      <c r="L2855" s="6">
        <v>0</v>
      </c>
      <c r="M2855" s="6">
        <v>0</v>
      </c>
      <c r="N2855" s="6" t="str">
        <f>""</f>
        <v/>
      </c>
      <c r="O2855" s="6">
        <v>24007</v>
      </c>
      <c r="P2855" s="6" t="s">
        <v>11735</v>
      </c>
      <c r="R2855" s="6" t="s">
        <v>2106</v>
      </c>
      <c r="S2855" s="6" t="s">
        <v>11736</v>
      </c>
      <c r="T2855" s="6">
        <v>0</v>
      </c>
      <c r="U2855" s="6">
        <v>0</v>
      </c>
      <c r="V2855" s="6">
        <v>0</v>
      </c>
      <c r="W2855" s="6">
        <v>0</v>
      </c>
      <c r="X2855" s="6" t="s">
        <v>169</v>
      </c>
      <c r="Z2855" s="6" t="s">
        <v>170</v>
      </c>
      <c r="AA2855" s="6" t="s">
        <v>171</v>
      </c>
      <c r="AB2855" s="6">
        <v>0</v>
      </c>
      <c r="AC2855" s="6" t="str">
        <f>""</f>
        <v/>
      </c>
      <c r="AS2855" s="6">
        <v>0</v>
      </c>
      <c r="AT2855" s="6">
        <v>0</v>
      </c>
    </row>
    <row r="2856" spans="2:46">
      <c r="B2856" s="6" t="s">
        <v>11612</v>
      </c>
      <c r="D2856" s="6" t="s">
        <v>8189</v>
      </c>
      <c r="F2856" s="6" t="s">
        <v>11737</v>
      </c>
      <c r="G2856" s="6" t="str">
        <f>"3175234101799208"</f>
        <v>3175234101799208</v>
      </c>
      <c r="H2856" s="6">
        <v>3175234101799200</v>
      </c>
      <c r="I2856" s="6" t="s">
        <v>11738</v>
      </c>
      <c r="J2856" s="6" t="str">
        <f>"OSIRIS HOODIE"</f>
        <v>OSIRIS HOODIE</v>
      </c>
      <c r="K2856" s="6">
        <v>0</v>
      </c>
      <c r="L2856" s="6">
        <v>0</v>
      </c>
      <c r="M2856" s="6">
        <v>0</v>
      </c>
      <c r="N2856" s="6" t="str">
        <f>""</f>
        <v/>
      </c>
      <c r="O2856" s="6">
        <v>24005</v>
      </c>
      <c r="P2856" s="6" t="s">
        <v>11739</v>
      </c>
      <c r="R2856" s="6" t="s">
        <v>11740</v>
      </c>
      <c r="S2856" s="6" t="s">
        <v>11741</v>
      </c>
      <c r="T2856" s="6">
        <v>0</v>
      </c>
      <c r="U2856" s="6">
        <v>0</v>
      </c>
      <c r="V2856" s="6">
        <v>0</v>
      </c>
      <c r="W2856" s="6">
        <v>0</v>
      </c>
      <c r="X2856" s="6" t="s">
        <v>169</v>
      </c>
      <c r="Z2856" s="6" t="s">
        <v>170</v>
      </c>
      <c r="AA2856" s="6" t="s">
        <v>171</v>
      </c>
      <c r="AB2856" s="6">
        <v>0</v>
      </c>
      <c r="AC2856" s="6" t="str">
        <f>""</f>
        <v/>
      </c>
      <c r="AS2856" s="6">
        <v>0</v>
      </c>
      <c r="AT2856" s="6">
        <v>0</v>
      </c>
    </row>
    <row r="2857" spans="2:46">
      <c r="B2857" s="6" t="s">
        <v>11612</v>
      </c>
      <c r="D2857" s="6" t="s">
        <v>8189</v>
      </c>
      <c r="F2857" s="6" t="s">
        <v>11742</v>
      </c>
      <c r="G2857" s="6" t="str">
        <f>"3175234101564208"</f>
        <v>3175234101564208</v>
      </c>
      <c r="H2857" s="6">
        <v>3175234101564200</v>
      </c>
      <c r="I2857" s="6" t="s">
        <v>11743</v>
      </c>
      <c r="J2857" s="6" t="str">
        <f>"MISSING CLEO HOODIE_MUSTARD"</f>
        <v>MISSING CLEO HOODIE_MUSTARD</v>
      </c>
      <c r="K2857" s="6">
        <v>0</v>
      </c>
      <c r="L2857" s="6">
        <v>0</v>
      </c>
      <c r="M2857" s="6">
        <v>0</v>
      </c>
      <c r="N2857" s="6" t="str">
        <f>""</f>
        <v/>
      </c>
      <c r="O2857" s="6">
        <v>24003</v>
      </c>
      <c r="P2857" s="6" t="s">
        <v>11744</v>
      </c>
      <c r="R2857" s="6" t="s">
        <v>2369</v>
      </c>
      <c r="S2857" s="6" t="s">
        <v>11745</v>
      </c>
      <c r="T2857" s="6">
        <v>0</v>
      </c>
      <c r="U2857" s="6">
        <v>0</v>
      </c>
      <c r="V2857" s="6">
        <v>0</v>
      </c>
      <c r="W2857" s="6">
        <v>0</v>
      </c>
      <c r="X2857" s="6" t="s">
        <v>169</v>
      </c>
      <c r="Z2857" s="6" t="s">
        <v>170</v>
      </c>
      <c r="AA2857" s="6" t="s">
        <v>171</v>
      </c>
      <c r="AB2857" s="6">
        <v>0</v>
      </c>
      <c r="AC2857" s="6" t="str">
        <f>""</f>
        <v/>
      </c>
      <c r="AS2857" s="6">
        <v>0</v>
      </c>
      <c r="AT2857" s="6">
        <v>0</v>
      </c>
    </row>
    <row r="2858" spans="2:46">
      <c r="B2858" s="6" t="s">
        <v>11612</v>
      </c>
      <c r="D2858" s="6" t="s">
        <v>8189</v>
      </c>
      <c r="F2858" s="6" t="s">
        <v>11746</v>
      </c>
      <c r="G2858" s="6" t="str">
        <f>"3175234101578208"</f>
        <v>3175234101578208</v>
      </c>
      <c r="H2858" s="6">
        <v>3175234101578200</v>
      </c>
      <c r="I2858" s="6" t="s">
        <v>11747</v>
      </c>
      <c r="J2858" s="6" t="str">
        <f>"MISSING CLEO HOODIE_RED"</f>
        <v>MISSING CLEO HOODIE_RED</v>
      </c>
      <c r="K2858" s="6">
        <v>0</v>
      </c>
      <c r="L2858" s="6">
        <v>0</v>
      </c>
      <c r="M2858" s="6">
        <v>0</v>
      </c>
      <c r="N2858" s="6" t="str">
        <f>""</f>
        <v/>
      </c>
      <c r="O2858" s="6">
        <v>24001</v>
      </c>
      <c r="P2858" s="6" t="s">
        <v>11748</v>
      </c>
      <c r="R2858" s="6" t="s">
        <v>2309</v>
      </c>
      <c r="S2858" s="6" t="s">
        <v>11749</v>
      </c>
      <c r="T2858" s="6">
        <v>0</v>
      </c>
      <c r="U2858" s="6">
        <v>0</v>
      </c>
      <c r="V2858" s="6">
        <v>0</v>
      </c>
      <c r="W2858" s="6">
        <v>0</v>
      </c>
      <c r="X2858" s="6" t="s">
        <v>169</v>
      </c>
      <c r="Z2858" s="6" t="s">
        <v>170</v>
      </c>
      <c r="AA2858" s="6" t="s">
        <v>171</v>
      </c>
      <c r="AB2858" s="6">
        <v>0</v>
      </c>
      <c r="AC2858" s="6" t="str">
        <f>""</f>
        <v/>
      </c>
      <c r="AS2858" s="6">
        <v>0</v>
      </c>
      <c r="AT2858" s="6">
        <v>0</v>
      </c>
    </row>
    <row r="2859" spans="2:46">
      <c r="B2859" s="6" t="s">
        <v>11612</v>
      </c>
      <c r="D2859" s="6" t="s">
        <v>8189</v>
      </c>
      <c r="F2859" s="6" t="s">
        <v>11750</v>
      </c>
      <c r="G2859" s="6" t="str">
        <f>"3175234101599208"</f>
        <v>3175234101599208</v>
      </c>
      <c r="H2859" s="6">
        <v>3175234101599200</v>
      </c>
      <c r="I2859" s="6" t="s">
        <v>11751</v>
      </c>
      <c r="J2859" s="6" t="str">
        <f>"MISSING CLEO HOODIE_BLACK"</f>
        <v>MISSING CLEO HOODIE_BLACK</v>
      </c>
      <c r="K2859" s="6">
        <v>0</v>
      </c>
      <c r="L2859" s="6">
        <v>0</v>
      </c>
      <c r="M2859" s="6">
        <v>0</v>
      </c>
      <c r="N2859" s="6" t="str">
        <f>""</f>
        <v/>
      </c>
      <c r="O2859" s="6">
        <v>23999</v>
      </c>
      <c r="P2859" s="6" t="s">
        <v>11752</v>
      </c>
      <c r="R2859" s="6" t="s">
        <v>2106</v>
      </c>
      <c r="S2859" s="6" t="s">
        <v>11753</v>
      </c>
      <c r="T2859" s="6">
        <v>0</v>
      </c>
      <c r="U2859" s="6">
        <v>0</v>
      </c>
      <c r="V2859" s="6">
        <v>0</v>
      </c>
      <c r="W2859" s="6">
        <v>0</v>
      </c>
      <c r="X2859" s="6" t="s">
        <v>169</v>
      </c>
      <c r="Z2859" s="6" t="s">
        <v>170</v>
      </c>
      <c r="AA2859" s="6" t="s">
        <v>171</v>
      </c>
      <c r="AB2859" s="6">
        <v>0</v>
      </c>
      <c r="AC2859" s="6" t="str">
        <f>""</f>
        <v/>
      </c>
      <c r="AS2859" s="6">
        <v>0</v>
      </c>
      <c r="AT2859" s="6">
        <v>0</v>
      </c>
    </row>
    <row r="2860" spans="2:46">
      <c r="B2860" s="6" t="s">
        <v>11612</v>
      </c>
      <c r="D2860" s="6" t="s">
        <v>8189</v>
      </c>
      <c r="F2860" s="6" t="s">
        <v>11754</v>
      </c>
      <c r="G2860" s="6" t="str">
        <f>"9771210107001"</f>
        <v>9771210107001</v>
      </c>
      <c r="I2860" s="6" t="s">
        <v>11755</v>
      </c>
      <c r="J2860" s="6" t="str">
        <f>"AR16WTS001BKF"</f>
        <v>AR16WTS001BKF</v>
      </c>
      <c r="K2860" s="6">
        <v>0</v>
      </c>
      <c r="L2860" s="6">
        <v>0</v>
      </c>
      <c r="M2860" s="6">
        <v>0</v>
      </c>
      <c r="N2860" s="6" t="str">
        <f>""</f>
        <v/>
      </c>
      <c r="O2860" s="6">
        <v>23995</v>
      </c>
      <c r="P2860" s="6" t="s">
        <v>11755</v>
      </c>
      <c r="R2860" s="6" t="s">
        <v>2106</v>
      </c>
      <c r="S2860" s="6" t="s">
        <v>11756</v>
      </c>
      <c r="T2860" s="6">
        <v>1</v>
      </c>
      <c r="U2860" s="6">
        <v>0</v>
      </c>
      <c r="V2860" s="6">
        <v>0</v>
      </c>
      <c r="W2860" s="6">
        <v>0</v>
      </c>
      <c r="X2860" s="6" t="s">
        <v>169</v>
      </c>
      <c r="Z2860" s="6" t="s">
        <v>170</v>
      </c>
      <c r="AA2860" s="6" t="s">
        <v>171</v>
      </c>
      <c r="AB2860" s="6">
        <v>0</v>
      </c>
      <c r="AC2860" s="6" t="str">
        <f>"KEY-052"</f>
        <v>KEY-052</v>
      </c>
      <c r="AQ2860" s="6" t="str">
        <f>""</f>
        <v/>
      </c>
      <c r="AR2860" s="6" t="s">
        <v>1567</v>
      </c>
      <c r="AS2860" s="6">
        <v>0</v>
      </c>
      <c r="AT2860" s="6">
        <v>1</v>
      </c>
    </row>
    <row r="2861" spans="2:46">
      <c r="B2861" s="6" t="s">
        <v>11612</v>
      </c>
      <c r="D2861" s="6" t="s">
        <v>8189</v>
      </c>
      <c r="F2861" s="6" t="s">
        <v>11757</v>
      </c>
      <c r="G2861" s="6" t="str">
        <f>"64616FM2H02WT000"</f>
        <v>64616FM2H02WT000</v>
      </c>
      <c r="H2861" s="6" t="s">
        <v>11758</v>
      </c>
      <c r="I2861" s="6" t="s">
        <v>11759</v>
      </c>
      <c r="J2861" s="6" t="str">
        <f>"VELVET STRING HOOD ZIP UP"</f>
        <v>VELVET STRING HOOD ZIP UP</v>
      </c>
      <c r="K2861" s="6">
        <v>0</v>
      </c>
      <c r="L2861" s="6">
        <v>0</v>
      </c>
      <c r="M2861" s="6">
        <v>0</v>
      </c>
      <c r="N2861" s="6" t="str">
        <f>""</f>
        <v/>
      </c>
      <c r="O2861" s="6">
        <v>23993</v>
      </c>
      <c r="P2861" s="6" t="s">
        <v>11760</v>
      </c>
      <c r="R2861" s="6" t="s">
        <v>2167</v>
      </c>
      <c r="S2861" s="6" t="s">
        <v>11761</v>
      </c>
      <c r="T2861" s="6">
        <v>0</v>
      </c>
      <c r="U2861" s="6">
        <v>0</v>
      </c>
      <c r="V2861" s="6">
        <v>0</v>
      </c>
      <c r="W2861" s="6">
        <v>0</v>
      </c>
      <c r="X2861" s="6" t="s">
        <v>169</v>
      </c>
      <c r="Z2861" s="6" t="s">
        <v>170</v>
      </c>
      <c r="AA2861" s="6" t="s">
        <v>171</v>
      </c>
      <c r="AB2861" s="6">
        <v>0</v>
      </c>
      <c r="AC2861" s="6" t="str">
        <f>""</f>
        <v/>
      </c>
      <c r="AS2861" s="6">
        <v>0</v>
      </c>
      <c r="AT2861" s="6">
        <v>0</v>
      </c>
    </row>
    <row r="2862" spans="2:46">
      <c r="B2862" s="6" t="s">
        <v>11612</v>
      </c>
      <c r="D2862" s="6" t="s">
        <v>8189</v>
      </c>
      <c r="F2862" s="6" t="s">
        <v>11762</v>
      </c>
      <c r="G2862" s="6" t="str">
        <f>"64616FM2M03WT000"</f>
        <v>64616FM2M03WT000</v>
      </c>
      <c r="I2862" s="6" t="s">
        <v>11763</v>
      </c>
      <c r="J2862" s="6" t="str">
        <f>"PARIS CIRCUS VELVET SWEAT SHIRTS"</f>
        <v>PARIS CIRCUS VELVET SWEAT SHIRTS</v>
      </c>
      <c r="K2862" s="6">
        <v>0</v>
      </c>
      <c r="L2862" s="6">
        <v>0</v>
      </c>
      <c r="M2862" s="6">
        <v>0</v>
      </c>
      <c r="N2862" s="6" t="str">
        <f>""</f>
        <v/>
      </c>
      <c r="O2862" s="6">
        <v>23991</v>
      </c>
      <c r="P2862" s="6" t="s">
        <v>11764</v>
      </c>
      <c r="R2862" s="6" t="s">
        <v>11765</v>
      </c>
      <c r="S2862" s="6" t="s">
        <v>11766</v>
      </c>
      <c r="T2862" s="6">
        <v>2</v>
      </c>
      <c r="U2862" s="6">
        <v>0</v>
      </c>
      <c r="V2862" s="6">
        <v>0</v>
      </c>
      <c r="W2862" s="6">
        <v>0</v>
      </c>
      <c r="X2862" s="6" t="s">
        <v>169</v>
      </c>
      <c r="Z2862" s="6" t="s">
        <v>170</v>
      </c>
      <c r="AA2862" s="6" t="s">
        <v>171</v>
      </c>
      <c r="AB2862" s="6">
        <v>0</v>
      </c>
      <c r="AC2862" s="6" t="str">
        <f>"KEY-052"</f>
        <v>KEY-052</v>
      </c>
      <c r="AQ2862" s="6" t="str">
        <f>""</f>
        <v/>
      </c>
      <c r="AR2862" s="6" t="s">
        <v>1567</v>
      </c>
      <c r="AS2862" s="6">
        <v>0</v>
      </c>
      <c r="AT2862" s="6">
        <v>2</v>
      </c>
    </row>
    <row r="2863" spans="2:46">
      <c r="B2863" s="6" t="s">
        <v>11612</v>
      </c>
      <c r="D2863" s="6" t="s">
        <v>8189</v>
      </c>
      <c r="F2863" s="6" t="s">
        <v>11767</v>
      </c>
      <c r="G2863" s="6" t="str">
        <f>"64616FE0T02RX000"</f>
        <v>64616FE0T02RX000</v>
      </c>
      <c r="H2863" s="6" t="s">
        <v>11768</v>
      </c>
      <c r="I2863" s="6" t="s">
        <v>11769</v>
      </c>
      <c r="J2863" s="6" t="str">
        <f>"MULTI STRIPE T-SHIRTS"</f>
        <v>MULTI STRIPE T-SHIRTS</v>
      </c>
      <c r="K2863" s="6">
        <v>0</v>
      </c>
      <c r="L2863" s="6">
        <v>0</v>
      </c>
      <c r="M2863" s="6">
        <v>0</v>
      </c>
      <c r="N2863" s="6" t="str">
        <f>""</f>
        <v/>
      </c>
      <c r="O2863" s="6">
        <v>23989</v>
      </c>
      <c r="P2863" s="6" t="s">
        <v>11770</v>
      </c>
      <c r="R2863" s="6" t="s">
        <v>11771</v>
      </c>
      <c r="S2863" s="6" t="s">
        <v>11772</v>
      </c>
      <c r="T2863" s="6">
        <v>0</v>
      </c>
      <c r="U2863" s="6">
        <v>0</v>
      </c>
      <c r="V2863" s="6">
        <v>0</v>
      </c>
      <c r="W2863" s="6">
        <v>0</v>
      </c>
      <c r="X2863" s="6" t="s">
        <v>169</v>
      </c>
      <c r="Z2863" s="6" t="s">
        <v>170</v>
      </c>
      <c r="AA2863" s="6" t="s">
        <v>171</v>
      </c>
      <c r="AB2863" s="6">
        <v>0</v>
      </c>
      <c r="AC2863" s="6" t="str">
        <f>""</f>
        <v/>
      </c>
      <c r="AS2863" s="6">
        <v>0</v>
      </c>
      <c r="AT2863" s="6">
        <v>0</v>
      </c>
    </row>
    <row r="2864" spans="2:46">
      <c r="B2864" s="6" t="s">
        <v>11612</v>
      </c>
      <c r="D2864" s="6" t="s">
        <v>8189</v>
      </c>
      <c r="F2864" s="6" t="s">
        <v>11773</v>
      </c>
      <c r="G2864" s="6" t="str">
        <f>"64616FM2M02WT00L"</f>
        <v>64616FM2M02WT00L</v>
      </c>
      <c r="I2864" s="6" t="s">
        <v>11774</v>
      </c>
      <c r="J2864" s="6" t="str">
        <f>"TAXI PARISIEN SWEAT SHIRTS"</f>
        <v>TAXI PARISIEN SWEAT SHIRTS</v>
      </c>
      <c r="K2864" s="6">
        <v>0</v>
      </c>
      <c r="L2864" s="6">
        <v>0</v>
      </c>
      <c r="M2864" s="6">
        <v>0</v>
      </c>
      <c r="N2864" s="6" t="str">
        <f>""</f>
        <v/>
      </c>
      <c r="O2864" s="6">
        <v>23987</v>
      </c>
      <c r="P2864" s="6" t="s">
        <v>11775</v>
      </c>
      <c r="R2864" s="6" t="s">
        <v>5193</v>
      </c>
      <c r="S2864" s="6" t="s">
        <v>11776</v>
      </c>
      <c r="T2864" s="6">
        <v>2</v>
      </c>
      <c r="U2864" s="6">
        <v>0</v>
      </c>
      <c r="V2864" s="6">
        <v>0</v>
      </c>
      <c r="W2864" s="6">
        <v>0</v>
      </c>
      <c r="X2864" s="6" t="s">
        <v>169</v>
      </c>
      <c r="Z2864" s="6" t="s">
        <v>170</v>
      </c>
      <c r="AA2864" s="6" t="s">
        <v>171</v>
      </c>
      <c r="AB2864" s="6">
        <v>0</v>
      </c>
      <c r="AC2864" s="6" t="str">
        <f>"KEY-052"</f>
        <v>KEY-052</v>
      </c>
      <c r="AQ2864" s="6" t="str">
        <f>""</f>
        <v/>
      </c>
      <c r="AR2864" s="6" t="s">
        <v>1567</v>
      </c>
      <c r="AS2864" s="6">
        <v>0</v>
      </c>
      <c r="AT2864" s="6">
        <v>2</v>
      </c>
    </row>
    <row r="2865" spans="2:46">
      <c r="B2865" s="6" t="s">
        <v>11612</v>
      </c>
      <c r="D2865" s="6" t="s">
        <v>8189</v>
      </c>
      <c r="F2865" s="6" t="s">
        <v>11777</v>
      </c>
      <c r="G2865" s="6" t="str">
        <f>"64616FM2M02WT00M"</f>
        <v>64616FM2M02WT00M</v>
      </c>
      <c r="I2865" s="6" t="s">
        <v>11774</v>
      </c>
      <c r="J2865" s="6" t="str">
        <f>"TAXI PARISIEN SWEAT SHIRTS"</f>
        <v>TAXI PARISIEN SWEAT SHIRTS</v>
      </c>
      <c r="K2865" s="6">
        <v>0</v>
      </c>
      <c r="L2865" s="6">
        <v>0</v>
      </c>
      <c r="M2865" s="6">
        <v>0</v>
      </c>
      <c r="N2865" s="6" t="str">
        <f>""</f>
        <v/>
      </c>
      <c r="O2865" s="6">
        <v>23986</v>
      </c>
      <c r="P2865" s="6" t="s">
        <v>11778</v>
      </c>
      <c r="R2865" s="6" t="s">
        <v>5197</v>
      </c>
      <c r="S2865" s="6" t="s">
        <v>11779</v>
      </c>
      <c r="T2865" s="6">
        <v>1</v>
      </c>
      <c r="U2865" s="6">
        <v>0</v>
      </c>
      <c r="V2865" s="6">
        <v>0</v>
      </c>
      <c r="W2865" s="6">
        <v>0</v>
      </c>
      <c r="X2865" s="6" t="s">
        <v>169</v>
      </c>
      <c r="Z2865" s="6" t="s">
        <v>170</v>
      </c>
      <c r="AA2865" s="6" t="s">
        <v>171</v>
      </c>
      <c r="AB2865" s="6">
        <v>0</v>
      </c>
      <c r="AC2865" s="6" t="str">
        <f>"KEY-052"</f>
        <v>KEY-052</v>
      </c>
      <c r="AQ2865" s="6" t="str">
        <f>""</f>
        <v/>
      </c>
      <c r="AR2865" s="6" t="s">
        <v>1567</v>
      </c>
      <c r="AS2865" s="6">
        <v>0</v>
      </c>
      <c r="AT2865" s="6">
        <v>1</v>
      </c>
    </row>
    <row r="2866" spans="2:46">
      <c r="B2866" s="6" t="s">
        <v>11612</v>
      </c>
      <c r="D2866" s="6" t="s">
        <v>8189</v>
      </c>
      <c r="F2866" s="6" t="s">
        <v>11780</v>
      </c>
      <c r="G2866" s="6" t="str">
        <f>"64616FEOTO1GEOOL"</f>
        <v>64616FEOTO1GEOOL</v>
      </c>
      <c r="H2866" s="6" t="s">
        <v>11781</v>
      </c>
      <c r="I2866" s="6" t="s">
        <v>11782</v>
      </c>
      <c r="J2866" s="6" t="str">
        <f t="shared" ref="J2866:J2875" si="18">"GIRL CRUSH LONG SLEEVES T-SHIRTS"</f>
        <v>GIRL CRUSH LONG SLEEVES T-SHIRTS</v>
      </c>
      <c r="K2866" s="6">
        <v>0</v>
      </c>
      <c r="L2866" s="6">
        <v>0</v>
      </c>
      <c r="M2866" s="6">
        <v>0</v>
      </c>
      <c r="N2866" s="6" t="str">
        <f>""</f>
        <v/>
      </c>
      <c r="O2866" s="6">
        <v>23997</v>
      </c>
      <c r="P2866" s="6" t="s">
        <v>11783</v>
      </c>
      <c r="R2866" s="6" t="s">
        <v>9547</v>
      </c>
      <c r="S2866" s="6" t="s">
        <v>11784</v>
      </c>
      <c r="T2866" s="6">
        <v>0</v>
      </c>
      <c r="U2866" s="6">
        <v>0</v>
      </c>
      <c r="V2866" s="6">
        <v>0</v>
      </c>
      <c r="W2866" s="6">
        <v>0</v>
      </c>
      <c r="X2866" s="6" t="s">
        <v>169</v>
      </c>
      <c r="Z2866" s="6" t="s">
        <v>170</v>
      </c>
      <c r="AA2866" s="6" t="s">
        <v>171</v>
      </c>
      <c r="AB2866" s="6">
        <v>0</v>
      </c>
      <c r="AC2866" s="6" t="str">
        <f>""</f>
        <v/>
      </c>
      <c r="AS2866" s="6">
        <v>0</v>
      </c>
      <c r="AT2866" s="6">
        <v>0</v>
      </c>
    </row>
    <row r="2867" spans="2:46">
      <c r="B2867" s="6" t="s">
        <v>11612</v>
      </c>
      <c r="D2867" s="6" t="s">
        <v>8189</v>
      </c>
      <c r="F2867" s="6" t="s">
        <v>11785</v>
      </c>
      <c r="G2867" s="6" t="str">
        <f>"64616FE0T01GE00M"</f>
        <v>64616FE0T01GE00M</v>
      </c>
      <c r="H2867" s="6" t="s">
        <v>11786</v>
      </c>
      <c r="I2867" s="6" t="s">
        <v>11782</v>
      </c>
      <c r="J2867" s="6" t="str">
        <f t="shared" si="18"/>
        <v>GIRL CRUSH LONG SLEEVES T-SHIRTS</v>
      </c>
      <c r="K2867" s="6">
        <v>0</v>
      </c>
      <c r="L2867" s="6">
        <v>0</v>
      </c>
      <c r="M2867" s="6">
        <v>0</v>
      </c>
      <c r="N2867" s="6" t="str">
        <f>""</f>
        <v/>
      </c>
      <c r="O2867" s="6">
        <v>23996</v>
      </c>
      <c r="P2867" s="6" t="s">
        <v>11787</v>
      </c>
      <c r="R2867" s="6" t="s">
        <v>9551</v>
      </c>
      <c r="S2867" s="6" t="s">
        <v>11788</v>
      </c>
      <c r="T2867" s="6">
        <v>0</v>
      </c>
      <c r="U2867" s="6">
        <v>0</v>
      </c>
      <c r="V2867" s="6">
        <v>0</v>
      </c>
      <c r="W2867" s="6">
        <v>0</v>
      </c>
      <c r="X2867" s="6" t="s">
        <v>169</v>
      </c>
      <c r="Z2867" s="6" t="s">
        <v>170</v>
      </c>
      <c r="AA2867" s="6" t="s">
        <v>171</v>
      </c>
      <c r="AB2867" s="6">
        <v>0</v>
      </c>
      <c r="AC2867" s="6" t="str">
        <f>""</f>
        <v/>
      </c>
      <c r="AS2867" s="6">
        <v>0</v>
      </c>
      <c r="AT2867" s="6">
        <v>0</v>
      </c>
    </row>
    <row r="2868" spans="2:46">
      <c r="B2868" s="6" t="s">
        <v>11612</v>
      </c>
      <c r="D2868" s="6" t="s">
        <v>8189</v>
      </c>
      <c r="F2868" s="6" t="s">
        <v>11789</v>
      </c>
      <c r="G2868" s="6" t="str">
        <f>"64616FE0T01GR00L"</f>
        <v>64616FE0T01GR00L</v>
      </c>
      <c r="H2868" s="6" t="s">
        <v>11790</v>
      </c>
      <c r="I2868" s="6" t="s">
        <v>11782</v>
      </c>
      <c r="J2868" s="6" t="str">
        <f t="shared" si="18"/>
        <v>GIRL CRUSH LONG SLEEVES T-SHIRTS</v>
      </c>
      <c r="K2868" s="6">
        <v>0</v>
      </c>
      <c r="L2868" s="6">
        <v>0</v>
      </c>
      <c r="M2868" s="6">
        <v>0</v>
      </c>
      <c r="N2868" s="6" t="str">
        <f>""</f>
        <v/>
      </c>
      <c r="O2868" s="6">
        <v>23984</v>
      </c>
      <c r="P2868" s="6" t="s">
        <v>11791</v>
      </c>
      <c r="R2868" s="6" t="s">
        <v>5406</v>
      </c>
      <c r="S2868" s="6" t="s">
        <v>11792</v>
      </c>
      <c r="T2868" s="6">
        <v>0</v>
      </c>
      <c r="U2868" s="6">
        <v>0</v>
      </c>
      <c r="V2868" s="6">
        <v>0</v>
      </c>
      <c r="W2868" s="6">
        <v>0</v>
      </c>
      <c r="X2868" s="6" t="s">
        <v>169</v>
      </c>
      <c r="Z2868" s="6" t="s">
        <v>170</v>
      </c>
      <c r="AA2868" s="6" t="s">
        <v>171</v>
      </c>
      <c r="AB2868" s="6">
        <v>0</v>
      </c>
      <c r="AC2868" s="6" t="str">
        <f>""</f>
        <v/>
      </c>
      <c r="AS2868" s="6">
        <v>0</v>
      </c>
      <c r="AT2868" s="6">
        <v>0</v>
      </c>
    </row>
    <row r="2869" spans="2:46">
      <c r="B2869" s="6" t="s">
        <v>11612</v>
      </c>
      <c r="D2869" s="6" t="s">
        <v>8189</v>
      </c>
      <c r="F2869" s="6" t="s">
        <v>11793</v>
      </c>
      <c r="G2869" s="6" t="str">
        <f>"64616FE0T01GR00M"</f>
        <v>64616FE0T01GR00M</v>
      </c>
      <c r="H2869" s="6" t="s">
        <v>11794</v>
      </c>
      <c r="I2869" s="6" t="s">
        <v>11782</v>
      </c>
      <c r="J2869" s="6" t="str">
        <f t="shared" si="18"/>
        <v>GIRL CRUSH LONG SLEEVES T-SHIRTS</v>
      </c>
      <c r="K2869" s="6">
        <v>0</v>
      </c>
      <c r="L2869" s="6">
        <v>0</v>
      </c>
      <c r="M2869" s="6">
        <v>0</v>
      </c>
      <c r="N2869" s="6" t="str">
        <f>""</f>
        <v/>
      </c>
      <c r="O2869" s="6">
        <v>23983</v>
      </c>
      <c r="P2869" s="6" t="s">
        <v>11795</v>
      </c>
      <c r="R2869" s="6" t="s">
        <v>5649</v>
      </c>
      <c r="S2869" s="6" t="s">
        <v>11796</v>
      </c>
      <c r="T2869" s="6">
        <v>0</v>
      </c>
      <c r="U2869" s="6">
        <v>0</v>
      </c>
      <c r="V2869" s="6">
        <v>0</v>
      </c>
      <c r="W2869" s="6">
        <v>0</v>
      </c>
      <c r="X2869" s="6" t="s">
        <v>169</v>
      </c>
      <c r="Z2869" s="6" t="s">
        <v>170</v>
      </c>
      <c r="AA2869" s="6" t="s">
        <v>171</v>
      </c>
      <c r="AB2869" s="6">
        <v>0</v>
      </c>
      <c r="AC2869" s="6" t="str">
        <f>""</f>
        <v/>
      </c>
      <c r="AS2869" s="6">
        <v>0</v>
      </c>
      <c r="AT2869" s="6">
        <v>0</v>
      </c>
    </row>
    <row r="2870" spans="2:46">
      <c r="B2870" s="6" t="s">
        <v>11612</v>
      </c>
      <c r="D2870" s="6" t="s">
        <v>8189</v>
      </c>
      <c r="F2870" s="6" t="s">
        <v>11797</v>
      </c>
      <c r="G2870" s="6" t="str">
        <f>"64616FE0T01WT00L"</f>
        <v>64616FE0T01WT00L</v>
      </c>
      <c r="I2870" s="6" t="s">
        <v>11782</v>
      </c>
      <c r="J2870" s="6" t="str">
        <f t="shared" si="18"/>
        <v>GIRL CRUSH LONG SLEEVES T-SHIRTS</v>
      </c>
      <c r="K2870" s="6">
        <v>0</v>
      </c>
      <c r="L2870" s="6">
        <v>0</v>
      </c>
      <c r="M2870" s="6">
        <v>0</v>
      </c>
      <c r="N2870" s="6" t="str">
        <f>""</f>
        <v/>
      </c>
      <c r="O2870" s="6">
        <v>23982</v>
      </c>
      <c r="P2870" s="6" t="s">
        <v>11798</v>
      </c>
      <c r="R2870" s="6" t="s">
        <v>5193</v>
      </c>
      <c r="S2870" s="6" t="s">
        <v>11799</v>
      </c>
      <c r="T2870" s="6">
        <v>1</v>
      </c>
      <c r="U2870" s="6">
        <v>0</v>
      </c>
      <c r="V2870" s="6">
        <v>0</v>
      </c>
      <c r="W2870" s="6">
        <v>0</v>
      </c>
      <c r="X2870" s="6" t="s">
        <v>169</v>
      </c>
      <c r="Z2870" s="6" t="s">
        <v>170</v>
      </c>
      <c r="AA2870" s="6" t="s">
        <v>171</v>
      </c>
      <c r="AB2870" s="6">
        <v>0</v>
      </c>
      <c r="AC2870" s="6" t="str">
        <f>"KEY-052"</f>
        <v>KEY-052</v>
      </c>
      <c r="AQ2870" s="6" t="str">
        <f>""</f>
        <v/>
      </c>
      <c r="AR2870" s="6" t="s">
        <v>1567</v>
      </c>
      <c r="AS2870" s="6">
        <v>0</v>
      </c>
      <c r="AT2870" s="6">
        <v>1</v>
      </c>
    </row>
    <row r="2871" spans="2:46">
      <c r="B2871" s="6" t="s">
        <v>11612</v>
      </c>
      <c r="D2871" s="6" t="s">
        <v>8189</v>
      </c>
      <c r="F2871" s="6" t="s">
        <v>11800</v>
      </c>
      <c r="G2871" s="6" t="str">
        <f>"64616FE0T01WT00M"</f>
        <v>64616FE0T01WT00M</v>
      </c>
      <c r="H2871" s="6" t="s">
        <v>11801</v>
      </c>
      <c r="I2871" s="6" t="s">
        <v>11782</v>
      </c>
      <c r="J2871" s="6" t="str">
        <f t="shared" si="18"/>
        <v>GIRL CRUSH LONG SLEEVES T-SHIRTS</v>
      </c>
      <c r="K2871" s="6">
        <v>0</v>
      </c>
      <c r="L2871" s="6">
        <v>0</v>
      </c>
      <c r="M2871" s="6">
        <v>0</v>
      </c>
      <c r="N2871" s="6" t="str">
        <f>""</f>
        <v/>
      </c>
      <c r="O2871" s="6">
        <v>23981</v>
      </c>
      <c r="P2871" s="6" t="s">
        <v>11802</v>
      </c>
      <c r="R2871" s="6" t="s">
        <v>5197</v>
      </c>
      <c r="S2871" s="6" t="s">
        <v>11803</v>
      </c>
      <c r="T2871" s="6">
        <v>0</v>
      </c>
      <c r="U2871" s="6">
        <v>0</v>
      </c>
      <c r="V2871" s="6">
        <v>0</v>
      </c>
      <c r="W2871" s="6">
        <v>0</v>
      </c>
      <c r="X2871" s="6" t="s">
        <v>169</v>
      </c>
      <c r="Z2871" s="6" t="s">
        <v>170</v>
      </c>
      <c r="AA2871" s="6" t="s">
        <v>171</v>
      </c>
      <c r="AB2871" s="6">
        <v>0</v>
      </c>
      <c r="AC2871" s="6" t="str">
        <f>""</f>
        <v/>
      </c>
      <c r="AS2871" s="6">
        <v>0</v>
      </c>
      <c r="AT2871" s="6">
        <v>0</v>
      </c>
    </row>
    <row r="2872" spans="2:46">
      <c r="B2872" s="6" t="s">
        <v>11612</v>
      </c>
      <c r="D2872" s="6" t="s">
        <v>8189</v>
      </c>
      <c r="F2872" s="6" t="s">
        <v>11804</v>
      </c>
      <c r="G2872" s="6" t="str">
        <f>"64616FE0T01BK00L"</f>
        <v>64616FE0T01BK00L</v>
      </c>
      <c r="H2872" s="6" t="s">
        <v>11805</v>
      </c>
      <c r="I2872" s="6" t="s">
        <v>11782</v>
      </c>
      <c r="J2872" s="6" t="str">
        <f t="shared" si="18"/>
        <v>GIRL CRUSH LONG SLEEVES T-SHIRTS</v>
      </c>
      <c r="K2872" s="6">
        <v>0</v>
      </c>
      <c r="L2872" s="6">
        <v>0</v>
      </c>
      <c r="M2872" s="6">
        <v>0</v>
      </c>
      <c r="N2872" s="6" t="str">
        <f>""</f>
        <v/>
      </c>
      <c r="O2872" s="6">
        <v>23980</v>
      </c>
      <c r="P2872" s="6" t="s">
        <v>11806</v>
      </c>
      <c r="R2872" s="6" t="s">
        <v>5106</v>
      </c>
      <c r="S2872" s="6" t="s">
        <v>11807</v>
      </c>
      <c r="T2872" s="6">
        <v>0</v>
      </c>
      <c r="U2872" s="6">
        <v>0</v>
      </c>
      <c r="V2872" s="6">
        <v>0</v>
      </c>
      <c r="W2872" s="6">
        <v>0</v>
      </c>
      <c r="X2872" s="6" t="s">
        <v>169</v>
      </c>
      <c r="Z2872" s="6" t="s">
        <v>170</v>
      </c>
      <c r="AA2872" s="6" t="s">
        <v>171</v>
      </c>
      <c r="AB2872" s="6">
        <v>0</v>
      </c>
      <c r="AC2872" s="6" t="str">
        <f>""</f>
        <v/>
      </c>
      <c r="AS2872" s="6">
        <v>0</v>
      </c>
      <c r="AT2872" s="6">
        <v>0</v>
      </c>
    </row>
    <row r="2873" spans="2:46">
      <c r="B2873" s="6" t="s">
        <v>11612</v>
      </c>
      <c r="D2873" s="6" t="s">
        <v>8189</v>
      </c>
      <c r="F2873" s="6" t="s">
        <v>11808</v>
      </c>
      <c r="G2873" s="6" t="str">
        <f>"64616FE0T01BK00M"</f>
        <v>64616FE0T01BK00M</v>
      </c>
      <c r="H2873" s="6" t="s">
        <v>11809</v>
      </c>
      <c r="I2873" s="6" t="s">
        <v>11782</v>
      </c>
      <c r="J2873" s="6" t="str">
        <f t="shared" si="18"/>
        <v>GIRL CRUSH LONG SLEEVES T-SHIRTS</v>
      </c>
      <c r="K2873" s="6">
        <v>0</v>
      </c>
      <c r="L2873" s="6">
        <v>0</v>
      </c>
      <c r="M2873" s="6">
        <v>0</v>
      </c>
      <c r="N2873" s="6" t="str">
        <f>""</f>
        <v/>
      </c>
      <c r="O2873" s="6">
        <v>23979</v>
      </c>
      <c r="P2873" s="6" t="s">
        <v>11810</v>
      </c>
      <c r="R2873" s="6" t="s">
        <v>601</v>
      </c>
      <c r="S2873" s="6" t="s">
        <v>11811</v>
      </c>
      <c r="T2873" s="6">
        <v>0</v>
      </c>
      <c r="U2873" s="6">
        <v>0</v>
      </c>
      <c r="V2873" s="6">
        <v>0</v>
      </c>
      <c r="W2873" s="6">
        <v>0</v>
      </c>
      <c r="X2873" s="6" t="s">
        <v>169</v>
      </c>
      <c r="Z2873" s="6" t="s">
        <v>170</v>
      </c>
      <c r="AA2873" s="6" t="s">
        <v>171</v>
      </c>
      <c r="AB2873" s="6">
        <v>0</v>
      </c>
      <c r="AC2873" s="6" t="str">
        <f>""</f>
        <v/>
      </c>
      <c r="AS2873" s="6">
        <v>0</v>
      </c>
      <c r="AT2873" s="6">
        <v>0</v>
      </c>
    </row>
    <row r="2874" spans="2:46">
      <c r="B2874" s="6" t="s">
        <v>11612</v>
      </c>
      <c r="D2874" s="6" t="s">
        <v>8189</v>
      </c>
      <c r="F2874" s="6" t="s">
        <v>11812</v>
      </c>
      <c r="G2874" s="6" t="str">
        <f>"64616FE0T01OR00L"</f>
        <v>64616FE0T01OR00L</v>
      </c>
      <c r="H2874" s="6" t="s">
        <v>11813</v>
      </c>
      <c r="I2874" s="6" t="s">
        <v>11782</v>
      </c>
      <c r="J2874" s="6" t="str">
        <f t="shared" si="18"/>
        <v>GIRL CRUSH LONG SLEEVES T-SHIRTS</v>
      </c>
      <c r="K2874" s="6">
        <v>0</v>
      </c>
      <c r="L2874" s="6">
        <v>0</v>
      </c>
      <c r="M2874" s="6">
        <v>0</v>
      </c>
      <c r="N2874" s="6" t="str">
        <f>""</f>
        <v/>
      </c>
      <c r="O2874" s="6">
        <v>23978</v>
      </c>
      <c r="P2874" s="6" t="s">
        <v>11814</v>
      </c>
      <c r="R2874" s="6" t="s">
        <v>5071</v>
      </c>
      <c r="S2874" s="6" t="s">
        <v>11815</v>
      </c>
      <c r="T2874" s="6">
        <v>0</v>
      </c>
      <c r="U2874" s="6">
        <v>0</v>
      </c>
      <c r="V2874" s="6">
        <v>0</v>
      </c>
      <c r="W2874" s="6">
        <v>0</v>
      </c>
      <c r="X2874" s="6" t="s">
        <v>169</v>
      </c>
      <c r="Z2874" s="6" t="s">
        <v>170</v>
      </c>
      <c r="AA2874" s="6" t="s">
        <v>171</v>
      </c>
      <c r="AB2874" s="6">
        <v>0</v>
      </c>
      <c r="AC2874" s="6" t="str">
        <f>""</f>
        <v/>
      </c>
      <c r="AS2874" s="6">
        <v>0</v>
      </c>
      <c r="AT2874" s="6">
        <v>0</v>
      </c>
    </row>
    <row r="2875" spans="2:46">
      <c r="B2875" s="6" t="s">
        <v>11612</v>
      </c>
      <c r="D2875" s="6" t="s">
        <v>8189</v>
      </c>
      <c r="F2875" s="6" t="s">
        <v>11816</v>
      </c>
      <c r="G2875" s="6" t="str">
        <f>"64616FE0T01OR00M"</f>
        <v>64616FE0T01OR00M</v>
      </c>
      <c r="H2875" s="6" t="s">
        <v>11817</v>
      </c>
      <c r="I2875" s="6" t="s">
        <v>11782</v>
      </c>
      <c r="J2875" s="6" t="str">
        <f t="shared" si="18"/>
        <v>GIRL CRUSH LONG SLEEVES T-SHIRTS</v>
      </c>
      <c r="K2875" s="6">
        <v>0</v>
      </c>
      <c r="L2875" s="6">
        <v>0</v>
      </c>
      <c r="M2875" s="6">
        <v>0</v>
      </c>
      <c r="N2875" s="6" t="str">
        <f>""</f>
        <v/>
      </c>
      <c r="O2875" s="6">
        <v>23977</v>
      </c>
      <c r="P2875" s="6" t="s">
        <v>11818</v>
      </c>
      <c r="R2875" s="6" t="s">
        <v>5075</v>
      </c>
      <c r="S2875" s="6" t="s">
        <v>11819</v>
      </c>
      <c r="T2875" s="6">
        <v>0</v>
      </c>
      <c r="U2875" s="6">
        <v>0</v>
      </c>
      <c r="V2875" s="6">
        <v>0</v>
      </c>
      <c r="W2875" s="6">
        <v>0</v>
      </c>
      <c r="X2875" s="6" t="s">
        <v>169</v>
      </c>
      <c r="Z2875" s="6" t="s">
        <v>170</v>
      </c>
      <c r="AA2875" s="6" t="s">
        <v>171</v>
      </c>
      <c r="AB2875" s="6">
        <v>0</v>
      </c>
      <c r="AC2875" s="6" t="str">
        <f>""</f>
        <v/>
      </c>
      <c r="AS2875" s="6">
        <v>0</v>
      </c>
      <c r="AT2875" s="6">
        <v>0</v>
      </c>
    </row>
    <row r="2876" spans="2:46">
      <c r="B2876" s="6" t="s">
        <v>11612</v>
      </c>
      <c r="D2876" s="6" t="s">
        <v>8189</v>
      </c>
      <c r="F2876" s="6" t="s">
        <v>11820</v>
      </c>
      <c r="G2876" s="6" t="str">
        <f>"64616FM2M01RD000"</f>
        <v>64616FM2M01RD000</v>
      </c>
      <c r="H2876" s="6" t="s">
        <v>11821</v>
      </c>
      <c r="I2876" s="6" t="s">
        <v>11822</v>
      </c>
      <c r="J2876" s="6" t="str">
        <f>"80 SWEAT SHIRTS"</f>
        <v>80 SWEAT SHIRTS</v>
      </c>
      <c r="K2876" s="6">
        <v>0</v>
      </c>
      <c r="L2876" s="6">
        <v>0</v>
      </c>
      <c r="M2876" s="6">
        <v>0</v>
      </c>
      <c r="N2876" s="6" t="str">
        <f>""</f>
        <v/>
      </c>
      <c r="O2876" s="6">
        <v>23975</v>
      </c>
      <c r="P2876" s="6" t="s">
        <v>11823</v>
      </c>
      <c r="R2876" s="6" t="s">
        <v>2309</v>
      </c>
      <c r="S2876" s="6" t="s">
        <v>11824</v>
      </c>
      <c r="T2876" s="6">
        <v>0</v>
      </c>
      <c r="U2876" s="6">
        <v>0</v>
      </c>
      <c r="V2876" s="6">
        <v>0</v>
      </c>
      <c r="W2876" s="6">
        <v>0</v>
      </c>
      <c r="X2876" s="6" t="s">
        <v>169</v>
      </c>
      <c r="Z2876" s="6" t="s">
        <v>170</v>
      </c>
      <c r="AA2876" s="6" t="s">
        <v>171</v>
      </c>
      <c r="AB2876" s="6">
        <v>0</v>
      </c>
      <c r="AC2876" s="6" t="str">
        <f>""</f>
        <v/>
      </c>
      <c r="AS2876" s="6">
        <v>0</v>
      </c>
      <c r="AT2876" s="6">
        <v>0</v>
      </c>
    </row>
    <row r="2877" spans="2:46">
      <c r="B2877" s="6" t="s">
        <v>11612</v>
      </c>
      <c r="D2877" s="6" t="s">
        <v>8189</v>
      </c>
      <c r="F2877" s="6" t="s">
        <v>11825</v>
      </c>
      <c r="G2877" s="6" t="str">
        <f>"64616FM2M01BK000"</f>
        <v>64616FM2M01BK000</v>
      </c>
      <c r="H2877" s="6" t="s">
        <v>11826</v>
      </c>
      <c r="I2877" s="6" t="s">
        <v>11822</v>
      </c>
      <c r="J2877" s="6" t="str">
        <f>"80 SWEAT SHIRTS"</f>
        <v>80 SWEAT SHIRTS</v>
      </c>
      <c r="K2877" s="6">
        <v>0</v>
      </c>
      <c r="L2877" s="6">
        <v>0</v>
      </c>
      <c r="M2877" s="6">
        <v>0</v>
      </c>
      <c r="N2877" s="6" t="str">
        <f>""</f>
        <v/>
      </c>
      <c r="O2877" s="6">
        <v>23974</v>
      </c>
      <c r="P2877" s="6" t="s">
        <v>11827</v>
      </c>
      <c r="R2877" s="6" t="s">
        <v>2106</v>
      </c>
      <c r="S2877" s="6" t="s">
        <v>11828</v>
      </c>
      <c r="T2877" s="6">
        <v>0</v>
      </c>
      <c r="U2877" s="6">
        <v>0</v>
      </c>
      <c r="V2877" s="6">
        <v>0</v>
      </c>
      <c r="W2877" s="6">
        <v>0</v>
      </c>
      <c r="X2877" s="6" t="s">
        <v>169</v>
      </c>
      <c r="Z2877" s="6" t="s">
        <v>170</v>
      </c>
      <c r="AA2877" s="6" t="s">
        <v>171</v>
      </c>
      <c r="AB2877" s="6">
        <v>0</v>
      </c>
      <c r="AC2877" s="6" t="str">
        <f>""</f>
        <v/>
      </c>
      <c r="AS2877" s="6">
        <v>0</v>
      </c>
      <c r="AT2877" s="6">
        <v>0</v>
      </c>
    </row>
    <row r="2878" spans="2:46">
      <c r="B2878" s="6" t="s">
        <v>11612</v>
      </c>
      <c r="D2878" s="6" t="s">
        <v>8189</v>
      </c>
      <c r="F2878" s="6" t="s">
        <v>11829</v>
      </c>
      <c r="G2878" s="6" t="str">
        <f>"3167234160561208"</f>
        <v>3167234160561208</v>
      </c>
      <c r="H2878" s="6">
        <v>3167234160561200</v>
      </c>
      <c r="I2878" s="6" t="s">
        <v>11830</v>
      </c>
      <c r="J2878" s="6" t="str">
        <f>"MISSING SAINT HOOD T"</f>
        <v>MISSING SAINT HOOD T</v>
      </c>
      <c r="K2878" s="6">
        <v>0</v>
      </c>
      <c r="L2878" s="6">
        <v>0</v>
      </c>
      <c r="M2878" s="6">
        <v>0</v>
      </c>
      <c r="N2878" s="6" t="str">
        <f>""</f>
        <v/>
      </c>
      <c r="O2878" s="6">
        <v>23972</v>
      </c>
      <c r="P2878" s="6" t="s">
        <v>11831</v>
      </c>
      <c r="R2878" s="6" t="s">
        <v>2309</v>
      </c>
      <c r="S2878" s="6" t="s">
        <v>11832</v>
      </c>
      <c r="T2878" s="6">
        <v>0</v>
      </c>
      <c r="U2878" s="6">
        <v>0</v>
      </c>
      <c r="V2878" s="6">
        <v>0</v>
      </c>
      <c r="W2878" s="6">
        <v>0</v>
      </c>
      <c r="X2878" s="6" t="s">
        <v>169</v>
      </c>
      <c r="Z2878" s="6" t="s">
        <v>170</v>
      </c>
      <c r="AA2878" s="6" t="s">
        <v>171</v>
      </c>
      <c r="AB2878" s="6">
        <v>0</v>
      </c>
      <c r="AC2878" s="6" t="str">
        <f>""</f>
        <v/>
      </c>
      <c r="AS2878" s="6">
        <v>0</v>
      </c>
      <c r="AT2878" s="6">
        <v>0</v>
      </c>
    </row>
    <row r="2879" spans="2:46">
      <c r="B2879" s="6" t="s">
        <v>11612</v>
      </c>
      <c r="D2879" s="6" t="s">
        <v>8189</v>
      </c>
      <c r="F2879" s="6" t="s">
        <v>11833</v>
      </c>
      <c r="G2879" s="6" t="str">
        <f>"3167234160499208"</f>
        <v>3167234160499208</v>
      </c>
      <c r="H2879" s="6">
        <v>3167234160499200</v>
      </c>
      <c r="I2879" s="6" t="s">
        <v>11830</v>
      </c>
      <c r="J2879" s="6" t="str">
        <f>"MISSING SAINT HOOD T"</f>
        <v>MISSING SAINT HOOD T</v>
      </c>
      <c r="K2879" s="6">
        <v>0</v>
      </c>
      <c r="L2879" s="6">
        <v>0</v>
      </c>
      <c r="M2879" s="6">
        <v>0</v>
      </c>
      <c r="N2879" s="6" t="str">
        <f>""</f>
        <v/>
      </c>
      <c r="O2879" s="6">
        <v>23971</v>
      </c>
      <c r="P2879" s="6" t="s">
        <v>11834</v>
      </c>
      <c r="R2879" s="6" t="s">
        <v>2106</v>
      </c>
      <c r="S2879" s="6" t="s">
        <v>11835</v>
      </c>
      <c r="T2879" s="6">
        <v>0</v>
      </c>
      <c r="U2879" s="6">
        <v>0</v>
      </c>
      <c r="V2879" s="6">
        <v>0</v>
      </c>
      <c r="W2879" s="6">
        <v>0</v>
      </c>
      <c r="X2879" s="6" t="s">
        <v>169</v>
      </c>
      <c r="Z2879" s="6" t="s">
        <v>170</v>
      </c>
      <c r="AA2879" s="6" t="s">
        <v>171</v>
      </c>
      <c r="AB2879" s="6">
        <v>0</v>
      </c>
      <c r="AC2879" s="6" t="str">
        <f>""</f>
        <v/>
      </c>
      <c r="AS2879" s="6">
        <v>0</v>
      </c>
      <c r="AT2879" s="6">
        <v>0</v>
      </c>
    </row>
    <row r="2880" spans="2:46">
      <c r="B2880" s="6" t="s">
        <v>108</v>
      </c>
      <c r="D2880" s="6" t="s">
        <v>8189</v>
      </c>
      <c r="F2880" s="6" t="s">
        <v>11836</v>
      </c>
      <c r="G2880" s="6" t="str">
        <f>"A17F2WAW125OGFRE"</f>
        <v>A17F2WAW125OGFRE</v>
      </c>
      <c r="H2880" s="6" t="s">
        <v>11837</v>
      </c>
      <c r="I2880" s="6" t="s">
        <v>11838</v>
      </c>
      <c r="J2880" s="6" t="str">
        <f>"JENINA FUR HALF COAT awa125w"</f>
        <v>JENINA FUR HALF COAT awa125w</v>
      </c>
      <c r="K2880" s="6">
        <v>0</v>
      </c>
      <c r="L2880" s="6">
        <v>0</v>
      </c>
      <c r="M2880" s="6">
        <v>0</v>
      </c>
      <c r="N2880" s="6" t="str">
        <f>""</f>
        <v/>
      </c>
      <c r="O2880" s="6">
        <v>23969</v>
      </c>
      <c r="P2880" s="6" t="s">
        <v>11839</v>
      </c>
      <c r="R2880" s="6" t="s">
        <v>11840</v>
      </c>
      <c r="S2880" s="6" t="s">
        <v>11841</v>
      </c>
      <c r="T2880" s="6">
        <v>0</v>
      </c>
      <c r="U2880" s="6">
        <v>0</v>
      </c>
      <c r="V2880" s="6">
        <v>0</v>
      </c>
      <c r="W2880" s="6">
        <v>0</v>
      </c>
      <c r="X2880" s="6" t="s">
        <v>169</v>
      </c>
      <c r="Z2880" s="6" t="s">
        <v>170</v>
      </c>
      <c r="AA2880" s="6" t="s">
        <v>171</v>
      </c>
      <c r="AB2880" s="6">
        <v>0</v>
      </c>
      <c r="AC2880" s="6" t="str">
        <f>""</f>
        <v/>
      </c>
      <c r="AS2880" s="6">
        <v>0</v>
      </c>
      <c r="AT2880" s="6">
        <v>0</v>
      </c>
    </row>
    <row r="2881" spans="2:46">
      <c r="B2881" s="6" t="s">
        <v>108</v>
      </c>
      <c r="D2881" s="6" t="s">
        <v>8189</v>
      </c>
      <c r="F2881" s="6" t="s">
        <v>11842</v>
      </c>
      <c r="G2881" s="6" t="str">
        <f>"A17F2WAU122PKS"</f>
        <v>A17F2WAU122PKS</v>
      </c>
      <c r="H2881" s="6" t="s">
        <v>11843</v>
      </c>
      <c r="I2881" s="6" t="s">
        <v>11844</v>
      </c>
      <c r="J2881" s="6" t="str">
        <f t="shared" ref="J2881:J2886" si="19">"UNISEX AB DUCK DOWN JACKET awa122u"</f>
        <v>UNISEX AB DUCK DOWN JACKET awa122u</v>
      </c>
      <c r="K2881" s="6">
        <v>0</v>
      </c>
      <c r="L2881" s="6">
        <v>0</v>
      </c>
      <c r="M2881" s="6">
        <v>0</v>
      </c>
      <c r="N2881" s="6" t="str">
        <f>""</f>
        <v/>
      </c>
      <c r="O2881" s="6">
        <v>23967</v>
      </c>
      <c r="P2881" s="6" t="s">
        <v>11845</v>
      </c>
      <c r="R2881" s="6" t="s">
        <v>11455</v>
      </c>
      <c r="S2881" s="6" t="s">
        <v>11846</v>
      </c>
      <c r="T2881" s="6">
        <v>0</v>
      </c>
      <c r="U2881" s="6">
        <v>0</v>
      </c>
      <c r="V2881" s="6">
        <v>0</v>
      </c>
      <c r="W2881" s="6">
        <v>0</v>
      </c>
      <c r="X2881" s="6" t="s">
        <v>169</v>
      </c>
      <c r="Z2881" s="6" t="s">
        <v>170</v>
      </c>
      <c r="AA2881" s="6" t="s">
        <v>171</v>
      </c>
      <c r="AB2881" s="6">
        <v>0</v>
      </c>
      <c r="AC2881" s="6" t="str">
        <f>""</f>
        <v/>
      </c>
      <c r="AS2881" s="6">
        <v>0</v>
      </c>
      <c r="AT2881" s="6">
        <v>0</v>
      </c>
    </row>
    <row r="2882" spans="2:46">
      <c r="B2882" s="6" t="s">
        <v>108</v>
      </c>
      <c r="D2882" s="6" t="s">
        <v>8189</v>
      </c>
      <c r="F2882" s="6" t="s">
        <v>11847</v>
      </c>
      <c r="G2882" s="6" t="str">
        <f>"A17F2WAU122PKM"</f>
        <v>A17F2WAU122PKM</v>
      </c>
      <c r="H2882" s="6" t="s">
        <v>11848</v>
      </c>
      <c r="I2882" s="6" t="s">
        <v>11844</v>
      </c>
      <c r="J2882" s="6" t="str">
        <f t="shared" si="19"/>
        <v>UNISEX AB DUCK DOWN JACKET awa122u</v>
      </c>
      <c r="K2882" s="6">
        <v>0</v>
      </c>
      <c r="L2882" s="6">
        <v>0</v>
      </c>
      <c r="M2882" s="6">
        <v>0</v>
      </c>
      <c r="N2882" s="6" t="str">
        <f>""</f>
        <v/>
      </c>
      <c r="O2882" s="6">
        <v>23966</v>
      </c>
      <c r="P2882" s="6" t="s">
        <v>11849</v>
      </c>
      <c r="R2882" s="6" t="s">
        <v>11451</v>
      </c>
      <c r="S2882" s="6" t="s">
        <v>11850</v>
      </c>
      <c r="T2882" s="6">
        <v>0</v>
      </c>
      <c r="U2882" s="6">
        <v>0</v>
      </c>
      <c r="V2882" s="6">
        <v>0</v>
      </c>
      <c r="W2882" s="6">
        <v>0</v>
      </c>
      <c r="X2882" s="6" t="s">
        <v>169</v>
      </c>
      <c r="Z2882" s="6" t="s">
        <v>170</v>
      </c>
      <c r="AA2882" s="6" t="s">
        <v>171</v>
      </c>
      <c r="AB2882" s="6">
        <v>0</v>
      </c>
      <c r="AC2882" s="6" t="str">
        <f>""</f>
        <v/>
      </c>
      <c r="AS2882" s="6">
        <v>0</v>
      </c>
      <c r="AT2882" s="6">
        <v>0</v>
      </c>
    </row>
    <row r="2883" spans="2:46">
      <c r="B2883" s="6" t="s">
        <v>108</v>
      </c>
      <c r="D2883" s="6" t="s">
        <v>8189</v>
      </c>
      <c r="F2883" s="6" t="s">
        <v>11851</v>
      </c>
      <c r="G2883" s="6" t="str">
        <f>"A17F2WAU122PKL"</f>
        <v>A17F2WAU122PKL</v>
      </c>
      <c r="H2883" s="6" t="s">
        <v>11852</v>
      </c>
      <c r="I2883" s="6" t="s">
        <v>11844</v>
      </c>
      <c r="J2883" s="6" t="str">
        <f t="shared" si="19"/>
        <v>UNISEX AB DUCK DOWN JACKET awa122u</v>
      </c>
      <c r="K2883" s="6">
        <v>0</v>
      </c>
      <c r="L2883" s="6">
        <v>0</v>
      </c>
      <c r="M2883" s="6">
        <v>0</v>
      </c>
      <c r="N2883" s="6" t="str">
        <f>""</f>
        <v/>
      </c>
      <c r="O2883" s="6">
        <v>23965</v>
      </c>
      <c r="P2883" s="6" t="s">
        <v>11853</v>
      </c>
      <c r="R2883" s="6" t="s">
        <v>11854</v>
      </c>
      <c r="S2883" s="6" t="s">
        <v>11855</v>
      </c>
      <c r="T2883" s="6">
        <v>0</v>
      </c>
      <c r="U2883" s="6">
        <v>0</v>
      </c>
      <c r="V2883" s="6">
        <v>0</v>
      </c>
      <c r="W2883" s="6">
        <v>0</v>
      </c>
      <c r="X2883" s="6" t="s">
        <v>169</v>
      </c>
      <c r="Z2883" s="6" t="s">
        <v>170</v>
      </c>
      <c r="AA2883" s="6" t="s">
        <v>171</v>
      </c>
      <c r="AB2883" s="6">
        <v>0</v>
      </c>
      <c r="AC2883" s="6" t="str">
        <f>""</f>
        <v/>
      </c>
      <c r="AS2883" s="6">
        <v>0</v>
      </c>
      <c r="AT2883" s="6">
        <v>0</v>
      </c>
    </row>
    <row r="2884" spans="2:46">
      <c r="B2884" s="6" t="s">
        <v>108</v>
      </c>
      <c r="D2884" s="6" t="s">
        <v>8189</v>
      </c>
      <c r="F2884" s="6" t="s">
        <v>11856</v>
      </c>
      <c r="G2884" s="6" t="str">
        <f>"A17F2WAU122BKS"</f>
        <v>A17F2WAU122BKS</v>
      </c>
      <c r="H2884" s="6" t="s">
        <v>11857</v>
      </c>
      <c r="I2884" s="6" t="s">
        <v>11844</v>
      </c>
      <c r="J2884" s="6" t="str">
        <f t="shared" si="19"/>
        <v>UNISEX AB DUCK DOWN JACKET awa122u</v>
      </c>
      <c r="K2884" s="6">
        <v>0</v>
      </c>
      <c r="L2884" s="6">
        <v>0</v>
      </c>
      <c r="M2884" s="6">
        <v>0</v>
      </c>
      <c r="N2884" s="6" t="str">
        <f>""</f>
        <v/>
      </c>
      <c r="O2884" s="6">
        <v>23964</v>
      </c>
      <c r="P2884" s="6" t="s">
        <v>11858</v>
      </c>
      <c r="R2884" s="6" t="s">
        <v>1555</v>
      </c>
      <c r="S2884" s="6" t="s">
        <v>11859</v>
      </c>
      <c r="T2884" s="6">
        <v>0</v>
      </c>
      <c r="U2884" s="6">
        <v>0</v>
      </c>
      <c r="V2884" s="6">
        <v>0</v>
      </c>
      <c r="W2884" s="6">
        <v>0</v>
      </c>
      <c r="X2884" s="6" t="s">
        <v>169</v>
      </c>
      <c r="Z2884" s="6" t="s">
        <v>170</v>
      </c>
      <c r="AA2884" s="6" t="s">
        <v>171</v>
      </c>
      <c r="AB2884" s="6">
        <v>0</v>
      </c>
      <c r="AC2884" s="6" t="str">
        <f>""</f>
        <v/>
      </c>
      <c r="AS2884" s="6">
        <v>0</v>
      </c>
      <c r="AT2884" s="6">
        <v>0</v>
      </c>
    </row>
    <row r="2885" spans="2:46">
      <c r="B2885" s="6" t="s">
        <v>108</v>
      </c>
      <c r="D2885" s="6" t="s">
        <v>8189</v>
      </c>
      <c r="F2885" s="6" t="s">
        <v>11860</v>
      </c>
      <c r="G2885" s="6" t="str">
        <f>"A17F2WAU122BKM"</f>
        <v>A17F2WAU122BKM</v>
      </c>
      <c r="H2885" s="6" t="s">
        <v>11861</v>
      </c>
      <c r="I2885" s="6" t="s">
        <v>11844</v>
      </c>
      <c r="J2885" s="6" t="str">
        <f t="shared" si="19"/>
        <v>UNISEX AB DUCK DOWN JACKET awa122u</v>
      </c>
      <c r="K2885" s="6">
        <v>0</v>
      </c>
      <c r="L2885" s="6">
        <v>0</v>
      </c>
      <c r="M2885" s="6">
        <v>0</v>
      </c>
      <c r="N2885" s="6" t="str">
        <f>""</f>
        <v/>
      </c>
      <c r="O2885" s="6">
        <v>23963</v>
      </c>
      <c r="P2885" s="6" t="s">
        <v>11862</v>
      </c>
      <c r="R2885" s="6" t="s">
        <v>1551</v>
      </c>
      <c r="S2885" s="6" t="s">
        <v>11863</v>
      </c>
      <c r="T2885" s="6">
        <v>0</v>
      </c>
      <c r="U2885" s="6">
        <v>0</v>
      </c>
      <c r="V2885" s="6">
        <v>0</v>
      </c>
      <c r="W2885" s="6">
        <v>0</v>
      </c>
      <c r="X2885" s="6" t="s">
        <v>169</v>
      </c>
      <c r="Z2885" s="6" t="s">
        <v>170</v>
      </c>
      <c r="AA2885" s="6" t="s">
        <v>171</v>
      </c>
      <c r="AB2885" s="6">
        <v>0</v>
      </c>
      <c r="AC2885" s="6" t="str">
        <f>""</f>
        <v/>
      </c>
      <c r="AS2885" s="6">
        <v>0</v>
      </c>
      <c r="AT2885" s="6">
        <v>0</v>
      </c>
    </row>
    <row r="2886" spans="2:46">
      <c r="B2886" s="6" t="s">
        <v>108</v>
      </c>
      <c r="D2886" s="6" t="s">
        <v>8189</v>
      </c>
      <c r="F2886" s="6" t="s">
        <v>11864</v>
      </c>
      <c r="G2886" s="6" t="str">
        <f>"A17F2WAU122BKL"</f>
        <v>A17F2WAU122BKL</v>
      </c>
      <c r="H2886" s="6" t="s">
        <v>11865</v>
      </c>
      <c r="I2886" s="6" t="s">
        <v>11844</v>
      </c>
      <c r="J2886" s="6" t="str">
        <f t="shared" si="19"/>
        <v>UNISEX AB DUCK DOWN JACKET awa122u</v>
      </c>
      <c r="K2886" s="6">
        <v>0</v>
      </c>
      <c r="L2886" s="6">
        <v>0</v>
      </c>
      <c r="M2886" s="6">
        <v>0</v>
      </c>
      <c r="N2886" s="6" t="str">
        <f>""</f>
        <v/>
      </c>
      <c r="O2886" s="6">
        <v>23962</v>
      </c>
      <c r="P2886" s="6" t="s">
        <v>11866</v>
      </c>
      <c r="R2886" s="6" t="s">
        <v>1547</v>
      </c>
      <c r="S2886" s="6" t="s">
        <v>11867</v>
      </c>
      <c r="T2886" s="6">
        <v>0</v>
      </c>
      <c r="U2886" s="6">
        <v>0</v>
      </c>
      <c r="V2886" s="6">
        <v>0</v>
      </c>
      <c r="W2886" s="6">
        <v>0</v>
      </c>
      <c r="X2886" s="6" t="s">
        <v>169</v>
      </c>
      <c r="Z2886" s="6" t="s">
        <v>170</v>
      </c>
      <c r="AA2886" s="6" t="s">
        <v>171</v>
      </c>
      <c r="AB2886" s="6">
        <v>0</v>
      </c>
      <c r="AC2886" s="6" t="str">
        <f>""</f>
        <v/>
      </c>
      <c r="AS2886" s="6">
        <v>0</v>
      </c>
      <c r="AT2886" s="6">
        <v>0</v>
      </c>
    </row>
    <row r="2887" spans="2:46">
      <c r="B2887" s="6" t="s">
        <v>108</v>
      </c>
      <c r="D2887" s="6" t="s">
        <v>8189</v>
      </c>
      <c r="F2887" s="6" t="s">
        <v>11868</v>
      </c>
      <c r="G2887" s="6" t="str">
        <f>"A17F2WAW120BES"</f>
        <v>A17F2WAW120BES</v>
      </c>
      <c r="H2887" s="6" t="s">
        <v>11869</v>
      </c>
      <c r="I2887" s="6" t="s">
        <v>11870</v>
      </c>
      <c r="J2887" s="6" t="str">
        <f>"SCARLET CASHMERE CHECK HALF COAT awa120w"</f>
        <v>SCARLET CASHMERE CHECK HALF COAT awa120w</v>
      </c>
      <c r="K2887" s="6">
        <v>0</v>
      </c>
      <c r="L2887" s="6">
        <v>0</v>
      </c>
      <c r="M2887" s="6">
        <v>0</v>
      </c>
      <c r="N2887" s="6" t="str">
        <f>""</f>
        <v/>
      </c>
      <c r="O2887" s="6">
        <v>23960</v>
      </c>
      <c r="P2887" s="6" t="s">
        <v>11871</v>
      </c>
      <c r="R2887" s="6" t="s">
        <v>11189</v>
      </c>
      <c r="S2887" s="6" t="s">
        <v>11872</v>
      </c>
      <c r="T2887" s="6">
        <v>0</v>
      </c>
      <c r="U2887" s="6">
        <v>0</v>
      </c>
      <c r="V2887" s="6">
        <v>0</v>
      </c>
      <c r="W2887" s="6">
        <v>0</v>
      </c>
      <c r="X2887" s="6" t="s">
        <v>169</v>
      </c>
      <c r="Z2887" s="6" t="s">
        <v>170</v>
      </c>
      <c r="AA2887" s="6" t="s">
        <v>171</v>
      </c>
      <c r="AB2887" s="6">
        <v>0</v>
      </c>
      <c r="AC2887" s="6" t="str">
        <f>""</f>
        <v/>
      </c>
      <c r="AS2887" s="6">
        <v>0</v>
      </c>
      <c r="AT2887" s="6">
        <v>0</v>
      </c>
    </row>
    <row r="2888" spans="2:46">
      <c r="B2888" s="6" t="s">
        <v>108</v>
      </c>
      <c r="D2888" s="6" t="s">
        <v>8189</v>
      </c>
      <c r="F2888" s="6" t="s">
        <v>11873</v>
      </c>
      <c r="G2888" s="6" t="str">
        <f>"A17F2WAW118MYXS"</f>
        <v>A17F2WAW118MYXS</v>
      </c>
      <c r="H2888" s="6" t="s">
        <v>11874</v>
      </c>
      <c r="I2888" s="6" t="s">
        <v>11875</v>
      </c>
      <c r="J2888" s="6" t="str">
        <f>"MELANGE ALPACA MAXI COAT awa118w"</f>
        <v>MELANGE ALPACA MAXI COAT awa118w</v>
      </c>
      <c r="K2888" s="6">
        <v>0</v>
      </c>
      <c r="L2888" s="6">
        <v>0</v>
      </c>
      <c r="M2888" s="6">
        <v>0</v>
      </c>
      <c r="N2888" s="6" t="str">
        <f>""</f>
        <v/>
      </c>
      <c r="O2888" s="6">
        <v>23958</v>
      </c>
      <c r="P2888" s="6" t="s">
        <v>11876</v>
      </c>
      <c r="R2888" s="6" t="s">
        <v>11877</v>
      </c>
      <c r="S2888" s="6" t="s">
        <v>11878</v>
      </c>
      <c r="T2888" s="6">
        <v>0</v>
      </c>
      <c r="U2888" s="6">
        <v>0</v>
      </c>
      <c r="V2888" s="6">
        <v>0</v>
      </c>
      <c r="W2888" s="6">
        <v>0</v>
      </c>
      <c r="X2888" s="6" t="s">
        <v>169</v>
      </c>
      <c r="Z2888" s="6" t="s">
        <v>170</v>
      </c>
      <c r="AA2888" s="6" t="s">
        <v>171</v>
      </c>
      <c r="AB2888" s="6">
        <v>0</v>
      </c>
      <c r="AC2888" s="6" t="str">
        <f>""</f>
        <v/>
      </c>
      <c r="AS2888" s="6">
        <v>0</v>
      </c>
      <c r="AT2888" s="6">
        <v>0</v>
      </c>
    </row>
    <row r="2889" spans="2:46">
      <c r="B2889" s="6" t="s">
        <v>108</v>
      </c>
      <c r="D2889" s="6" t="s">
        <v>8189</v>
      </c>
      <c r="F2889" s="6" t="s">
        <v>11879</v>
      </c>
      <c r="G2889" s="6" t="str">
        <f>"A17F2WAW118MYS"</f>
        <v>A17F2WAW118MYS</v>
      </c>
      <c r="H2889" s="6" t="s">
        <v>11880</v>
      </c>
      <c r="I2889" s="6" t="s">
        <v>11875</v>
      </c>
      <c r="J2889" s="6" t="str">
        <f>"MELANGE ALPACA MAXI COAT awa118w"</f>
        <v>MELANGE ALPACA MAXI COAT awa118w</v>
      </c>
      <c r="K2889" s="6">
        <v>0</v>
      </c>
      <c r="L2889" s="6">
        <v>0</v>
      </c>
      <c r="M2889" s="6">
        <v>0</v>
      </c>
      <c r="N2889" s="6" t="str">
        <f>""</f>
        <v/>
      </c>
      <c r="O2889" s="6">
        <v>23957</v>
      </c>
      <c r="P2889" s="6" t="s">
        <v>11881</v>
      </c>
      <c r="R2889" s="6" t="s">
        <v>11882</v>
      </c>
      <c r="S2889" s="6" t="s">
        <v>11883</v>
      </c>
      <c r="T2889" s="6">
        <v>0</v>
      </c>
      <c r="U2889" s="6">
        <v>0</v>
      </c>
      <c r="V2889" s="6">
        <v>0</v>
      </c>
      <c r="W2889" s="6">
        <v>0</v>
      </c>
      <c r="X2889" s="6" t="s">
        <v>169</v>
      </c>
      <c r="Z2889" s="6" t="s">
        <v>170</v>
      </c>
      <c r="AA2889" s="6" t="s">
        <v>171</v>
      </c>
      <c r="AB2889" s="6">
        <v>0</v>
      </c>
      <c r="AC2889" s="6" t="str">
        <f>""</f>
        <v/>
      </c>
      <c r="AS2889" s="6">
        <v>0</v>
      </c>
      <c r="AT2889" s="6">
        <v>0</v>
      </c>
    </row>
    <row r="2890" spans="2:46">
      <c r="B2890" s="6" t="s">
        <v>108</v>
      </c>
      <c r="D2890" s="6" t="s">
        <v>8189</v>
      </c>
      <c r="F2890" s="6" t="s">
        <v>11884</v>
      </c>
      <c r="G2890" s="6" t="str">
        <f>"A17F2WAW118MKXS"</f>
        <v>A17F2WAW118MKXS</v>
      </c>
      <c r="H2890" s="6" t="s">
        <v>11885</v>
      </c>
      <c r="I2890" s="6" t="s">
        <v>11875</v>
      </c>
      <c r="J2890" s="6" t="str">
        <f>"MELANGE ALPACA MAXI COAT awa118w"</f>
        <v>MELANGE ALPACA MAXI COAT awa118w</v>
      </c>
      <c r="K2890" s="6">
        <v>0</v>
      </c>
      <c r="L2890" s="6">
        <v>0</v>
      </c>
      <c r="M2890" s="6">
        <v>0</v>
      </c>
      <c r="N2890" s="6" t="str">
        <f>""</f>
        <v/>
      </c>
      <c r="O2890" s="6">
        <v>23956</v>
      </c>
      <c r="P2890" s="6" t="s">
        <v>11886</v>
      </c>
      <c r="R2890" s="6" t="s">
        <v>11887</v>
      </c>
      <c r="S2890" s="6" t="s">
        <v>11888</v>
      </c>
      <c r="T2890" s="6">
        <v>0</v>
      </c>
      <c r="U2890" s="6">
        <v>0</v>
      </c>
      <c r="V2890" s="6">
        <v>0</v>
      </c>
      <c r="W2890" s="6">
        <v>0</v>
      </c>
      <c r="X2890" s="6" t="s">
        <v>169</v>
      </c>
      <c r="Z2890" s="6" t="s">
        <v>170</v>
      </c>
      <c r="AA2890" s="6" t="s">
        <v>171</v>
      </c>
      <c r="AB2890" s="6">
        <v>0</v>
      </c>
      <c r="AC2890" s="6" t="str">
        <f>""</f>
        <v/>
      </c>
      <c r="AS2890" s="6">
        <v>0</v>
      </c>
      <c r="AT2890" s="6">
        <v>0</v>
      </c>
    </row>
    <row r="2891" spans="2:46">
      <c r="B2891" s="6" t="s">
        <v>108</v>
      </c>
      <c r="D2891" s="6" t="s">
        <v>8189</v>
      </c>
      <c r="F2891" s="6" t="s">
        <v>11889</v>
      </c>
      <c r="G2891" s="6" t="str">
        <f>"A17F2WAW118MKS"</f>
        <v>A17F2WAW118MKS</v>
      </c>
      <c r="H2891" s="6" t="s">
        <v>11890</v>
      </c>
      <c r="I2891" s="6" t="s">
        <v>11875</v>
      </c>
      <c r="J2891" s="6" t="str">
        <f>"MELANGE ALPACA MAXI COAT awa118w"</f>
        <v>MELANGE ALPACA MAXI COAT awa118w</v>
      </c>
      <c r="K2891" s="6">
        <v>0</v>
      </c>
      <c r="L2891" s="6">
        <v>0</v>
      </c>
      <c r="M2891" s="6">
        <v>0</v>
      </c>
      <c r="N2891" s="6" t="str">
        <f>""</f>
        <v/>
      </c>
      <c r="O2891" s="6">
        <v>23955</v>
      </c>
      <c r="P2891" s="6" t="s">
        <v>11891</v>
      </c>
      <c r="R2891" s="6" t="s">
        <v>11892</v>
      </c>
      <c r="S2891" s="6" t="s">
        <v>11893</v>
      </c>
      <c r="T2891" s="6">
        <v>0</v>
      </c>
      <c r="U2891" s="6">
        <v>0</v>
      </c>
      <c r="V2891" s="6">
        <v>0</v>
      </c>
      <c r="W2891" s="6">
        <v>0</v>
      </c>
      <c r="X2891" s="6" t="s">
        <v>169</v>
      </c>
      <c r="Z2891" s="6" t="s">
        <v>170</v>
      </c>
      <c r="AA2891" s="6" t="s">
        <v>171</v>
      </c>
      <c r="AB2891" s="6">
        <v>0</v>
      </c>
      <c r="AC2891" s="6" t="str">
        <f>""</f>
        <v/>
      </c>
      <c r="AS2891" s="6">
        <v>0</v>
      </c>
      <c r="AT2891" s="6">
        <v>0</v>
      </c>
    </row>
    <row r="2892" spans="2:46" ht="99">
      <c r="B2892" s="6" t="s">
        <v>108</v>
      </c>
      <c r="D2892" s="6" t="s">
        <v>8189</v>
      </c>
      <c r="F2892" s="6" t="s">
        <v>11894</v>
      </c>
      <c r="G2892" s="6" t="str">
        <f>"A17FWWAW112KKS"</f>
        <v>A17FWWAW112KKS</v>
      </c>
      <c r="H2892" s="6" t="s">
        <v>11895</v>
      </c>
      <c r="I2892" s="7" t="s">
        <v>11896</v>
      </c>
      <c r="J2892" s="6" t="str">
        <f>"BAZZAR WORSTED TRENCH COAT 
awa112w"</f>
        <v>BAZZAR WORSTED TRENCH COAT 
awa112w</v>
      </c>
      <c r="K2892" s="6">
        <v>0</v>
      </c>
      <c r="L2892" s="6">
        <v>0</v>
      </c>
      <c r="M2892" s="6">
        <v>0</v>
      </c>
      <c r="N2892" s="6" t="str">
        <f>""</f>
        <v/>
      </c>
      <c r="O2892" s="6">
        <v>23953</v>
      </c>
      <c r="P2892" s="6" t="s">
        <v>11897</v>
      </c>
      <c r="R2892" s="6" t="s">
        <v>11898</v>
      </c>
      <c r="S2892" s="7" t="s">
        <v>11899</v>
      </c>
      <c r="T2892" s="6">
        <v>0</v>
      </c>
      <c r="U2892" s="6">
        <v>0</v>
      </c>
      <c r="V2892" s="6">
        <v>0</v>
      </c>
      <c r="W2892" s="6">
        <v>0</v>
      </c>
      <c r="X2892" s="6" t="s">
        <v>169</v>
      </c>
      <c r="Z2892" s="6" t="s">
        <v>170</v>
      </c>
      <c r="AA2892" s="6" t="s">
        <v>171</v>
      </c>
      <c r="AB2892" s="6">
        <v>0</v>
      </c>
      <c r="AC2892" s="6" t="str">
        <f>""</f>
        <v/>
      </c>
      <c r="AS2892" s="6">
        <v>0</v>
      </c>
      <c r="AT2892" s="6">
        <v>0</v>
      </c>
    </row>
    <row r="2893" spans="2:46" ht="99">
      <c r="B2893" s="6" t="s">
        <v>108</v>
      </c>
      <c r="D2893" s="6" t="s">
        <v>8189</v>
      </c>
      <c r="F2893" s="6" t="s">
        <v>11900</v>
      </c>
      <c r="G2893" s="6" t="str">
        <f>"A17FWWAW112CKS"</f>
        <v>A17FWWAW112CKS</v>
      </c>
      <c r="H2893" s="6" t="s">
        <v>11901</v>
      </c>
      <c r="I2893" s="7" t="s">
        <v>11896</v>
      </c>
      <c r="J2893" s="6" t="str">
        <f>"BAZZAR WORSTED TRENCH COAT 
awa112w"</f>
        <v>BAZZAR WORSTED TRENCH COAT 
awa112w</v>
      </c>
      <c r="K2893" s="6">
        <v>0</v>
      </c>
      <c r="L2893" s="6">
        <v>0</v>
      </c>
      <c r="M2893" s="6">
        <v>0</v>
      </c>
      <c r="N2893" s="6" t="str">
        <f>""</f>
        <v/>
      </c>
      <c r="O2893" s="6">
        <v>23952</v>
      </c>
      <c r="P2893" s="6" t="s">
        <v>11902</v>
      </c>
      <c r="R2893" s="6" t="s">
        <v>11903</v>
      </c>
      <c r="S2893" s="7" t="s">
        <v>11904</v>
      </c>
      <c r="T2893" s="6">
        <v>0</v>
      </c>
      <c r="U2893" s="6">
        <v>0</v>
      </c>
      <c r="V2893" s="6">
        <v>0</v>
      </c>
      <c r="W2893" s="6">
        <v>0</v>
      </c>
      <c r="X2893" s="6" t="s">
        <v>169</v>
      </c>
      <c r="Z2893" s="6" t="s">
        <v>170</v>
      </c>
      <c r="AA2893" s="6" t="s">
        <v>171</v>
      </c>
      <c r="AB2893" s="6">
        <v>0</v>
      </c>
      <c r="AC2893" s="6" t="str">
        <f>""</f>
        <v/>
      </c>
      <c r="AS2893" s="6">
        <v>0</v>
      </c>
      <c r="AT2893" s="6">
        <v>0</v>
      </c>
    </row>
    <row r="2894" spans="2:46" ht="99">
      <c r="B2894" s="6" t="s">
        <v>108</v>
      </c>
      <c r="D2894" s="6" t="s">
        <v>8189</v>
      </c>
      <c r="F2894" s="6" t="s">
        <v>11905</v>
      </c>
      <c r="G2894" s="6" t="str">
        <f>"A17FWWAW109HRS"</f>
        <v>A17FWWAW109HRS</v>
      </c>
      <c r="H2894" s="6" t="s">
        <v>11906</v>
      </c>
      <c r="I2894" s="7" t="s">
        <v>11907</v>
      </c>
      <c r="J2894" s="6" t="str">
        <f>"KIARA HERRINGBONE SLIT JACKET 
awa109w"</f>
        <v>KIARA HERRINGBONE SLIT JACKET 
awa109w</v>
      </c>
      <c r="K2894" s="6">
        <v>0</v>
      </c>
      <c r="L2894" s="6">
        <v>0</v>
      </c>
      <c r="M2894" s="6">
        <v>0</v>
      </c>
      <c r="N2894" s="6" t="str">
        <f>""</f>
        <v/>
      </c>
      <c r="O2894" s="6">
        <v>23950</v>
      </c>
      <c r="P2894" s="6" t="s">
        <v>11908</v>
      </c>
      <c r="R2894" s="6" t="s">
        <v>11909</v>
      </c>
      <c r="S2894" s="7" t="s">
        <v>11910</v>
      </c>
      <c r="T2894" s="6">
        <v>0</v>
      </c>
      <c r="U2894" s="6">
        <v>0</v>
      </c>
      <c r="V2894" s="6">
        <v>0</v>
      </c>
      <c r="W2894" s="6">
        <v>0</v>
      </c>
      <c r="X2894" s="6" t="s">
        <v>169</v>
      </c>
      <c r="Z2894" s="6" t="s">
        <v>170</v>
      </c>
      <c r="AA2894" s="6" t="s">
        <v>171</v>
      </c>
      <c r="AB2894" s="6">
        <v>0</v>
      </c>
      <c r="AC2894" s="6" t="str">
        <f>""</f>
        <v/>
      </c>
      <c r="AS2894" s="6">
        <v>0</v>
      </c>
      <c r="AT2894" s="6">
        <v>0</v>
      </c>
    </row>
    <row r="2895" spans="2:46" ht="99">
      <c r="B2895" s="6" t="s">
        <v>108</v>
      </c>
      <c r="D2895" s="6" t="s">
        <v>8189</v>
      </c>
      <c r="F2895" s="6" t="s">
        <v>11911</v>
      </c>
      <c r="G2895" s="6" t="str">
        <f>"A17FWWAW109HRM"</f>
        <v>A17FWWAW109HRM</v>
      </c>
      <c r="H2895" s="6" t="s">
        <v>11912</v>
      </c>
      <c r="I2895" s="7" t="s">
        <v>11907</v>
      </c>
      <c r="J2895" s="6" t="str">
        <f>"KIARA HERRINGBONE SLIT JACKET 
awa109w"</f>
        <v>KIARA HERRINGBONE SLIT JACKET 
awa109w</v>
      </c>
      <c r="K2895" s="6">
        <v>0</v>
      </c>
      <c r="L2895" s="6">
        <v>0</v>
      </c>
      <c r="M2895" s="6">
        <v>0</v>
      </c>
      <c r="N2895" s="6" t="str">
        <f>""</f>
        <v/>
      </c>
      <c r="O2895" s="6">
        <v>23949</v>
      </c>
      <c r="P2895" s="6" t="s">
        <v>11913</v>
      </c>
      <c r="R2895" s="6" t="s">
        <v>11914</v>
      </c>
      <c r="S2895" s="7" t="s">
        <v>11915</v>
      </c>
      <c r="T2895" s="6">
        <v>0</v>
      </c>
      <c r="U2895" s="6">
        <v>0</v>
      </c>
      <c r="V2895" s="6">
        <v>0</v>
      </c>
      <c r="W2895" s="6">
        <v>0</v>
      </c>
      <c r="X2895" s="6" t="s">
        <v>169</v>
      </c>
      <c r="Z2895" s="6" t="s">
        <v>170</v>
      </c>
      <c r="AA2895" s="6" t="s">
        <v>171</v>
      </c>
      <c r="AB2895" s="6">
        <v>0</v>
      </c>
      <c r="AC2895" s="6" t="str">
        <f>""</f>
        <v/>
      </c>
      <c r="AS2895" s="6">
        <v>0</v>
      </c>
      <c r="AT2895" s="6">
        <v>0</v>
      </c>
    </row>
    <row r="2896" spans="2:46" ht="99">
      <c r="B2896" s="6" t="s">
        <v>108</v>
      </c>
      <c r="D2896" s="6" t="s">
        <v>8189</v>
      </c>
      <c r="F2896" s="6" t="s">
        <v>11916</v>
      </c>
      <c r="G2896" s="6" t="str">
        <f>"A17FWWAM108PKM"</f>
        <v>A17FWWAM108PKM</v>
      </c>
      <c r="H2896" s="6" t="s">
        <v>11917</v>
      </c>
      <c r="I2896" s="7" t="s">
        <v>11918</v>
      </c>
      <c r="J2896" s="6" t="str">
        <f>"JOHANSSON WOOL COACH JACKET 
awa108m"</f>
        <v>JOHANSSON WOOL COACH JACKET 
awa108m</v>
      </c>
      <c r="K2896" s="6">
        <v>0</v>
      </c>
      <c r="L2896" s="6">
        <v>0</v>
      </c>
      <c r="M2896" s="6">
        <v>0</v>
      </c>
      <c r="N2896" s="6" t="str">
        <f>""</f>
        <v/>
      </c>
      <c r="O2896" s="6">
        <v>23947</v>
      </c>
      <c r="P2896" s="6" t="s">
        <v>11919</v>
      </c>
      <c r="R2896" s="6" t="s">
        <v>11451</v>
      </c>
      <c r="S2896" s="7" t="s">
        <v>11920</v>
      </c>
      <c r="T2896" s="6">
        <v>0</v>
      </c>
      <c r="U2896" s="6">
        <v>0</v>
      </c>
      <c r="V2896" s="6">
        <v>0</v>
      </c>
      <c r="W2896" s="6">
        <v>0</v>
      </c>
      <c r="X2896" s="6" t="s">
        <v>169</v>
      </c>
      <c r="Z2896" s="6" t="s">
        <v>170</v>
      </c>
      <c r="AA2896" s="6" t="s">
        <v>171</v>
      </c>
      <c r="AB2896" s="6">
        <v>0</v>
      </c>
      <c r="AC2896" s="6" t="str">
        <f>""</f>
        <v/>
      </c>
      <c r="AS2896" s="6">
        <v>0</v>
      </c>
      <c r="AT2896" s="6">
        <v>0</v>
      </c>
    </row>
    <row r="2897" spans="2:46" ht="82.5">
      <c r="B2897" s="6" t="s">
        <v>108</v>
      </c>
      <c r="D2897" s="6" t="s">
        <v>8189</v>
      </c>
      <c r="F2897" s="6" t="s">
        <v>11921</v>
      </c>
      <c r="G2897" s="6" t="str">
        <f>"A17FWWAW099NVS"</f>
        <v>A17FWWAW099NVS</v>
      </c>
      <c r="H2897" s="6" t="s">
        <v>11922</v>
      </c>
      <c r="I2897" s="7" t="s">
        <v>11923</v>
      </c>
      <c r="J2897" s="6" t="str">
        <f>"ZURI STRIPE LAYERED COAT 
awa099w"</f>
        <v>ZURI STRIPE LAYERED COAT 
awa099w</v>
      </c>
      <c r="K2897" s="6">
        <v>0</v>
      </c>
      <c r="L2897" s="6">
        <v>0</v>
      </c>
      <c r="M2897" s="6">
        <v>0</v>
      </c>
      <c r="N2897" s="6" t="str">
        <f>""</f>
        <v/>
      </c>
      <c r="O2897" s="6">
        <v>23945</v>
      </c>
      <c r="P2897" s="6" t="s">
        <v>11924</v>
      </c>
      <c r="R2897" s="6" t="s">
        <v>11925</v>
      </c>
      <c r="S2897" s="7" t="s">
        <v>11926</v>
      </c>
      <c r="T2897" s="6">
        <v>0</v>
      </c>
      <c r="U2897" s="6">
        <v>0</v>
      </c>
      <c r="V2897" s="6">
        <v>0</v>
      </c>
      <c r="W2897" s="6">
        <v>0</v>
      </c>
      <c r="X2897" s="6" t="s">
        <v>169</v>
      </c>
      <c r="Z2897" s="6" t="s">
        <v>170</v>
      </c>
      <c r="AA2897" s="6" t="s">
        <v>171</v>
      </c>
      <c r="AB2897" s="6">
        <v>0</v>
      </c>
      <c r="AC2897" s="6" t="str">
        <f>""</f>
        <v/>
      </c>
      <c r="AS2897" s="6">
        <v>0</v>
      </c>
      <c r="AT2897" s="6">
        <v>0</v>
      </c>
    </row>
    <row r="2898" spans="2:46">
      <c r="B2898" s="6" t="s">
        <v>108</v>
      </c>
      <c r="D2898" s="6" t="s">
        <v>8189</v>
      </c>
      <c r="F2898" s="6" t="s">
        <v>11927</v>
      </c>
      <c r="G2898" s="6" t="str">
        <f>"A17FWWAW096NVS"</f>
        <v>A17FWWAW096NVS</v>
      </c>
      <c r="H2898" s="6" t="s">
        <v>11928</v>
      </c>
      <c r="I2898" s="6" t="s">
        <v>11929</v>
      </c>
      <c r="J2898" s="6" t="str">
        <f>"AVALON OVERSIZED DOUBLE COAT awa096w"</f>
        <v>AVALON OVERSIZED DOUBLE COAT awa096w</v>
      </c>
      <c r="K2898" s="6">
        <v>0</v>
      </c>
      <c r="L2898" s="6">
        <v>0</v>
      </c>
      <c r="M2898" s="6">
        <v>0</v>
      </c>
      <c r="N2898" s="6" t="str">
        <f>""</f>
        <v/>
      </c>
      <c r="O2898" s="6">
        <v>23943</v>
      </c>
      <c r="P2898" s="6" t="s">
        <v>11930</v>
      </c>
      <c r="R2898" s="6" t="s">
        <v>11931</v>
      </c>
      <c r="S2898" s="6" t="s">
        <v>11932</v>
      </c>
      <c r="T2898" s="6">
        <v>0</v>
      </c>
      <c r="U2898" s="6">
        <v>0</v>
      </c>
      <c r="V2898" s="6">
        <v>0</v>
      </c>
      <c r="W2898" s="6">
        <v>0</v>
      </c>
      <c r="X2898" s="6" t="s">
        <v>169</v>
      </c>
      <c r="Z2898" s="6" t="s">
        <v>170</v>
      </c>
      <c r="AA2898" s="6" t="s">
        <v>171</v>
      </c>
      <c r="AB2898" s="6">
        <v>0</v>
      </c>
      <c r="AC2898" s="6" t="str">
        <f>""</f>
        <v/>
      </c>
      <c r="AS2898" s="6">
        <v>0</v>
      </c>
      <c r="AT2898" s="6">
        <v>0</v>
      </c>
    </row>
    <row r="2899" spans="2:46">
      <c r="B2899" s="6" t="s">
        <v>108</v>
      </c>
      <c r="D2899" s="6" t="s">
        <v>8189</v>
      </c>
      <c r="F2899" s="6" t="s">
        <v>11933</v>
      </c>
      <c r="G2899" s="6" t="str">
        <f>"A17FWWAW096NVM"</f>
        <v>A17FWWAW096NVM</v>
      </c>
      <c r="I2899" s="6" t="s">
        <v>11929</v>
      </c>
      <c r="J2899" s="6" t="str">
        <f>"AVALON OVERSIZED DOUBLE COAT awa096w"</f>
        <v>AVALON OVERSIZED DOUBLE COAT awa096w</v>
      </c>
      <c r="K2899" s="6">
        <v>0</v>
      </c>
      <c r="L2899" s="6">
        <v>0</v>
      </c>
      <c r="M2899" s="6">
        <v>0</v>
      </c>
      <c r="N2899" s="6" t="str">
        <f>""</f>
        <v/>
      </c>
      <c r="O2899" s="6">
        <v>23942</v>
      </c>
      <c r="P2899" s="6" t="s">
        <v>11934</v>
      </c>
      <c r="R2899" s="6" t="s">
        <v>9777</v>
      </c>
      <c r="S2899" s="6" t="s">
        <v>11935</v>
      </c>
      <c r="T2899" s="6">
        <v>1</v>
      </c>
      <c r="U2899" s="6">
        <v>0</v>
      </c>
      <c r="V2899" s="6">
        <v>0</v>
      </c>
      <c r="W2899" s="6">
        <v>0</v>
      </c>
      <c r="X2899" s="6" t="s">
        <v>169</v>
      </c>
      <c r="Z2899" s="6" t="s">
        <v>170</v>
      </c>
      <c r="AA2899" s="6" t="s">
        <v>171</v>
      </c>
      <c r="AB2899" s="6">
        <v>0</v>
      </c>
      <c r="AC2899" s="6" t="str">
        <f>"KEY-016"</f>
        <v>KEY-016</v>
      </c>
      <c r="AQ2899" s="6" t="str">
        <f>""</f>
        <v/>
      </c>
      <c r="AR2899" s="6" t="s">
        <v>1567</v>
      </c>
      <c r="AS2899" s="6">
        <v>0</v>
      </c>
      <c r="AT2899" s="6">
        <v>1</v>
      </c>
    </row>
    <row r="2900" spans="2:46">
      <c r="B2900" s="6" t="s">
        <v>108</v>
      </c>
      <c r="D2900" s="6" t="s">
        <v>8189</v>
      </c>
      <c r="F2900" s="6" t="s">
        <v>11936</v>
      </c>
      <c r="G2900" s="6" t="str">
        <f>"A17FWWAW096BCS"</f>
        <v>A17FWWAW096BCS</v>
      </c>
      <c r="H2900" s="6" t="s">
        <v>11937</v>
      </c>
      <c r="I2900" s="6" t="s">
        <v>11929</v>
      </c>
      <c r="J2900" s="6" t="str">
        <f>"AVALON OVERSIZED DOUBLE COAT awa096w"</f>
        <v>AVALON OVERSIZED DOUBLE COAT awa096w</v>
      </c>
      <c r="K2900" s="6">
        <v>0</v>
      </c>
      <c r="L2900" s="6">
        <v>0</v>
      </c>
      <c r="M2900" s="6">
        <v>0</v>
      </c>
      <c r="N2900" s="6" t="str">
        <f>""</f>
        <v/>
      </c>
      <c r="O2900" s="6">
        <v>23941</v>
      </c>
      <c r="P2900" s="6" t="s">
        <v>11938</v>
      </c>
      <c r="R2900" s="6" t="s">
        <v>11939</v>
      </c>
      <c r="S2900" s="6" t="s">
        <v>11940</v>
      </c>
      <c r="T2900" s="6">
        <v>0</v>
      </c>
      <c r="U2900" s="6">
        <v>0</v>
      </c>
      <c r="V2900" s="6">
        <v>0</v>
      </c>
      <c r="W2900" s="6">
        <v>0</v>
      </c>
      <c r="X2900" s="6" t="s">
        <v>169</v>
      </c>
      <c r="Z2900" s="6" t="s">
        <v>170</v>
      </c>
      <c r="AA2900" s="6" t="s">
        <v>171</v>
      </c>
      <c r="AB2900" s="6">
        <v>0</v>
      </c>
      <c r="AC2900" s="6" t="str">
        <f>""</f>
        <v/>
      </c>
      <c r="AS2900" s="6">
        <v>0</v>
      </c>
      <c r="AT2900" s="6">
        <v>0</v>
      </c>
    </row>
    <row r="2901" spans="2:46">
      <c r="B2901" s="6" t="s">
        <v>108</v>
      </c>
      <c r="D2901" s="6" t="s">
        <v>8189</v>
      </c>
      <c r="F2901" s="6" t="s">
        <v>11941</v>
      </c>
      <c r="G2901" s="6" t="str">
        <f>"A17FWWAW096BCM"</f>
        <v>A17FWWAW096BCM</v>
      </c>
      <c r="H2901" s="6" t="s">
        <v>11942</v>
      </c>
      <c r="I2901" s="6" t="s">
        <v>11929</v>
      </c>
      <c r="J2901" s="6" t="str">
        <f>"AVALON OVERSIZED DOUBLE COAT awa096w"</f>
        <v>AVALON OVERSIZED DOUBLE COAT awa096w</v>
      </c>
      <c r="K2901" s="6">
        <v>0</v>
      </c>
      <c r="L2901" s="6">
        <v>0</v>
      </c>
      <c r="M2901" s="6">
        <v>0</v>
      </c>
      <c r="N2901" s="6" t="str">
        <f>""</f>
        <v/>
      </c>
      <c r="O2901" s="6">
        <v>23940</v>
      </c>
      <c r="P2901" s="6" t="s">
        <v>11943</v>
      </c>
      <c r="R2901" s="6" t="s">
        <v>11944</v>
      </c>
      <c r="S2901" s="6" t="s">
        <v>11945</v>
      </c>
      <c r="T2901" s="6">
        <v>0</v>
      </c>
      <c r="U2901" s="6">
        <v>0</v>
      </c>
      <c r="V2901" s="6">
        <v>0</v>
      </c>
      <c r="W2901" s="6">
        <v>0</v>
      </c>
      <c r="X2901" s="6" t="s">
        <v>169</v>
      </c>
      <c r="Z2901" s="6" t="s">
        <v>170</v>
      </c>
      <c r="AA2901" s="6" t="s">
        <v>171</v>
      </c>
      <c r="AB2901" s="6">
        <v>0</v>
      </c>
      <c r="AC2901" s="6" t="str">
        <f>""</f>
        <v/>
      </c>
      <c r="AS2901" s="6">
        <v>0</v>
      </c>
      <c r="AT2901" s="6">
        <v>0</v>
      </c>
    </row>
    <row r="2902" spans="2:46" ht="82.5">
      <c r="B2902" s="6" t="s">
        <v>108</v>
      </c>
      <c r="D2902" s="6" t="s">
        <v>8189</v>
      </c>
      <c r="F2902" s="6" t="s">
        <v>11946</v>
      </c>
      <c r="G2902" s="6" t="str">
        <f>"A17SSWAW088CKFRE"</f>
        <v>A17SSWAW088CKFRE</v>
      </c>
      <c r="H2902" s="6" t="s">
        <v>11947</v>
      </c>
      <c r="I2902" s="7" t="s">
        <v>11948</v>
      </c>
      <c r="J2902" s="6" t="str">
        <f>"SOPHIE UNBALANCE JACKET  
awa088w"</f>
        <v>SOPHIE UNBALANCE JACKET  
awa088w</v>
      </c>
      <c r="K2902" s="6">
        <v>0</v>
      </c>
      <c r="L2902" s="6">
        <v>0</v>
      </c>
      <c r="M2902" s="6">
        <v>0</v>
      </c>
      <c r="N2902" s="6" t="str">
        <f>""</f>
        <v/>
      </c>
      <c r="O2902" s="6">
        <v>23938</v>
      </c>
      <c r="P2902" s="6" t="s">
        <v>11949</v>
      </c>
      <c r="R2902" s="6" t="s">
        <v>11950</v>
      </c>
      <c r="S2902" s="7" t="s">
        <v>11951</v>
      </c>
      <c r="T2902" s="6">
        <v>0</v>
      </c>
      <c r="U2902" s="6">
        <v>0</v>
      </c>
      <c r="V2902" s="6">
        <v>0</v>
      </c>
      <c r="W2902" s="6">
        <v>0</v>
      </c>
      <c r="X2902" s="6" t="s">
        <v>169</v>
      </c>
      <c r="Z2902" s="6" t="s">
        <v>170</v>
      </c>
      <c r="AA2902" s="6" t="s">
        <v>171</v>
      </c>
      <c r="AB2902" s="6">
        <v>0</v>
      </c>
      <c r="AC2902" s="6" t="str">
        <f>""</f>
        <v/>
      </c>
      <c r="AS2902" s="6">
        <v>0</v>
      </c>
      <c r="AT2902" s="6">
        <v>0</v>
      </c>
    </row>
    <row r="2903" spans="2:46">
      <c r="B2903" s="6" t="s">
        <v>108</v>
      </c>
      <c r="D2903" s="6" t="s">
        <v>8189</v>
      </c>
      <c r="F2903" s="6" t="s">
        <v>11952</v>
      </c>
      <c r="G2903" s="6" t="str">
        <f>"A17SSWAU081CAS"</f>
        <v>A17SSWAU081CAS</v>
      </c>
      <c r="H2903" s="6" t="s">
        <v>11953</v>
      </c>
      <c r="I2903" s="6" t="s">
        <v>11954</v>
      </c>
      <c r="J2903" s="6" t="str">
        <f>"UNISEX SURF CALIFORNIA FIELD JACKET awa081u(camo)"</f>
        <v>UNISEX SURF CALIFORNIA FIELD JACKET awa081u(camo)</v>
      </c>
      <c r="K2903" s="6">
        <v>0</v>
      </c>
      <c r="L2903" s="6">
        <v>0</v>
      </c>
      <c r="M2903" s="6">
        <v>0</v>
      </c>
      <c r="N2903" s="6" t="str">
        <f>""</f>
        <v/>
      </c>
      <c r="O2903" s="6">
        <v>23936</v>
      </c>
      <c r="P2903" s="6" t="s">
        <v>11955</v>
      </c>
      <c r="R2903" s="6" t="s">
        <v>11956</v>
      </c>
      <c r="S2903" s="6" t="s">
        <v>11957</v>
      </c>
      <c r="T2903" s="6">
        <v>0</v>
      </c>
      <c r="U2903" s="6">
        <v>0</v>
      </c>
      <c r="V2903" s="6">
        <v>0</v>
      </c>
      <c r="W2903" s="6">
        <v>0</v>
      </c>
      <c r="X2903" s="6" t="s">
        <v>169</v>
      </c>
      <c r="Z2903" s="6" t="s">
        <v>170</v>
      </c>
      <c r="AA2903" s="6" t="s">
        <v>171</v>
      </c>
      <c r="AB2903" s="6">
        <v>0</v>
      </c>
      <c r="AC2903" s="6" t="str">
        <f>""</f>
        <v/>
      </c>
      <c r="AS2903" s="6">
        <v>0</v>
      </c>
      <c r="AT2903" s="6">
        <v>0</v>
      </c>
    </row>
    <row r="2904" spans="2:46">
      <c r="B2904" s="6" t="s">
        <v>108</v>
      </c>
      <c r="D2904" s="6" t="s">
        <v>8189</v>
      </c>
      <c r="F2904" s="6" t="s">
        <v>11958</v>
      </c>
      <c r="G2904" s="6" t="str">
        <f>"A16FWWAM071NVM"</f>
        <v>A16FWWAM071NVM</v>
      </c>
      <c r="H2904" s="6" t="s">
        <v>11959</v>
      </c>
      <c r="I2904" s="6" t="s">
        <v>11960</v>
      </c>
      <c r="J2904" s="6" t="str">
        <f>"DOUBLE OVERSIZED MILITARY COAT awa071"</f>
        <v>DOUBLE OVERSIZED MILITARY COAT awa071</v>
      </c>
      <c r="K2904" s="6">
        <v>0</v>
      </c>
      <c r="L2904" s="6">
        <v>0</v>
      </c>
      <c r="M2904" s="6">
        <v>0</v>
      </c>
      <c r="N2904" s="6" t="str">
        <f>""</f>
        <v/>
      </c>
      <c r="O2904" s="6">
        <v>23934</v>
      </c>
      <c r="P2904" s="6" t="s">
        <v>11961</v>
      </c>
      <c r="R2904" s="6" t="s">
        <v>9777</v>
      </c>
      <c r="S2904" s="6" t="s">
        <v>11962</v>
      </c>
      <c r="T2904" s="6">
        <v>0</v>
      </c>
      <c r="U2904" s="6">
        <v>0</v>
      </c>
      <c r="V2904" s="6">
        <v>0</v>
      </c>
      <c r="W2904" s="6">
        <v>0</v>
      </c>
      <c r="X2904" s="6" t="s">
        <v>169</v>
      </c>
      <c r="Z2904" s="6" t="s">
        <v>170</v>
      </c>
      <c r="AA2904" s="6" t="s">
        <v>171</v>
      </c>
      <c r="AB2904" s="6">
        <v>0</v>
      </c>
      <c r="AC2904" s="6" t="str">
        <f>""</f>
        <v/>
      </c>
      <c r="AS2904" s="6">
        <v>0</v>
      </c>
      <c r="AT2904" s="6">
        <v>0</v>
      </c>
    </row>
    <row r="2905" spans="2:46">
      <c r="B2905" s="6" t="s">
        <v>108</v>
      </c>
      <c r="D2905" s="6" t="s">
        <v>8189</v>
      </c>
      <c r="F2905" s="6" t="s">
        <v>11963</v>
      </c>
      <c r="G2905" s="6" t="str">
        <f>"A16FWWAM070NVS"</f>
        <v>A16FWWAM070NVS</v>
      </c>
      <c r="H2905" s="6" t="s">
        <v>11964</v>
      </c>
      <c r="I2905" s="6" t="s">
        <v>11965</v>
      </c>
      <c r="J2905" s="6" t="str">
        <f>"NELSEN OVERSIZED COAT awa070"</f>
        <v>NELSEN OVERSIZED COAT awa070</v>
      </c>
      <c r="K2905" s="6">
        <v>0</v>
      </c>
      <c r="L2905" s="6">
        <v>0</v>
      </c>
      <c r="M2905" s="6">
        <v>0</v>
      </c>
      <c r="N2905" s="6" t="str">
        <f>""</f>
        <v/>
      </c>
      <c r="O2905" s="6">
        <v>23932</v>
      </c>
      <c r="P2905" s="6" t="s">
        <v>11966</v>
      </c>
      <c r="R2905" s="6" t="s">
        <v>11931</v>
      </c>
      <c r="S2905" s="6" t="s">
        <v>11967</v>
      </c>
      <c r="T2905" s="6">
        <v>0</v>
      </c>
      <c r="U2905" s="6">
        <v>0</v>
      </c>
      <c r="V2905" s="6">
        <v>0</v>
      </c>
      <c r="W2905" s="6">
        <v>0</v>
      </c>
      <c r="X2905" s="6" t="s">
        <v>169</v>
      </c>
      <c r="Z2905" s="6" t="s">
        <v>170</v>
      </c>
      <c r="AA2905" s="6" t="s">
        <v>171</v>
      </c>
      <c r="AB2905" s="6">
        <v>0</v>
      </c>
      <c r="AC2905" s="6" t="str">
        <f>""</f>
        <v/>
      </c>
      <c r="AS2905" s="6">
        <v>0</v>
      </c>
      <c r="AT2905" s="6">
        <v>0</v>
      </c>
    </row>
    <row r="2906" spans="2:46">
      <c r="B2906" s="6" t="s">
        <v>108</v>
      </c>
      <c r="D2906" s="6" t="s">
        <v>8189</v>
      </c>
      <c r="F2906" s="6" t="s">
        <v>11968</v>
      </c>
      <c r="G2906" s="6" t="str">
        <f>"A16FWWAM070NVM"</f>
        <v>A16FWWAM070NVM</v>
      </c>
      <c r="H2906" s="6" t="s">
        <v>11969</v>
      </c>
      <c r="I2906" s="6" t="s">
        <v>11965</v>
      </c>
      <c r="J2906" s="6" t="str">
        <f>"NELSEN OVERSIZED COAT awa070"</f>
        <v>NELSEN OVERSIZED COAT awa070</v>
      </c>
      <c r="K2906" s="6">
        <v>0</v>
      </c>
      <c r="L2906" s="6">
        <v>0</v>
      </c>
      <c r="M2906" s="6">
        <v>0</v>
      </c>
      <c r="N2906" s="6" t="str">
        <f>""</f>
        <v/>
      </c>
      <c r="O2906" s="6">
        <v>23931</v>
      </c>
      <c r="P2906" s="6" t="s">
        <v>11970</v>
      </c>
      <c r="R2906" s="6" t="s">
        <v>9777</v>
      </c>
      <c r="S2906" s="6" t="s">
        <v>11971</v>
      </c>
      <c r="T2906" s="6">
        <v>0</v>
      </c>
      <c r="U2906" s="6">
        <v>0</v>
      </c>
      <c r="V2906" s="6">
        <v>0</v>
      </c>
      <c r="W2906" s="6">
        <v>0</v>
      </c>
      <c r="X2906" s="6" t="s">
        <v>169</v>
      </c>
      <c r="Z2906" s="6" t="s">
        <v>170</v>
      </c>
      <c r="AA2906" s="6" t="s">
        <v>171</v>
      </c>
      <c r="AB2906" s="6">
        <v>0</v>
      </c>
      <c r="AC2906" s="6" t="str">
        <f>""</f>
        <v/>
      </c>
      <c r="AS2906" s="6">
        <v>0</v>
      </c>
      <c r="AT2906" s="6">
        <v>0</v>
      </c>
    </row>
    <row r="2907" spans="2:46">
      <c r="B2907" s="6" t="s">
        <v>108</v>
      </c>
      <c r="D2907" s="6" t="s">
        <v>8189</v>
      </c>
      <c r="F2907" s="6" t="s">
        <v>11972</v>
      </c>
      <c r="G2907" s="6" t="str">
        <f>"A16FWWAM070NVL"</f>
        <v>A16FWWAM070NVL</v>
      </c>
      <c r="H2907" s="6" t="s">
        <v>11973</v>
      </c>
      <c r="I2907" s="6" t="s">
        <v>11965</v>
      </c>
      <c r="J2907" s="6" t="str">
        <f>"NELSEN OVERSIZED COAT awa070"</f>
        <v>NELSEN OVERSIZED COAT awa070</v>
      </c>
      <c r="K2907" s="6">
        <v>0</v>
      </c>
      <c r="L2907" s="6">
        <v>0</v>
      </c>
      <c r="M2907" s="6">
        <v>0</v>
      </c>
      <c r="N2907" s="6" t="str">
        <f>""</f>
        <v/>
      </c>
      <c r="O2907" s="6">
        <v>23930</v>
      </c>
      <c r="P2907" s="6" t="s">
        <v>11974</v>
      </c>
      <c r="R2907" s="6" t="s">
        <v>9772</v>
      </c>
      <c r="S2907" s="6" t="s">
        <v>11975</v>
      </c>
      <c r="T2907" s="6">
        <v>0</v>
      </c>
      <c r="U2907" s="6">
        <v>0</v>
      </c>
      <c r="V2907" s="6">
        <v>0</v>
      </c>
      <c r="W2907" s="6">
        <v>0</v>
      </c>
      <c r="X2907" s="6" t="s">
        <v>169</v>
      </c>
      <c r="Z2907" s="6" t="s">
        <v>170</v>
      </c>
      <c r="AA2907" s="6" t="s">
        <v>171</v>
      </c>
      <c r="AB2907" s="6">
        <v>0</v>
      </c>
      <c r="AC2907" s="6" t="str">
        <f>""</f>
        <v/>
      </c>
      <c r="AS2907" s="6">
        <v>0</v>
      </c>
      <c r="AT2907" s="6">
        <v>0</v>
      </c>
    </row>
    <row r="2908" spans="2:46">
      <c r="B2908" s="6" t="s">
        <v>108</v>
      </c>
      <c r="D2908" s="6" t="s">
        <v>8189</v>
      </c>
      <c r="F2908" s="6" t="s">
        <v>11976</v>
      </c>
      <c r="G2908" s="6" t="str">
        <f>"A16FWWAU060PKS"</f>
        <v>A16FWWAU060PKS</v>
      </c>
      <c r="H2908" s="6" t="s">
        <v>11977</v>
      </c>
      <c r="I2908" s="6" t="s">
        <v>11978</v>
      </c>
      <c r="J2908" s="6" t="str">
        <f>"UNISEX  JOSEPH OVERSIZED COAT awa060"</f>
        <v>UNISEX  JOSEPH OVERSIZED COAT awa060</v>
      </c>
      <c r="K2908" s="6">
        <v>0</v>
      </c>
      <c r="L2908" s="6">
        <v>0</v>
      </c>
      <c r="M2908" s="6">
        <v>0</v>
      </c>
      <c r="N2908" s="6" t="str">
        <f>""</f>
        <v/>
      </c>
      <c r="O2908" s="6">
        <v>23928</v>
      </c>
      <c r="P2908" s="6" t="s">
        <v>11979</v>
      </c>
      <c r="R2908" s="6" t="s">
        <v>11980</v>
      </c>
      <c r="S2908" s="6" t="s">
        <v>11981</v>
      </c>
      <c r="T2908" s="6">
        <v>0</v>
      </c>
      <c r="U2908" s="6">
        <v>0</v>
      </c>
      <c r="V2908" s="6">
        <v>0</v>
      </c>
      <c r="W2908" s="6">
        <v>0</v>
      </c>
      <c r="X2908" s="6" t="s">
        <v>169</v>
      </c>
      <c r="Z2908" s="6" t="s">
        <v>170</v>
      </c>
      <c r="AA2908" s="6" t="s">
        <v>171</v>
      </c>
      <c r="AB2908" s="6">
        <v>0</v>
      </c>
      <c r="AC2908" s="6" t="str">
        <f>""</f>
        <v/>
      </c>
      <c r="AS2908" s="6">
        <v>0</v>
      </c>
      <c r="AT2908" s="6">
        <v>0</v>
      </c>
    </row>
    <row r="2909" spans="2:46">
      <c r="B2909" s="6" t="s">
        <v>108</v>
      </c>
      <c r="D2909" s="6" t="s">
        <v>8189</v>
      </c>
      <c r="F2909" s="6" t="s">
        <v>11982</v>
      </c>
      <c r="G2909" s="6" t="str">
        <f>"A16FWWAU060BEM"</f>
        <v>A16FWWAU060BEM</v>
      </c>
      <c r="H2909" s="6" t="s">
        <v>11983</v>
      </c>
      <c r="I2909" s="6" t="s">
        <v>11978</v>
      </c>
      <c r="J2909" s="6" t="str">
        <f>"UNISEX  JOSEPH OVERSIZED COAT awa060"</f>
        <v>UNISEX  JOSEPH OVERSIZED COAT awa060</v>
      </c>
      <c r="K2909" s="6">
        <v>0</v>
      </c>
      <c r="L2909" s="6">
        <v>0</v>
      </c>
      <c r="M2909" s="6">
        <v>0</v>
      </c>
      <c r="N2909" s="6" t="str">
        <f>""</f>
        <v/>
      </c>
      <c r="O2909" s="6">
        <v>23927</v>
      </c>
      <c r="P2909" s="6" t="s">
        <v>11984</v>
      </c>
      <c r="R2909" s="6" t="s">
        <v>639</v>
      </c>
      <c r="S2909" s="6" t="s">
        <v>11985</v>
      </c>
      <c r="T2909" s="6">
        <v>0</v>
      </c>
      <c r="U2909" s="6">
        <v>0</v>
      </c>
      <c r="V2909" s="6">
        <v>0</v>
      </c>
      <c r="W2909" s="6">
        <v>0</v>
      </c>
      <c r="X2909" s="6" t="s">
        <v>169</v>
      </c>
      <c r="Z2909" s="6" t="s">
        <v>170</v>
      </c>
      <c r="AA2909" s="6" t="s">
        <v>171</v>
      </c>
      <c r="AB2909" s="6">
        <v>0</v>
      </c>
      <c r="AC2909" s="6" t="str">
        <f>""</f>
        <v/>
      </c>
      <c r="AS2909" s="6">
        <v>0</v>
      </c>
      <c r="AT2909" s="6">
        <v>0</v>
      </c>
    </row>
    <row r="2910" spans="2:46">
      <c r="B2910" s="6" t="s">
        <v>108</v>
      </c>
      <c r="D2910" s="6" t="s">
        <v>8189</v>
      </c>
      <c r="F2910" s="6" t="s">
        <v>11986</v>
      </c>
      <c r="G2910" s="6" t="str">
        <f>"A16FWWAU059NVM"</f>
        <v>A16FWWAU059NVM</v>
      </c>
      <c r="H2910" s="6" t="s">
        <v>11987</v>
      </c>
      <c r="I2910" s="6" t="s">
        <v>11988</v>
      </c>
      <c r="J2910" s="6" t="str">
        <f>"UNISEX CASHMERE OLSSON OVERSIZED COAT awa059"</f>
        <v>UNISEX CASHMERE OLSSON OVERSIZED COAT awa059</v>
      </c>
      <c r="K2910" s="6">
        <v>0</v>
      </c>
      <c r="L2910" s="6">
        <v>0</v>
      </c>
      <c r="M2910" s="6">
        <v>0</v>
      </c>
      <c r="N2910" s="6" t="str">
        <f>""</f>
        <v/>
      </c>
      <c r="O2910" s="6">
        <v>23925</v>
      </c>
      <c r="P2910" s="6" t="s">
        <v>11989</v>
      </c>
      <c r="R2910" s="6" t="s">
        <v>571</v>
      </c>
      <c r="S2910" s="6" t="s">
        <v>11990</v>
      </c>
      <c r="T2910" s="6">
        <v>0</v>
      </c>
      <c r="U2910" s="6">
        <v>0</v>
      </c>
      <c r="V2910" s="6">
        <v>0</v>
      </c>
      <c r="W2910" s="6">
        <v>0</v>
      </c>
      <c r="X2910" s="6" t="s">
        <v>169</v>
      </c>
      <c r="Z2910" s="6" t="s">
        <v>170</v>
      </c>
      <c r="AA2910" s="6" t="s">
        <v>171</v>
      </c>
      <c r="AB2910" s="6">
        <v>0</v>
      </c>
      <c r="AC2910" s="6" t="str">
        <f>""</f>
        <v/>
      </c>
      <c r="AS2910" s="6">
        <v>0</v>
      </c>
      <c r="AT2910" s="6">
        <v>0</v>
      </c>
    </row>
    <row r="2911" spans="2:46">
      <c r="B2911" s="6" t="s">
        <v>108</v>
      </c>
      <c r="D2911" s="6" t="s">
        <v>8189</v>
      </c>
      <c r="F2911" s="6" t="s">
        <v>11991</v>
      </c>
      <c r="G2911" s="6" t="str">
        <f>"A16FWWAU059NVL"</f>
        <v>A16FWWAU059NVL</v>
      </c>
      <c r="H2911" s="6" t="s">
        <v>11992</v>
      </c>
      <c r="I2911" s="6" t="s">
        <v>11988</v>
      </c>
      <c r="J2911" s="6" t="str">
        <f>"UNISEX CASHMERE OLSSON OVERSIZED COAT awa059"</f>
        <v>UNISEX CASHMERE OLSSON OVERSIZED COAT awa059</v>
      </c>
      <c r="K2911" s="6">
        <v>0</v>
      </c>
      <c r="L2911" s="6">
        <v>0</v>
      </c>
      <c r="M2911" s="6">
        <v>0</v>
      </c>
      <c r="N2911" s="6" t="str">
        <f>""</f>
        <v/>
      </c>
      <c r="O2911" s="6">
        <v>23924</v>
      </c>
      <c r="P2911" s="6" t="s">
        <v>11993</v>
      </c>
      <c r="R2911" s="6" t="s">
        <v>11994</v>
      </c>
      <c r="S2911" s="6" t="s">
        <v>11995</v>
      </c>
      <c r="T2911" s="6">
        <v>0</v>
      </c>
      <c r="U2911" s="6">
        <v>0</v>
      </c>
      <c r="V2911" s="6">
        <v>0</v>
      </c>
      <c r="W2911" s="6">
        <v>0</v>
      </c>
      <c r="X2911" s="6" t="s">
        <v>169</v>
      </c>
      <c r="Z2911" s="6" t="s">
        <v>170</v>
      </c>
      <c r="AA2911" s="6" t="s">
        <v>171</v>
      </c>
      <c r="AB2911" s="6">
        <v>0</v>
      </c>
      <c r="AC2911" s="6" t="str">
        <f>""</f>
        <v/>
      </c>
      <c r="AS2911" s="6">
        <v>0</v>
      </c>
      <c r="AT2911" s="6">
        <v>0</v>
      </c>
    </row>
    <row r="2912" spans="2:46">
      <c r="B2912" s="6" t="s">
        <v>108</v>
      </c>
      <c r="D2912" s="6" t="s">
        <v>8189</v>
      </c>
      <c r="F2912" s="6" t="s">
        <v>11996</v>
      </c>
      <c r="G2912" s="6" t="str">
        <f>"A16FWWAU059MWM"</f>
        <v>A16FWWAU059MWM</v>
      </c>
      <c r="H2912" s="6" t="s">
        <v>11997</v>
      </c>
      <c r="I2912" s="6" t="s">
        <v>11988</v>
      </c>
      <c r="J2912" s="6" t="str">
        <f>"UNISEX CASHMERE OLSSON OVERSIZED COAT awa059"</f>
        <v>UNISEX CASHMERE OLSSON OVERSIZED COAT awa059</v>
      </c>
      <c r="K2912" s="6">
        <v>0</v>
      </c>
      <c r="L2912" s="6">
        <v>0</v>
      </c>
      <c r="M2912" s="6">
        <v>0</v>
      </c>
      <c r="N2912" s="6" t="str">
        <f>""</f>
        <v/>
      </c>
      <c r="O2912" s="6">
        <v>23923</v>
      </c>
      <c r="P2912" s="6" t="s">
        <v>11998</v>
      </c>
      <c r="R2912" s="6" t="s">
        <v>11999</v>
      </c>
      <c r="S2912" s="6" t="s">
        <v>12000</v>
      </c>
      <c r="T2912" s="6">
        <v>0</v>
      </c>
      <c r="U2912" s="6">
        <v>0</v>
      </c>
      <c r="V2912" s="6">
        <v>0</v>
      </c>
      <c r="W2912" s="6">
        <v>0</v>
      </c>
      <c r="X2912" s="6" t="s">
        <v>169</v>
      </c>
      <c r="Z2912" s="6" t="s">
        <v>170</v>
      </c>
      <c r="AA2912" s="6" t="s">
        <v>171</v>
      </c>
      <c r="AB2912" s="6">
        <v>0</v>
      </c>
      <c r="AC2912" s="6" t="str">
        <f>""</f>
        <v/>
      </c>
      <c r="AS2912" s="6">
        <v>0</v>
      </c>
      <c r="AT2912" s="6">
        <v>0</v>
      </c>
    </row>
    <row r="2913" spans="2:46">
      <c r="B2913" s="6" t="s">
        <v>108</v>
      </c>
      <c r="D2913" s="6" t="s">
        <v>8189</v>
      </c>
      <c r="F2913" s="6" t="s">
        <v>12001</v>
      </c>
      <c r="G2913" s="6" t="str">
        <f>"A16FWWAU058SGM"</f>
        <v>A16FWWAU058SGM</v>
      </c>
      <c r="H2913" s="6" t="s">
        <v>12002</v>
      </c>
      <c r="I2913" s="6" t="s">
        <v>12003</v>
      </c>
      <c r="J2913" s="6" t="str">
        <f t="shared" ref="J2913:J2918" si="20">"[Anderssonbell X Schott N.Y.C]9629 SOUVENIR DRAGON BOMBER JACKET"</f>
        <v>[Anderssonbell X Schott N.Y.C]9629 SOUVENIR DRAGON BOMBER JACKET</v>
      </c>
      <c r="K2913" s="6">
        <v>0</v>
      </c>
      <c r="L2913" s="6">
        <v>0</v>
      </c>
      <c r="M2913" s="6">
        <v>0</v>
      </c>
      <c r="N2913" s="6" t="str">
        <f>""</f>
        <v/>
      </c>
      <c r="O2913" s="6">
        <v>23921</v>
      </c>
      <c r="P2913" s="6" t="s">
        <v>12004</v>
      </c>
      <c r="R2913" s="6" t="s">
        <v>12005</v>
      </c>
      <c r="S2913" s="6" t="s">
        <v>12006</v>
      </c>
      <c r="T2913" s="6">
        <v>0</v>
      </c>
      <c r="U2913" s="6">
        <v>0</v>
      </c>
      <c r="V2913" s="6">
        <v>0</v>
      </c>
      <c r="W2913" s="6">
        <v>0</v>
      </c>
      <c r="X2913" s="6" t="s">
        <v>169</v>
      </c>
      <c r="Z2913" s="6" t="s">
        <v>170</v>
      </c>
      <c r="AA2913" s="6" t="s">
        <v>171</v>
      </c>
      <c r="AB2913" s="6">
        <v>0</v>
      </c>
      <c r="AC2913" s="6" t="str">
        <f>""</f>
        <v/>
      </c>
      <c r="AS2913" s="6">
        <v>0</v>
      </c>
      <c r="AT2913" s="6">
        <v>0</v>
      </c>
    </row>
    <row r="2914" spans="2:46">
      <c r="B2914" s="6" t="s">
        <v>108</v>
      </c>
      <c r="D2914" s="6" t="s">
        <v>8189</v>
      </c>
      <c r="F2914" s="6" t="s">
        <v>12007</v>
      </c>
      <c r="G2914" s="6" t="str">
        <f>"A16FWWAU058SGL"</f>
        <v>A16FWWAU058SGL</v>
      </c>
      <c r="H2914" s="6" t="s">
        <v>12008</v>
      </c>
      <c r="I2914" s="6" t="s">
        <v>12003</v>
      </c>
      <c r="J2914" s="6" t="str">
        <f t="shared" si="20"/>
        <v>[Anderssonbell X Schott N.Y.C]9629 SOUVENIR DRAGON BOMBER JACKET</v>
      </c>
      <c r="K2914" s="6">
        <v>0</v>
      </c>
      <c r="L2914" s="6">
        <v>0</v>
      </c>
      <c r="M2914" s="6">
        <v>0</v>
      </c>
      <c r="N2914" s="6" t="str">
        <f>""</f>
        <v/>
      </c>
      <c r="O2914" s="6">
        <v>23920</v>
      </c>
      <c r="P2914" s="6" t="s">
        <v>12009</v>
      </c>
      <c r="R2914" s="6" t="s">
        <v>12010</v>
      </c>
      <c r="S2914" s="6" t="s">
        <v>12011</v>
      </c>
      <c r="T2914" s="6">
        <v>0</v>
      </c>
      <c r="U2914" s="6">
        <v>0</v>
      </c>
      <c r="V2914" s="6">
        <v>0</v>
      </c>
      <c r="W2914" s="6">
        <v>0</v>
      </c>
      <c r="X2914" s="6" t="s">
        <v>169</v>
      </c>
      <c r="Z2914" s="6" t="s">
        <v>170</v>
      </c>
      <c r="AA2914" s="6" t="s">
        <v>171</v>
      </c>
      <c r="AB2914" s="6">
        <v>0</v>
      </c>
      <c r="AC2914" s="6" t="str">
        <f>""</f>
        <v/>
      </c>
      <c r="AS2914" s="6">
        <v>0</v>
      </c>
      <c r="AT2914" s="6">
        <v>0</v>
      </c>
    </row>
    <row r="2915" spans="2:46">
      <c r="B2915" s="6" t="s">
        <v>108</v>
      </c>
      <c r="D2915" s="6" t="s">
        <v>8189</v>
      </c>
      <c r="F2915" s="6" t="s">
        <v>12012</v>
      </c>
      <c r="G2915" s="6" t="str">
        <f>"A16FWWAU058BKXL"</f>
        <v>A16FWWAU058BKXL</v>
      </c>
      <c r="H2915" s="6" t="s">
        <v>12013</v>
      </c>
      <c r="I2915" s="6" t="s">
        <v>12003</v>
      </c>
      <c r="J2915" s="6" t="str">
        <f t="shared" si="20"/>
        <v>[Anderssonbell X Schott N.Y.C]9629 SOUVENIR DRAGON BOMBER JACKET</v>
      </c>
      <c r="K2915" s="6">
        <v>0</v>
      </c>
      <c r="L2915" s="6">
        <v>0</v>
      </c>
      <c r="M2915" s="6">
        <v>0</v>
      </c>
      <c r="N2915" s="6" t="str">
        <f>""</f>
        <v/>
      </c>
      <c r="O2915" s="6">
        <v>23919</v>
      </c>
      <c r="P2915" s="6" t="s">
        <v>12014</v>
      </c>
      <c r="R2915" s="6" t="s">
        <v>12015</v>
      </c>
      <c r="S2915" s="6" t="s">
        <v>12016</v>
      </c>
      <c r="T2915" s="6">
        <v>0</v>
      </c>
      <c r="U2915" s="6">
        <v>0</v>
      </c>
      <c r="V2915" s="6">
        <v>0</v>
      </c>
      <c r="W2915" s="6">
        <v>0</v>
      </c>
      <c r="X2915" s="6" t="s">
        <v>169</v>
      </c>
      <c r="Z2915" s="6" t="s">
        <v>170</v>
      </c>
      <c r="AA2915" s="6" t="s">
        <v>171</v>
      </c>
      <c r="AB2915" s="6">
        <v>0</v>
      </c>
      <c r="AC2915" s="6" t="str">
        <f>""</f>
        <v/>
      </c>
      <c r="AS2915" s="6">
        <v>0</v>
      </c>
      <c r="AT2915" s="6">
        <v>0</v>
      </c>
    </row>
    <row r="2916" spans="2:46">
      <c r="B2916" s="6" t="s">
        <v>108</v>
      </c>
      <c r="D2916" s="6" t="s">
        <v>8189</v>
      </c>
      <c r="F2916" s="6" t="s">
        <v>12017</v>
      </c>
      <c r="G2916" s="6" t="str">
        <f>"A16FWWAU058BKS"</f>
        <v>A16FWWAU058BKS</v>
      </c>
      <c r="H2916" s="6" t="s">
        <v>12018</v>
      </c>
      <c r="I2916" s="6" t="s">
        <v>12003</v>
      </c>
      <c r="J2916" s="6" t="str">
        <f t="shared" si="20"/>
        <v>[Anderssonbell X Schott N.Y.C]9629 SOUVENIR DRAGON BOMBER JACKET</v>
      </c>
      <c r="K2916" s="6">
        <v>0</v>
      </c>
      <c r="L2916" s="6">
        <v>0</v>
      </c>
      <c r="M2916" s="6">
        <v>0</v>
      </c>
      <c r="N2916" s="6" t="str">
        <f>""</f>
        <v/>
      </c>
      <c r="O2916" s="6">
        <v>23918</v>
      </c>
      <c r="P2916" s="6" t="s">
        <v>12019</v>
      </c>
      <c r="R2916" s="6" t="s">
        <v>1555</v>
      </c>
      <c r="S2916" s="6" t="s">
        <v>12020</v>
      </c>
      <c r="T2916" s="6">
        <v>0</v>
      </c>
      <c r="U2916" s="6">
        <v>0</v>
      </c>
      <c r="V2916" s="6">
        <v>0</v>
      </c>
      <c r="W2916" s="6">
        <v>0</v>
      </c>
      <c r="X2916" s="6" t="s">
        <v>169</v>
      </c>
      <c r="Z2916" s="6" t="s">
        <v>170</v>
      </c>
      <c r="AA2916" s="6" t="s">
        <v>171</v>
      </c>
      <c r="AB2916" s="6">
        <v>0</v>
      </c>
      <c r="AC2916" s="6" t="str">
        <f>""</f>
        <v/>
      </c>
      <c r="AS2916" s="6">
        <v>0</v>
      </c>
      <c r="AT2916" s="6">
        <v>0</v>
      </c>
    </row>
    <row r="2917" spans="2:46">
      <c r="B2917" s="6" t="s">
        <v>108</v>
      </c>
      <c r="D2917" s="6" t="s">
        <v>8189</v>
      </c>
      <c r="F2917" s="6" t="s">
        <v>12021</v>
      </c>
      <c r="G2917" s="6" t="str">
        <f>"A16FWWAU058BKM"</f>
        <v>A16FWWAU058BKM</v>
      </c>
      <c r="H2917" s="6" t="s">
        <v>12022</v>
      </c>
      <c r="I2917" s="6" t="s">
        <v>12003</v>
      </c>
      <c r="J2917" s="6" t="str">
        <f t="shared" si="20"/>
        <v>[Anderssonbell X Schott N.Y.C]9629 SOUVENIR DRAGON BOMBER JACKET</v>
      </c>
      <c r="K2917" s="6">
        <v>0</v>
      </c>
      <c r="L2917" s="6">
        <v>0</v>
      </c>
      <c r="M2917" s="6">
        <v>0</v>
      </c>
      <c r="N2917" s="6" t="str">
        <f>""</f>
        <v/>
      </c>
      <c r="O2917" s="6">
        <v>23917</v>
      </c>
      <c r="P2917" s="6" t="s">
        <v>12023</v>
      </c>
      <c r="R2917" s="6" t="s">
        <v>1551</v>
      </c>
      <c r="S2917" s="6" t="s">
        <v>12024</v>
      </c>
      <c r="T2917" s="6">
        <v>0</v>
      </c>
      <c r="U2917" s="6">
        <v>0</v>
      </c>
      <c r="V2917" s="6">
        <v>0</v>
      </c>
      <c r="W2917" s="6">
        <v>0</v>
      </c>
      <c r="X2917" s="6" t="s">
        <v>169</v>
      </c>
      <c r="Z2917" s="6" t="s">
        <v>170</v>
      </c>
      <c r="AA2917" s="6" t="s">
        <v>171</v>
      </c>
      <c r="AB2917" s="6">
        <v>0</v>
      </c>
      <c r="AC2917" s="6" t="str">
        <f>""</f>
        <v/>
      </c>
      <c r="AS2917" s="6">
        <v>0</v>
      </c>
      <c r="AT2917" s="6">
        <v>0</v>
      </c>
    </row>
    <row r="2918" spans="2:46">
      <c r="B2918" s="6" t="s">
        <v>108</v>
      </c>
      <c r="D2918" s="6" t="s">
        <v>8189</v>
      </c>
      <c r="F2918" s="6" t="s">
        <v>12025</v>
      </c>
      <c r="G2918" s="6" t="str">
        <f>"A16FWWAU058BKL"</f>
        <v>A16FWWAU058BKL</v>
      </c>
      <c r="H2918" s="6" t="s">
        <v>12026</v>
      </c>
      <c r="I2918" s="6" t="s">
        <v>12003</v>
      </c>
      <c r="J2918" s="6" t="str">
        <f t="shared" si="20"/>
        <v>[Anderssonbell X Schott N.Y.C]9629 SOUVENIR DRAGON BOMBER JACKET</v>
      </c>
      <c r="K2918" s="6">
        <v>0</v>
      </c>
      <c r="L2918" s="6">
        <v>0</v>
      </c>
      <c r="M2918" s="6">
        <v>0</v>
      </c>
      <c r="N2918" s="6" t="str">
        <f>""</f>
        <v/>
      </c>
      <c r="O2918" s="6">
        <v>23916</v>
      </c>
      <c r="P2918" s="6" t="s">
        <v>12027</v>
      </c>
      <c r="R2918" s="6" t="s">
        <v>1547</v>
      </c>
      <c r="S2918" s="6" t="s">
        <v>12028</v>
      </c>
      <c r="T2918" s="6">
        <v>0</v>
      </c>
      <c r="U2918" s="6">
        <v>0</v>
      </c>
      <c r="V2918" s="6">
        <v>0</v>
      </c>
      <c r="W2918" s="6">
        <v>0</v>
      </c>
      <c r="X2918" s="6" t="s">
        <v>169</v>
      </c>
      <c r="Z2918" s="6" t="s">
        <v>170</v>
      </c>
      <c r="AA2918" s="6" t="s">
        <v>171</v>
      </c>
      <c r="AB2918" s="6">
        <v>0</v>
      </c>
      <c r="AC2918" s="6" t="str">
        <f>""</f>
        <v/>
      </c>
      <c r="AS2918" s="6">
        <v>0</v>
      </c>
      <c r="AT2918" s="6">
        <v>0</v>
      </c>
    </row>
    <row r="2919" spans="2:46">
      <c r="B2919" s="6" t="s">
        <v>108</v>
      </c>
      <c r="D2919" s="6" t="s">
        <v>8189</v>
      </c>
      <c r="F2919" s="6" t="s">
        <v>12029</v>
      </c>
      <c r="G2919" s="6" t="str">
        <f>"A16FWWAU057BKM"</f>
        <v>A16FWWAU057BKM</v>
      </c>
      <c r="H2919" s="6" t="s">
        <v>12030</v>
      </c>
      <c r="I2919" s="6" t="s">
        <v>12031</v>
      </c>
      <c r="J2919" s="6" t="str">
        <f>"[Anderssonbell X Schott N.Y.C]9630 SOUVENIR TIGER BOMBER JACKET"</f>
        <v>[Anderssonbell X Schott N.Y.C]9630 SOUVENIR TIGER BOMBER JACKET</v>
      </c>
      <c r="K2919" s="6">
        <v>0</v>
      </c>
      <c r="L2919" s="6">
        <v>0</v>
      </c>
      <c r="M2919" s="6">
        <v>0</v>
      </c>
      <c r="N2919" s="6" t="str">
        <f>""</f>
        <v/>
      </c>
      <c r="O2919" s="6">
        <v>23914</v>
      </c>
      <c r="P2919" s="6" t="s">
        <v>12032</v>
      </c>
      <c r="R2919" s="6" t="s">
        <v>1551</v>
      </c>
      <c r="S2919" s="6" t="s">
        <v>12033</v>
      </c>
      <c r="T2919" s="6">
        <v>0</v>
      </c>
      <c r="U2919" s="6">
        <v>0</v>
      </c>
      <c r="V2919" s="6">
        <v>0</v>
      </c>
      <c r="W2919" s="6">
        <v>0</v>
      </c>
      <c r="X2919" s="6" t="s">
        <v>169</v>
      </c>
      <c r="Z2919" s="6" t="s">
        <v>170</v>
      </c>
      <c r="AA2919" s="6" t="s">
        <v>171</v>
      </c>
      <c r="AB2919" s="6">
        <v>0</v>
      </c>
      <c r="AC2919" s="6" t="str">
        <f>""</f>
        <v/>
      </c>
      <c r="AS2919" s="6">
        <v>0</v>
      </c>
      <c r="AT2919" s="6">
        <v>0</v>
      </c>
    </row>
    <row r="2920" spans="2:46">
      <c r="B2920" s="6" t="s">
        <v>108</v>
      </c>
      <c r="D2920" s="6" t="s">
        <v>8189</v>
      </c>
      <c r="F2920" s="6" t="s">
        <v>12034</v>
      </c>
      <c r="G2920" s="6" t="str">
        <f>"A16FWWAU057BKL"</f>
        <v>A16FWWAU057BKL</v>
      </c>
      <c r="H2920" s="6" t="s">
        <v>12035</v>
      </c>
      <c r="I2920" s="6" t="s">
        <v>12031</v>
      </c>
      <c r="J2920" s="6" t="str">
        <f>"[Anderssonbell X Schott N.Y.C]9630 SOUVENIR TIGER BOMBER JACKET"</f>
        <v>[Anderssonbell X Schott N.Y.C]9630 SOUVENIR TIGER BOMBER JACKET</v>
      </c>
      <c r="K2920" s="6">
        <v>0</v>
      </c>
      <c r="L2920" s="6">
        <v>0</v>
      </c>
      <c r="M2920" s="6">
        <v>0</v>
      </c>
      <c r="N2920" s="6" t="str">
        <f>""</f>
        <v/>
      </c>
      <c r="O2920" s="6">
        <v>23913</v>
      </c>
      <c r="P2920" s="6" t="s">
        <v>12036</v>
      </c>
      <c r="R2920" s="6" t="s">
        <v>1547</v>
      </c>
      <c r="S2920" s="6" t="s">
        <v>12037</v>
      </c>
      <c r="T2920" s="6">
        <v>0</v>
      </c>
      <c r="U2920" s="6">
        <v>0</v>
      </c>
      <c r="V2920" s="6">
        <v>0</v>
      </c>
      <c r="W2920" s="6">
        <v>0</v>
      </c>
      <c r="X2920" s="6" t="s">
        <v>169</v>
      </c>
      <c r="Z2920" s="6" t="s">
        <v>170</v>
      </c>
      <c r="AA2920" s="6" t="s">
        <v>171</v>
      </c>
      <c r="AB2920" s="6">
        <v>0</v>
      </c>
      <c r="AC2920" s="6" t="str">
        <f>""</f>
        <v/>
      </c>
      <c r="AS2920" s="6">
        <v>0</v>
      </c>
      <c r="AT2920" s="6">
        <v>0</v>
      </c>
    </row>
    <row r="2921" spans="2:46">
      <c r="B2921" s="6" t="s">
        <v>108</v>
      </c>
      <c r="D2921" s="6" t="s">
        <v>8189</v>
      </c>
      <c r="F2921" s="6" t="s">
        <v>12038</v>
      </c>
      <c r="G2921" s="6" t="str">
        <f>"A17F2TBM175IVM"</f>
        <v>A17F2TBM175IVM</v>
      </c>
      <c r="I2921" s="6" t="s">
        <v>12039</v>
      </c>
      <c r="J2921" s="6" t="str">
        <f>"ADSB EMBROIDERY TUTLENECK L/S JERSEY atb175m"</f>
        <v>ADSB EMBROIDERY TUTLENECK L/S JERSEY atb175m</v>
      </c>
      <c r="K2921" s="6">
        <v>0</v>
      </c>
      <c r="L2921" s="6">
        <v>0</v>
      </c>
      <c r="M2921" s="6">
        <v>0</v>
      </c>
      <c r="N2921" s="6" t="str">
        <f>""</f>
        <v/>
      </c>
      <c r="O2921" s="6">
        <v>23911</v>
      </c>
      <c r="P2921" s="6" t="s">
        <v>12040</v>
      </c>
      <c r="R2921" s="6" t="s">
        <v>11168</v>
      </c>
      <c r="S2921" s="6" t="s">
        <v>12041</v>
      </c>
      <c r="T2921" s="6">
        <v>3</v>
      </c>
      <c r="U2921" s="6">
        <v>0</v>
      </c>
      <c r="V2921" s="6">
        <v>0</v>
      </c>
      <c r="W2921" s="6">
        <v>0</v>
      </c>
      <c r="X2921" s="6" t="s">
        <v>169</v>
      </c>
      <c r="Z2921" s="6" t="s">
        <v>170</v>
      </c>
      <c r="AA2921" s="6" t="s">
        <v>171</v>
      </c>
      <c r="AB2921" s="6">
        <v>0</v>
      </c>
      <c r="AC2921" s="6" t="str">
        <f>"KEY-009"</f>
        <v>KEY-009</v>
      </c>
      <c r="AQ2921" s="6" t="str">
        <f>""</f>
        <v/>
      </c>
      <c r="AR2921" s="6" t="s">
        <v>1584</v>
      </c>
      <c r="AS2921" s="6">
        <v>0</v>
      </c>
      <c r="AT2921" s="6">
        <v>3</v>
      </c>
    </row>
    <row r="2922" spans="2:46">
      <c r="B2922" s="6" t="s">
        <v>108</v>
      </c>
      <c r="D2922" s="6" t="s">
        <v>8189</v>
      </c>
      <c r="F2922" s="6" t="s">
        <v>12042</v>
      </c>
      <c r="G2922" s="6" t="str">
        <f>"A17F2TBM175IVL"</f>
        <v>A17F2TBM175IVL</v>
      </c>
      <c r="I2922" s="6" t="s">
        <v>12039</v>
      </c>
      <c r="J2922" s="6" t="str">
        <f>"ADSB EMBROIDERY TUTLENECK L/S JERSEY atb175m"</f>
        <v>ADSB EMBROIDERY TUTLENECK L/S JERSEY atb175m</v>
      </c>
      <c r="K2922" s="6">
        <v>0</v>
      </c>
      <c r="L2922" s="6">
        <v>0</v>
      </c>
      <c r="M2922" s="6">
        <v>0</v>
      </c>
      <c r="N2922" s="6" t="str">
        <f>""</f>
        <v/>
      </c>
      <c r="O2922" s="6">
        <v>23910</v>
      </c>
      <c r="P2922" s="6" t="s">
        <v>12043</v>
      </c>
      <c r="R2922" s="6" t="s">
        <v>12044</v>
      </c>
      <c r="S2922" s="6" t="s">
        <v>12045</v>
      </c>
      <c r="T2922" s="6">
        <v>5</v>
      </c>
      <c r="U2922" s="6">
        <v>0</v>
      </c>
      <c r="V2922" s="6">
        <v>0</v>
      </c>
      <c r="W2922" s="6">
        <v>0</v>
      </c>
      <c r="X2922" s="6" t="s">
        <v>169</v>
      </c>
      <c r="Z2922" s="6" t="s">
        <v>170</v>
      </c>
      <c r="AA2922" s="6" t="s">
        <v>171</v>
      </c>
      <c r="AB2922" s="6">
        <v>0</v>
      </c>
      <c r="AC2922" s="6" t="str">
        <f>"KEY-048"</f>
        <v>KEY-048</v>
      </c>
      <c r="AQ2922" s="6" t="str">
        <f>""</f>
        <v/>
      </c>
      <c r="AR2922" s="6" t="s">
        <v>1567</v>
      </c>
      <c r="AS2922" s="6">
        <v>0</v>
      </c>
      <c r="AT2922" s="6">
        <v>5</v>
      </c>
    </row>
    <row r="2923" spans="2:46">
      <c r="B2923" s="6" t="s">
        <v>108</v>
      </c>
      <c r="D2923" s="6" t="s">
        <v>8189</v>
      </c>
      <c r="F2923" s="6" t="s">
        <v>12046</v>
      </c>
      <c r="G2923" s="6" t="str">
        <f>"A17F2TBM175BKM"</f>
        <v>A17F2TBM175BKM</v>
      </c>
      <c r="I2923" s="6" t="s">
        <v>12039</v>
      </c>
      <c r="J2923" s="6" t="str">
        <f>"ADSB EMBROIDERY TUTLENECK L/S JERSEY atb175m"</f>
        <v>ADSB EMBROIDERY TUTLENECK L/S JERSEY atb175m</v>
      </c>
      <c r="K2923" s="6">
        <v>0</v>
      </c>
      <c r="L2923" s="6">
        <v>0</v>
      </c>
      <c r="M2923" s="6">
        <v>0</v>
      </c>
      <c r="N2923" s="6" t="str">
        <f>""</f>
        <v/>
      </c>
      <c r="O2923" s="6">
        <v>23909</v>
      </c>
      <c r="P2923" s="6" t="s">
        <v>12047</v>
      </c>
      <c r="R2923" s="6" t="s">
        <v>1551</v>
      </c>
      <c r="S2923" s="6" t="s">
        <v>12048</v>
      </c>
      <c r="T2923" s="6">
        <v>7</v>
      </c>
      <c r="U2923" s="6">
        <v>0</v>
      </c>
      <c r="V2923" s="6">
        <v>0</v>
      </c>
      <c r="W2923" s="6">
        <v>0</v>
      </c>
      <c r="X2923" s="6" t="s">
        <v>169</v>
      </c>
      <c r="Z2923" s="6" t="s">
        <v>170</v>
      </c>
      <c r="AA2923" s="6" t="s">
        <v>171</v>
      </c>
      <c r="AB2923" s="6">
        <v>0</v>
      </c>
      <c r="AC2923" s="6" t="str">
        <f>"KEY-073"</f>
        <v>KEY-073</v>
      </c>
      <c r="AQ2923" s="6" t="str">
        <f>""</f>
        <v/>
      </c>
      <c r="AR2923" s="6" t="s">
        <v>1567</v>
      </c>
      <c r="AS2923" s="6">
        <v>0</v>
      </c>
      <c r="AT2923" s="6">
        <v>7</v>
      </c>
    </row>
    <row r="2924" spans="2:46">
      <c r="B2924" s="6" t="s">
        <v>108</v>
      </c>
      <c r="D2924" s="6" t="s">
        <v>8189</v>
      </c>
      <c r="F2924" s="6" t="s">
        <v>12049</v>
      </c>
      <c r="G2924" s="6" t="str">
        <f>"A17F2TBM175BKL"</f>
        <v>A17F2TBM175BKL</v>
      </c>
      <c r="I2924" s="6" t="s">
        <v>12039</v>
      </c>
      <c r="J2924" s="6" t="str">
        <f>"ADSB EMBROIDERY TUTLENECK L/S JERSEY atb175m"</f>
        <v>ADSB EMBROIDERY TUTLENECK L/S JERSEY atb175m</v>
      </c>
      <c r="K2924" s="6">
        <v>0</v>
      </c>
      <c r="L2924" s="6">
        <v>0</v>
      </c>
      <c r="M2924" s="6">
        <v>0</v>
      </c>
      <c r="N2924" s="6" t="str">
        <f>""</f>
        <v/>
      </c>
      <c r="O2924" s="6">
        <v>23908</v>
      </c>
      <c r="P2924" s="6" t="s">
        <v>12050</v>
      </c>
      <c r="R2924" s="6" t="s">
        <v>1547</v>
      </c>
      <c r="S2924" s="6" t="s">
        <v>12051</v>
      </c>
      <c r="T2924" s="6">
        <v>0</v>
      </c>
      <c r="U2924" s="6">
        <v>0</v>
      </c>
      <c r="V2924" s="6">
        <v>0</v>
      </c>
      <c r="W2924" s="6">
        <v>0</v>
      </c>
      <c r="X2924" s="6" t="s">
        <v>169</v>
      </c>
      <c r="Z2924" s="6" t="s">
        <v>170</v>
      </c>
      <c r="AA2924" s="6" t="s">
        <v>171</v>
      </c>
      <c r="AB2924" s="6">
        <v>0</v>
      </c>
      <c r="AC2924" s="6" t="str">
        <f>"KEY-071"</f>
        <v>KEY-071</v>
      </c>
      <c r="AQ2924" s="6" t="str">
        <f>""</f>
        <v/>
      </c>
      <c r="AR2924" s="6" t="s">
        <v>1567</v>
      </c>
      <c r="AS2924" s="6">
        <v>0</v>
      </c>
      <c r="AT2924" s="6">
        <v>0</v>
      </c>
    </row>
    <row r="2925" spans="2:46">
      <c r="B2925" s="6" t="s">
        <v>108</v>
      </c>
      <c r="D2925" s="6" t="s">
        <v>8189</v>
      </c>
      <c r="F2925" s="6" t="s">
        <v>12052</v>
      </c>
      <c r="G2925" s="6" t="str">
        <f>"A17F2TBU174MSXL"</f>
        <v>A17F2TBU174MSXL</v>
      </c>
      <c r="I2925" s="6" t="s">
        <v>12053</v>
      </c>
      <c r="J2925" s="6" t="str">
        <f t="shared" ref="J2925:J2936" si="21">"UNISEX ARCH SLOGAN A.PATCH HOODIE atb174u"</f>
        <v>UNISEX ARCH SLOGAN A.PATCH HOODIE atb174u</v>
      </c>
      <c r="K2925" s="6">
        <v>0</v>
      </c>
      <c r="L2925" s="6">
        <v>0</v>
      </c>
      <c r="M2925" s="6">
        <v>0</v>
      </c>
      <c r="N2925" s="6" t="str">
        <f>""</f>
        <v/>
      </c>
      <c r="O2925" s="6">
        <v>23906</v>
      </c>
      <c r="P2925" s="6" t="s">
        <v>12054</v>
      </c>
      <c r="R2925" s="6" t="s">
        <v>12055</v>
      </c>
      <c r="S2925" s="6" t="s">
        <v>12056</v>
      </c>
      <c r="T2925" s="6">
        <v>4</v>
      </c>
      <c r="U2925" s="6">
        <v>0</v>
      </c>
      <c r="V2925" s="6">
        <v>0</v>
      </c>
      <c r="W2925" s="6">
        <v>0</v>
      </c>
      <c r="X2925" s="6" t="s">
        <v>169</v>
      </c>
      <c r="Z2925" s="6" t="s">
        <v>170</v>
      </c>
      <c r="AA2925" s="6" t="s">
        <v>171</v>
      </c>
      <c r="AB2925" s="6">
        <v>0</v>
      </c>
      <c r="AC2925" s="6" t="str">
        <f>"KEY-036"</f>
        <v>KEY-036</v>
      </c>
      <c r="AQ2925" s="6" t="str">
        <f>""</f>
        <v/>
      </c>
      <c r="AR2925" s="6" t="s">
        <v>1567</v>
      </c>
      <c r="AS2925" s="6">
        <v>0</v>
      </c>
      <c r="AT2925" s="6">
        <v>4</v>
      </c>
    </row>
    <row r="2926" spans="2:46">
      <c r="B2926" s="6" t="s">
        <v>108</v>
      </c>
      <c r="D2926" s="6" t="s">
        <v>8189</v>
      </c>
      <c r="F2926" s="6" t="s">
        <v>12057</v>
      </c>
      <c r="G2926" s="6" t="str">
        <f>"A17F2TBU174MSS"</f>
        <v>A17F2TBU174MSS</v>
      </c>
      <c r="I2926" s="6" t="s">
        <v>12053</v>
      </c>
      <c r="J2926" s="6" t="str">
        <f t="shared" si="21"/>
        <v>UNISEX ARCH SLOGAN A.PATCH HOODIE atb174u</v>
      </c>
      <c r="K2926" s="6">
        <v>0</v>
      </c>
      <c r="L2926" s="6">
        <v>0</v>
      </c>
      <c r="M2926" s="6">
        <v>0</v>
      </c>
      <c r="N2926" s="6" t="str">
        <f>""</f>
        <v/>
      </c>
      <c r="O2926" s="6">
        <v>23905</v>
      </c>
      <c r="P2926" s="6" t="s">
        <v>12058</v>
      </c>
      <c r="R2926" s="6" t="s">
        <v>12059</v>
      </c>
      <c r="S2926" s="6" t="s">
        <v>12060</v>
      </c>
      <c r="T2926" s="6">
        <v>4</v>
      </c>
      <c r="U2926" s="6">
        <v>0</v>
      </c>
      <c r="V2926" s="6">
        <v>0</v>
      </c>
      <c r="W2926" s="6">
        <v>0</v>
      </c>
      <c r="X2926" s="6" t="s">
        <v>169</v>
      </c>
      <c r="Z2926" s="6" t="s">
        <v>170</v>
      </c>
      <c r="AA2926" s="6" t="s">
        <v>171</v>
      </c>
      <c r="AB2926" s="6">
        <v>0</v>
      </c>
      <c r="AC2926" s="6" t="str">
        <f>"KEY-021"</f>
        <v>KEY-021</v>
      </c>
      <c r="AQ2926" s="6" t="str">
        <f>""</f>
        <v/>
      </c>
      <c r="AR2926" s="6" t="s">
        <v>1567</v>
      </c>
      <c r="AS2926" s="6">
        <v>0</v>
      </c>
      <c r="AT2926" s="6">
        <v>4</v>
      </c>
    </row>
    <row r="2927" spans="2:46">
      <c r="B2927" s="6" t="s">
        <v>108</v>
      </c>
      <c r="D2927" s="6" t="s">
        <v>8189</v>
      </c>
      <c r="F2927" s="6" t="s">
        <v>12061</v>
      </c>
      <c r="G2927" s="6" t="str">
        <f>"A17F2TBU174MSM"</f>
        <v>A17F2TBU174MSM</v>
      </c>
      <c r="I2927" s="6" t="s">
        <v>12053</v>
      </c>
      <c r="J2927" s="6" t="str">
        <f t="shared" si="21"/>
        <v>UNISEX ARCH SLOGAN A.PATCH HOODIE atb174u</v>
      </c>
      <c r="K2927" s="6">
        <v>0</v>
      </c>
      <c r="L2927" s="6">
        <v>0</v>
      </c>
      <c r="M2927" s="6">
        <v>0</v>
      </c>
      <c r="N2927" s="6" t="str">
        <f>""</f>
        <v/>
      </c>
      <c r="O2927" s="6">
        <v>23904</v>
      </c>
      <c r="P2927" s="6" t="s">
        <v>12062</v>
      </c>
      <c r="R2927" s="6" t="s">
        <v>12063</v>
      </c>
      <c r="S2927" s="6" t="s">
        <v>12064</v>
      </c>
      <c r="T2927" s="6">
        <v>3</v>
      </c>
      <c r="U2927" s="6">
        <v>0</v>
      </c>
      <c r="V2927" s="6">
        <v>0</v>
      </c>
      <c r="W2927" s="6">
        <v>0</v>
      </c>
      <c r="X2927" s="6" t="s">
        <v>169</v>
      </c>
      <c r="Z2927" s="6" t="s">
        <v>170</v>
      </c>
      <c r="AA2927" s="6" t="s">
        <v>171</v>
      </c>
      <c r="AB2927" s="6">
        <v>0</v>
      </c>
      <c r="AC2927" s="6" t="str">
        <f>"KEY-026"</f>
        <v>KEY-026</v>
      </c>
      <c r="AQ2927" s="6" t="str">
        <f>""</f>
        <v/>
      </c>
      <c r="AR2927" s="6" t="s">
        <v>1567</v>
      </c>
      <c r="AS2927" s="6">
        <v>0</v>
      </c>
      <c r="AT2927" s="6">
        <v>3</v>
      </c>
    </row>
    <row r="2928" spans="2:46">
      <c r="B2928" s="6" t="s">
        <v>108</v>
      </c>
      <c r="D2928" s="6" t="s">
        <v>8189</v>
      </c>
      <c r="F2928" s="6" t="s">
        <v>12065</v>
      </c>
      <c r="G2928" s="6" t="str">
        <f>"A17F2TBU174MSL"</f>
        <v>A17F2TBU174MSL</v>
      </c>
      <c r="I2928" s="6" t="s">
        <v>12053</v>
      </c>
      <c r="J2928" s="6" t="str">
        <f t="shared" si="21"/>
        <v>UNISEX ARCH SLOGAN A.PATCH HOODIE atb174u</v>
      </c>
      <c r="K2928" s="6">
        <v>0</v>
      </c>
      <c r="L2928" s="6">
        <v>0</v>
      </c>
      <c r="M2928" s="6">
        <v>0</v>
      </c>
      <c r="N2928" s="6" t="str">
        <f>""</f>
        <v/>
      </c>
      <c r="O2928" s="6">
        <v>23903</v>
      </c>
      <c r="P2928" s="6" t="s">
        <v>12066</v>
      </c>
      <c r="R2928" s="6" t="s">
        <v>12067</v>
      </c>
      <c r="S2928" s="6" t="s">
        <v>12068</v>
      </c>
      <c r="T2928" s="6">
        <v>2</v>
      </c>
      <c r="U2928" s="6">
        <v>0</v>
      </c>
      <c r="V2928" s="6">
        <v>0</v>
      </c>
      <c r="W2928" s="6">
        <v>0</v>
      </c>
      <c r="X2928" s="6" t="s">
        <v>169</v>
      </c>
      <c r="Z2928" s="6" t="s">
        <v>170</v>
      </c>
      <c r="AA2928" s="6" t="s">
        <v>171</v>
      </c>
      <c r="AB2928" s="6">
        <v>0</v>
      </c>
      <c r="AC2928" s="6" t="str">
        <f>"KEY-031"</f>
        <v>KEY-031</v>
      </c>
      <c r="AQ2928" s="6" t="str">
        <f>""</f>
        <v/>
      </c>
      <c r="AR2928" s="6" t="s">
        <v>1567</v>
      </c>
      <c r="AS2928" s="6">
        <v>0</v>
      </c>
      <c r="AT2928" s="6">
        <v>2</v>
      </c>
    </row>
    <row r="2929" spans="2:46">
      <c r="B2929" s="6" t="s">
        <v>108</v>
      </c>
      <c r="D2929" s="6" t="s">
        <v>8189</v>
      </c>
      <c r="F2929" s="6" t="s">
        <v>12069</v>
      </c>
      <c r="G2929" s="6" t="str">
        <f>"A17F2TBU174GRXL"</f>
        <v>A17F2TBU174GRXL</v>
      </c>
      <c r="I2929" s="6" t="s">
        <v>12053</v>
      </c>
      <c r="J2929" s="6" t="str">
        <f t="shared" si="21"/>
        <v>UNISEX ARCH SLOGAN A.PATCH HOODIE atb174u</v>
      </c>
      <c r="K2929" s="6">
        <v>0</v>
      </c>
      <c r="L2929" s="6">
        <v>0</v>
      </c>
      <c r="M2929" s="6">
        <v>0</v>
      </c>
      <c r="N2929" s="6" t="str">
        <f>""</f>
        <v/>
      </c>
      <c r="O2929" s="6">
        <v>23902</v>
      </c>
      <c r="P2929" s="6" t="s">
        <v>12070</v>
      </c>
      <c r="R2929" s="6" t="s">
        <v>12071</v>
      </c>
      <c r="S2929" s="6" t="s">
        <v>12072</v>
      </c>
      <c r="T2929" s="6">
        <v>4</v>
      </c>
      <c r="U2929" s="6">
        <v>0</v>
      </c>
      <c r="V2929" s="6">
        <v>0</v>
      </c>
      <c r="W2929" s="6">
        <v>0</v>
      </c>
      <c r="X2929" s="6" t="s">
        <v>169</v>
      </c>
      <c r="Z2929" s="6" t="s">
        <v>170</v>
      </c>
      <c r="AA2929" s="6" t="s">
        <v>171</v>
      </c>
      <c r="AB2929" s="6">
        <v>0</v>
      </c>
      <c r="AC2929" s="6" t="str">
        <f>"KEY-075"</f>
        <v>KEY-075</v>
      </c>
      <c r="AQ2929" s="6" t="str">
        <f>""</f>
        <v/>
      </c>
      <c r="AR2929" s="6" t="s">
        <v>1567</v>
      </c>
      <c r="AS2929" s="6">
        <v>0</v>
      </c>
      <c r="AT2929" s="6">
        <v>4</v>
      </c>
    </row>
    <row r="2930" spans="2:46">
      <c r="B2930" s="6" t="s">
        <v>108</v>
      </c>
      <c r="D2930" s="6" t="s">
        <v>8189</v>
      </c>
      <c r="F2930" s="6" t="s">
        <v>12073</v>
      </c>
      <c r="G2930" s="6" t="str">
        <f>"A17F2TBU174GRS"</f>
        <v>A17F2TBU174GRS</v>
      </c>
      <c r="I2930" s="6" t="s">
        <v>12053</v>
      </c>
      <c r="J2930" s="6" t="str">
        <f t="shared" si="21"/>
        <v>UNISEX ARCH SLOGAN A.PATCH HOODIE atb174u</v>
      </c>
      <c r="K2930" s="6">
        <v>0</v>
      </c>
      <c r="L2930" s="6">
        <v>0</v>
      </c>
      <c r="M2930" s="6">
        <v>0</v>
      </c>
      <c r="N2930" s="6" t="str">
        <f>""</f>
        <v/>
      </c>
      <c r="O2930" s="6">
        <v>23901</v>
      </c>
      <c r="P2930" s="6" t="s">
        <v>12074</v>
      </c>
      <c r="R2930" s="6" t="s">
        <v>12075</v>
      </c>
      <c r="S2930" s="6" t="s">
        <v>12076</v>
      </c>
      <c r="T2930" s="6">
        <v>4</v>
      </c>
      <c r="U2930" s="6">
        <v>0</v>
      </c>
      <c r="V2930" s="6">
        <v>0</v>
      </c>
      <c r="W2930" s="6">
        <v>0</v>
      </c>
      <c r="X2930" s="6" t="s">
        <v>169</v>
      </c>
      <c r="Z2930" s="6" t="s">
        <v>170</v>
      </c>
      <c r="AA2930" s="6" t="s">
        <v>171</v>
      </c>
      <c r="AB2930" s="6">
        <v>0</v>
      </c>
      <c r="AC2930" s="6" t="str">
        <f>"KEY-073"</f>
        <v>KEY-073</v>
      </c>
      <c r="AQ2930" s="6" t="str">
        <f>""</f>
        <v/>
      </c>
      <c r="AR2930" s="6" t="s">
        <v>1567</v>
      </c>
      <c r="AS2930" s="6">
        <v>0</v>
      </c>
      <c r="AT2930" s="6">
        <v>4</v>
      </c>
    </row>
    <row r="2931" spans="2:46">
      <c r="B2931" s="6" t="s">
        <v>108</v>
      </c>
      <c r="D2931" s="6" t="s">
        <v>8189</v>
      </c>
      <c r="F2931" s="6" t="s">
        <v>12077</v>
      </c>
      <c r="G2931" s="6" t="str">
        <f>"A17F2TBU174GRM"</f>
        <v>A17F2TBU174GRM</v>
      </c>
      <c r="I2931" s="6" t="s">
        <v>12053</v>
      </c>
      <c r="J2931" s="6" t="str">
        <f t="shared" si="21"/>
        <v>UNISEX ARCH SLOGAN A.PATCH HOODIE atb174u</v>
      </c>
      <c r="K2931" s="6">
        <v>0</v>
      </c>
      <c r="L2931" s="6">
        <v>0</v>
      </c>
      <c r="M2931" s="6">
        <v>0</v>
      </c>
      <c r="N2931" s="6" t="str">
        <f>""</f>
        <v/>
      </c>
      <c r="O2931" s="6">
        <v>23900</v>
      </c>
      <c r="P2931" s="6" t="s">
        <v>12078</v>
      </c>
      <c r="R2931" s="6" t="s">
        <v>12079</v>
      </c>
      <c r="S2931" s="6" t="s">
        <v>12080</v>
      </c>
      <c r="T2931" s="6">
        <v>1</v>
      </c>
      <c r="U2931" s="6">
        <v>0</v>
      </c>
      <c r="V2931" s="6">
        <v>0</v>
      </c>
      <c r="W2931" s="6">
        <v>0</v>
      </c>
      <c r="X2931" s="6" t="s">
        <v>169</v>
      </c>
      <c r="Z2931" s="6" t="s">
        <v>170</v>
      </c>
      <c r="AA2931" s="6" t="s">
        <v>171</v>
      </c>
      <c r="AB2931" s="6">
        <v>0</v>
      </c>
      <c r="AC2931" s="6" t="str">
        <f>"KEY-074"</f>
        <v>KEY-074</v>
      </c>
      <c r="AQ2931" s="6" t="str">
        <f>""</f>
        <v/>
      </c>
      <c r="AR2931" s="6" t="s">
        <v>1567</v>
      </c>
      <c r="AS2931" s="6">
        <v>0</v>
      </c>
      <c r="AT2931" s="6">
        <v>1</v>
      </c>
    </row>
    <row r="2932" spans="2:46">
      <c r="B2932" s="6" t="s">
        <v>108</v>
      </c>
      <c r="D2932" s="6" t="s">
        <v>8189</v>
      </c>
      <c r="F2932" s="6" t="s">
        <v>12081</v>
      </c>
      <c r="G2932" s="6" t="str">
        <f>"A17F2TBU174GRL"</f>
        <v>A17F2TBU174GRL</v>
      </c>
      <c r="I2932" s="6" t="s">
        <v>12053</v>
      </c>
      <c r="J2932" s="6" t="str">
        <f t="shared" si="21"/>
        <v>UNISEX ARCH SLOGAN A.PATCH HOODIE atb174u</v>
      </c>
      <c r="K2932" s="6">
        <v>0</v>
      </c>
      <c r="L2932" s="6">
        <v>0</v>
      </c>
      <c r="M2932" s="6">
        <v>0</v>
      </c>
      <c r="N2932" s="6" t="str">
        <f>""</f>
        <v/>
      </c>
      <c r="O2932" s="6">
        <v>23899</v>
      </c>
      <c r="P2932" s="6" t="s">
        <v>12082</v>
      </c>
      <c r="R2932" s="6" t="s">
        <v>12083</v>
      </c>
      <c r="S2932" s="6" t="s">
        <v>12084</v>
      </c>
      <c r="T2932" s="6">
        <v>3</v>
      </c>
      <c r="U2932" s="6">
        <v>0</v>
      </c>
      <c r="V2932" s="6">
        <v>0</v>
      </c>
      <c r="W2932" s="6">
        <v>0</v>
      </c>
      <c r="X2932" s="6" t="s">
        <v>169</v>
      </c>
      <c r="Z2932" s="6" t="s">
        <v>170</v>
      </c>
      <c r="AA2932" s="6" t="s">
        <v>171</v>
      </c>
      <c r="AB2932" s="6">
        <v>0</v>
      </c>
      <c r="AC2932" s="6" t="str">
        <f>"KEY-074"</f>
        <v>KEY-074</v>
      </c>
      <c r="AQ2932" s="6" t="str">
        <f>""</f>
        <v/>
      </c>
      <c r="AR2932" s="6" t="s">
        <v>1567</v>
      </c>
      <c r="AS2932" s="6">
        <v>0</v>
      </c>
      <c r="AT2932" s="6">
        <v>3</v>
      </c>
    </row>
    <row r="2933" spans="2:46">
      <c r="B2933" s="6" t="s">
        <v>108</v>
      </c>
      <c r="D2933" s="6" t="s">
        <v>8189</v>
      </c>
      <c r="F2933" s="6" t="s">
        <v>12085</v>
      </c>
      <c r="G2933" s="6" t="str">
        <f>"A17F2TBU174BKXL"</f>
        <v>A17F2TBU174BKXL</v>
      </c>
      <c r="H2933" s="6" t="s">
        <v>12086</v>
      </c>
      <c r="I2933" s="6" t="s">
        <v>12053</v>
      </c>
      <c r="J2933" s="6" t="str">
        <f t="shared" si="21"/>
        <v>UNISEX ARCH SLOGAN A.PATCH HOODIE atb174u</v>
      </c>
      <c r="K2933" s="6">
        <v>0</v>
      </c>
      <c r="L2933" s="6">
        <v>0</v>
      </c>
      <c r="M2933" s="6">
        <v>0</v>
      </c>
      <c r="N2933" s="6" t="str">
        <f>""</f>
        <v/>
      </c>
      <c r="O2933" s="6">
        <v>23898</v>
      </c>
      <c r="P2933" s="6" t="s">
        <v>12087</v>
      </c>
      <c r="R2933" s="6" t="s">
        <v>12015</v>
      </c>
      <c r="S2933" s="6" t="s">
        <v>12088</v>
      </c>
      <c r="T2933" s="6">
        <v>0</v>
      </c>
      <c r="U2933" s="6">
        <v>0</v>
      </c>
      <c r="V2933" s="6">
        <v>0</v>
      </c>
      <c r="W2933" s="6">
        <v>0</v>
      </c>
      <c r="X2933" s="6" t="s">
        <v>169</v>
      </c>
      <c r="Z2933" s="6" t="s">
        <v>170</v>
      </c>
      <c r="AA2933" s="6" t="s">
        <v>171</v>
      </c>
      <c r="AB2933" s="6">
        <v>0</v>
      </c>
      <c r="AC2933" s="6" t="str">
        <f>""</f>
        <v/>
      </c>
      <c r="AS2933" s="6">
        <v>0</v>
      </c>
      <c r="AT2933" s="6">
        <v>0</v>
      </c>
    </row>
    <row r="2934" spans="2:46">
      <c r="B2934" s="6" t="s">
        <v>108</v>
      </c>
      <c r="D2934" s="6" t="s">
        <v>8189</v>
      </c>
      <c r="F2934" s="6" t="s">
        <v>12089</v>
      </c>
      <c r="G2934" s="6" t="str">
        <f>"A17F2TBU174BKS"</f>
        <v>A17F2TBU174BKS</v>
      </c>
      <c r="I2934" s="6" t="s">
        <v>12053</v>
      </c>
      <c r="J2934" s="6" t="str">
        <f t="shared" si="21"/>
        <v>UNISEX ARCH SLOGAN A.PATCH HOODIE atb174u</v>
      </c>
      <c r="K2934" s="6">
        <v>0</v>
      </c>
      <c r="L2934" s="6">
        <v>0</v>
      </c>
      <c r="M2934" s="6">
        <v>0</v>
      </c>
      <c r="N2934" s="6" t="str">
        <f>""</f>
        <v/>
      </c>
      <c r="O2934" s="6">
        <v>23897</v>
      </c>
      <c r="P2934" s="6" t="s">
        <v>12090</v>
      </c>
      <c r="R2934" s="6" t="s">
        <v>1555</v>
      </c>
      <c r="S2934" s="6" t="s">
        <v>12091</v>
      </c>
      <c r="T2934" s="6">
        <v>4</v>
      </c>
      <c r="U2934" s="6">
        <v>0</v>
      </c>
      <c r="V2934" s="6">
        <v>0</v>
      </c>
      <c r="W2934" s="6">
        <v>0</v>
      </c>
      <c r="X2934" s="6" t="s">
        <v>169</v>
      </c>
      <c r="Z2934" s="6" t="s">
        <v>170</v>
      </c>
      <c r="AA2934" s="6" t="s">
        <v>171</v>
      </c>
      <c r="AB2934" s="6">
        <v>0</v>
      </c>
      <c r="AC2934" s="6" t="str">
        <f>"KEY-072"</f>
        <v>KEY-072</v>
      </c>
      <c r="AQ2934" s="6" t="str">
        <f>""</f>
        <v/>
      </c>
      <c r="AR2934" s="6" t="s">
        <v>1567</v>
      </c>
      <c r="AS2934" s="6">
        <v>0</v>
      </c>
      <c r="AT2934" s="6">
        <v>4</v>
      </c>
    </row>
    <row r="2935" spans="2:46">
      <c r="B2935" s="6" t="s">
        <v>108</v>
      </c>
      <c r="D2935" s="6" t="s">
        <v>8189</v>
      </c>
      <c r="F2935" s="6" t="s">
        <v>12092</v>
      </c>
      <c r="G2935" s="6" t="str">
        <f>"A17F2TBU174BKM"</f>
        <v>A17F2TBU174BKM</v>
      </c>
      <c r="H2935" s="6" t="s">
        <v>12093</v>
      </c>
      <c r="I2935" s="6" t="s">
        <v>12053</v>
      </c>
      <c r="J2935" s="6" t="str">
        <f t="shared" si="21"/>
        <v>UNISEX ARCH SLOGAN A.PATCH HOODIE atb174u</v>
      </c>
      <c r="K2935" s="6">
        <v>0</v>
      </c>
      <c r="L2935" s="6">
        <v>0</v>
      </c>
      <c r="M2935" s="6">
        <v>0</v>
      </c>
      <c r="N2935" s="6" t="str">
        <f>""</f>
        <v/>
      </c>
      <c r="O2935" s="6">
        <v>23896</v>
      </c>
      <c r="P2935" s="6" t="s">
        <v>12094</v>
      </c>
      <c r="R2935" s="6" t="s">
        <v>1551</v>
      </c>
      <c r="S2935" s="6" t="s">
        <v>12095</v>
      </c>
      <c r="T2935" s="6">
        <v>0</v>
      </c>
      <c r="U2935" s="6">
        <v>0</v>
      </c>
      <c r="V2935" s="6">
        <v>0</v>
      </c>
      <c r="W2935" s="6">
        <v>0</v>
      </c>
      <c r="X2935" s="6" t="s">
        <v>169</v>
      </c>
      <c r="Z2935" s="6" t="s">
        <v>170</v>
      </c>
      <c r="AA2935" s="6" t="s">
        <v>171</v>
      </c>
      <c r="AB2935" s="6">
        <v>0</v>
      </c>
      <c r="AC2935" s="6" t="str">
        <f>""</f>
        <v/>
      </c>
      <c r="AS2935" s="6">
        <v>0</v>
      </c>
      <c r="AT2935" s="6">
        <v>0</v>
      </c>
    </row>
    <row r="2936" spans="2:46">
      <c r="B2936" s="6" t="s">
        <v>108</v>
      </c>
      <c r="D2936" s="6" t="s">
        <v>8189</v>
      </c>
      <c r="F2936" s="6" t="s">
        <v>12096</v>
      </c>
      <c r="G2936" s="6" t="str">
        <f>"A17F2TBU174BKL"</f>
        <v>A17F2TBU174BKL</v>
      </c>
      <c r="H2936" s="6" t="s">
        <v>12097</v>
      </c>
      <c r="I2936" s="6" t="s">
        <v>12053</v>
      </c>
      <c r="J2936" s="6" t="str">
        <f t="shared" si="21"/>
        <v>UNISEX ARCH SLOGAN A.PATCH HOODIE atb174u</v>
      </c>
      <c r="K2936" s="6">
        <v>0</v>
      </c>
      <c r="L2936" s="6">
        <v>0</v>
      </c>
      <c r="M2936" s="6">
        <v>0</v>
      </c>
      <c r="N2936" s="6" t="str">
        <f>""</f>
        <v/>
      </c>
      <c r="O2936" s="6">
        <v>23895</v>
      </c>
      <c r="P2936" s="6" t="s">
        <v>12098</v>
      </c>
      <c r="R2936" s="6" t="s">
        <v>1547</v>
      </c>
      <c r="S2936" s="6" t="s">
        <v>12099</v>
      </c>
      <c r="T2936" s="6">
        <v>0</v>
      </c>
      <c r="U2936" s="6">
        <v>0</v>
      </c>
      <c r="V2936" s="6">
        <v>0</v>
      </c>
      <c r="W2936" s="6">
        <v>0</v>
      </c>
      <c r="X2936" s="6" t="s">
        <v>169</v>
      </c>
      <c r="Z2936" s="6" t="s">
        <v>170</v>
      </c>
      <c r="AA2936" s="6" t="s">
        <v>171</v>
      </c>
      <c r="AB2936" s="6">
        <v>0</v>
      </c>
      <c r="AC2936" s="6" t="str">
        <f>""</f>
        <v/>
      </c>
      <c r="AS2936" s="6">
        <v>0</v>
      </c>
      <c r="AT2936" s="6">
        <v>0</v>
      </c>
    </row>
    <row r="2937" spans="2:46">
      <c r="B2937" s="6" t="s">
        <v>108</v>
      </c>
      <c r="D2937" s="6" t="s">
        <v>8189</v>
      </c>
      <c r="F2937" s="6" t="s">
        <v>12100</v>
      </c>
      <c r="G2937" s="6" t="str">
        <f>"A17F2TBW168YLS"</f>
        <v>A17F2TBW168YLS</v>
      </c>
      <c r="H2937" s="6" t="s">
        <v>12101</v>
      </c>
      <c r="I2937" s="6" t="s">
        <v>12102</v>
      </c>
      <c r="J2937" s="6" t="str">
        <f>"TARTAN MOHAIR BOAT NECK SWEATER atb168w"</f>
        <v>TARTAN MOHAIR BOAT NECK SWEATER atb168w</v>
      </c>
      <c r="K2937" s="6">
        <v>0</v>
      </c>
      <c r="L2937" s="6">
        <v>0</v>
      </c>
      <c r="M2937" s="6">
        <v>0</v>
      </c>
      <c r="N2937" s="6" t="str">
        <f>""</f>
        <v/>
      </c>
      <c r="O2937" s="6">
        <v>23893</v>
      </c>
      <c r="P2937" s="6" t="s">
        <v>12103</v>
      </c>
      <c r="R2937" s="6" t="s">
        <v>12104</v>
      </c>
      <c r="S2937" s="6" t="s">
        <v>12105</v>
      </c>
      <c r="T2937" s="6">
        <v>0</v>
      </c>
      <c r="U2937" s="6">
        <v>0</v>
      </c>
      <c r="V2937" s="6">
        <v>0</v>
      </c>
      <c r="W2937" s="6">
        <v>0</v>
      </c>
      <c r="X2937" s="6" t="s">
        <v>169</v>
      </c>
      <c r="Z2937" s="6" t="s">
        <v>170</v>
      </c>
      <c r="AA2937" s="6" t="s">
        <v>171</v>
      </c>
      <c r="AB2937" s="6">
        <v>0</v>
      </c>
      <c r="AC2937" s="6" t="str">
        <f>""</f>
        <v/>
      </c>
      <c r="AS2937" s="6">
        <v>0</v>
      </c>
      <c r="AT2937" s="6">
        <v>0</v>
      </c>
    </row>
    <row r="2938" spans="2:46">
      <c r="B2938" s="6" t="s">
        <v>108</v>
      </c>
      <c r="D2938" s="6" t="s">
        <v>8189</v>
      </c>
      <c r="F2938" s="6" t="s">
        <v>12106</v>
      </c>
      <c r="G2938" s="6" t="str">
        <f>"A17F2TBW168PKS"</f>
        <v>A17F2TBW168PKS</v>
      </c>
      <c r="H2938" s="6" t="s">
        <v>12107</v>
      </c>
      <c r="I2938" s="6" t="s">
        <v>12102</v>
      </c>
      <c r="J2938" s="6" t="str">
        <f>"TARTAN MOHAIR BOAT NECK SWEATER atb168w"</f>
        <v>TARTAN MOHAIR BOAT NECK SWEATER atb168w</v>
      </c>
      <c r="K2938" s="6">
        <v>0</v>
      </c>
      <c r="L2938" s="6">
        <v>0</v>
      </c>
      <c r="M2938" s="6">
        <v>0</v>
      </c>
      <c r="N2938" s="6" t="str">
        <f>""</f>
        <v/>
      </c>
      <c r="O2938" s="6">
        <v>23892</v>
      </c>
      <c r="P2938" s="6" t="s">
        <v>12108</v>
      </c>
      <c r="R2938" s="6" t="s">
        <v>11455</v>
      </c>
      <c r="S2938" s="6" t="s">
        <v>12109</v>
      </c>
      <c r="T2938" s="6">
        <v>0</v>
      </c>
      <c r="U2938" s="6">
        <v>0</v>
      </c>
      <c r="V2938" s="6">
        <v>0</v>
      </c>
      <c r="W2938" s="6">
        <v>0</v>
      </c>
      <c r="X2938" s="6" t="s">
        <v>169</v>
      </c>
      <c r="Z2938" s="6" t="s">
        <v>170</v>
      </c>
      <c r="AA2938" s="6" t="s">
        <v>171</v>
      </c>
      <c r="AB2938" s="6">
        <v>0</v>
      </c>
      <c r="AC2938" s="6" t="str">
        <f>""</f>
        <v/>
      </c>
      <c r="AS2938" s="6">
        <v>0</v>
      </c>
      <c r="AT2938" s="6">
        <v>0</v>
      </c>
    </row>
    <row r="2939" spans="2:46">
      <c r="B2939" s="6" t="s">
        <v>108</v>
      </c>
      <c r="D2939" s="6" t="s">
        <v>8189</v>
      </c>
      <c r="F2939" s="6" t="s">
        <v>12110</v>
      </c>
      <c r="G2939" s="6" t="str">
        <f>"A17F2TBW168BRS"</f>
        <v>A17F2TBW168BRS</v>
      </c>
      <c r="H2939" s="6" t="s">
        <v>12111</v>
      </c>
      <c r="I2939" s="6" t="s">
        <v>12102</v>
      </c>
      <c r="J2939" s="6" t="str">
        <f>"TARTAN MOHAIR BOAT NECK SWEATER atb168w"</f>
        <v>TARTAN MOHAIR BOAT NECK SWEATER atb168w</v>
      </c>
      <c r="K2939" s="6">
        <v>0</v>
      </c>
      <c r="L2939" s="6">
        <v>0</v>
      </c>
      <c r="M2939" s="6">
        <v>0</v>
      </c>
      <c r="N2939" s="6" t="str">
        <f>""</f>
        <v/>
      </c>
      <c r="O2939" s="6">
        <v>23891</v>
      </c>
      <c r="P2939" s="6" t="s">
        <v>12112</v>
      </c>
      <c r="R2939" s="6" t="s">
        <v>12113</v>
      </c>
      <c r="S2939" s="6" t="s">
        <v>12114</v>
      </c>
      <c r="T2939" s="6">
        <v>0</v>
      </c>
      <c r="U2939" s="6">
        <v>0</v>
      </c>
      <c r="V2939" s="6">
        <v>0</v>
      </c>
      <c r="W2939" s="6">
        <v>0</v>
      </c>
      <c r="X2939" s="6" t="s">
        <v>169</v>
      </c>
      <c r="Z2939" s="6" t="s">
        <v>170</v>
      </c>
      <c r="AA2939" s="6" t="s">
        <v>171</v>
      </c>
      <c r="AB2939" s="6">
        <v>0</v>
      </c>
      <c r="AC2939" s="6" t="str">
        <f>""</f>
        <v/>
      </c>
      <c r="AS2939" s="6">
        <v>0</v>
      </c>
      <c r="AT2939" s="6">
        <v>0</v>
      </c>
    </row>
    <row r="2940" spans="2:46">
      <c r="B2940" s="6" t="s">
        <v>108</v>
      </c>
      <c r="D2940" s="6" t="s">
        <v>8189</v>
      </c>
      <c r="F2940" s="6" t="s">
        <v>12115</v>
      </c>
      <c r="G2940" s="6" t="str">
        <f>"A17F2TBM167GRL"</f>
        <v>A17F2TBM167GRL</v>
      </c>
      <c r="H2940" s="6" t="s">
        <v>12116</v>
      </c>
      <c r="I2940" s="6" t="s">
        <v>12117</v>
      </c>
      <c r="J2940" s="6" t="str">
        <f>"TARTAN MOHAIR SWEATER atb167m"</f>
        <v>TARTAN MOHAIR SWEATER atb167m</v>
      </c>
      <c r="K2940" s="6">
        <v>0</v>
      </c>
      <c r="L2940" s="6">
        <v>0</v>
      </c>
      <c r="M2940" s="6">
        <v>0</v>
      </c>
      <c r="N2940" s="6" t="str">
        <f>""</f>
        <v/>
      </c>
      <c r="O2940" s="6">
        <v>23889</v>
      </c>
      <c r="P2940" s="6" t="s">
        <v>12118</v>
      </c>
      <c r="R2940" s="6" t="s">
        <v>12083</v>
      </c>
      <c r="S2940" s="6" t="s">
        <v>12119</v>
      </c>
      <c r="T2940" s="6">
        <v>0</v>
      </c>
      <c r="U2940" s="6">
        <v>0</v>
      </c>
      <c r="V2940" s="6">
        <v>0</v>
      </c>
      <c r="W2940" s="6">
        <v>0</v>
      </c>
      <c r="X2940" s="6" t="s">
        <v>169</v>
      </c>
      <c r="Z2940" s="6" t="s">
        <v>170</v>
      </c>
      <c r="AA2940" s="6" t="s">
        <v>171</v>
      </c>
      <c r="AB2940" s="6">
        <v>0</v>
      </c>
      <c r="AC2940" s="6" t="str">
        <f>""</f>
        <v/>
      </c>
      <c r="AS2940" s="6">
        <v>0</v>
      </c>
      <c r="AT2940" s="6">
        <v>0</v>
      </c>
    </row>
    <row r="2941" spans="2:46">
      <c r="B2941" s="6" t="s">
        <v>108</v>
      </c>
      <c r="D2941" s="6" t="s">
        <v>8189</v>
      </c>
      <c r="F2941" s="6" t="s">
        <v>12120</v>
      </c>
      <c r="G2941" s="6" t="str">
        <f>"A17F2TBM167DOL"</f>
        <v>A17F2TBM167DOL</v>
      </c>
      <c r="H2941" s="6" t="s">
        <v>12121</v>
      </c>
      <c r="I2941" s="6" t="s">
        <v>12117</v>
      </c>
      <c r="J2941" s="6" t="str">
        <f>"TARTAN MOHAIR SWEATER atb167m"</f>
        <v>TARTAN MOHAIR SWEATER atb167m</v>
      </c>
      <c r="K2941" s="6">
        <v>0</v>
      </c>
      <c r="L2941" s="6">
        <v>0</v>
      </c>
      <c r="M2941" s="6">
        <v>0</v>
      </c>
      <c r="N2941" s="6" t="str">
        <f>""</f>
        <v/>
      </c>
      <c r="O2941" s="6">
        <v>23888</v>
      </c>
      <c r="P2941" s="6" t="s">
        <v>12122</v>
      </c>
      <c r="R2941" s="6" t="s">
        <v>12123</v>
      </c>
      <c r="S2941" s="6" t="s">
        <v>12124</v>
      </c>
      <c r="T2941" s="6">
        <v>0</v>
      </c>
      <c r="U2941" s="6">
        <v>0</v>
      </c>
      <c r="V2941" s="6">
        <v>0</v>
      </c>
      <c r="W2941" s="6">
        <v>0</v>
      </c>
      <c r="X2941" s="6" t="s">
        <v>169</v>
      </c>
      <c r="Z2941" s="6" t="s">
        <v>170</v>
      </c>
      <c r="AA2941" s="6" t="s">
        <v>171</v>
      </c>
      <c r="AB2941" s="6">
        <v>0</v>
      </c>
      <c r="AC2941" s="6" t="str">
        <f>""</f>
        <v/>
      </c>
      <c r="AS2941" s="6">
        <v>0</v>
      </c>
      <c r="AT2941" s="6">
        <v>0</v>
      </c>
    </row>
    <row r="2942" spans="2:46">
      <c r="B2942" s="6" t="s">
        <v>108</v>
      </c>
      <c r="D2942" s="6" t="s">
        <v>8189</v>
      </c>
      <c r="F2942" s="6" t="s">
        <v>12125</v>
      </c>
      <c r="G2942" s="6" t="str">
        <f>"A17F2TBU165WHS"</f>
        <v>A17F2TBU165WHS</v>
      </c>
      <c r="H2942" s="6" t="s">
        <v>12126</v>
      </c>
      <c r="I2942" s="6" t="s">
        <v>12127</v>
      </c>
      <c r="J2942" s="6" t="str">
        <f t="shared" ref="J2942:J2950" si="22">"UNISEX APPLIQUE TOLLEGNO SWEATER atb165u"</f>
        <v>UNISEX APPLIQUE TOLLEGNO SWEATER atb165u</v>
      </c>
      <c r="K2942" s="6">
        <v>0</v>
      </c>
      <c r="L2942" s="6">
        <v>0</v>
      </c>
      <c r="M2942" s="6">
        <v>0</v>
      </c>
      <c r="N2942" s="6" t="str">
        <f>""</f>
        <v/>
      </c>
      <c r="O2942" s="6">
        <v>23886</v>
      </c>
      <c r="P2942" s="6" t="s">
        <v>12128</v>
      </c>
      <c r="R2942" s="6" t="s">
        <v>12129</v>
      </c>
      <c r="S2942" s="6" t="s">
        <v>12130</v>
      </c>
      <c r="T2942" s="6">
        <v>0</v>
      </c>
      <c r="U2942" s="6">
        <v>0</v>
      </c>
      <c r="V2942" s="6">
        <v>0</v>
      </c>
      <c r="W2942" s="6">
        <v>0</v>
      </c>
      <c r="X2942" s="6" t="s">
        <v>169</v>
      </c>
      <c r="Z2942" s="6" t="s">
        <v>170</v>
      </c>
      <c r="AA2942" s="6" t="s">
        <v>171</v>
      </c>
      <c r="AB2942" s="6">
        <v>0</v>
      </c>
      <c r="AC2942" s="6" t="str">
        <f>""</f>
        <v/>
      </c>
      <c r="AS2942" s="6">
        <v>0</v>
      </c>
      <c r="AT2942" s="6">
        <v>0</v>
      </c>
    </row>
    <row r="2943" spans="2:46">
      <c r="B2943" s="6" t="s">
        <v>108</v>
      </c>
      <c r="D2943" s="6" t="s">
        <v>8189</v>
      </c>
      <c r="F2943" s="6" t="s">
        <v>12131</v>
      </c>
      <c r="G2943" s="6" t="str">
        <f>"A17F2TBU165WHM"</f>
        <v>A17F2TBU165WHM</v>
      </c>
      <c r="H2943" s="6" t="s">
        <v>12132</v>
      </c>
      <c r="I2943" s="6" t="s">
        <v>12127</v>
      </c>
      <c r="J2943" s="6" t="str">
        <f t="shared" si="22"/>
        <v>UNISEX APPLIQUE TOLLEGNO SWEATER atb165u</v>
      </c>
      <c r="K2943" s="6">
        <v>0</v>
      </c>
      <c r="L2943" s="6">
        <v>0</v>
      </c>
      <c r="M2943" s="6">
        <v>0</v>
      </c>
      <c r="N2943" s="6" t="str">
        <f>""</f>
        <v/>
      </c>
      <c r="O2943" s="6">
        <v>23885</v>
      </c>
      <c r="P2943" s="6" t="s">
        <v>12133</v>
      </c>
      <c r="R2943" s="6" t="s">
        <v>12134</v>
      </c>
      <c r="S2943" s="6" t="s">
        <v>12135</v>
      </c>
      <c r="T2943" s="6">
        <v>0</v>
      </c>
      <c r="U2943" s="6">
        <v>0</v>
      </c>
      <c r="V2943" s="6">
        <v>0</v>
      </c>
      <c r="W2943" s="6">
        <v>0</v>
      </c>
      <c r="X2943" s="6" t="s">
        <v>169</v>
      </c>
      <c r="Z2943" s="6" t="s">
        <v>170</v>
      </c>
      <c r="AA2943" s="6" t="s">
        <v>171</v>
      </c>
      <c r="AB2943" s="6">
        <v>0</v>
      </c>
      <c r="AC2943" s="6" t="str">
        <f>""</f>
        <v/>
      </c>
      <c r="AS2943" s="6">
        <v>0</v>
      </c>
      <c r="AT2943" s="6">
        <v>0</v>
      </c>
    </row>
    <row r="2944" spans="2:46">
      <c r="B2944" s="6" t="s">
        <v>108</v>
      </c>
      <c r="D2944" s="6" t="s">
        <v>8189</v>
      </c>
      <c r="F2944" s="6" t="s">
        <v>12136</v>
      </c>
      <c r="G2944" s="6" t="str">
        <f>"A17F2TBU165WHL"</f>
        <v>A17F2TBU165WHL</v>
      </c>
      <c r="H2944" s="6" t="s">
        <v>12137</v>
      </c>
      <c r="I2944" s="6" t="s">
        <v>12127</v>
      </c>
      <c r="J2944" s="6" t="str">
        <f t="shared" si="22"/>
        <v>UNISEX APPLIQUE TOLLEGNO SWEATER atb165u</v>
      </c>
      <c r="K2944" s="6">
        <v>0</v>
      </c>
      <c r="L2944" s="6">
        <v>0</v>
      </c>
      <c r="M2944" s="6">
        <v>0</v>
      </c>
      <c r="N2944" s="6" t="str">
        <f>""</f>
        <v/>
      </c>
      <c r="O2944" s="6">
        <v>23884</v>
      </c>
      <c r="P2944" s="6" t="s">
        <v>12138</v>
      </c>
      <c r="R2944" s="6" t="s">
        <v>12139</v>
      </c>
      <c r="S2944" s="6" t="s">
        <v>12140</v>
      </c>
      <c r="T2944" s="6">
        <v>0</v>
      </c>
      <c r="U2944" s="6">
        <v>0</v>
      </c>
      <c r="V2944" s="6">
        <v>0</v>
      </c>
      <c r="W2944" s="6">
        <v>0</v>
      </c>
      <c r="X2944" s="6" t="s">
        <v>169</v>
      </c>
      <c r="Z2944" s="6" t="s">
        <v>170</v>
      </c>
      <c r="AA2944" s="6" t="s">
        <v>171</v>
      </c>
      <c r="AB2944" s="6">
        <v>0</v>
      </c>
      <c r="AC2944" s="6" t="str">
        <f>""</f>
        <v/>
      </c>
      <c r="AS2944" s="6">
        <v>0</v>
      </c>
      <c r="AT2944" s="6">
        <v>0</v>
      </c>
    </row>
    <row r="2945" spans="2:46">
      <c r="B2945" s="6" t="s">
        <v>108</v>
      </c>
      <c r="D2945" s="6" t="s">
        <v>8189</v>
      </c>
      <c r="F2945" s="6" t="s">
        <v>12141</v>
      </c>
      <c r="G2945" s="6" t="str">
        <f>"A17F2TBU165KKS"</f>
        <v>A17F2TBU165KKS</v>
      </c>
      <c r="H2945" s="6" t="s">
        <v>12142</v>
      </c>
      <c r="I2945" s="6" t="s">
        <v>12127</v>
      </c>
      <c r="J2945" s="6" t="str">
        <f t="shared" si="22"/>
        <v>UNISEX APPLIQUE TOLLEGNO SWEATER atb165u</v>
      </c>
      <c r="K2945" s="6">
        <v>0</v>
      </c>
      <c r="L2945" s="6">
        <v>0</v>
      </c>
      <c r="M2945" s="6">
        <v>0</v>
      </c>
      <c r="N2945" s="6" t="str">
        <f>""</f>
        <v/>
      </c>
      <c r="O2945" s="6">
        <v>23883</v>
      </c>
      <c r="P2945" s="6" t="s">
        <v>12143</v>
      </c>
      <c r="R2945" s="6" t="s">
        <v>11898</v>
      </c>
      <c r="S2945" s="6" t="s">
        <v>12144</v>
      </c>
      <c r="T2945" s="6">
        <v>0</v>
      </c>
      <c r="U2945" s="6">
        <v>0</v>
      </c>
      <c r="V2945" s="6">
        <v>0</v>
      </c>
      <c r="W2945" s="6">
        <v>0</v>
      </c>
      <c r="X2945" s="6" t="s">
        <v>169</v>
      </c>
      <c r="Z2945" s="6" t="s">
        <v>170</v>
      </c>
      <c r="AA2945" s="6" t="s">
        <v>171</v>
      </c>
      <c r="AB2945" s="6">
        <v>0</v>
      </c>
      <c r="AC2945" s="6" t="str">
        <f>""</f>
        <v/>
      </c>
      <c r="AS2945" s="6">
        <v>0</v>
      </c>
      <c r="AT2945" s="6">
        <v>0</v>
      </c>
    </row>
    <row r="2946" spans="2:46">
      <c r="B2946" s="6" t="s">
        <v>108</v>
      </c>
      <c r="D2946" s="6" t="s">
        <v>8189</v>
      </c>
      <c r="F2946" s="6" t="s">
        <v>12145</v>
      </c>
      <c r="G2946" s="6" t="str">
        <f>"A17F2TBU165KKM"</f>
        <v>A17F2TBU165KKM</v>
      </c>
      <c r="H2946" s="6" t="s">
        <v>12146</v>
      </c>
      <c r="I2946" s="6" t="s">
        <v>12127</v>
      </c>
      <c r="J2946" s="6" t="str">
        <f t="shared" si="22"/>
        <v>UNISEX APPLIQUE TOLLEGNO SWEATER atb165u</v>
      </c>
      <c r="K2946" s="6">
        <v>0</v>
      </c>
      <c r="L2946" s="6">
        <v>0</v>
      </c>
      <c r="M2946" s="6">
        <v>0</v>
      </c>
      <c r="N2946" s="6" t="str">
        <f>""</f>
        <v/>
      </c>
      <c r="O2946" s="6">
        <v>23882</v>
      </c>
      <c r="P2946" s="6" t="s">
        <v>12147</v>
      </c>
      <c r="R2946" s="6" t="s">
        <v>12148</v>
      </c>
      <c r="S2946" s="6" t="s">
        <v>12149</v>
      </c>
      <c r="T2946" s="6">
        <v>0</v>
      </c>
      <c r="U2946" s="6">
        <v>0</v>
      </c>
      <c r="V2946" s="6">
        <v>0</v>
      </c>
      <c r="W2946" s="6">
        <v>0</v>
      </c>
      <c r="X2946" s="6" t="s">
        <v>169</v>
      </c>
      <c r="Z2946" s="6" t="s">
        <v>170</v>
      </c>
      <c r="AA2946" s="6" t="s">
        <v>171</v>
      </c>
      <c r="AB2946" s="6">
        <v>0</v>
      </c>
      <c r="AC2946" s="6" t="str">
        <f>""</f>
        <v/>
      </c>
      <c r="AS2946" s="6">
        <v>0</v>
      </c>
      <c r="AT2946" s="6">
        <v>0</v>
      </c>
    </row>
    <row r="2947" spans="2:46">
      <c r="B2947" s="6" t="s">
        <v>108</v>
      </c>
      <c r="D2947" s="6" t="s">
        <v>8189</v>
      </c>
      <c r="F2947" s="6" t="s">
        <v>12150</v>
      </c>
      <c r="G2947" s="6" t="str">
        <f>"A17F2TBU165KKL"</f>
        <v>A17F2TBU165KKL</v>
      </c>
      <c r="H2947" s="6" t="s">
        <v>12151</v>
      </c>
      <c r="I2947" s="6" t="s">
        <v>12127</v>
      </c>
      <c r="J2947" s="6" t="str">
        <f t="shared" si="22"/>
        <v>UNISEX APPLIQUE TOLLEGNO SWEATER atb165u</v>
      </c>
      <c r="K2947" s="6">
        <v>0</v>
      </c>
      <c r="L2947" s="6">
        <v>0</v>
      </c>
      <c r="M2947" s="6">
        <v>0</v>
      </c>
      <c r="N2947" s="6" t="str">
        <f>""</f>
        <v/>
      </c>
      <c r="O2947" s="6">
        <v>23881</v>
      </c>
      <c r="P2947" s="6" t="s">
        <v>12152</v>
      </c>
      <c r="R2947" s="6" t="s">
        <v>12153</v>
      </c>
      <c r="S2947" s="6" t="s">
        <v>12154</v>
      </c>
      <c r="T2947" s="6">
        <v>0</v>
      </c>
      <c r="U2947" s="6">
        <v>0</v>
      </c>
      <c r="V2947" s="6">
        <v>0</v>
      </c>
      <c r="W2947" s="6">
        <v>0</v>
      </c>
      <c r="X2947" s="6" t="s">
        <v>169</v>
      </c>
      <c r="Z2947" s="6" t="s">
        <v>170</v>
      </c>
      <c r="AA2947" s="6" t="s">
        <v>171</v>
      </c>
      <c r="AB2947" s="6">
        <v>0</v>
      </c>
      <c r="AC2947" s="6" t="str">
        <f>""</f>
        <v/>
      </c>
      <c r="AS2947" s="6">
        <v>0</v>
      </c>
      <c r="AT2947" s="6">
        <v>0</v>
      </c>
    </row>
    <row r="2948" spans="2:46">
      <c r="B2948" s="6" t="s">
        <v>108</v>
      </c>
      <c r="D2948" s="6" t="s">
        <v>8189</v>
      </c>
      <c r="F2948" s="6" t="s">
        <v>12155</v>
      </c>
      <c r="G2948" s="6" t="str">
        <f>"A17F2TBU165BKS"</f>
        <v>A17F2TBU165BKS</v>
      </c>
      <c r="H2948" s="6" t="s">
        <v>12156</v>
      </c>
      <c r="I2948" s="6" t="s">
        <v>12127</v>
      </c>
      <c r="J2948" s="6" t="str">
        <f t="shared" si="22"/>
        <v>UNISEX APPLIQUE TOLLEGNO SWEATER atb165u</v>
      </c>
      <c r="K2948" s="6">
        <v>0</v>
      </c>
      <c r="L2948" s="6">
        <v>0</v>
      </c>
      <c r="M2948" s="6">
        <v>0</v>
      </c>
      <c r="N2948" s="6" t="str">
        <f>""</f>
        <v/>
      </c>
      <c r="O2948" s="6">
        <v>23880</v>
      </c>
      <c r="P2948" s="6" t="s">
        <v>12157</v>
      </c>
      <c r="R2948" s="6" t="s">
        <v>1555</v>
      </c>
      <c r="S2948" s="6" t="s">
        <v>12158</v>
      </c>
      <c r="T2948" s="6">
        <v>0</v>
      </c>
      <c r="U2948" s="6">
        <v>0</v>
      </c>
      <c r="V2948" s="6">
        <v>0</v>
      </c>
      <c r="W2948" s="6">
        <v>0</v>
      </c>
      <c r="X2948" s="6" t="s">
        <v>169</v>
      </c>
      <c r="Z2948" s="6" t="s">
        <v>170</v>
      </c>
      <c r="AA2948" s="6" t="s">
        <v>171</v>
      </c>
      <c r="AB2948" s="6">
        <v>0</v>
      </c>
      <c r="AC2948" s="6" t="str">
        <f>""</f>
        <v/>
      </c>
      <c r="AS2948" s="6">
        <v>0</v>
      </c>
      <c r="AT2948" s="6">
        <v>0</v>
      </c>
    </row>
    <row r="2949" spans="2:46">
      <c r="B2949" s="6" t="s">
        <v>108</v>
      </c>
      <c r="D2949" s="6" t="s">
        <v>8189</v>
      </c>
      <c r="F2949" s="6" t="s">
        <v>12159</v>
      </c>
      <c r="G2949" s="6" t="str">
        <f>"A17F2TBU165BKM"</f>
        <v>A17F2TBU165BKM</v>
      </c>
      <c r="H2949" s="6" t="s">
        <v>12160</v>
      </c>
      <c r="I2949" s="6" t="s">
        <v>12127</v>
      </c>
      <c r="J2949" s="6" t="str">
        <f t="shared" si="22"/>
        <v>UNISEX APPLIQUE TOLLEGNO SWEATER atb165u</v>
      </c>
      <c r="K2949" s="6">
        <v>0</v>
      </c>
      <c r="L2949" s="6">
        <v>0</v>
      </c>
      <c r="M2949" s="6">
        <v>0</v>
      </c>
      <c r="N2949" s="6" t="str">
        <f>""</f>
        <v/>
      </c>
      <c r="O2949" s="6">
        <v>23879</v>
      </c>
      <c r="P2949" s="6" t="s">
        <v>12161</v>
      </c>
      <c r="R2949" s="6" t="s">
        <v>1551</v>
      </c>
      <c r="S2949" s="6" t="s">
        <v>12162</v>
      </c>
      <c r="T2949" s="6">
        <v>0</v>
      </c>
      <c r="U2949" s="6">
        <v>0</v>
      </c>
      <c r="V2949" s="6">
        <v>0</v>
      </c>
      <c r="W2949" s="6">
        <v>0</v>
      </c>
      <c r="X2949" s="6" t="s">
        <v>169</v>
      </c>
      <c r="Z2949" s="6" t="s">
        <v>170</v>
      </c>
      <c r="AA2949" s="6" t="s">
        <v>171</v>
      </c>
      <c r="AB2949" s="6">
        <v>0</v>
      </c>
      <c r="AC2949" s="6" t="str">
        <f>""</f>
        <v/>
      </c>
      <c r="AS2949" s="6">
        <v>0</v>
      </c>
      <c r="AT2949" s="6">
        <v>0</v>
      </c>
    </row>
    <row r="2950" spans="2:46">
      <c r="B2950" s="6" t="s">
        <v>108</v>
      </c>
      <c r="D2950" s="6" t="s">
        <v>8189</v>
      </c>
      <c r="F2950" s="6" t="s">
        <v>12163</v>
      </c>
      <c r="G2950" s="6" t="str">
        <f>"A17F2TBU165BKL"</f>
        <v>A17F2TBU165BKL</v>
      </c>
      <c r="H2950" s="6" t="s">
        <v>12164</v>
      </c>
      <c r="I2950" s="6" t="s">
        <v>12127</v>
      </c>
      <c r="J2950" s="6" t="str">
        <f t="shared" si="22"/>
        <v>UNISEX APPLIQUE TOLLEGNO SWEATER atb165u</v>
      </c>
      <c r="K2950" s="6">
        <v>0</v>
      </c>
      <c r="L2950" s="6">
        <v>0</v>
      </c>
      <c r="M2950" s="6">
        <v>0</v>
      </c>
      <c r="N2950" s="6" t="str">
        <f>""</f>
        <v/>
      </c>
      <c r="O2950" s="6">
        <v>23878</v>
      </c>
      <c r="P2950" s="6" t="s">
        <v>12165</v>
      </c>
      <c r="R2950" s="6" t="s">
        <v>1547</v>
      </c>
      <c r="S2950" s="6" t="s">
        <v>12166</v>
      </c>
      <c r="T2950" s="6">
        <v>0</v>
      </c>
      <c r="U2950" s="6">
        <v>0</v>
      </c>
      <c r="V2950" s="6">
        <v>0</v>
      </c>
      <c r="W2950" s="6">
        <v>0</v>
      </c>
      <c r="X2950" s="6" t="s">
        <v>169</v>
      </c>
      <c r="Z2950" s="6" t="s">
        <v>170</v>
      </c>
      <c r="AA2950" s="6" t="s">
        <v>171</v>
      </c>
      <c r="AB2950" s="6">
        <v>0</v>
      </c>
      <c r="AC2950" s="6" t="str">
        <f>""</f>
        <v/>
      </c>
      <c r="AS2950" s="6">
        <v>0</v>
      </c>
      <c r="AT2950" s="6">
        <v>0</v>
      </c>
    </row>
    <row r="2951" spans="2:46">
      <c r="B2951" s="6" t="s">
        <v>108</v>
      </c>
      <c r="D2951" s="6" t="s">
        <v>8189</v>
      </c>
      <c r="F2951" s="6" t="s">
        <v>12167</v>
      </c>
      <c r="G2951" s="6" t="str">
        <f>"A17F2TBU164PKS"</f>
        <v>A17F2TBU164PKS</v>
      </c>
      <c r="H2951" s="6" t="s">
        <v>12168</v>
      </c>
      <c r="I2951" s="6" t="s">
        <v>12169</v>
      </c>
      <c r="J2951" s="6" t="str">
        <f t="shared" ref="J2951:J2958" si="23">"UNISEX ANGORA TUTLENECK SWEATER atb164u"</f>
        <v>UNISEX ANGORA TUTLENECK SWEATER atb164u</v>
      </c>
      <c r="K2951" s="6">
        <v>0</v>
      </c>
      <c r="L2951" s="6">
        <v>0</v>
      </c>
      <c r="M2951" s="6">
        <v>0</v>
      </c>
      <c r="N2951" s="6" t="str">
        <f>""</f>
        <v/>
      </c>
      <c r="O2951" s="6">
        <v>23876</v>
      </c>
      <c r="P2951" s="6" t="s">
        <v>12170</v>
      </c>
      <c r="R2951" s="6" t="s">
        <v>11455</v>
      </c>
      <c r="S2951" s="6" t="s">
        <v>12171</v>
      </c>
      <c r="T2951" s="6">
        <v>0</v>
      </c>
      <c r="U2951" s="6">
        <v>0</v>
      </c>
      <c r="V2951" s="6">
        <v>0</v>
      </c>
      <c r="W2951" s="6">
        <v>0</v>
      </c>
      <c r="X2951" s="6" t="s">
        <v>169</v>
      </c>
      <c r="Z2951" s="6" t="s">
        <v>170</v>
      </c>
      <c r="AA2951" s="6" t="s">
        <v>171</v>
      </c>
      <c r="AB2951" s="6">
        <v>0</v>
      </c>
      <c r="AC2951" s="6" t="str">
        <f>""</f>
        <v/>
      </c>
      <c r="AS2951" s="6">
        <v>0</v>
      </c>
      <c r="AT2951" s="6">
        <v>0</v>
      </c>
    </row>
    <row r="2952" spans="2:46">
      <c r="B2952" s="6" t="s">
        <v>108</v>
      </c>
      <c r="D2952" s="6" t="s">
        <v>8189</v>
      </c>
      <c r="F2952" s="6" t="s">
        <v>12172</v>
      </c>
      <c r="G2952" s="6" t="str">
        <f>"A17F2TBU164LIS"</f>
        <v>A17F2TBU164LIS</v>
      </c>
      <c r="H2952" s="6" t="s">
        <v>12173</v>
      </c>
      <c r="I2952" s="6" t="s">
        <v>12169</v>
      </c>
      <c r="J2952" s="6" t="str">
        <f t="shared" si="23"/>
        <v>UNISEX ANGORA TUTLENECK SWEATER atb164u</v>
      </c>
      <c r="K2952" s="6">
        <v>0</v>
      </c>
      <c r="L2952" s="6">
        <v>0</v>
      </c>
      <c r="M2952" s="6">
        <v>0</v>
      </c>
      <c r="N2952" s="6" t="str">
        <f>""</f>
        <v/>
      </c>
      <c r="O2952" s="6">
        <v>23875</v>
      </c>
      <c r="P2952" s="6" t="s">
        <v>12174</v>
      </c>
      <c r="R2952" s="6" t="s">
        <v>12175</v>
      </c>
      <c r="S2952" s="6" t="s">
        <v>12176</v>
      </c>
      <c r="T2952" s="6">
        <v>0</v>
      </c>
      <c r="U2952" s="6">
        <v>0</v>
      </c>
      <c r="V2952" s="6">
        <v>0</v>
      </c>
      <c r="W2952" s="6">
        <v>0</v>
      </c>
      <c r="X2952" s="6" t="s">
        <v>169</v>
      </c>
      <c r="Z2952" s="6" t="s">
        <v>170</v>
      </c>
      <c r="AA2952" s="6" t="s">
        <v>171</v>
      </c>
      <c r="AB2952" s="6">
        <v>0</v>
      </c>
      <c r="AC2952" s="6" t="str">
        <f>""</f>
        <v/>
      </c>
      <c r="AS2952" s="6">
        <v>0</v>
      </c>
      <c r="AT2952" s="6">
        <v>0</v>
      </c>
    </row>
    <row r="2953" spans="2:46">
      <c r="B2953" s="6" t="s">
        <v>108</v>
      </c>
      <c r="D2953" s="6" t="s">
        <v>8189</v>
      </c>
      <c r="F2953" s="6" t="s">
        <v>12177</v>
      </c>
      <c r="G2953" s="6" t="str">
        <f>"A17F2TBU164LIM"</f>
        <v>A17F2TBU164LIM</v>
      </c>
      <c r="H2953" s="6" t="s">
        <v>12178</v>
      </c>
      <c r="I2953" s="6" t="s">
        <v>12169</v>
      </c>
      <c r="J2953" s="6" t="str">
        <f t="shared" si="23"/>
        <v>UNISEX ANGORA TUTLENECK SWEATER atb164u</v>
      </c>
      <c r="K2953" s="6">
        <v>0</v>
      </c>
      <c r="L2953" s="6">
        <v>0</v>
      </c>
      <c r="M2953" s="6">
        <v>0</v>
      </c>
      <c r="N2953" s="6" t="str">
        <f>""</f>
        <v/>
      </c>
      <c r="O2953" s="6">
        <v>23874</v>
      </c>
      <c r="P2953" s="6" t="s">
        <v>12179</v>
      </c>
      <c r="R2953" s="6" t="s">
        <v>12180</v>
      </c>
      <c r="S2953" s="6" t="s">
        <v>12181</v>
      </c>
      <c r="T2953" s="6">
        <v>0</v>
      </c>
      <c r="U2953" s="6">
        <v>0</v>
      </c>
      <c r="V2953" s="6">
        <v>0</v>
      </c>
      <c r="W2953" s="6">
        <v>0</v>
      </c>
      <c r="X2953" s="6" t="s">
        <v>169</v>
      </c>
      <c r="Z2953" s="6" t="s">
        <v>170</v>
      </c>
      <c r="AA2953" s="6" t="s">
        <v>171</v>
      </c>
      <c r="AB2953" s="6">
        <v>0</v>
      </c>
      <c r="AC2953" s="6" t="str">
        <f>""</f>
        <v/>
      </c>
      <c r="AS2953" s="6">
        <v>0</v>
      </c>
      <c r="AT2953" s="6">
        <v>0</v>
      </c>
    </row>
    <row r="2954" spans="2:46">
      <c r="B2954" s="6" t="s">
        <v>108</v>
      </c>
      <c r="D2954" s="6" t="s">
        <v>8189</v>
      </c>
      <c r="F2954" s="6" t="s">
        <v>12182</v>
      </c>
      <c r="G2954" s="6" t="str">
        <f>"A17F2TBU164BRS"</f>
        <v>A17F2TBU164BRS</v>
      </c>
      <c r="H2954" s="6" t="s">
        <v>12183</v>
      </c>
      <c r="I2954" s="6" t="s">
        <v>12169</v>
      </c>
      <c r="J2954" s="6" t="str">
        <f t="shared" si="23"/>
        <v>UNISEX ANGORA TUTLENECK SWEATER atb164u</v>
      </c>
      <c r="K2954" s="6">
        <v>0</v>
      </c>
      <c r="L2954" s="6">
        <v>0</v>
      </c>
      <c r="M2954" s="6">
        <v>0</v>
      </c>
      <c r="N2954" s="6" t="str">
        <f>""</f>
        <v/>
      </c>
      <c r="O2954" s="6">
        <v>23873</v>
      </c>
      <c r="P2954" s="6" t="s">
        <v>12184</v>
      </c>
      <c r="R2954" s="6" t="s">
        <v>12113</v>
      </c>
      <c r="S2954" s="6" t="s">
        <v>12185</v>
      </c>
      <c r="T2954" s="6">
        <v>0</v>
      </c>
      <c r="U2954" s="6">
        <v>0</v>
      </c>
      <c r="V2954" s="6">
        <v>0</v>
      </c>
      <c r="W2954" s="6">
        <v>0</v>
      </c>
      <c r="X2954" s="6" t="s">
        <v>169</v>
      </c>
      <c r="Z2954" s="6" t="s">
        <v>170</v>
      </c>
      <c r="AA2954" s="6" t="s">
        <v>171</v>
      </c>
      <c r="AB2954" s="6">
        <v>0</v>
      </c>
      <c r="AC2954" s="6" t="str">
        <f>""</f>
        <v/>
      </c>
      <c r="AS2954" s="6">
        <v>0</v>
      </c>
      <c r="AT2954" s="6">
        <v>0</v>
      </c>
    </row>
    <row r="2955" spans="2:46">
      <c r="B2955" s="6" t="s">
        <v>108</v>
      </c>
      <c r="D2955" s="6" t="s">
        <v>8189</v>
      </c>
      <c r="F2955" s="6" t="s">
        <v>12186</v>
      </c>
      <c r="G2955" s="6" t="str">
        <f>"A17F2TBU164BRM"</f>
        <v>A17F2TBU164BRM</v>
      </c>
      <c r="H2955" s="6" t="s">
        <v>12187</v>
      </c>
      <c r="I2955" s="6" t="s">
        <v>12169</v>
      </c>
      <c r="J2955" s="6" t="str">
        <f t="shared" si="23"/>
        <v>UNISEX ANGORA TUTLENECK SWEATER atb164u</v>
      </c>
      <c r="K2955" s="6">
        <v>0</v>
      </c>
      <c r="L2955" s="6">
        <v>0</v>
      </c>
      <c r="M2955" s="6">
        <v>0</v>
      </c>
      <c r="N2955" s="6" t="str">
        <f>""</f>
        <v/>
      </c>
      <c r="O2955" s="6">
        <v>23872</v>
      </c>
      <c r="P2955" s="6" t="s">
        <v>12188</v>
      </c>
      <c r="R2955" s="6" t="s">
        <v>12189</v>
      </c>
      <c r="S2955" s="6" t="s">
        <v>12190</v>
      </c>
      <c r="T2955" s="6">
        <v>0</v>
      </c>
      <c r="U2955" s="6">
        <v>0</v>
      </c>
      <c r="V2955" s="6">
        <v>0</v>
      </c>
      <c r="W2955" s="6">
        <v>0</v>
      </c>
      <c r="X2955" s="6" t="s">
        <v>169</v>
      </c>
      <c r="Z2955" s="6" t="s">
        <v>170</v>
      </c>
      <c r="AA2955" s="6" t="s">
        <v>171</v>
      </c>
      <c r="AB2955" s="6">
        <v>0</v>
      </c>
      <c r="AC2955" s="6" t="str">
        <f>""</f>
        <v/>
      </c>
      <c r="AS2955" s="6">
        <v>0</v>
      </c>
      <c r="AT2955" s="6">
        <v>0</v>
      </c>
    </row>
    <row r="2956" spans="2:46">
      <c r="B2956" s="6" t="s">
        <v>108</v>
      </c>
      <c r="D2956" s="6" t="s">
        <v>8189</v>
      </c>
      <c r="F2956" s="6" t="s">
        <v>12191</v>
      </c>
      <c r="G2956" s="6" t="str">
        <f>"A17F2TBU164BLS"</f>
        <v>A17F2TBU164BLS</v>
      </c>
      <c r="H2956" s="6" t="s">
        <v>12192</v>
      </c>
      <c r="I2956" s="6" t="s">
        <v>12169</v>
      </c>
      <c r="J2956" s="6" t="str">
        <f t="shared" si="23"/>
        <v>UNISEX ANGORA TUTLENECK SWEATER atb164u</v>
      </c>
      <c r="K2956" s="6">
        <v>0</v>
      </c>
      <c r="L2956" s="6">
        <v>0</v>
      </c>
      <c r="M2956" s="6">
        <v>0</v>
      </c>
      <c r="N2956" s="6" t="str">
        <f>""</f>
        <v/>
      </c>
      <c r="O2956" s="6">
        <v>23871</v>
      </c>
      <c r="P2956" s="6" t="s">
        <v>12193</v>
      </c>
      <c r="R2956" s="6" t="s">
        <v>1537</v>
      </c>
      <c r="S2956" s="6" t="s">
        <v>12194</v>
      </c>
      <c r="T2956" s="6">
        <v>0</v>
      </c>
      <c r="U2956" s="6">
        <v>0</v>
      </c>
      <c r="V2956" s="6">
        <v>0</v>
      </c>
      <c r="W2956" s="6">
        <v>0</v>
      </c>
      <c r="X2956" s="6" t="s">
        <v>169</v>
      </c>
      <c r="Z2956" s="6" t="s">
        <v>170</v>
      </c>
      <c r="AA2956" s="6" t="s">
        <v>171</v>
      </c>
      <c r="AB2956" s="6">
        <v>0</v>
      </c>
      <c r="AC2956" s="6" t="str">
        <f>""</f>
        <v/>
      </c>
      <c r="AS2956" s="6">
        <v>0</v>
      </c>
      <c r="AT2956" s="6">
        <v>0</v>
      </c>
    </row>
    <row r="2957" spans="2:46">
      <c r="B2957" s="6" t="s">
        <v>108</v>
      </c>
      <c r="D2957" s="6" t="s">
        <v>8189</v>
      </c>
      <c r="F2957" s="6" t="s">
        <v>12195</v>
      </c>
      <c r="G2957" s="6" t="str">
        <f>"A17F2TBU164BLM"</f>
        <v>A17F2TBU164BLM</v>
      </c>
      <c r="H2957" s="6" t="s">
        <v>12196</v>
      </c>
      <c r="I2957" s="6" t="s">
        <v>12169</v>
      </c>
      <c r="J2957" s="6" t="str">
        <f t="shared" si="23"/>
        <v>UNISEX ANGORA TUTLENECK SWEATER atb164u</v>
      </c>
      <c r="K2957" s="6">
        <v>0</v>
      </c>
      <c r="L2957" s="6">
        <v>0</v>
      </c>
      <c r="M2957" s="6">
        <v>0</v>
      </c>
      <c r="N2957" s="6" t="str">
        <f>""</f>
        <v/>
      </c>
      <c r="O2957" s="6">
        <v>23870</v>
      </c>
      <c r="P2957" s="6" t="s">
        <v>12197</v>
      </c>
      <c r="R2957" s="6" t="s">
        <v>1533</v>
      </c>
      <c r="S2957" s="6" t="s">
        <v>12198</v>
      </c>
      <c r="T2957" s="6">
        <v>0</v>
      </c>
      <c r="U2957" s="6">
        <v>0</v>
      </c>
      <c r="V2957" s="6">
        <v>0</v>
      </c>
      <c r="W2957" s="6">
        <v>0</v>
      </c>
      <c r="X2957" s="6" t="s">
        <v>169</v>
      </c>
      <c r="Z2957" s="6" t="s">
        <v>170</v>
      </c>
      <c r="AA2957" s="6" t="s">
        <v>171</v>
      </c>
      <c r="AB2957" s="6">
        <v>0</v>
      </c>
      <c r="AC2957" s="6" t="str">
        <f>""</f>
        <v/>
      </c>
      <c r="AS2957" s="6">
        <v>0</v>
      </c>
      <c r="AT2957" s="6">
        <v>0</v>
      </c>
    </row>
    <row r="2958" spans="2:46">
      <c r="B2958" s="6" t="s">
        <v>108</v>
      </c>
      <c r="D2958" s="6" t="s">
        <v>8189</v>
      </c>
      <c r="F2958" s="6" t="s">
        <v>12199</v>
      </c>
      <c r="G2958" s="6" t="str">
        <f>"A17F2TBU164BLL"</f>
        <v>A17F2TBU164BLL</v>
      </c>
      <c r="H2958" s="6" t="s">
        <v>12200</v>
      </c>
      <c r="I2958" s="6" t="s">
        <v>12169</v>
      </c>
      <c r="J2958" s="6" t="str">
        <f t="shared" si="23"/>
        <v>UNISEX ANGORA TUTLENECK SWEATER atb164u</v>
      </c>
      <c r="K2958" s="6">
        <v>0</v>
      </c>
      <c r="L2958" s="6">
        <v>0</v>
      </c>
      <c r="M2958" s="6">
        <v>0</v>
      </c>
      <c r="N2958" s="6" t="str">
        <f>""</f>
        <v/>
      </c>
      <c r="O2958" s="6">
        <v>23869</v>
      </c>
      <c r="P2958" s="6" t="s">
        <v>12201</v>
      </c>
      <c r="R2958" s="6" t="s">
        <v>1529</v>
      </c>
      <c r="S2958" s="6" t="s">
        <v>12202</v>
      </c>
      <c r="T2958" s="6">
        <v>0</v>
      </c>
      <c r="U2958" s="6">
        <v>0</v>
      </c>
      <c r="V2958" s="6">
        <v>0</v>
      </c>
      <c r="W2958" s="6">
        <v>0</v>
      </c>
      <c r="X2958" s="6" t="s">
        <v>169</v>
      </c>
      <c r="Z2958" s="6" t="s">
        <v>170</v>
      </c>
      <c r="AA2958" s="6" t="s">
        <v>171</v>
      </c>
      <c r="AB2958" s="6">
        <v>0</v>
      </c>
      <c r="AC2958" s="6" t="str">
        <f>""</f>
        <v/>
      </c>
      <c r="AS2958" s="6">
        <v>0</v>
      </c>
      <c r="AT2958" s="6">
        <v>0</v>
      </c>
    </row>
    <row r="2959" spans="2:46">
      <c r="B2959" s="6" t="s">
        <v>108</v>
      </c>
      <c r="D2959" s="6" t="s">
        <v>8189</v>
      </c>
      <c r="F2959" s="6" t="s">
        <v>12203</v>
      </c>
      <c r="G2959" s="6" t="str">
        <f>"A17FWTBU163GES"</f>
        <v>A17FWTBU163GES</v>
      </c>
      <c r="H2959" s="6" t="s">
        <v>12204</v>
      </c>
      <c r="I2959" s="6" t="s">
        <v>12205</v>
      </c>
      <c r="J2959" s="6" t="str">
        <f t="shared" ref="J2959:J2964" si="24">"DEREK RIDGERS COLLABORATION HOODIE atb163u"</f>
        <v>DEREK RIDGERS COLLABORATION HOODIE atb163u</v>
      </c>
      <c r="K2959" s="6">
        <v>0</v>
      </c>
      <c r="L2959" s="6">
        <v>0</v>
      </c>
      <c r="M2959" s="6">
        <v>0</v>
      </c>
      <c r="N2959" s="6" t="str">
        <f>""</f>
        <v/>
      </c>
      <c r="O2959" s="6">
        <v>23867</v>
      </c>
      <c r="P2959" s="6" t="s">
        <v>12206</v>
      </c>
      <c r="R2959" s="6" t="s">
        <v>12207</v>
      </c>
      <c r="S2959" s="6" t="s">
        <v>12208</v>
      </c>
      <c r="T2959" s="6">
        <v>0</v>
      </c>
      <c r="U2959" s="6">
        <v>0</v>
      </c>
      <c r="V2959" s="6">
        <v>0</v>
      </c>
      <c r="W2959" s="6">
        <v>0</v>
      </c>
      <c r="X2959" s="6" t="s">
        <v>169</v>
      </c>
      <c r="Z2959" s="6" t="s">
        <v>170</v>
      </c>
      <c r="AA2959" s="6" t="s">
        <v>171</v>
      </c>
      <c r="AB2959" s="6">
        <v>0</v>
      </c>
      <c r="AC2959" s="6" t="str">
        <f>""</f>
        <v/>
      </c>
      <c r="AS2959" s="6">
        <v>0</v>
      </c>
      <c r="AT2959" s="6">
        <v>0</v>
      </c>
    </row>
    <row r="2960" spans="2:46">
      <c r="B2960" s="6" t="s">
        <v>108</v>
      </c>
      <c r="D2960" s="6" t="s">
        <v>8189</v>
      </c>
      <c r="F2960" s="6" t="s">
        <v>12209</v>
      </c>
      <c r="G2960" s="6" t="str">
        <f>"A17FWTBU163GEM"</f>
        <v>A17FWTBU163GEM</v>
      </c>
      <c r="H2960" s="6" t="s">
        <v>12210</v>
      </c>
      <c r="I2960" s="6" t="s">
        <v>12205</v>
      </c>
      <c r="J2960" s="6" t="str">
        <f t="shared" si="24"/>
        <v>DEREK RIDGERS COLLABORATION HOODIE atb163u</v>
      </c>
      <c r="K2960" s="6">
        <v>0</v>
      </c>
      <c r="L2960" s="6">
        <v>0</v>
      </c>
      <c r="M2960" s="6">
        <v>0</v>
      </c>
      <c r="N2960" s="6" t="str">
        <f>""</f>
        <v/>
      </c>
      <c r="O2960" s="6">
        <v>23866</v>
      </c>
      <c r="P2960" s="6" t="s">
        <v>12211</v>
      </c>
      <c r="R2960" s="6" t="s">
        <v>12212</v>
      </c>
      <c r="S2960" s="6" t="s">
        <v>12213</v>
      </c>
      <c r="T2960" s="6">
        <v>0</v>
      </c>
      <c r="U2960" s="6">
        <v>0</v>
      </c>
      <c r="V2960" s="6">
        <v>0</v>
      </c>
      <c r="W2960" s="6">
        <v>0</v>
      </c>
      <c r="X2960" s="6" t="s">
        <v>169</v>
      </c>
      <c r="Z2960" s="6" t="s">
        <v>170</v>
      </c>
      <c r="AA2960" s="6" t="s">
        <v>171</v>
      </c>
      <c r="AB2960" s="6">
        <v>0</v>
      </c>
      <c r="AC2960" s="6" t="str">
        <f>""</f>
        <v/>
      </c>
      <c r="AS2960" s="6">
        <v>0</v>
      </c>
      <c r="AT2960" s="6">
        <v>0</v>
      </c>
    </row>
    <row r="2961" spans="2:46">
      <c r="B2961" s="6" t="s">
        <v>108</v>
      </c>
      <c r="D2961" s="6" t="s">
        <v>8189</v>
      </c>
      <c r="F2961" s="6" t="s">
        <v>12214</v>
      </c>
      <c r="G2961" s="6" t="str">
        <f>"A17FWTBU163GEL"</f>
        <v>A17FWTBU163GEL</v>
      </c>
      <c r="H2961" s="6" t="s">
        <v>12215</v>
      </c>
      <c r="I2961" s="6" t="s">
        <v>12205</v>
      </c>
      <c r="J2961" s="6" t="str">
        <f t="shared" si="24"/>
        <v>DEREK RIDGERS COLLABORATION HOODIE atb163u</v>
      </c>
      <c r="K2961" s="6">
        <v>0</v>
      </c>
      <c r="L2961" s="6">
        <v>0</v>
      </c>
      <c r="M2961" s="6">
        <v>0</v>
      </c>
      <c r="N2961" s="6" t="str">
        <f>""</f>
        <v/>
      </c>
      <c r="O2961" s="6">
        <v>23865</v>
      </c>
      <c r="P2961" s="6" t="s">
        <v>12216</v>
      </c>
      <c r="R2961" s="6" t="s">
        <v>12217</v>
      </c>
      <c r="S2961" s="6" t="s">
        <v>12218</v>
      </c>
      <c r="T2961" s="6">
        <v>0</v>
      </c>
      <c r="U2961" s="6">
        <v>0</v>
      </c>
      <c r="V2961" s="6">
        <v>0</v>
      </c>
      <c r="W2961" s="6">
        <v>0</v>
      </c>
      <c r="X2961" s="6" t="s">
        <v>169</v>
      </c>
      <c r="Z2961" s="6" t="s">
        <v>170</v>
      </c>
      <c r="AA2961" s="6" t="s">
        <v>171</v>
      </c>
      <c r="AB2961" s="6">
        <v>0</v>
      </c>
      <c r="AC2961" s="6" t="str">
        <f>""</f>
        <v/>
      </c>
      <c r="AS2961" s="6">
        <v>0</v>
      </c>
      <c r="AT2961" s="6">
        <v>0</v>
      </c>
    </row>
    <row r="2962" spans="2:46">
      <c r="B2962" s="6" t="s">
        <v>108</v>
      </c>
      <c r="D2962" s="6" t="s">
        <v>8189</v>
      </c>
      <c r="F2962" s="6" t="s">
        <v>12219</v>
      </c>
      <c r="G2962" s="6" t="str">
        <f>"A17FWTBU163BKS"</f>
        <v>A17FWTBU163BKS</v>
      </c>
      <c r="H2962" s="6" t="s">
        <v>12220</v>
      </c>
      <c r="I2962" s="6" t="s">
        <v>12205</v>
      </c>
      <c r="J2962" s="6" t="str">
        <f t="shared" si="24"/>
        <v>DEREK RIDGERS COLLABORATION HOODIE atb163u</v>
      </c>
      <c r="K2962" s="6">
        <v>0</v>
      </c>
      <c r="L2962" s="6">
        <v>0</v>
      </c>
      <c r="M2962" s="6">
        <v>0</v>
      </c>
      <c r="N2962" s="6" t="str">
        <f>""</f>
        <v/>
      </c>
      <c r="O2962" s="6">
        <v>23864</v>
      </c>
      <c r="P2962" s="6" t="s">
        <v>12221</v>
      </c>
      <c r="R2962" s="6" t="s">
        <v>1555</v>
      </c>
      <c r="S2962" s="6" t="s">
        <v>12222</v>
      </c>
      <c r="T2962" s="6">
        <v>0</v>
      </c>
      <c r="U2962" s="6">
        <v>0</v>
      </c>
      <c r="V2962" s="6">
        <v>0</v>
      </c>
      <c r="W2962" s="6">
        <v>0</v>
      </c>
      <c r="X2962" s="6" t="s">
        <v>169</v>
      </c>
      <c r="Z2962" s="6" t="s">
        <v>170</v>
      </c>
      <c r="AA2962" s="6" t="s">
        <v>171</v>
      </c>
      <c r="AB2962" s="6">
        <v>0</v>
      </c>
      <c r="AC2962" s="6" t="str">
        <f>""</f>
        <v/>
      </c>
      <c r="AS2962" s="6">
        <v>0</v>
      </c>
      <c r="AT2962" s="6">
        <v>0</v>
      </c>
    </row>
    <row r="2963" spans="2:46">
      <c r="B2963" s="6" t="s">
        <v>108</v>
      </c>
      <c r="D2963" s="6" t="s">
        <v>8189</v>
      </c>
      <c r="F2963" s="6" t="s">
        <v>12223</v>
      </c>
      <c r="G2963" s="6" t="str">
        <f>"A17FWTBU163BKM"</f>
        <v>A17FWTBU163BKM</v>
      </c>
      <c r="H2963" s="6" t="s">
        <v>12224</v>
      </c>
      <c r="I2963" s="6" t="s">
        <v>12205</v>
      </c>
      <c r="J2963" s="6" t="str">
        <f t="shared" si="24"/>
        <v>DEREK RIDGERS COLLABORATION HOODIE atb163u</v>
      </c>
      <c r="K2963" s="6">
        <v>0</v>
      </c>
      <c r="L2963" s="6">
        <v>0</v>
      </c>
      <c r="M2963" s="6">
        <v>0</v>
      </c>
      <c r="N2963" s="6" t="str">
        <f>""</f>
        <v/>
      </c>
      <c r="O2963" s="6">
        <v>23863</v>
      </c>
      <c r="P2963" s="6" t="s">
        <v>12225</v>
      </c>
      <c r="R2963" s="6" t="s">
        <v>1551</v>
      </c>
      <c r="S2963" s="6" t="s">
        <v>12226</v>
      </c>
      <c r="T2963" s="6">
        <v>0</v>
      </c>
      <c r="U2963" s="6">
        <v>0</v>
      </c>
      <c r="V2963" s="6">
        <v>0</v>
      </c>
      <c r="W2963" s="6">
        <v>0</v>
      </c>
      <c r="X2963" s="6" t="s">
        <v>169</v>
      </c>
      <c r="Z2963" s="6" t="s">
        <v>170</v>
      </c>
      <c r="AA2963" s="6" t="s">
        <v>171</v>
      </c>
      <c r="AB2963" s="6">
        <v>0</v>
      </c>
      <c r="AC2963" s="6" t="str">
        <f>""</f>
        <v/>
      </c>
      <c r="AS2963" s="6">
        <v>0</v>
      </c>
      <c r="AT2963" s="6">
        <v>0</v>
      </c>
    </row>
    <row r="2964" spans="2:46">
      <c r="B2964" s="6" t="s">
        <v>108</v>
      </c>
      <c r="D2964" s="6" t="s">
        <v>8189</v>
      </c>
      <c r="F2964" s="6" t="s">
        <v>12227</v>
      </c>
      <c r="G2964" s="6" t="str">
        <f>"A17FWTBU163BKL"</f>
        <v>A17FWTBU163BKL</v>
      </c>
      <c r="H2964" s="6" t="s">
        <v>12228</v>
      </c>
      <c r="I2964" s="6" t="s">
        <v>12205</v>
      </c>
      <c r="J2964" s="6" t="str">
        <f t="shared" si="24"/>
        <v>DEREK RIDGERS COLLABORATION HOODIE atb163u</v>
      </c>
      <c r="K2964" s="6">
        <v>0</v>
      </c>
      <c r="L2964" s="6">
        <v>0</v>
      </c>
      <c r="M2964" s="6">
        <v>0</v>
      </c>
      <c r="N2964" s="6" t="str">
        <f>""</f>
        <v/>
      </c>
      <c r="O2964" s="6">
        <v>23862</v>
      </c>
      <c r="P2964" s="6" t="s">
        <v>12229</v>
      </c>
      <c r="R2964" s="6" t="s">
        <v>1547</v>
      </c>
      <c r="S2964" s="6" t="s">
        <v>12230</v>
      </c>
      <c r="T2964" s="6">
        <v>0</v>
      </c>
      <c r="U2964" s="6">
        <v>0</v>
      </c>
      <c r="V2964" s="6">
        <v>0</v>
      </c>
      <c r="W2964" s="6">
        <v>0</v>
      </c>
      <c r="X2964" s="6" t="s">
        <v>169</v>
      </c>
      <c r="Z2964" s="6" t="s">
        <v>170</v>
      </c>
      <c r="AA2964" s="6" t="s">
        <v>171</v>
      </c>
      <c r="AB2964" s="6">
        <v>0</v>
      </c>
      <c r="AC2964" s="6" t="str">
        <f>""</f>
        <v/>
      </c>
      <c r="AS2964" s="6">
        <v>0</v>
      </c>
      <c r="AT2964" s="6">
        <v>0</v>
      </c>
    </row>
    <row r="2965" spans="2:46">
      <c r="B2965" s="6" t="s">
        <v>108</v>
      </c>
      <c r="D2965" s="6" t="s">
        <v>8189</v>
      </c>
      <c r="F2965" s="6" t="s">
        <v>12231</v>
      </c>
      <c r="G2965" s="6" t="str">
        <f>"A17FWTBU162BKS"</f>
        <v>A17FWTBU162BKS</v>
      </c>
      <c r="H2965" s="6" t="s">
        <v>12232</v>
      </c>
      <c r="I2965" s="6" t="s">
        <v>12233</v>
      </c>
      <c r="J2965" s="6" t="str">
        <f>"DEREK RIDGERS COLLABORATION SWEATSHIRT atb162u"</f>
        <v>DEREK RIDGERS COLLABORATION SWEATSHIRT atb162u</v>
      </c>
      <c r="K2965" s="6">
        <v>0</v>
      </c>
      <c r="L2965" s="6">
        <v>0</v>
      </c>
      <c r="M2965" s="6">
        <v>0</v>
      </c>
      <c r="N2965" s="6" t="str">
        <f>""</f>
        <v/>
      </c>
      <c r="O2965" s="6">
        <v>23860</v>
      </c>
      <c r="P2965" s="6" t="s">
        <v>12234</v>
      </c>
      <c r="R2965" s="6" t="s">
        <v>1555</v>
      </c>
      <c r="S2965" s="6" t="s">
        <v>12235</v>
      </c>
      <c r="T2965" s="6">
        <v>0</v>
      </c>
      <c r="U2965" s="6">
        <v>0</v>
      </c>
      <c r="V2965" s="6">
        <v>0</v>
      </c>
      <c r="W2965" s="6">
        <v>0</v>
      </c>
      <c r="X2965" s="6" t="s">
        <v>169</v>
      </c>
      <c r="Z2965" s="6" t="s">
        <v>170</v>
      </c>
      <c r="AA2965" s="6" t="s">
        <v>171</v>
      </c>
      <c r="AB2965" s="6">
        <v>0</v>
      </c>
      <c r="AC2965" s="6" t="str">
        <f>""</f>
        <v/>
      </c>
      <c r="AS2965" s="6">
        <v>0</v>
      </c>
      <c r="AT2965" s="6">
        <v>0</v>
      </c>
    </row>
    <row r="2966" spans="2:46">
      <c r="B2966" s="6" t="s">
        <v>108</v>
      </c>
      <c r="D2966" s="6" t="s">
        <v>8189</v>
      </c>
      <c r="F2966" s="6" t="s">
        <v>12236</v>
      </c>
      <c r="G2966" s="6" t="str">
        <f>"A17FWTBU162BKM"</f>
        <v>A17FWTBU162BKM</v>
      </c>
      <c r="H2966" s="6" t="s">
        <v>12237</v>
      </c>
      <c r="I2966" s="6" t="s">
        <v>12233</v>
      </c>
      <c r="J2966" s="6" t="str">
        <f>"DEREK RIDGERS COLLABORATION SWEATSHIRT atb162u"</f>
        <v>DEREK RIDGERS COLLABORATION SWEATSHIRT atb162u</v>
      </c>
      <c r="K2966" s="6">
        <v>0</v>
      </c>
      <c r="L2966" s="6">
        <v>0</v>
      </c>
      <c r="M2966" s="6">
        <v>0</v>
      </c>
      <c r="N2966" s="6" t="str">
        <f>""</f>
        <v/>
      </c>
      <c r="O2966" s="6">
        <v>23859</v>
      </c>
      <c r="P2966" s="6" t="s">
        <v>12238</v>
      </c>
      <c r="R2966" s="6" t="s">
        <v>1551</v>
      </c>
      <c r="S2966" s="6" t="s">
        <v>12239</v>
      </c>
      <c r="T2966" s="6">
        <v>0</v>
      </c>
      <c r="U2966" s="6">
        <v>0</v>
      </c>
      <c r="V2966" s="6">
        <v>0</v>
      </c>
      <c r="W2966" s="6">
        <v>0</v>
      </c>
      <c r="X2966" s="6" t="s">
        <v>169</v>
      </c>
      <c r="Z2966" s="6" t="s">
        <v>170</v>
      </c>
      <c r="AA2966" s="6" t="s">
        <v>171</v>
      </c>
      <c r="AB2966" s="6">
        <v>0</v>
      </c>
      <c r="AC2966" s="6" t="str">
        <f>""</f>
        <v/>
      </c>
      <c r="AS2966" s="6">
        <v>0</v>
      </c>
      <c r="AT2966" s="6">
        <v>0</v>
      </c>
    </row>
    <row r="2967" spans="2:46">
      <c r="B2967" s="6" t="s">
        <v>108</v>
      </c>
      <c r="D2967" s="6" t="s">
        <v>8189</v>
      </c>
      <c r="F2967" s="6" t="s">
        <v>12240</v>
      </c>
      <c r="G2967" s="6" t="str">
        <f>"A17FWTBU162BKL"</f>
        <v>A17FWTBU162BKL</v>
      </c>
      <c r="H2967" s="6" t="s">
        <v>12241</v>
      </c>
      <c r="I2967" s="6" t="s">
        <v>12233</v>
      </c>
      <c r="J2967" s="6" t="str">
        <f>"DEREK RIDGERS COLLABORATION SWEATSHIRT atb162u"</f>
        <v>DEREK RIDGERS COLLABORATION SWEATSHIRT atb162u</v>
      </c>
      <c r="K2967" s="6">
        <v>0</v>
      </c>
      <c r="L2967" s="6">
        <v>0</v>
      </c>
      <c r="M2967" s="6">
        <v>0</v>
      </c>
      <c r="N2967" s="6" t="str">
        <f>""</f>
        <v/>
      </c>
      <c r="O2967" s="6">
        <v>23858</v>
      </c>
      <c r="P2967" s="6" t="s">
        <v>12242</v>
      </c>
      <c r="R2967" s="6" t="s">
        <v>1547</v>
      </c>
      <c r="S2967" s="6" t="s">
        <v>12243</v>
      </c>
      <c r="T2967" s="6">
        <v>0</v>
      </c>
      <c r="U2967" s="6">
        <v>0</v>
      </c>
      <c r="V2967" s="6">
        <v>0</v>
      </c>
      <c r="W2967" s="6">
        <v>0</v>
      </c>
      <c r="X2967" s="6" t="s">
        <v>169</v>
      </c>
      <c r="Z2967" s="6" t="s">
        <v>170</v>
      </c>
      <c r="AA2967" s="6" t="s">
        <v>171</v>
      </c>
      <c r="AB2967" s="6">
        <v>0</v>
      </c>
      <c r="AC2967" s="6" t="str">
        <f>""</f>
        <v/>
      </c>
      <c r="AS2967" s="6">
        <v>0</v>
      </c>
      <c r="AT2967" s="6">
        <v>0</v>
      </c>
    </row>
    <row r="2968" spans="2:46" ht="99">
      <c r="B2968" s="6" t="s">
        <v>108</v>
      </c>
      <c r="D2968" s="6" t="s">
        <v>8189</v>
      </c>
      <c r="F2968" s="6" t="s">
        <v>12244</v>
      </c>
      <c r="G2968" s="6" t="str">
        <f>"A17FWTBU161MAS"</f>
        <v>A17FWTBU161MAS</v>
      </c>
      <c r="H2968" s="6" t="s">
        <v>12245</v>
      </c>
      <c r="I2968" s="7" t="s">
        <v>12246</v>
      </c>
      <c r="J2968" s="6" t="str">
        <f t="shared" ref="J2968:J2979" si="25">"UNISEX LAYER EMBROIDERY HOODIE 
atb161u"</f>
        <v>UNISEX LAYER EMBROIDERY HOODIE 
atb161u</v>
      </c>
      <c r="K2968" s="6">
        <v>0</v>
      </c>
      <c r="L2968" s="6">
        <v>0</v>
      </c>
      <c r="M2968" s="6">
        <v>0</v>
      </c>
      <c r="N2968" s="6" t="str">
        <f>""</f>
        <v/>
      </c>
      <c r="O2968" s="6">
        <v>23856</v>
      </c>
      <c r="P2968" s="6" t="s">
        <v>12247</v>
      </c>
      <c r="R2968" s="6" t="s">
        <v>12248</v>
      </c>
      <c r="S2968" s="7" t="s">
        <v>12249</v>
      </c>
      <c r="T2968" s="6">
        <v>0</v>
      </c>
      <c r="U2968" s="6">
        <v>0</v>
      </c>
      <c r="V2968" s="6">
        <v>0</v>
      </c>
      <c r="W2968" s="6">
        <v>0</v>
      </c>
      <c r="X2968" s="6" t="s">
        <v>169</v>
      </c>
      <c r="Z2968" s="6" t="s">
        <v>170</v>
      </c>
      <c r="AA2968" s="6" t="s">
        <v>171</v>
      </c>
      <c r="AB2968" s="6">
        <v>0</v>
      </c>
      <c r="AC2968" s="6" t="str">
        <f>""</f>
        <v/>
      </c>
      <c r="AS2968" s="6">
        <v>0</v>
      </c>
      <c r="AT2968" s="6">
        <v>0</v>
      </c>
    </row>
    <row r="2969" spans="2:46" ht="99">
      <c r="B2969" s="6" t="s">
        <v>108</v>
      </c>
      <c r="D2969" s="6" t="s">
        <v>8189</v>
      </c>
      <c r="F2969" s="6" t="s">
        <v>12250</v>
      </c>
      <c r="G2969" s="6" t="str">
        <f>"A17FWTBU161MAM"</f>
        <v>A17FWTBU161MAM</v>
      </c>
      <c r="H2969" s="6" t="s">
        <v>12251</v>
      </c>
      <c r="I2969" s="7" t="s">
        <v>12246</v>
      </c>
      <c r="J2969" s="6" t="str">
        <f t="shared" si="25"/>
        <v>UNISEX LAYER EMBROIDERY HOODIE 
atb161u</v>
      </c>
      <c r="K2969" s="6">
        <v>0</v>
      </c>
      <c r="L2969" s="6">
        <v>0</v>
      </c>
      <c r="M2969" s="6">
        <v>0</v>
      </c>
      <c r="N2969" s="6" t="str">
        <f>""</f>
        <v/>
      </c>
      <c r="O2969" s="6">
        <v>23855</v>
      </c>
      <c r="P2969" s="6" t="s">
        <v>12252</v>
      </c>
      <c r="R2969" s="6" t="s">
        <v>12253</v>
      </c>
      <c r="S2969" s="7" t="s">
        <v>12254</v>
      </c>
      <c r="T2969" s="6">
        <v>0</v>
      </c>
      <c r="U2969" s="6">
        <v>0</v>
      </c>
      <c r="V2969" s="6">
        <v>0</v>
      </c>
      <c r="W2969" s="6">
        <v>0</v>
      </c>
      <c r="X2969" s="6" t="s">
        <v>169</v>
      </c>
      <c r="Z2969" s="6" t="s">
        <v>170</v>
      </c>
      <c r="AA2969" s="6" t="s">
        <v>171</v>
      </c>
      <c r="AB2969" s="6">
        <v>0</v>
      </c>
      <c r="AC2969" s="6" t="str">
        <f>""</f>
        <v/>
      </c>
      <c r="AS2969" s="6">
        <v>0</v>
      </c>
      <c r="AT2969" s="6">
        <v>0</v>
      </c>
    </row>
    <row r="2970" spans="2:46" ht="99">
      <c r="B2970" s="6" t="s">
        <v>108</v>
      </c>
      <c r="D2970" s="6" t="s">
        <v>8189</v>
      </c>
      <c r="F2970" s="6" t="s">
        <v>12255</v>
      </c>
      <c r="G2970" s="6" t="str">
        <f>"A17FWTBU161MAL"</f>
        <v>A17FWTBU161MAL</v>
      </c>
      <c r="H2970" s="6" t="s">
        <v>12256</v>
      </c>
      <c r="I2970" s="7" t="s">
        <v>12246</v>
      </c>
      <c r="J2970" s="6" t="str">
        <f t="shared" si="25"/>
        <v>UNISEX LAYER EMBROIDERY HOODIE 
atb161u</v>
      </c>
      <c r="K2970" s="6">
        <v>0</v>
      </c>
      <c r="L2970" s="6">
        <v>0</v>
      </c>
      <c r="M2970" s="6">
        <v>0</v>
      </c>
      <c r="N2970" s="6" t="str">
        <f>""</f>
        <v/>
      </c>
      <c r="O2970" s="6">
        <v>23854</v>
      </c>
      <c r="P2970" s="6" t="s">
        <v>12257</v>
      </c>
      <c r="R2970" s="6" t="s">
        <v>12258</v>
      </c>
      <c r="S2970" s="7" t="s">
        <v>12259</v>
      </c>
      <c r="T2970" s="6">
        <v>0</v>
      </c>
      <c r="U2970" s="6">
        <v>0</v>
      </c>
      <c r="V2970" s="6">
        <v>0</v>
      </c>
      <c r="W2970" s="6">
        <v>0</v>
      </c>
      <c r="X2970" s="6" t="s">
        <v>169</v>
      </c>
      <c r="Z2970" s="6" t="s">
        <v>170</v>
      </c>
      <c r="AA2970" s="6" t="s">
        <v>171</v>
      </c>
      <c r="AB2970" s="6">
        <v>0</v>
      </c>
      <c r="AC2970" s="6" t="str">
        <f>""</f>
        <v/>
      </c>
      <c r="AS2970" s="6">
        <v>0</v>
      </c>
      <c r="AT2970" s="6">
        <v>0</v>
      </c>
    </row>
    <row r="2971" spans="2:46" ht="99">
      <c r="B2971" s="6" t="s">
        <v>108</v>
      </c>
      <c r="D2971" s="6" t="s">
        <v>8189</v>
      </c>
      <c r="F2971" s="6" t="s">
        <v>12260</v>
      </c>
      <c r="G2971" s="6" t="str">
        <f>"A17FWTBU161GES"</f>
        <v>A17FWTBU161GES</v>
      </c>
      <c r="H2971" s="6" t="s">
        <v>12261</v>
      </c>
      <c r="I2971" s="7" t="s">
        <v>12246</v>
      </c>
      <c r="J2971" s="6" t="str">
        <f t="shared" si="25"/>
        <v>UNISEX LAYER EMBROIDERY HOODIE 
atb161u</v>
      </c>
      <c r="K2971" s="6">
        <v>0</v>
      </c>
      <c r="L2971" s="6">
        <v>0</v>
      </c>
      <c r="M2971" s="6">
        <v>0</v>
      </c>
      <c r="N2971" s="6" t="str">
        <f>""</f>
        <v/>
      </c>
      <c r="O2971" s="6">
        <v>23853</v>
      </c>
      <c r="P2971" s="6" t="s">
        <v>12262</v>
      </c>
      <c r="R2971" s="6" t="s">
        <v>12207</v>
      </c>
      <c r="S2971" s="7" t="s">
        <v>12263</v>
      </c>
      <c r="T2971" s="6">
        <v>0</v>
      </c>
      <c r="U2971" s="6">
        <v>0</v>
      </c>
      <c r="V2971" s="6">
        <v>0</v>
      </c>
      <c r="W2971" s="6">
        <v>0</v>
      </c>
      <c r="X2971" s="6" t="s">
        <v>169</v>
      </c>
      <c r="Z2971" s="6" t="s">
        <v>170</v>
      </c>
      <c r="AA2971" s="6" t="s">
        <v>171</v>
      </c>
      <c r="AB2971" s="6">
        <v>0</v>
      </c>
      <c r="AC2971" s="6" t="str">
        <f>""</f>
        <v/>
      </c>
      <c r="AS2971" s="6">
        <v>0</v>
      </c>
      <c r="AT2971" s="6">
        <v>0</v>
      </c>
    </row>
    <row r="2972" spans="2:46" ht="99">
      <c r="B2972" s="6" t="s">
        <v>108</v>
      </c>
      <c r="D2972" s="6" t="s">
        <v>8189</v>
      </c>
      <c r="F2972" s="6" t="s">
        <v>12264</v>
      </c>
      <c r="G2972" s="6" t="str">
        <f>"A17FWTBU161GEM"</f>
        <v>A17FWTBU161GEM</v>
      </c>
      <c r="H2972" s="6" t="s">
        <v>12265</v>
      </c>
      <c r="I2972" s="7" t="s">
        <v>12246</v>
      </c>
      <c r="J2972" s="6" t="str">
        <f t="shared" si="25"/>
        <v>UNISEX LAYER EMBROIDERY HOODIE 
atb161u</v>
      </c>
      <c r="K2972" s="6">
        <v>0</v>
      </c>
      <c r="L2972" s="6">
        <v>0</v>
      </c>
      <c r="M2972" s="6">
        <v>0</v>
      </c>
      <c r="N2972" s="6" t="str">
        <f>""</f>
        <v/>
      </c>
      <c r="O2972" s="6">
        <v>23852</v>
      </c>
      <c r="P2972" s="6" t="s">
        <v>12266</v>
      </c>
      <c r="R2972" s="6" t="s">
        <v>12212</v>
      </c>
      <c r="S2972" s="7" t="s">
        <v>12267</v>
      </c>
      <c r="T2972" s="6">
        <v>0</v>
      </c>
      <c r="U2972" s="6">
        <v>0</v>
      </c>
      <c r="V2972" s="6">
        <v>0</v>
      </c>
      <c r="W2972" s="6">
        <v>0</v>
      </c>
      <c r="X2972" s="6" t="s">
        <v>169</v>
      </c>
      <c r="Z2972" s="6" t="s">
        <v>170</v>
      </c>
      <c r="AA2972" s="6" t="s">
        <v>171</v>
      </c>
      <c r="AB2972" s="6">
        <v>0</v>
      </c>
      <c r="AC2972" s="6" t="str">
        <f>""</f>
        <v/>
      </c>
      <c r="AS2972" s="6">
        <v>0</v>
      </c>
      <c r="AT2972" s="6">
        <v>0</v>
      </c>
    </row>
    <row r="2973" spans="2:46" ht="99">
      <c r="B2973" s="6" t="s">
        <v>108</v>
      </c>
      <c r="D2973" s="6" t="s">
        <v>8189</v>
      </c>
      <c r="F2973" s="6" t="s">
        <v>12268</v>
      </c>
      <c r="G2973" s="6" t="str">
        <f>"A17FWTBU161GEL"</f>
        <v>A17FWTBU161GEL</v>
      </c>
      <c r="H2973" s="6" t="s">
        <v>12269</v>
      </c>
      <c r="I2973" s="7" t="s">
        <v>12246</v>
      </c>
      <c r="J2973" s="6" t="str">
        <f t="shared" si="25"/>
        <v>UNISEX LAYER EMBROIDERY HOODIE 
atb161u</v>
      </c>
      <c r="K2973" s="6">
        <v>0</v>
      </c>
      <c r="L2973" s="6">
        <v>0</v>
      </c>
      <c r="M2973" s="6">
        <v>0</v>
      </c>
      <c r="N2973" s="6" t="str">
        <f>""</f>
        <v/>
      </c>
      <c r="O2973" s="6">
        <v>23851</v>
      </c>
      <c r="P2973" s="6" t="s">
        <v>12270</v>
      </c>
      <c r="R2973" s="6" t="s">
        <v>12217</v>
      </c>
      <c r="S2973" s="7" t="s">
        <v>12271</v>
      </c>
      <c r="T2973" s="6">
        <v>0</v>
      </c>
      <c r="U2973" s="6">
        <v>0</v>
      </c>
      <c r="V2973" s="6">
        <v>0</v>
      </c>
      <c r="W2973" s="6">
        <v>0</v>
      </c>
      <c r="X2973" s="6" t="s">
        <v>169</v>
      </c>
      <c r="Z2973" s="6" t="s">
        <v>170</v>
      </c>
      <c r="AA2973" s="6" t="s">
        <v>171</v>
      </c>
      <c r="AB2973" s="6">
        <v>0</v>
      </c>
      <c r="AC2973" s="6" t="str">
        <f>""</f>
        <v/>
      </c>
      <c r="AS2973" s="6">
        <v>0</v>
      </c>
      <c r="AT2973" s="6">
        <v>0</v>
      </c>
    </row>
    <row r="2974" spans="2:46" ht="99">
      <c r="B2974" s="6" t="s">
        <v>108</v>
      </c>
      <c r="D2974" s="6" t="s">
        <v>8189</v>
      </c>
      <c r="F2974" s="6" t="s">
        <v>12272</v>
      </c>
      <c r="G2974" s="6" t="str">
        <f>"A17FWTBU161GRS"</f>
        <v>A17FWTBU161GRS</v>
      </c>
      <c r="H2974" s="6" t="s">
        <v>12273</v>
      </c>
      <c r="I2974" s="7" t="s">
        <v>12246</v>
      </c>
      <c r="J2974" s="6" t="str">
        <f t="shared" si="25"/>
        <v>UNISEX LAYER EMBROIDERY HOODIE 
atb161u</v>
      </c>
      <c r="K2974" s="6">
        <v>0</v>
      </c>
      <c r="L2974" s="6">
        <v>0</v>
      </c>
      <c r="M2974" s="6">
        <v>0</v>
      </c>
      <c r="N2974" s="6" t="str">
        <f>""</f>
        <v/>
      </c>
      <c r="O2974" s="6">
        <v>23850</v>
      </c>
      <c r="P2974" s="6" t="s">
        <v>12274</v>
      </c>
      <c r="R2974" s="6" t="s">
        <v>12075</v>
      </c>
      <c r="S2974" s="7" t="s">
        <v>12275</v>
      </c>
      <c r="T2974" s="6">
        <v>0</v>
      </c>
      <c r="U2974" s="6">
        <v>0</v>
      </c>
      <c r="V2974" s="6">
        <v>0</v>
      </c>
      <c r="W2974" s="6">
        <v>0</v>
      </c>
      <c r="X2974" s="6" t="s">
        <v>169</v>
      </c>
      <c r="Z2974" s="6" t="s">
        <v>170</v>
      </c>
      <c r="AA2974" s="6" t="s">
        <v>171</v>
      </c>
      <c r="AB2974" s="6">
        <v>0</v>
      </c>
      <c r="AC2974" s="6" t="str">
        <f>""</f>
        <v/>
      </c>
      <c r="AS2974" s="6">
        <v>0</v>
      </c>
      <c r="AT2974" s="6">
        <v>0</v>
      </c>
    </row>
    <row r="2975" spans="2:46" ht="99">
      <c r="B2975" s="6" t="s">
        <v>108</v>
      </c>
      <c r="D2975" s="6" t="s">
        <v>8189</v>
      </c>
      <c r="F2975" s="6" t="s">
        <v>12276</v>
      </c>
      <c r="G2975" s="6" t="str">
        <f>"A17FWTBU161GRL"</f>
        <v>A17FWTBU161GRL</v>
      </c>
      <c r="H2975" s="6" t="s">
        <v>12277</v>
      </c>
      <c r="I2975" s="7" t="s">
        <v>12246</v>
      </c>
      <c r="J2975" s="6" t="str">
        <f t="shared" si="25"/>
        <v>UNISEX LAYER EMBROIDERY HOODIE 
atb161u</v>
      </c>
      <c r="K2975" s="6">
        <v>0</v>
      </c>
      <c r="L2975" s="6">
        <v>0</v>
      </c>
      <c r="M2975" s="6">
        <v>0</v>
      </c>
      <c r="N2975" s="6" t="str">
        <f>""</f>
        <v/>
      </c>
      <c r="O2975" s="6">
        <v>23849</v>
      </c>
      <c r="P2975" s="6" t="s">
        <v>12278</v>
      </c>
      <c r="R2975" s="6" t="s">
        <v>12083</v>
      </c>
      <c r="S2975" s="7" t="s">
        <v>12279</v>
      </c>
      <c r="T2975" s="6">
        <v>0</v>
      </c>
      <c r="U2975" s="6">
        <v>0</v>
      </c>
      <c r="V2975" s="6">
        <v>0</v>
      </c>
      <c r="W2975" s="6">
        <v>0</v>
      </c>
      <c r="X2975" s="6" t="s">
        <v>169</v>
      </c>
      <c r="Z2975" s="6" t="s">
        <v>170</v>
      </c>
      <c r="AA2975" s="6" t="s">
        <v>171</v>
      </c>
      <c r="AB2975" s="6">
        <v>0</v>
      </c>
      <c r="AC2975" s="6" t="str">
        <f>""</f>
        <v/>
      </c>
      <c r="AS2975" s="6">
        <v>0</v>
      </c>
      <c r="AT2975" s="6">
        <v>0</v>
      </c>
    </row>
    <row r="2976" spans="2:46" ht="99">
      <c r="B2976" s="6" t="s">
        <v>108</v>
      </c>
      <c r="D2976" s="6" t="s">
        <v>8189</v>
      </c>
      <c r="F2976" s="6" t="s">
        <v>12280</v>
      </c>
      <c r="G2976" s="6" t="str">
        <f>"A17FWTBU161BKXL"</f>
        <v>A17FWTBU161BKXL</v>
      </c>
      <c r="H2976" s="6" t="s">
        <v>12281</v>
      </c>
      <c r="I2976" s="7" t="s">
        <v>12246</v>
      </c>
      <c r="J2976" s="6" t="str">
        <f t="shared" si="25"/>
        <v>UNISEX LAYER EMBROIDERY HOODIE 
atb161u</v>
      </c>
      <c r="K2976" s="6">
        <v>0</v>
      </c>
      <c r="L2976" s="6">
        <v>0</v>
      </c>
      <c r="M2976" s="6">
        <v>0</v>
      </c>
      <c r="N2976" s="6" t="str">
        <f>""</f>
        <v/>
      </c>
      <c r="O2976" s="6">
        <v>23848</v>
      </c>
      <c r="P2976" s="6" t="s">
        <v>12282</v>
      </c>
      <c r="R2976" s="6" t="s">
        <v>12015</v>
      </c>
      <c r="S2976" s="7" t="s">
        <v>12283</v>
      </c>
      <c r="T2976" s="6">
        <v>0</v>
      </c>
      <c r="U2976" s="6">
        <v>0</v>
      </c>
      <c r="V2976" s="6">
        <v>0</v>
      </c>
      <c r="W2976" s="6">
        <v>0</v>
      </c>
      <c r="X2976" s="6" t="s">
        <v>169</v>
      </c>
      <c r="Z2976" s="6" t="s">
        <v>170</v>
      </c>
      <c r="AA2976" s="6" t="s">
        <v>171</v>
      </c>
      <c r="AB2976" s="6">
        <v>0</v>
      </c>
      <c r="AC2976" s="6" t="str">
        <f>""</f>
        <v/>
      </c>
      <c r="AS2976" s="6">
        <v>0</v>
      </c>
      <c r="AT2976" s="6">
        <v>0</v>
      </c>
    </row>
    <row r="2977" spans="2:46" ht="99">
      <c r="B2977" s="6" t="s">
        <v>108</v>
      </c>
      <c r="D2977" s="6" t="s">
        <v>8189</v>
      </c>
      <c r="F2977" s="6" t="s">
        <v>12284</v>
      </c>
      <c r="G2977" s="6" t="str">
        <f>"A17FWTBW161BKS"</f>
        <v>A17FWTBW161BKS</v>
      </c>
      <c r="H2977" s="6" t="s">
        <v>12285</v>
      </c>
      <c r="I2977" s="7" t="s">
        <v>12246</v>
      </c>
      <c r="J2977" s="6" t="str">
        <f t="shared" si="25"/>
        <v>UNISEX LAYER EMBROIDERY HOODIE 
atb161u</v>
      </c>
      <c r="K2977" s="6">
        <v>0</v>
      </c>
      <c r="L2977" s="6">
        <v>0</v>
      </c>
      <c r="M2977" s="6">
        <v>0</v>
      </c>
      <c r="N2977" s="6" t="str">
        <f>""</f>
        <v/>
      </c>
      <c r="O2977" s="6">
        <v>23847</v>
      </c>
      <c r="P2977" s="6" t="s">
        <v>12286</v>
      </c>
      <c r="R2977" s="6" t="s">
        <v>1555</v>
      </c>
      <c r="S2977" s="7" t="s">
        <v>12287</v>
      </c>
      <c r="T2977" s="6">
        <v>0</v>
      </c>
      <c r="U2977" s="6">
        <v>0</v>
      </c>
      <c r="V2977" s="6">
        <v>0</v>
      </c>
      <c r="W2977" s="6">
        <v>0</v>
      </c>
      <c r="X2977" s="6" t="s">
        <v>169</v>
      </c>
      <c r="Z2977" s="6" t="s">
        <v>170</v>
      </c>
      <c r="AA2977" s="6" t="s">
        <v>171</v>
      </c>
      <c r="AB2977" s="6">
        <v>0</v>
      </c>
      <c r="AC2977" s="6" t="str">
        <f>""</f>
        <v/>
      </c>
      <c r="AS2977" s="6">
        <v>0</v>
      </c>
      <c r="AT2977" s="6">
        <v>0</v>
      </c>
    </row>
    <row r="2978" spans="2:46" ht="99">
      <c r="B2978" s="6" t="s">
        <v>108</v>
      </c>
      <c r="D2978" s="6" t="s">
        <v>8189</v>
      </c>
      <c r="F2978" s="6" t="s">
        <v>12288</v>
      </c>
      <c r="G2978" s="6" t="str">
        <f>"A17FWTBU161BKM"</f>
        <v>A17FWTBU161BKM</v>
      </c>
      <c r="H2978" s="6" t="s">
        <v>12289</v>
      </c>
      <c r="I2978" s="7" t="s">
        <v>12246</v>
      </c>
      <c r="J2978" s="6" t="str">
        <f t="shared" si="25"/>
        <v>UNISEX LAYER EMBROIDERY HOODIE 
atb161u</v>
      </c>
      <c r="K2978" s="6">
        <v>0</v>
      </c>
      <c r="L2978" s="6">
        <v>0</v>
      </c>
      <c r="M2978" s="6">
        <v>0</v>
      </c>
      <c r="N2978" s="6" t="str">
        <f>""</f>
        <v/>
      </c>
      <c r="O2978" s="6">
        <v>23846</v>
      </c>
      <c r="P2978" s="6" t="s">
        <v>12290</v>
      </c>
      <c r="R2978" s="6" t="s">
        <v>1551</v>
      </c>
      <c r="S2978" s="7" t="s">
        <v>12291</v>
      </c>
      <c r="T2978" s="6">
        <v>0</v>
      </c>
      <c r="U2978" s="6">
        <v>0</v>
      </c>
      <c r="V2978" s="6">
        <v>0</v>
      </c>
      <c r="W2978" s="6">
        <v>0</v>
      </c>
      <c r="X2978" s="6" t="s">
        <v>169</v>
      </c>
      <c r="Z2978" s="6" t="s">
        <v>170</v>
      </c>
      <c r="AA2978" s="6" t="s">
        <v>171</v>
      </c>
      <c r="AB2978" s="6">
        <v>0</v>
      </c>
      <c r="AC2978" s="6" t="str">
        <f>""</f>
        <v/>
      </c>
      <c r="AS2978" s="6">
        <v>0</v>
      </c>
      <c r="AT2978" s="6">
        <v>0</v>
      </c>
    </row>
    <row r="2979" spans="2:46" ht="99">
      <c r="B2979" s="6" t="s">
        <v>108</v>
      </c>
      <c r="D2979" s="6" t="s">
        <v>8189</v>
      </c>
      <c r="F2979" s="6" t="s">
        <v>12292</v>
      </c>
      <c r="G2979" s="6" t="str">
        <f>"A17FWTBU161BKL"</f>
        <v>A17FWTBU161BKL</v>
      </c>
      <c r="H2979" s="6" t="s">
        <v>12293</v>
      </c>
      <c r="I2979" s="7" t="s">
        <v>12246</v>
      </c>
      <c r="J2979" s="6" t="str">
        <f t="shared" si="25"/>
        <v>UNISEX LAYER EMBROIDERY HOODIE 
atb161u</v>
      </c>
      <c r="K2979" s="6">
        <v>0</v>
      </c>
      <c r="L2979" s="6">
        <v>0</v>
      </c>
      <c r="M2979" s="6">
        <v>0</v>
      </c>
      <c r="N2979" s="6" t="str">
        <f>""</f>
        <v/>
      </c>
      <c r="O2979" s="6">
        <v>23845</v>
      </c>
      <c r="P2979" s="6" t="s">
        <v>12294</v>
      </c>
      <c r="R2979" s="6" t="s">
        <v>1547</v>
      </c>
      <c r="S2979" s="7" t="s">
        <v>12295</v>
      </c>
      <c r="T2979" s="6">
        <v>0</v>
      </c>
      <c r="U2979" s="6">
        <v>0</v>
      </c>
      <c r="V2979" s="6">
        <v>0</v>
      </c>
      <c r="W2979" s="6">
        <v>0</v>
      </c>
      <c r="X2979" s="6" t="s">
        <v>169</v>
      </c>
      <c r="Z2979" s="6" t="s">
        <v>170</v>
      </c>
      <c r="AA2979" s="6" t="s">
        <v>171</v>
      </c>
      <c r="AB2979" s="6">
        <v>0</v>
      </c>
      <c r="AC2979" s="6" t="str">
        <f>""</f>
        <v/>
      </c>
      <c r="AS2979" s="6">
        <v>0</v>
      </c>
      <c r="AT2979" s="6">
        <v>0</v>
      </c>
    </row>
    <row r="2980" spans="2:46">
      <c r="B2980" s="6" t="s">
        <v>108</v>
      </c>
      <c r="D2980" s="6" t="s">
        <v>8189</v>
      </c>
      <c r="F2980" s="6" t="s">
        <v>12296</v>
      </c>
      <c r="G2980" s="6" t="str">
        <f>"A17FWTBU160PKS"</f>
        <v>A17FWTBU160PKS</v>
      </c>
      <c r="H2980" s="6" t="s">
        <v>12297</v>
      </c>
      <c r="I2980" s="6" t="s">
        <v>12298</v>
      </c>
      <c r="J2980" s="6" t="str">
        <f t="shared" ref="J2980:J2990" si="26">"UNISEX SIGNATURE EMBROIDERY SWEATSHIRT atb160u"</f>
        <v>UNISEX SIGNATURE EMBROIDERY SWEATSHIRT atb160u</v>
      </c>
      <c r="K2980" s="6">
        <v>0</v>
      </c>
      <c r="L2980" s="6">
        <v>0</v>
      </c>
      <c r="M2980" s="6">
        <v>0</v>
      </c>
      <c r="N2980" s="6" t="str">
        <f>""</f>
        <v/>
      </c>
      <c r="O2980" s="6">
        <v>23843</v>
      </c>
      <c r="P2980" s="6" t="s">
        <v>12299</v>
      </c>
      <c r="R2980" s="6" t="s">
        <v>11455</v>
      </c>
      <c r="S2980" s="6" t="s">
        <v>12300</v>
      </c>
      <c r="T2980" s="6">
        <v>0</v>
      </c>
      <c r="U2980" s="6">
        <v>0</v>
      </c>
      <c r="V2980" s="6">
        <v>0</v>
      </c>
      <c r="W2980" s="6">
        <v>0</v>
      </c>
      <c r="X2980" s="6" t="s">
        <v>169</v>
      </c>
      <c r="Z2980" s="6" t="s">
        <v>170</v>
      </c>
      <c r="AA2980" s="6" t="s">
        <v>171</v>
      </c>
      <c r="AB2980" s="6">
        <v>0</v>
      </c>
      <c r="AC2980" s="6" t="str">
        <f>""</f>
        <v/>
      </c>
      <c r="AS2980" s="6">
        <v>0</v>
      </c>
      <c r="AT2980" s="6">
        <v>0</v>
      </c>
    </row>
    <row r="2981" spans="2:46">
      <c r="B2981" s="6" t="s">
        <v>108</v>
      </c>
      <c r="D2981" s="6" t="s">
        <v>8189</v>
      </c>
      <c r="F2981" s="6" t="s">
        <v>12301</v>
      </c>
      <c r="G2981" s="6" t="str">
        <f>"A17FWTBU160PKM"</f>
        <v>A17FWTBU160PKM</v>
      </c>
      <c r="H2981" s="6" t="s">
        <v>12302</v>
      </c>
      <c r="I2981" s="6" t="s">
        <v>12298</v>
      </c>
      <c r="J2981" s="6" t="str">
        <f t="shared" si="26"/>
        <v>UNISEX SIGNATURE EMBROIDERY SWEATSHIRT atb160u</v>
      </c>
      <c r="K2981" s="6">
        <v>0</v>
      </c>
      <c r="L2981" s="6">
        <v>0</v>
      </c>
      <c r="M2981" s="6">
        <v>0</v>
      </c>
      <c r="N2981" s="6" t="str">
        <f>""</f>
        <v/>
      </c>
      <c r="O2981" s="6">
        <v>23842</v>
      </c>
      <c r="P2981" s="6" t="s">
        <v>12303</v>
      </c>
      <c r="R2981" s="6" t="s">
        <v>11451</v>
      </c>
      <c r="S2981" s="6" t="s">
        <v>12304</v>
      </c>
      <c r="T2981" s="6">
        <v>0</v>
      </c>
      <c r="U2981" s="6">
        <v>0</v>
      </c>
      <c r="V2981" s="6">
        <v>0</v>
      </c>
      <c r="W2981" s="6">
        <v>0</v>
      </c>
      <c r="X2981" s="6" t="s">
        <v>169</v>
      </c>
      <c r="Z2981" s="6" t="s">
        <v>170</v>
      </c>
      <c r="AA2981" s="6" t="s">
        <v>171</v>
      </c>
      <c r="AB2981" s="6">
        <v>0</v>
      </c>
      <c r="AC2981" s="6" t="str">
        <f>""</f>
        <v/>
      </c>
      <c r="AS2981" s="6">
        <v>0</v>
      </c>
      <c r="AT2981" s="6">
        <v>0</v>
      </c>
    </row>
    <row r="2982" spans="2:46">
      <c r="B2982" s="6" t="s">
        <v>108</v>
      </c>
      <c r="D2982" s="6" t="s">
        <v>8189</v>
      </c>
      <c r="F2982" s="6" t="s">
        <v>12305</v>
      </c>
      <c r="G2982" s="6" t="str">
        <f>"A17FWTBU160PKL"</f>
        <v>A17FWTBU160PKL</v>
      </c>
      <c r="H2982" s="6" t="s">
        <v>12306</v>
      </c>
      <c r="I2982" s="6" t="s">
        <v>12298</v>
      </c>
      <c r="J2982" s="6" t="str">
        <f t="shared" si="26"/>
        <v>UNISEX SIGNATURE EMBROIDERY SWEATSHIRT atb160u</v>
      </c>
      <c r="K2982" s="6">
        <v>0</v>
      </c>
      <c r="L2982" s="6">
        <v>0</v>
      </c>
      <c r="M2982" s="6">
        <v>0</v>
      </c>
      <c r="N2982" s="6" t="str">
        <f>""</f>
        <v/>
      </c>
      <c r="O2982" s="6">
        <v>23841</v>
      </c>
      <c r="P2982" s="6" t="s">
        <v>12307</v>
      </c>
      <c r="R2982" s="6" t="s">
        <v>11854</v>
      </c>
      <c r="S2982" s="6" t="s">
        <v>12308</v>
      </c>
      <c r="T2982" s="6">
        <v>0</v>
      </c>
      <c r="U2982" s="6">
        <v>0</v>
      </c>
      <c r="V2982" s="6">
        <v>0</v>
      </c>
      <c r="W2982" s="6">
        <v>0</v>
      </c>
      <c r="X2982" s="6" t="s">
        <v>169</v>
      </c>
      <c r="Z2982" s="6" t="s">
        <v>170</v>
      </c>
      <c r="AA2982" s="6" t="s">
        <v>171</v>
      </c>
      <c r="AB2982" s="6">
        <v>0</v>
      </c>
      <c r="AC2982" s="6" t="str">
        <f>""</f>
        <v/>
      </c>
      <c r="AS2982" s="6">
        <v>0</v>
      </c>
      <c r="AT2982" s="6">
        <v>0</v>
      </c>
    </row>
    <row r="2983" spans="2:46">
      <c r="B2983" s="6" t="s">
        <v>108</v>
      </c>
      <c r="D2983" s="6" t="s">
        <v>8189</v>
      </c>
      <c r="F2983" s="6" t="s">
        <v>12309</v>
      </c>
      <c r="G2983" s="6" t="str">
        <f>"A17FWTBW160ORS"</f>
        <v>A17FWTBW160ORS</v>
      </c>
      <c r="H2983" s="6" t="s">
        <v>12310</v>
      </c>
      <c r="I2983" s="6" t="s">
        <v>12298</v>
      </c>
      <c r="J2983" s="6" t="str">
        <f t="shared" si="26"/>
        <v>UNISEX SIGNATURE EMBROIDERY SWEATSHIRT atb160u</v>
      </c>
      <c r="K2983" s="6">
        <v>0</v>
      </c>
      <c r="L2983" s="6">
        <v>0</v>
      </c>
      <c r="M2983" s="6">
        <v>0</v>
      </c>
      <c r="N2983" s="6" t="str">
        <f>""</f>
        <v/>
      </c>
      <c r="O2983" s="6">
        <v>23840</v>
      </c>
      <c r="P2983" s="6" t="s">
        <v>12311</v>
      </c>
      <c r="R2983" s="6" t="s">
        <v>12312</v>
      </c>
      <c r="S2983" s="6" t="s">
        <v>12313</v>
      </c>
      <c r="T2983" s="6">
        <v>0</v>
      </c>
      <c r="U2983" s="6">
        <v>0</v>
      </c>
      <c r="V2983" s="6">
        <v>0</v>
      </c>
      <c r="W2983" s="6">
        <v>0</v>
      </c>
      <c r="X2983" s="6" t="s">
        <v>169</v>
      </c>
      <c r="Z2983" s="6" t="s">
        <v>170</v>
      </c>
      <c r="AA2983" s="6" t="s">
        <v>171</v>
      </c>
      <c r="AB2983" s="6">
        <v>0</v>
      </c>
      <c r="AC2983" s="6" t="str">
        <f>""</f>
        <v/>
      </c>
      <c r="AS2983" s="6">
        <v>0</v>
      </c>
      <c r="AT2983" s="6">
        <v>0</v>
      </c>
    </row>
    <row r="2984" spans="2:46">
      <c r="B2984" s="6" t="s">
        <v>108</v>
      </c>
      <c r="D2984" s="6" t="s">
        <v>8189</v>
      </c>
      <c r="F2984" s="6" t="s">
        <v>12314</v>
      </c>
      <c r="G2984" s="6" t="str">
        <f>"A17FWTBU160MRM"</f>
        <v>A17FWTBU160MRM</v>
      </c>
      <c r="H2984" s="6" t="s">
        <v>12315</v>
      </c>
      <c r="I2984" s="6" t="s">
        <v>12298</v>
      </c>
      <c r="J2984" s="6" t="str">
        <f t="shared" si="26"/>
        <v>UNISEX SIGNATURE EMBROIDERY SWEATSHIRT atb160u</v>
      </c>
      <c r="K2984" s="6">
        <v>0</v>
      </c>
      <c r="L2984" s="6">
        <v>0</v>
      </c>
      <c r="M2984" s="6">
        <v>0</v>
      </c>
      <c r="N2984" s="6" t="str">
        <f>""</f>
        <v/>
      </c>
      <c r="O2984" s="6">
        <v>23839</v>
      </c>
      <c r="P2984" s="6" t="s">
        <v>12316</v>
      </c>
      <c r="R2984" s="6" t="s">
        <v>12317</v>
      </c>
      <c r="S2984" s="6" t="s">
        <v>12318</v>
      </c>
      <c r="T2984" s="6">
        <v>0</v>
      </c>
      <c r="U2984" s="6">
        <v>0</v>
      </c>
      <c r="V2984" s="6">
        <v>0</v>
      </c>
      <c r="W2984" s="6">
        <v>0</v>
      </c>
      <c r="X2984" s="6" t="s">
        <v>169</v>
      </c>
      <c r="Z2984" s="6" t="s">
        <v>170</v>
      </c>
      <c r="AA2984" s="6" t="s">
        <v>171</v>
      </c>
      <c r="AB2984" s="6">
        <v>0</v>
      </c>
      <c r="AC2984" s="6" t="str">
        <f>""</f>
        <v/>
      </c>
      <c r="AS2984" s="6">
        <v>0</v>
      </c>
      <c r="AT2984" s="6">
        <v>0</v>
      </c>
    </row>
    <row r="2985" spans="2:46">
      <c r="B2985" s="6" t="s">
        <v>108</v>
      </c>
      <c r="D2985" s="6" t="s">
        <v>8189</v>
      </c>
      <c r="F2985" s="6" t="s">
        <v>12319</v>
      </c>
      <c r="G2985" s="6" t="str">
        <f>"A17FWTBU160MKS"</f>
        <v>A17FWTBU160MKS</v>
      </c>
      <c r="H2985" s="6" t="s">
        <v>12320</v>
      </c>
      <c r="I2985" s="6" t="s">
        <v>12298</v>
      </c>
      <c r="J2985" s="6" t="str">
        <f t="shared" si="26"/>
        <v>UNISEX SIGNATURE EMBROIDERY SWEATSHIRT atb160u</v>
      </c>
      <c r="K2985" s="6">
        <v>0</v>
      </c>
      <c r="L2985" s="6">
        <v>0</v>
      </c>
      <c r="M2985" s="6">
        <v>0</v>
      </c>
      <c r="N2985" s="6" t="str">
        <f>""</f>
        <v/>
      </c>
      <c r="O2985" s="6">
        <v>23838</v>
      </c>
      <c r="P2985" s="6" t="s">
        <v>12321</v>
      </c>
      <c r="R2985" s="6" t="s">
        <v>11892</v>
      </c>
      <c r="S2985" s="6" t="s">
        <v>12322</v>
      </c>
      <c r="T2985" s="6">
        <v>0</v>
      </c>
      <c r="U2985" s="6">
        <v>0</v>
      </c>
      <c r="V2985" s="6">
        <v>0</v>
      </c>
      <c r="W2985" s="6">
        <v>0</v>
      </c>
      <c r="X2985" s="6" t="s">
        <v>169</v>
      </c>
      <c r="Z2985" s="6" t="s">
        <v>170</v>
      </c>
      <c r="AA2985" s="6" t="s">
        <v>171</v>
      </c>
      <c r="AB2985" s="6">
        <v>0</v>
      </c>
      <c r="AC2985" s="6" t="str">
        <f>""</f>
        <v/>
      </c>
      <c r="AS2985" s="6">
        <v>0</v>
      </c>
      <c r="AT2985" s="6">
        <v>0</v>
      </c>
    </row>
    <row r="2986" spans="2:46">
      <c r="B2986" s="6" t="s">
        <v>108</v>
      </c>
      <c r="D2986" s="6" t="s">
        <v>8189</v>
      </c>
      <c r="F2986" s="6" t="s">
        <v>12323</v>
      </c>
      <c r="G2986" s="6" t="str">
        <f>"A17FWTBU160MKM"</f>
        <v>A17FWTBU160MKM</v>
      </c>
      <c r="H2986" s="6" t="s">
        <v>12324</v>
      </c>
      <c r="I2986" s="6" t="s">
        <v>12298</v>
      </c>
      <c r="J2986" s="6" t="str">
        <f t="shared" si="26"/>
        <v>UNISEX SIGNATURE EMBROIDERY SWEATSHIRT atb160u</v>
      </c>
      <c r="K2986" s="6">
        <v>0</v>
      </c>
      <c r="L2986" s="6">
        <v>0</v>
      </c>
      <c r="M2986" s="6">
        <v>0</v>
      </c>
      <c r="N2986" s="6" t="str">
        <f>""</f>
        <v/>
      </c>
      <c r="O2986" s="6">
        <v>23837</v>
      </c>
      <c r="P2986" s="6" t="s">
        <v>12325</v>
      </c>
      <c r="R2986" s="6" t="s">
        <v>12326</v>
      </c>
      <c r="S2986" s="6" t="s">
        <v>12327</v>
      </c>
      <c r="T2986" s="6">
        <v>0</v>
      </c>
      <c r="U2986" s="6">
        <v>0</v>
      </c>
      <c r="V2986" s="6">
        <v>0</v>
      </c>
      <c r="W2986" s="6">
        <v>0</v>
      </c>
      <c r="X2986" s="6" t="s">
        <v>169</v>
      </c>
      <c r="Z2986" s="6" t="s">
        <v>170</v>
      </c>
      <c r="AA2986" s="6" t="s">
        <v>171</v>
      </c>
      <c r="AB2986" s="6">
        <v>0</v>
      </c>
      <c r="AC2986" s="6" t="str">
        <f>""</f>
        <v/>
      </c>
      <c r="AS2986" s="6">
        <v>0</v>
      </c>
      <c r="AT2986" s="6">
        <v>0</v>
      </c>
    </row>
    <row r="2987" spans="2:46">
      <c r="B2987" s="6" t="s">
        <v>108</v>
      </c>
      <c r="D2987" s="6" t="s">
        <v>8189</v>
      </c>
      <c r="F2987" s="6" t="s">
        <v>12328</v>
      </c>
      <c r="G2987" s="6" t="str">
        <f>"A17FWTBU160MKL"</f>
        <v>A17FWTBU160MKL</v>
      </c>
      <c r="H2987" s="6" t="s">
        <v>12329</v>
      </c>
      <c r="I2987" s="6" t="s">
        <v>12298</v>
      </c>
      <c r="J2987" s="6" t="str">
        <f t="shared" si="26"/>
        <v>UNISEX SIGNATURE EMBROIDERY SWEATSHIRT atb160u</v>
      </c>
      <c r="K2987" s="6">
        <v>0</v>
      </c>
      <c r="L2987" s="6">
        <v>0</v>
      </c>
      <c r="M2987" s="6">
        <v>0</v>
      </c>
      <c r="N2987" s="6" t="str">
        <f>""</f>
        <v/>
      </c>
      <c r="O2987" s="6">
        <v>23836</v>
      </c>
      <c r="P2987" s="6" t="s">
        <v>12330</v>
      </c>
      <c r="R2987" s="6" t="s">
        <v>12331</v>
      </c>
      <c r="S2987" s="6" t="s">
        <v>12332</v>
      </c>
      <c r="T2987" s="6">
        <v>0</v>
      </c>
      <c r="U2987" s="6">
        <v>0</v>
      </c>
      <c r="V2987" s="6">
        <v>0</v>
      </c>
      <c r="W2987" s="6">
        <v>0</v>
      </c>
      <c r="X2987" s="6" t="s">
        <v>169</v>
      </c>
      <c r="Z2987" s="6" t="s">
        <v>170</v>
      </c>
      <c r="AA2987" s="6" t="s">
        <v>171</v>
      </c>
      <c r="AB2987" s="6">
        <v>0</v>
      </c>
      <c r="AC2987" s="6" t="str">
        <f>""</f>
        <v/>
      </c>
      <c r="AS2987" s="6">
        <v>0</v>
      </c>
      <c r="AT2987" s="6">
        <v>0</v>
      </c>
    </row>
    <row r="2988" spans="2:46">
      <c r="B2988" s="6" t="s">
        <v>108</v>
      </c>
      <c r="D2988" s="6" t="s">
        <v>8189</v>
      </c>
      <c r="F2988" s="6" t="s">
        <v>12333</v>
      </c>
      <c r="G2988" s="6" t="str">
        <f>"A17FWTBU160BKS"</f>
        <v>A17FWTBU160BKS</v>
      </c>
      <c r="H2988" s="6" t="s">
        <v>12334</v>
      </c>
      <c r="I2988" s="6" t="s">
        <v>12298</v>
      </c>
      <c r="J2988" s="6" t="str">
        <f t="shared" si="26"/>
        <v>UNISEX SIGNATURE EMBROIDERY SWEATSHIRT atb160u</v>
      </c>
      <c r="K2988" s="6">
        <v>0</v>
      </c>
      <c r="L2988" s="6">
        <v>0</v>
      </c>
      <c r="M2988" s="6">
        <v>0</v>
      </c>
      <c r="N2988" s="6" t="str">
        <f>""</f>
        <v/>
      </c>
      <c r="O2988" s="6">
        <v>23835</v>
      </c>
      <c r="P2988" s="6" t="s">
        <v>12335</v>
      </c>
      <c r="R2988" s="6" t="s">
        <v>1555</v>
      </c>
      <c r="S2988" s="6" t="s">
        <v>12336</v>
      </c>
      <c r="T2988" s="6">
        <v>0</v>
      </c>
      <c r="U2988" s="6">
        <v>0</v>
      </c>
      <c r="V2988" s="6">
        <v>0</v>
      </c>
      <c r="W2988" s="6">
        <v>0</v>
      </c>
      <c r="X2988" s="6" t="s">
        <v>169</v>
      </c>
      <c r="Z2988" s="6" t="s">
        <v>170</v>
      </c>
      <c r="AA2988" s="6" t="s">
        <v>171</v>
      </c>
      <c r="AB2988" s="6">
        <v>0</v>
      </c>
      <c r="AC2988" s="6" t="str">
        <f>""</f>
        <v/>
      </c>
      <c r="AS2988" s="6">
        <v>0</v>
      </c>
      <c r="AT2988" s="6">
        <v>0</v>
      </c>
    </row>
    <row r="2989" spans="2:46">
      <c r="B2989" s="6" t="s">
        <v>108</v>
      </c>
      <c r="D2989" s="6" t="s">
        <v>8189</v>
      </c>
      <c r="F2989" s="6" t="s">
        <v>12337</v>
      </c>
      <c r="G2989" s="6" t="str">
        <f>"A17FWTBU160BKM"</f>
        <v>A17FWTBU160BKM</v>
      </c>
      <c r="H2989" s="6" t="s">
        <v>12338</v>
      </c>
      <c r="I2989" s="6" t="s">
        <v>12298</v>
      </c>
      <c r="J2989" s="6" t="str">
        <f t="shared" si="26"/>
        <v>UNISEX SIGNATURE EMBROIDERY SWEATSHIRT atb160u</v>
      </c>
      <c r="K2989" s="6">
        <v>0</v>
      </c>
      <c r="L2989" s="6">
        <v>0</v>
      </c>
      <c r="M2989" s="6">
        <v>0</v>
      </c>
      <c r="N2989" s="6" t="str">
        <f>""</f>
        <v/>
      </c>
      <c r="O2989" s="6">
        <v>23834</v>
      </c>
      <c r="P2989" s="6" t="s">
        <v>12339</v>
      </c>
      <c r="R2989" s="6" t="s">
        <v>1551</v>
      </c>
      <c r="S2989" s="6" t="s">
        <v>12340</v>
      </c>
      <c r="T2989" s="6">
        <v>0</v>
      </c>
      <c r="U2989" s="6">
        <v>0</v>
      </c>
      <c r="V2989" s="6">
        <v>0</v>
      </c>
      <c r="W2989" s="6">
        <v>0</v>
      </c>
      <c r="X2989" s="6" t="s">
        <v>169</v>
      </c>
      <c r="Z2989" s="6" t="s">
        <v>170</v>
      </c>
      <c r="AA2989" s="6" t="s">
        <v>171</v>
      </c>
      <c r="AB2989" s="6">
        <v>0</v>
      </c>
      <c r="AC2989" s="6" t="str">
        <f>""</f>
        <v/>
      </c>
      <c r="AS2989" s="6">
        <v>0</v>
      </c>
      <c r="AT2989" s="6">
        <v>0</v>
      </c>
    </row>
    <row r="2990" spans="2:46">
      <c r="B2990" s="6" t="s">
        <v>108</v>
      </c>
      <c r="D2990" s="6" t="s">
        <v>8189</v>
      </c>
      <c r="F2990" s="6" t="s">
        <v>12341</v>
      </c>
      <c r="G2990" s="6" t="str">
        <f>"A17FWTBU160BKL"</f>
        <v>A17FWTBU160BKL</v>
      </c>
      <c r="H2990" s="6" t="s">
        <v>12342</v>
      </c>
      <c r="I2990" s="6" t="s">
        <v>12298</v>
      </c>
      <c r="J2990" s="6" t="str">
        <f t="shared" si="26"/>
        <v>UNISEX SIGNATURE EMBROIDERY SWEATSHIRT atb160u</v>
      </c>
      <c r="K2990" s="6">
        <v>0</v>
      </c>
      <c r="L2990" s="6">
        <v>0</v>
      </c>
      <c r="M2990" s="6">
        <v>0</v>
      </c>
      <c r="N2990" s="6" t="str">
        <f>""</f>
        <v/>
      </c>
      <c r="O2990" s="6">
        <v>23833</v>
      </c>
      <c r="P2990" s="6" t="s">
        <v>12343</v>
      </c>
      <c r="R2990" s="6" t="s">
        <v>1547</v>
      </c>
      <c r="S2990" s="6" t="s">
        <v>12344</v>
      </c>
      <c r="T2990" s="6">
        <v>0</v>
      </c>
      <c r="U2990" s="6">
        <v>0</v>
      </c>
      <c r="V2990" s="6">
        <v>0</v>
      </c>
      <c r="W2990" s="6">
        <v>0</v>
      </c>
      <c r="X2990" s="6" t="s">
        <v>169</v>
      </c>
      <c r="Z2990" s="6" t="s">
        <v>170</v>
      </c>
      <c r="AA2990" s="6" t="s">
        <v>171</v>
      </c>
      <c r="AB2990" s="6">
        <v>0</v>
      </c>
      <c r="AC2990" s="6" t="str">
        <f>""</f>
        <v/>
      </c>
      <c r="AS2990" s="6">
        <v>0</v>
      </c>
      <c r="AT2990" s="6">
        <v>0</v>
      </c>
    </row>
    <row r="2991" spans="2:46">
      <c r="B2991" s="6" t="s">
        <v>108</v>
      </c>
      <c r="D2991" s="6" t="s">
        <v>8189</v>
      </c>
      <c r="F2991" s="6" t="s">
        <v>12345</v>
      </c>
      <c r="G2991" s="6" t="str">
        <f>"A17FWTBW159BRFRE"</f>
        <v>A17FWTBW159BRFRE</v>
      </c>
      <c r="H2991" s="6" t="s">
        <v>12346</v>
      </c>
      <c r="I2991" s="6" t="s">
        <v>12347</v>
      </c>
      <c r="J2991" s="6" t="str">
        <f>"MONACO BELTED DRESS atb159w"</f>
        <v>MONACO BELTED DRESS atb159w</v>
      </c>
      <c r="K2991" s="6">
        <v>0</v>
      </c>
      <c r="L2991" s="6">
        <v>0</v>
      </c>
      <c r="M2991" s="6">
        <v>0</v>
      </c>
      <c r="N2991" s="6" t="str">
        <f>""</f>
        <v/>
      </c>
      <c r="O2991" s="6">
        <v>23831</v>
      </c>
      <c r="P2991" s="6" t="s">
        <v>12348</v>
      </c>
      <c r="R2991" s="6" t="s">
        <v>12349</v>
      </c>
      <c r="S2991" s="6" t="s">
        <v>12350</v>
      </c>
      <c r="T2991" s="6">
        <v>0</v>
      </c>
      <c r="U2991" s="6">
        <v>0</v>
      </c>
      <c r="V2991" s="6">
        <v>0</v>
      </c>
      <c r="W2991" s="6">
        <v>0</v>
      </c>
      <c r="X2991" s="6" t="s">
        <v>169</v>
      </c>
      <c r="Z2991" s="6" t="s">
        <v>170</v>
      </c>
      <c r="AA2991" s="6" t="s">
        <v>171</v>
      </c>
      <c r="AB2991" s="6">
        <v>0</v>
      </c>
      <c r="AC2991" s="6" t="str">
        <f>""</f>
        <v/>
      </c>
      <c r="AS2991" s="6">
        <v>0</v>
      </c>
      <c r="AT2991" s="6">
        <v>0</v>
      </c>
    </row>
    <row r="2992" spans="2:46" ht="82.5">
      <c r="B2992" s="6" t="s">
        <v>108</v>
      </c>
      <c r="D2992" s="6" t="s">
        <v>8189</v>
      </c>
      <c r="F2992" s="6" t="s">
        <v>12351</v>
      </c>
      <c r="G2992" s="6" t="str">
        <f>"A17FWTBW158WHS"</f>
        <v>A17FWTBW158WHS</v>
      </c>
      <c r="H2992" s="6" t="s">
        <v>12352</v>
      </c>
      <c r="I2992" s="7" t="s">
        <v>12353</v>
      </c>
      <c r="J2992" s="6" t="str">
        <f>"STRIPE PUFF SLEEVE BLOUSE 
atb158w"</f>
        <v>STRIPE PUFF SLEEVE BLOUSE 
atb158w</v>
      </c>
      <c r="K2992" s="6">
        <v>0</v>
      </c>
      <c r="L2992" s="6">
        <v>0</v>
      </c>
      <c r="M2992" s="6">
        <v>0</v>
      </c>
      <c r="N2992" s="6" t="str">
        <f>""</f>
        <v/>
      </c>
      <c r="O2992" s="6">
        <v>23829</v>
      </c>
      <c r="P2992" s="6" t="s">
        <v>12354</v>
      </c>
      <c r="R2992" s="6" t="s">
        <v>12129</v>
      </c>
      <c r="S2992" s="7" t="s">
        <v>12355</v>
      </c>
      <c r="T2992" s="6">
        <v>0</v>
      </c>
      <c r="U2992" s="6">
        <v>0</v>
      </c>
      <c r="V2992" s="6">
        <v>0</v>
      </c>
      <c r="W2992" s="6">
        <v>0</v>
      </c>
      <c r="X2992" s="6" t="s">
        <v>169</v>
      </c>
      <c r="Z2992" s="6" t="s">
        <v>170</v>
      </c>
      <c r="AA2992" s="6" t="s">
        <v>171</v>
      </c>
      <c r="AB2992" s="6">
        <v>0</v>
      </c>
      <c r="AC2992" s="6" t="str">
        <f>""</f>
        <v/>
      </c>
      <c r="AS2992" s="6">
        <v>0</v>
      </c>
      <c r="AT2992" s="6">
        <v>0</v>
      </c>
    </row>
    <row r="2993" spans="2:46" ht="82.5">
      <c r="B2993" s="6" t="s">
        <v>108</v>
      </c>
      <c r="D2993" s="6" t="s">
        <v>8189</v>
      </c>
      <c r="F2993" s="6" t="s">
        <v>12356</v>
      </c>
      <c r="G2993" s="6" t="str">
        <f>"A17FWTBW158BLS"</f>
        <v>A17FWTBW158BLS</v>
      </c>
      <c r="H2993" s="6" t="s">
        <v>12357</v>
      </c>
      <c r="I2993" s="7" t="s">
        <v>12353</v>
      </c>
      <c r="J2993" s="6" t="str">
        <f>"STRIPE PUFF SLEEVE BLOUSE 
atb158w"</f>
        <v>STRIPE PUFF SLEEVE BLOUSE 
atb158w</v>
      </c>
      <c r="K2993" s="6">
        <v>0</v>
      </c>
      <c r="L2993" s="6">
        <v>0</v>
      </c>
      <c r="M2993" s="6">
        <v>0</v>
      </c>
      <c r="N2993" s="6" t="str">
        <f>""</f>
        <v/>
      </c>
      <c r="O2993" s="6">
        <v>23828</v>
      </c>
      <c r="P2993" s="6" t="s">
        <v>12358</v>
      </c>
      <c r="R2993" s="6" t="s">
        <v>1537</v>
      </c>
      <c r="S2993" s="7" t="s">
        <v>12359</v>
      </c>
      <c r="T2993" s="6">
        <v>0</v>
      </c>
      <c r="U2993" s="6">
        <v>0</v>
      </c>
      <c r="V2993" s="6">
        <v>0</v>
      </c>
      <c r="W2993" s="6">
        <v>0</v>
      </c>
      <c r="X2993" s="6" t="s">
        <v>169</v>
      </c>
      <c r="Z2993" s="6" t="s">
        <v>170</v>
      </c>
      <c r="AA2993" s="6" t="s">
        <v>171</v>
      </c>
      <c r="AB2993" s="6">
        <v>0</v>
      </c>
      <c r="AC2993" s="6" t="str">
        <f>""</f>
        <v/>
      </c>
      <c r="AS2993" s="6">
        <v>0</v>
      </c>
      <c r="AT2993" s="6">
        <v>0</v>
      </c>
    </row>
    <row r="2994" spans="2:46" ht="99">
      <c r="B2994" s="6" t="s">
        <v>108</v>
      </c>
      <c r="D2994" s="6" t="s">
        <v>8189</v>
      </c>
      <c r="F2994" s="6" t="s">
        <v>12360</v>
      </c>
      <c r="G2994" s="6" t="str">
        <f>"A17FWTBU152RDS"</f>
        <v>A17FWTBU152RDS</v>
      </c>
      <c r="H2994" s="6" t="s">
        <v>12361</v>
      </c>
      <c r="I2994" s="7" t="s">
        <v>12362</v>
      </c>
      <c r="J2994" s="6" t="str">
        <f t="shared" ref="J2994:J3008" si="27">"UNISEX CREW NECK ALPACA SWEATER 
atb152u"</f>
        <v>UNISEX CREW NECK ALPACA SWEATER 
atb152u</v>
      </c>
      <c r="K2994" s="6">
        <v>0</v>
      </c>
      <c r="L2994" s="6">
        <v>0</v>
      </c>
      <c r="M2994" s="6">
        <v>0</v>
      </c>
      <c r="N2994" s="6" t="str">
        <f>""</f>
        <v/>
      </c>
      <c r="O2994" s="6">
        <v>23826</v>
      </c>
      <c r="P2994" s="6" t="s">
        <v>12363</v>
      </c>
      <c r="R2994" s="6" t="s">
        <v>11023</v>
      </c>
      <c r="S2994" s="7" t="s">
        <v>12364</v>
      </c>
      <c r="T2994" s="6">
        <v>0</v>
      </c>
      <c r="U2994" s="6">
        <v>0</v>
      </c>
      <c r="V2994" s="6">
        <v>0</v>
      </c>
      <c r="W2994" s="6">
        <v>0</v>
      </c>
      <c r="X2994" s="6" t="s">
        <v>169</v>
      </c>
      <c r="Z2994" s="6" t="s">
        <v>170</v>
      </c>
      <c r="AA2994" s="6" t="s">
        <v>171</v>
      </c>
      <c r="AB2994" s="6">
        <v>0</v>
      </c>
      <c r="AC2994" s="6" t="str">
        <f>""</f>
        <v/>
      </c>
      <c r="AS2994" s="6">
        <v>0</v>
      </c>
      <c r="AT2994" s="6">
        <v>0</v>
      </c>
    </row>
    <row r="2995" spans="2:46" ht="99">
      <c r="B2995" s="6" t="s">
        <v>108</v>
      </c>
      <c r="D2995" s="6" t="s">
        <v>8189</v>
      </c>
      <c r="F2995" s="6" t="s">
        <v>12365</v>
      </c>
      <c r="G2995" s="6" t="str">
        <f>"A17FWTBU152RDM"</f>
        <v>A17FWTBU152RDM</v>
      </c>
      <c r="H2995" s="6" t="s">
        <v>12366</v>
      </c>
      <c r="I2995" s="7" t="s">
        <v>12362</v>
      </c>
      <c r="J2995" s="6" t="str">
        <f t="shared" si="27"/>
        <v>UNISEX CREW NECK ALPACA SWEATER 
atb152u</v>
      </c>
      <c r="K2995" s="6">
        <v>0</v>
      </c>
      <c r="L2995" s="6">
        <v>0</v>
      </c>
      <c r="M2995" s="6">
        <v>0</v>
      </c>
      <c r="N2995" s="6" t="str">
        <f>""</f>
        <v/>
      </c>
      <c r="O2995" s="6">
        <v>23825</v>
      </c>
      <c r="P2995" s="6" t="s">
        <v>12367</v>
      </c>
      <c r="R2995" s="6" t="s">
        <v>11019</v>
      </c>
      <c r="S2995" s="7" t="s">
        <v>12368</v>
      </c>
      <c r="T2995" s="6">
        <v>0</v>
      </c>
      <c r="U2995" s="6">
        <v>0</v>
      </c>
      <c r="V2995" s="6">
        <v>0</v>
      </c>
      <c r="W2995" s="6">
        <v>0</v>
      </c>
      <c r="X2995" s="6" t="s">
        <v>169</v>
      </c>
      <c r="Z2995" s="6" t="s">
        <v>170</v>
      </c>
      <c r="AA2995" s="6" t="s">
        <v>171</v>
      </c>
      <c r="AB2995" s="6">
        <v>0</v>
      </c>
      <c r="AC2995" s="6" t="str">
        <f>""</f>
        <v/>
      </c>
      <c r="AS2995" s="6">
        <v>0</v>
      </c>
      <c r="AT2995" s="6">
        <v>0</v>
      </c>
    </row>
    <row r="2996" spans="2:46" ht="99">
      <c r="B2996" s="6" t="s">
        <v>108</v>
      </c>
      <c r="D2996" s="6" t="s">
        <v>8189</v>
      </c>
      <c r="F2996" s="6" t="s">
        <v>12369</v>
      </c>
      <c r="G2996" s="6" t="str">
        <f>"A17FWTBU152RDL"</f>
        <v>A17FWTBU152RDL</v>
      </c>
      <c r="I2996" s="7" t="s">
        <v>12362</v>
      </c>
      <c r="J2996" s="6" t="str">
        <f t="shared" si="27"/>
        <v>UNISEX CREW NECK ALPACA SWEATER 
atb152u</v>
      </c>
      <c r="K2996" s="6">
        <v>0</v>
      </c>
      <c r="L2996" s="6">
        <v>0</v>
      </c>
      <c r="M2996" s="6">
        <v>0</v>
      </c>
      <c r="N2996" s="6" t="str">
        <f>""</f>
        <v/>
      </c>
      <c r="O2996" s="6">
        <v>23824</v>
      </c>
      <c r="P2996" s="6" t="s">
        <v>12370</v>
      </c>
      <c r="R2996" s="6" t="s">
        <v>11034</v>
      </c>
      <c r="S2996" s="7" t="s">
        <v>12371</v>
      </c>
      <c r="T2996" s="6">
        <v>1</v>
      </c>
      <c r="U2996" s="6">
        <v>0</v>
      </c>
      <c r="V2996" s="6">
        <v>0</v>
      </c>
      <c r="W2996" s="6">
        <v>0</v>
      </c>
      <c r="X2996" s="6" t="s">
        <v>169</v>
      </c>
      <c r="Z2996" s="6" t="s">
        <v>170</v>
      </c>
      <c r="AA2996" s="6" t="s">
        <v>171</v>
      </c>
      <c r="AB2996" s="6">
        <v>0</v>
      </c>
      <c r="AC2996" s="6" t="str">
        <f>"KEY-018"</f>
        <v>KEY-018</v>
      </c>
      <c r="AQ2996" s="6" t="str">
        <f>""</f>
        <v/>
      </c>
      <c r="AR2996" s="6" t="s">
        <v>1567</v>
      </c>
      <c r="AS2996" s="6">
        <v>0</v>
      </c>
      <c r="AT2996" s="6">
        <v>1</v>
      </c>
    </row>
    <row r="2997" spans="2:46" ht="99">
      <c r="B2997" s="6" t="s">
        <v>108</v>
      </c>
      <c r="D2997" s="6" t="s">
        <v>8189</v>
      </c>
      <c r="F2997" s="6" t="s">
        <v>12372</v>
      </c>
      <c r="G2997" s="6" t="str">
        <f>"A17FWTBU152PKS"</f>
        <v>A17FWTBU152PKS</v>
      </c>
      <c r="H2997" s="6" t="s">
        <v>12373</v>
      </c>
      <c r="I2997" s="7" t="s">
        <v>12362</v>
      </c>
      <c r="J2997" s="6" t="str">
        <f t="shared" si="27"/>
        <v>UNISEX CREW NECK ALPACA SWEATER 
atb152u</v>
      </c>
      <c r="K2997" s="6">
        <v>0</v>
      </c>
      <c r="L2997" s="6">
        <v>0</v>
      </c>
      <c r="M2997" s="6">
        <v>0</v>
      </c>
      <c r="N2997" s="6" t="str">
        <f>""</f>
        <v/>
      </c>
      <c r="O2997" s="6">
        <v>23823</v>
      </c>
      <c r="P2997" s="6" t="s">
        <v>12374</v>
      </c>
      <c r="R2997" s="6" t="s">
        <v>11455</v>
      </c>
      <c r="S2997" s="7" t="s">
        <v>12375</v>
      </c>
      <c r="T2997" s="6">
        <v>0</v>
      </c>
      <c r="U2997" s="6">
        <v>0</v>
      </c>
      <c r="V2997" s="6">
        <v>0</v>
      </c>
      <c r="W2997" s="6">
        <v>0</v>
      </c>
      <c r="X2997" s="6" t="s">
        <v>169</v>
      </c>
      <c r="Z2997" s="6" t="s">
        <v>170</v>
      </c>
      <c r="AA2997" s="6" t="s">
        <v>171</v>
      </c>
      <c r="AB2997" s="6">
        <v>0</v>
      </c>
      <c r="AC2997" s="6" t="str">
        <f>""</f>
        <v/>
      </c>
      <c r="AS2997" s="6">
        <v>0</v>
      </c>
      <c r="AT2997" s="6">
        <v>0</v>
      </c>
    </row>
    <row r="2998" spans="2:46" ht="99">
      <c r="B2998" s="6" t="s">
        <v>108</v>
      </c>
      <c r="D2998" s="6" t="s">
        <v>8189</v>
      </c>
      <c r="F2998" s="6" t="s">
        <v>12376</v>
      </c>
      <c r="G2998" s="6" t="str">
        <f>"A17FWTBU152PKM"</f>
        <v>A17FWTBU152PKM</v>
      </c>
      <c r="H2998" s="6" t="s">
        <v>12377</v>
      </c>
      <c r="I2998" s="7" t="s">
        <v>12362</v>
      </c>
      <c r="J2998" s="6" t="str">
        <f t="shared" si="27"/>
        <v>UNISEX CREW NECK ALPACA SWEATER 
atb152u</v>
      </c>
      <c r="K2998" s="6">
        <v>0</v>
      </c>
      <c r="L2998" s="6">
        <v>0</v>
      </c>
      <c r="M2998" s="6">
        <v>0</v>
      </c>
      <c r="N2998" s="6" t="str">
        <f>""</f>
        <v/>
      </c>
      <c r="O2998" s="6">
        <v>23822</v>
      </c>
      <c r="P2998" s="6" t="s">
        <v>12378</v>
      </c>
      <c r="R2998" s="6" t="s">
        <v>11451</v>
      </c>
      <c r="S2998" s="7" t="s">
        <v>12379</v>
      </c>
      <c r="T2998" s="6">
        <v>0</v>
      </c>
      <c r="U2998" s="6">
        <v>0</v>
      </c>
      <c r="V2998" s="6">
        <v>0</v>
      </c>
      <c r="W2998" s="6">
        <v>0</v>
      </c>
      <c r="X2998" s="6" t="s">
        <v>169</v>
      </c>
      <c r="Z2998" s="6" t="s">
        <v>170</v>
      </c>
      <c r="AA2998" s="6" t="s">
        <v>171</v>
      </c>
      <c r="AB2998" s="6">
        <v>0</v>
      </c>
      <c r="AC2998" s="6" t="str">
        <f>""</f>
        <v/>
      </c>
      <c r="AS2998" s="6">
        <v>0</v>
      </c>
      <c r="AT2998" s="6">
        <v>0</v>
      </c>
    </row>
    <row r="2999" spans="2:46" ht="99">
      <c r="B2999" s="6" t="s">
        <v>108</v>
      </c>
      <c r="D2999" s="6" t="s">
        <v>8189</v>
      </c>
      <c r="F2999" s="6" t="s">
        <v>12380</v>
      </c>
      <c r="G2999" s="6" t="str">
        <f>"A17FWTBU152PKL"</f>
        <v>A17FWTBU152PKL</v>
      </c>
      <c r="H2999" s="6" t="s">
        <v>12381</v>
      </c>
      <c r="I2999" s="7" t="s">
        <v>12362</v>
      </c>
      <c r="J2999" s="6" t="str">
        <f t="shared" si="27"/>
        <v>UNISEX CREW NECK ALPACA SWEATER 
atb152u</v>
      </c>
      <c r="K2999" s="6">
        <v>0</v>
      </c>
      <c r="L2999" s="6">
        <v>0</v>
      </c>
      <c r="M2999" s="6">
        <v>0</v>
      </c>
      <c r="N2999" s="6" t="str">
        <f>""</f>
        <v/>
      </c>
      <c r="O2999" s="6">
        <v>23821</v>
      </c>
      <c r="P2999" s="6" t="s">
        <v>12382</v>
      </c>
      <c r="R2999" s="6" t="s">
        <v>11854</v>
      </c>
      <c r="S2999" s="7" t="s">
        <v>12383</v>
      </c>
      <c r="T2999" s="6">
        <v>0</v>
      </c>
      <c r="U2999" s="6">
        <v>0</v>
      </c>
      <c r="V2999" s="6">
        <v>0</v>
      </c>
      <c r="W2999" s="6">
        <v>0</v>
      </c>
      <c r="X2999" s="6" t="s">
        <v>169</v>
      </c>
      <c r="Z2999" s="6" t="s">
        <v>170</v>
      </c>
      <c r="AA2999" s="6" t="s">
        <v>171</v>
      </c>
      <c r="AB2999" s="6">
        <v>0</v>
      </c>
      <c r="AC2999" s="6" t="str">
        <f>""</f>
        <v/>
      </c>
      <c r="AS2999" s="6">
        <v>0</v>
      </c>
      <c r="AT2999" s="6">
        <v>0</v>
      </c>
    </row>
    <row r="3000" spans="2:46" ht="99">
      <c r="B3000" s="6" t="s">
        <v>108</v>
      </c>
      <c r="D3000" s="6" t="s">
        <v>8189</v>
      </c>
      <c r="F3000" s="6" t="s">
        <v>12384</v>
      </c>
      <c r="G3000" s="6" t="str">
        <f>"A17FWTBU152BLS"</f>
        <v>A17FWTBU152BLS</v>
      </c>
      <c r="H3000" s="6" t="s">
        <v>12385</v>
      </c>
      <c r="I3000" s="7" t="s">
        <v>12362</v>
      </c>
      <c r="J3000" s="6" t="str">
        <f t="shared" si="27"/>
        <v>UNISEX CREW NECK ALPACA SWEATER 
atb152u</v>
      </c>
      <c r="K3000" s="6">
        <v>0</v>
      </c>
      <c r="L3000" s="6">
        <v>0</v>
      </c>
      <c r="M3000" s="6">
        <v>0</v>
      </c>
      <c r="N3000" s="6" t="str">
        <f>""</f>
        <v/>
      </c>
      <c r="O3000" s="6">
        <v>23820</v>
      </c>
      <c r="P3000" s="6" t="s">
        <v>12386</v>
      </c>
      <c r="R3000" s="6" t="s">
        <v>1537</v>
      </c>
      <c r="S3000" s="7" t="s">
        <v>12387</v>
      </c>
      <c r="T3000" s="6">
        <v>0</v>
      </c>
      <c r="U3000" s="6">
        <v>0</v>
      </c>
      <c r="V3000" s="6">
        <v>0</v>
      </c>
      <c r="W3000" s="6">
        <v>0</v>
      </c>
      <c r="X3000" s="6" t="s">
        <v>169</v>
      </c>
      <c r="Z3000" s="6" t="s">
        <v>170</v>
      </c>
      <c r="AA3000" s="6" t="s">
        <v>171</v>
      </c>
      <c r="AB3000" s="6">
        <v>0</v>
      </c>
      <c r="AC3000" s="6" t="str">
        <f>""</f>
        <v/>
      </c>
      <c r="AS3000" s="6">
        <v>0</v>
      </c>
      <c r="AT3000" s="6">
        <v>0</v>
      </c>
    </row>
    <row r="3001" spans="2:46" ht="99">
      <c r="B3001" s="6" t="s">
        <v>108</v>
      </c>
      <c r="D3001" s="6" t="s">
        <v>8189</v>
      </c>
      <c r="F3001" s="6" t="s">
        <v>12388</v>
      </c>
      <c r="G3001" s="6" t="str">
        <f>"A17FWTBU152BLM"</f>
        <v>A17FWTBU152BLM</v>
      </c>
      <c r="H3001" s="6" t="s">
        <v>12389</v>
      </c>
      <c r="I3001" s="7" t="s">
        <v>12362</v>
      </c>
      <c r="J3001" s="6" t="str">
        <f t="shared" si="27"/>
        <v>UNISEX CREW NECK ALPACA SWEATER 
atb152u</v>
      </c>
      <c r="K3001" s="6">
        <v>0</v>
      </c>
      <c r="L3001" s="6">
        <v>0</v>
      </c>
      <c r="M3001" s="6">
        <v>0</v>
      </c>
      <c r="N3001" s="6" t="str">
        <f>""</f>
        <v/>
      </c>
      <c r="O3001" s="6">
        <v>23819</v>
      </c>
      <c r="P3001" s="6" t="s">
        <v>12390</v>
      </c>
      <c r="R3001" s="6" t="s">
        <v>1533</v>
      </c>
      <c r="S3001" s="7" t="s">
        <v>12391</v>
      </c>
      <c r="T3001" s="6">
        <v>0</v>
      </c>
      <c r="U3001" s="6">
        <v>0</v>
      </c>
      <c r="V3001" s="6">
        <v>0</v>
      </c>
      <c r="W3001" s="6">
        <v>0</v>
      </c>
      <c r="X3001" s="6" t="s">
        <v>169</v>
      </c>
      <c r="Z3001" s="6" t="s">
        <v>170</v>
      </c>
      <c r="AA3001" s="6" t="s">
        <v>171</v>
      </c>
      <c r="AB3001" s="6">
        <v>0</v>
      </c>
      <c r="AC3001" s="6" t="str">
        <f>""</f>
        <v/>
      </c>
      <c r="AS3001" s="6">
        <v>0</v>
      </c>
      <c r="AT3001" s="6">
        <v>0</v>
      </c>
    </row>
    <row r="3002" spans="2:46" ht="99">
      <c r="B3002" s="6" t="s">
        <v>108</v>
      </c>
      <c r="D3002" s="6" t="s">
        <v>8189</v>
      </c>
      <c r="F3002" s="6" t="s">
        <v>12392</v>
      </c>
      <c r="G3002" s="6" t="str">
        <f>"A17FWTBU152BLL"</f>
        <v>A17FWTBU152BLL</v>
      </c>
      <c r="H3002" s="6" t="s">
        <v>12393</v>
      </c>
      <c r="I3002" s="7" t="s">
        <v>12362</v>
      </c>
      <c r="J3002" s="6" t="str">
        <f t="shared" si="27"/>
        <v>UNISEX CREW NECK ALPACA SWEATER 
atb152u</v>
      </c>
      <c r="K3002" s="6">
        <v>0</v>
      </c>
      <c r="L3002" s="6">
        <v>0</v>
      </c>
      <c r="M3002" s="6">
        <v>0</v>
      </c>
      <c r="N3002" s="6" t="str">
        <f>""</f>
        <v/>
      </c>
      <c r="O3002" s="6">
        <v>23818</v>
      </c>
      <c r="P3002" s="6" t="s">
        <v>12394</v>
      </c>
      <c r="R3002" s="6" t="s">
        <v>1529</v>
      </c>
      <c r="S3002" s="7" t="s">
        <v>12395</v>
      </c>
      <c r="T3002" s="6">
        <v>0</v>
      </c>
      <c r="U3002" s="6">
        <v>0</v>
      </c>
      <c r="V3002" s="6">
        <v>0</v>
      </c>
      <c r="W3002" s="6">
        <v>0</v>
      </c>
      <c r="X3002" s="6" t="s">
        <v>169</v>
      </c>
      <c r="Z3002" s="6" t="s">
        <v>170</v>
      </c>
      <c r="AA3002" s="6" t="s">
        <v>171</v>
      </c>
      <c r="AB3002" s="6">
        <v>0</v>
      </c>
      <c r="AC3002" s="6" t="str">
        <f>""</f>
        <v/>
      </c>
      <c r="AS3002" s="6">
        <v>0</v>
      </c>
      <c r="AT3002" s="6">
        <v>0</v>
      </c>
    </row>
    <row r="3003" spans="2:46" ht="99">
      <c r="B3003" s="6" t="s">
        <v>108</v>
      </c>
      <c r="D3003" s="6" t="s">
        <v>8189</v>
      </c>
      <c r="F3003" s="6" t="s">
        <v>12396</v>
      </c>
      <c r="G3003" s="6" t="str">
        <f>"A17FWTBU152BKS"</f>
        <v>A17FWTBU152BKS</v>
      </c>
      <c r="H3003" s="6" t="s">
        <v>12397</v>
      </c>
      <c r="I3003" s="7" t="s">
        <v>12362</v>
      </c>
      <c r="J3003" s="6" t="str">
        <f t="shared" si="27"/>
        <v>UNISEX CREW NECK ALPACA SWEATER 
atb152u</v>
      </c>
      <c r="K3003" s="6">
        <v>0</v>
      </c>
      <c r="L3003" s="6">
        <v>0</v>
      </c>
      <c r="M3003" s="6">
        <v>0</v>
      </c>
      <c r="N3003" s="6" t="str">
        <f>""</f>
        <v/>
      </c>
      <c r="O3003" s="6">
        <v>23817</v>
      </c>
      <c r="P3003" s="6" t="s">
        <v>12398</v>
      </c>
      <c r="R3003" s="6" t="s">
        <v>1555</v>
      </c>
      <c r="S3003" s="7" t="s">
        <v>12399</v>
      </c>
      <c r="T3003" s="6">
        <v>0</v>
      </c>
      <c r="U3003" s="6">
        <v>0</v>
      </c>
      <c r="V3003" s="6">
        <v>0</v>
      </c>
      <c r="W3003" s="6">
        <v>0</v>
      </c>
      <c r="X3003" s="6" t="s">
        <v>169</v>
      </c>
      <c r="Z3003" s="6" t="s">
        <v>170</v>
      </c>
      <c r="AA3003" s="6" t="s">
        <v>171</v>
      </c>
      <c r="AB3003" s="6">
        <v>0</v>
      </c>
      <c r="AC3003" s="6" t="str">
        <f>""</f>
        <v/>
      </c>
      <c r="AS3003" s="6">
        <v>0</v>
      </c>
      <c r="AT3003" s="6">
        <v>0</v>
      </c>
    </row>
    <row r="3004" spans="2:46" ht="99">
      <c r="B3004" s="6" t="s">
        <v>108</v>
      </c>
      <c r="D3004" s="6" t="s">
        <v>8189</v>
      </c>
      <c r="F3004" s="6" t="s">
        <v>12400</v>
      </c>
      <c r="G3004" s="6" t="str">
        <f>"A17FWTBU152BKM"</f>
        <v>A17FWTBU152BKM</v>
      </c>
      <c r="H3004" s="6" t="s">
        <v>12401</v>
      </c>
      <c r="I3004" s="7" t="s">
        <v>12362</v>
      </c>
      <c r="J3004" s="6" t="str">
        <f t="shared" si="27"/>
        <v>UNISEX CREW NECK ALPACA SWEATER 
atb152u</v>
      </c>
      <c r="K3004" s="6">
        <v>0</v>
      </c>
      <c r="L3004" s="6">
        <v>0</v>
      </c>
      <c r="M3004" s="6">
        <v>0</v>
      </c>
      <c r="N3004" s="6" t="str">
        <f>""</f>
        <v/>
      </c>
      <c r="O3004" s="6">
        <v>23816</v>
      </c>
      <c r="P3004" s="6" t="s">
        <v>12402</v>
      </c>
      <c r="R3004" s="6" t="s">
        <v>1551</v>
      </c>
      <c r="S3004" s="7" t="s">
        <v>12403</v>
      </c>
      <c r="T3004" s="6">
        <v>0</v>
      </c>
      <c r="U3004" s="6">
        <v>0</v>
      </c>
      <c r="V3004" s="6">
        <v>0</v>
      </c>
      <c r="W3004" s="6">
        <v>0</v>
      </c>
      <c r="X3004" s="6" t="s">
        <v>169</v>
      </c>
      <c r="Z3004" s="6" t="s">
        <v>170</v>
      </c>
      <c r="AA3004" s="6" t="s">
        <v>171</v>
      </c>
      <c r="AB3004" s="6">
        <v>0</v>
      </c>
      <c r="AC3004" s="6" t="str">
        <f>""</f>
        <v/>
      </c>
      <c r="AS3004" s="6">
        <v>0</v>
      </c>
      <c r="AT3004" s="6">
        <v>0</v>
      </c>
    </row>
    <row r="3005" spans="2:46" ht="99">
      <c r="B3005" s="6" t="s">
        <v>108</v>
      </c>
      <c r="D3005" s="6" t="s">
        <v>8189</v>
      </c>
      <c r="F3005" s="6" t="s">
        <v>12404</v>
      </c>
      <c r="G3005" s="6" t="str">
        <f>"A17FWTBU152BKL"</f>
        <v>A17FWTBU152BKL</v>
      </c>
      <c r="H3005" s="6" t="s">
        <v>12405</v>
      </c>
      <c r="I3005" s="7" t="s">
        <v>12362</v>
      </c>
      <c r="J3005" s="6" t="str">
        <f t="shared" si="27"/>
        <v>UNISEX CREW NECK ALPACA SWEATER 
atb152u</v>
      </c>
      <c r="K3005" s="6">
        <v>0</v>
      </c>
      <c r="L3005" s="6">
        <v>0</v>
      </c>
      <c r="M3005" s="6">
        <v>0</v>
      </c>
      <c r="N3005" s="6" t="str">
        <f>""</f>
        <v/>
      </c>
      <c r="O3005" s="6">
        <v>23815</v>
      </c>
      <c r="P3005" s="6" t="s">
        <v>12406</v>
      </c>
      <c r="R3005" s="6" t="s">
        <v>1547</v>
      </c>
      <c r="S3005" s="7" t="s">
        <v>12407</v>
      </c>
      <c r="T3005" s="6">
        <v>0</v>
      </c>
      <c r="U3005" s="6">
        <v>0</v>
      </c>
      <c r="V3005" s="6">
        <v>0</v>
      </c>
      <c r="W3005" s="6">
        <v>0</v>
      </c>
      <c r="X3005" s="6" t="s">
        <v>169</v>
      </c>
      <c r="Z3005" s="6" t="s">
        <v>170</v>
      </c>
      <c r="AA3005" s="6" t="s">
        <v>171</v>
      </c>
      <c r="AB3005" s="6">
        <v>0</v>
      </c>
      <c r="AC3005" s="6" t="str">
        <f>""</f>
        <v/>
      </c>
      <c r="AS3005" s="6">
        <v>0</v>
      </c>
      <c r="AT3005" s="6">
        <v>0</v>
      </c>
    </row>
    <row r="3006" spans="2:46" ht="99">
      <c r="B3006" s="6" t="s">
        <v>108</v>
      </c>
      <c r="D3006" s="6" t="s">
        <v>8189</v>
      </c>
      <c r="F3006" s="6" t="s">
        <v>12408</v>
      </c>
      <c r="G3006" s="6" t="str">
        <f>"A17FWTBU152BES"</f>
        <v>A17FWTBU152BES</v>
      </c>
      <c r="H3006" s="6" t="s">
        <v>12409</v>
      </c>
      <c r="I3006" s="7" t="s">
        <v>12362</v>
      </c>
      <c r="J3006" s="6" t="str">
        <f t="shared" si="27"/>
        <v>UNISEX CREW NECK ALPACA SWEATER 
atb152u</v>
      </c>
      <c r="K3006" s="6">
        <v>0</v>
      </c>
      <c r="L3006" s="6">
        <v>0</v>
      </c>
      <c r="M3006" s="6">
        <v>0</v>
      </c>
      <c r="N3006" s="6" t="str">
        <f>""</f>
        <v/>
      </c>
      <c r="O3006" s="6">
        <v>23814</v>
      </c>
      <c r="P3006" s="6" t="s">
        <v>12410</v>
      </c>
      <c r="R3006" s="6" t="s">
        <v>11189</v>
      </c>
      <c r="S3006" s="7" t="s">
        <v>12411</v>
      </c>
      <c r="T3006" s="6">
        <v>0</v>
      </c>
      <c r="U3006" s="6">
        <v>0</v>
      </c>
      <c r="V3006" s="6">
        <v>0</v>
      </c>
      <c r="W3006" s="6">
        <v>0</v>
      </c>
      <c r="X3006" s="6" t="s">
        <v>169</v>
      </c>
      <c r="Z3006" s="6" t="s">
        <v>170</v>
      </c>
      <c r="AA3006" s="6" t="s">
        <v>171</v>
      </c>
      <c r="AB3006" s="6">
        <v>0</v>
      </c>
      <c r="AC3006" s="6" t="str">
        <f>""</f>
        <v/>
      </c>
      <c r="AS3006" s="6">
        <v>0</v>
      </c>
      <c r="AT3006" s="6">
        <v>0</v>
      </c>
    </row>
    <row r="3007" spans="2:46" ht="99">
      <c r="B3007" s="6" t="s">
        <v>108</v>
      </c>
      <c r="D3007" s="6" t="s">
        <v>8189</v>
      </c>
      <c r="F3007" s="6" t="s">
        <v>12412</v>
      </c>
      <c r="G3007" s="6" t="str">
        <f>"A17FWTBU152BEM"</f>
        <v>A17FWTBU152BEM</v>
      </c>
      <c r="H3007" s="6" t="s">
        <v>12413</v>
      </c>
      <c r="I3007" s="7" t="s">
        <v>12362</v>
      </c>
      <c r="J3007" s="6" t="str">
        <f t="shared" si="27"/>
        <v>UNISEX CREW NECK ALPACA SWEATER 
atb152u</v>
      </c>
      <c r="K3007" s="6">
        <v>0</v>
      </c>
      <c r="L3007" s="6">
        <v>0</v>
      </c>
      <c r="M3007" s="6">
        <v>0</v>
      </c>
      <c r="N3007" s="6" t="str">
        <f>""</f>
        <v/>
      </c>
      <c r="O3007" s="6">
        <v>23813</v>
      </c>
      <c r="P3007" s="6" t="s">
        <v>12414</v>
      </c>
      <c r="R3007" s="6" t="s">
        <v>9757</v>
      </c>
      <c r="S3007" s="7" t="s">
        <v>12415</v>
      </c>
      <c r="T3007" s="6">
        <v>0</v>
      </c>
      <c r="U3007" s="6">
        <v>0</v>
      </c>
      <c r="V3007" s="6">
        <v>0</v>
      </c>
      <c r="W3007" s="6">
        <v>0</v>
      </c>
      <c r="X3007" s="6" t="s">
        <v>169</v>
      </c>
      <c r="Z3007" s="6" t="s">
        <v>170</v>
      </c>
      <c r="AA3007" s="6" t="s">
        <v>171</v>
      </c>
      <c r="AB3007" s="6">
        <v>0</v>
      </c>
      <c r="AC3007" s="6" t="str">
        <f>""</f>
        <v/>
      </c>
      <c r="AS3007" s="6">
        <v>0</v>
      </c>
      <c r="AT3007" s="6">
        <v>0</v>
      </c>
    </row>
    <row r="3008" spans="2:46" ht="99">
      <c r="B3008" s="6" t="s">
        <v>108</v>
      </c>
      <c r="D3008" s="6" t="s">
        <v>8189</v>
      </c>
      <c r="F3008" s="6" t="s">
        <v>12416</v>
      </c>
      <c r="G3008" s="6" t="str">
        <f>"A17FWTBU152BEL"</f>
        <v>A17FWTBU152BEL</v>
      </c>
      <c r="H3008" s="6" t="s">
        <v>12417</v>
      </c>
      <c r="I3008" s="7" t="s">
        <v>12362</v>
      </c>
      <c r="J3008" s="6" t="str">
        <f t="shared" si="27"/>
        <v>UNISEX CREW NECK ALPACA SWEATER 
atb152u</v>
      </c>
      <c r="K3008" s="6">
        <v>0</v>
      </c>
      <c r="L3008" s="6">
        <v>0</v>
      </c>
      <c r="M3008" s="6">
        <v>0</v>
      </c>
      <c r="N3008" s="6" t="str">
        <f>""</f>
        <v/>
      </c>
      <c r="O3008" s="6">
        <v>23812</v>
      </c>
      <c r="P3008" s="6" t="s">
        <v>12418</v>
      </c>
      <c r="R3008" s="6" t="s">
        <v>9752</v>
      </c>
      <c r="S3008" s="7" t="s">
        <v>12419</v>
      </c>
      <c r="T3008" s="6">
        <v>0</v>
      </c>
      <c r="U3008" s="6">
        <v>0</v>
      </c>
      <c r="V3008" s="6">
        <v>0</v>
      </c>
      <c r="W3008" s="6">
        <v>0</v>
      </c>
      <c r="X3008" s="6" t="s">
        <v>169</v>
      </c>
      <c r="Z3008" s="6" t="s">
        <v>170</v>
      </c>
      <c r="AA3008" s="6" t="s">
        <v>171</v>
      </c>
      <c r="AB3008" s="6">
        <v>0</v>
      </c>
      <c r="AC3008" s="6" t="str">
        <f>""</f>
        <v/>
      </c>
      <c r="AS3008" s="6">
        <v>0</v>
      </c>
      <c r="AT3008" s="6">
        <v>0</v>
      </c>
    </row>
    <row r="3009" spans="2:46">
      <c r="B3009" s="6" t="s">
        <v>108</v>
      </c>
      <c r="D3009" s="6" t="s">
        <v>8189</v>
      </c>
      <c r="F3009" s="6" t="s">
        <v>12420</v>
      </c>
      <c r="G3009" s="6" t="str">
        <f>"A17S2TBW151YLS"</f>
        <v>A17S2TBW151YLS</v>
      </c>
      <c r="H3009" s="6" t="s">
        <v>12421</v>
      </c>
      <c r="I3009" s="6" t="s">
        <v>12422</v>
      </c>
      <c r="J3009" s="6" t="str">
        <f>"DESTROYED LETTERING T-SHIRT atb151w(Yellow)"</f>
        <v>DESTROYED LETTERING T-SHIRT atb151w(Yellow)</v>
      </c>
      <c r="K3009" s="6">
        <v>0</v>
      </c>
      <c r="L3009" s="6">
        <v>0</v>
      </c>
      <c r="M3009" s="6">
        <v>0</v>
      </c>
      <c r="N3009" s="6" t="str">
        <f>""</f>
        <v/>
      </c>
      <c r="O3009" s="6">
        <v>23810</v>
      </c>
      <c r="P3009" s="6" t="s">
        <v>12423</v>
      </c>
      <c r="R3009" s="6" t="s">
        <v>12104</v>
      </c>
      <c r="S3009" s="6" t="s">
        <v>12424</v>
      </c>
      <c r="T3009" s="6">
        <v>0</v>
      </c>
      <c r="U3009" s="6">
        <v>0</v>
      </c>
      <c r="V3009" s="6">
        <v>0</v>
      </c>
      <c r="W3009" s="6">
        <v>0</v>
      </c>
      <c r="X3009" s="6" t="s">
        <v>169</v>
      </c>
      <c r="Z3009" s="6" t="s">
        <v>170</v>
      </c>
      <c r="AA3009" s="6" t="s">
        <v>171</v>
      </c>
      <c r="AB3009" s="6">
        <v>0</v>
      </c>
      <c r="AC3009" s="6" t="str">
        <f>""</f>
        <v/>
      </c>
      <c r="AS3009" s="6">
        <v>0</v>
      </c>
      <c r="AT3009" s="6">
        <v>0</v>
      </c>
    </row>
    <row r="3010" spans="2:46" ht="115.5">
      <c r="B3010" s="6" t="s">
        <v>108</v>
      </c>
      <c r="D3010" s="6" t="s">
        <v>8189</v>
      </c>
      <c r="F3010" s="6" t="s">
        <v>12425</v>
      </c>
      <c r="G3010" s="6" t="str">
        <f>"A17S2TBW150RKS"</f>
        <v>A17S2TBW150RKS</v>
      </c>
      <c r="H3010" s="6" t="s">
        <v>12426</v>
      </c>
      <c r="I3010" s="7" t="s">
        <v>12427</v>
      </c>
      <c r="J3010" s="6" t="str">
        <f>"CARMA CONTRAST SWEATER atb150w
Red/Black"</f>
        <v>CARMA CONTRAST SWEATER atb150w
Red/Black</v>
      </c>
      <c r="K3010" s="6">
        <v>0</v>
      </c>
      <c r="L3010" s="6">
        <v>0</v>
      </c>
      <c r="M3010" s="6">
        <v>0</v>
      </c>
      <c r="N3010" s="6" t="str">
        <f>""</f>
        <v/>
      </c>
      <c r="O3010" s="6">
        <v>23808</v>
      </c>
      <c r="P3010" s="6" t="s">
        <v>12428</v>
      </c>
      <c r="R3010" s="6" t="s">
        <v>12429</v>
      </c>
      <c r="S3010" s="7" t="s">
        <v>12430</v>
      </c>
      <c r="T3010" s="6">
        <v>0</v>
      </c>
      <c r="U3010" s="6">
        <v>0</v>
      </c>
      <c r="V3010" s="6">
        <v>0</v>
      </c>
      <c r="W3010" s="6">
        <v>0</v>
      </c>
      <c r="X3010" s="6" t="s">
        <v>169</v>
      </c>
      <c r="Z3010" s="6" t="s">
        <v>170</v>
      </c>
      <c r="AA3010" s="6" t="s">
        <v>171</v>
      </c>
      <c r="AB3010" s="6">
        <v>0</v>
      </c>
      <c r="AC3010" s="6" t="str">
        <f>""</f>
        <v/>
      </c>
      <c r="AS3010" s="6">
        <v>0</v>
      </c>
      <c r="AT3010" s="6">
        <v>0</v>
      </c>
    </row>
    <row r="3011" spans="2:46" ht="115.5">
      <c r="B3011" s="6" t="s">
        <v>108</v>
      </c>
      <c r="D3011" s="6" t="s">
        <v>8189</v>
      </c>
      <c r="F3011" s="6" t="s">
        <v>12431</v>
      </c>
      <c r="G3011" s="6" t="str">
        <f>"A17S2TBW150RKM"</f>
        <v>A17S2TBW150RKM</v>
      </c>
      <c r="I3011" s="7" t="s">
        <v>12427</v>
      </c>
      <c r="J3011" s="6" t="str">
        <f>"CARMA CONTRAST SWEATER atb150w
Red/Black"</f>
        <v>CARMA CONTRAST SWEATER atb150w
Red/Black</v>
      </c>
      <c r="K3011" s="6">
        <v>0</v>
      </c>
      <c r="L3011" s="6">
        <v>0</v>
      </c>
      <c r="M3011" s="6">
        <v>0</v>
      </c>
      <c r="N3011" s="6" t="str">
        <f>""</f>
        <v/>
      </c>
      <c r="O3011" s="6">
        <v>23807</v>
      </c>
      <c r="P3011" s="6" t="s">
        <v>12432</v>
      </c>
      <c r="R3011" s="6" t="s">
        <v>12433</v>
      </c>
      <c r="S3011" s="7" t="s">
        <v>12434</v>
      </c>
      <c r="T3011" s="6">
        <v>1</v>
      </c>
      <c r="U3011" s="6">
        <v>0</v>
      </c>
      <c r="V3011" s="6">
        <v>0</v>
      </c>
      <c r="W3011" s="6">
        <v>0</v>
      </c>
      <c r="X3011" s="6" t="s">
        <v>169</v>
      </c>
      <c r="Z3011" s="6" t="s">
        <v>170</v>
      </c>
      <c r="AA3011" s="6" t="s">
        <v>171</v>
      </c>
      <c r="AB3011" s="6">
        <v>0</v>
      </c>
      <c r="AC3011" s="6" t="str">
        <f>"KEY-023"</f>
        <v>KEY-023</v>
      </c>
      <c r="AQ3011" s="6" t="str">
        <f>""</f>
        <v/>
      </c>
      <c r="AR3011" s="6" t="s">
        <v>1567</v>
      </c>
      <c r="AS3011" s="6">
        <v>0</v>
      </c>
      <c r="AT3011" s="6">
        <v>1</v>
      </c>
    </row>
    <row r="3012" spans="2:46">
      <c r="B3012" s="6" t="s">
        <v>108</v>
      </c>
      <c r="D3012" s="6" t="s">
        <v>8189</v>
      </c>
      <c r="F3012" s="6" t="s">
        <v>12435</v>
      </c>
      <c r="G3012" s="6" t="str">
        <f>"A17S2TBU149BKL"</f>
        <v>A17S2TBU149BKL</v>
      </c>
      <c r="I3012" s="6" t="s">
        <v>82</v>
      </c>
      <c r="J3012" s="6" t="str">
        <f>"UNISEX INSTANT CRUSH HOODIE atb149u(Black)"</f>
        <v>UNISEX INSTANT CRUSH HOODIE atb149u(Black)</v>
      </c>
      <c r="K3012" s="6">
        <v>0</v>
      </c>
      <c r="L3012" s="6">
        <v>0</v>
      </c>
      <c r="M3012" s="6">
        <v>0</v>
      </c>
      <c r="N3012" s="6" t="str">
        <f>""</f>
        <v/>
      </c>
      <c r="O3012" s="6">
        <v>23805</v>
      </c>
      <c r="P3012" s="6" t="s">
        <v>81</v>
      </c>
      <c r="R3012" s="6" t="s">
        <v>1547</v>
      </c>
      <c r="S3012" s="6" t="s">
        <v>12436</v>
      </c>
      <c r="T3012" s="6">
        <v>0</v>
      </c>
      <c r="U3012" s="6">
        <v>0</v>
      </c>
      <c r="V3012" s="6">
        <v>0</v>
      </c>
      <c r="W3012" s="6">
        <v>0</v>
      </c>
      <c r="X3012" s="6" t="s">
        <v>169</v>
      </c>
      <c r="Z3012" s="6" t="s">
        <v>170</v>
      </c>
      <c r="AA3012" s="6" t="s">
        <v>171</v>
      </c>
      <c r="AB3012" s="6">
        <v>0</v>
      </c>
      <c r="AC3012" s="6" t="str">
        <f>"KEY-020"</f>
        <v>KEY-020</v>
      </c>
      <c r="AQ3012" s="6" t="str">
        <f>""</f>
        <v/>
      </c>
      <c r="AR3012" s="6" t="s">
        <v>1472</v>
      </c>
      <c r="AS3012" s="6">
        <v>0</v>
      </c>
      <c r="AT3012" s="6">
        <v>0</v>
      </c>
    </row>
    <row r="3013" spans="2:46" ht="132">
      <c r="B3013" s="6" t="s">
        <v>108</v>
      </c>
      <c r="D3013" s="6" t="s">
        <v>8189</v>
      </c>
      <c r="F3013" s="6" t="s">
        <v>12437</v>
      </c>
      <c r="G3013" s="6" t="str">
        <f>"A17S2TBU148PUS"</f>
        <v>A17S2TBU148PUS</v>
      </c>
      <c r="H3013" s="6" t="s">
        <v>12438</v>
      </c>
      <c r="I3013" s="7" t="s">
        <v>44</v>
      </c>
      <c r="J3013" s="6" t="str">
        <f>"UNISEX OVERSIZED DAMBORU T-SHIRT atb148u
Purple"</f>
        <v>UNISEX OVERSIZED DAMBORU T-SHIRT atb148u
Purple</v>
      </c>
      <c r="K3013" s="6">
        <v>0</v>
      </c>
      <c r="L3013" s="6">
        <v>0</v>
      </c>
      <c r="M3013" s="6">
        <v>0</v>
      </c>
      <c r="N3013" s="6" t="str">
        <f>""</f>
        <v/>
      </c>
      <c r="O3013" s="6">
        <v>23803</v>
      </c>
      <c r="P3013" s="6" t="s">
        <v>12439</v>
      </c>
      <c r="R3013" s="6" t="s">
        <v>12440</v>
      </c>
      <c r="S3013" s="7" t="s">
        <v>12441</v>
      </c>
      <c r="T3013" s="6">
        <v>0</v>
      </c>
      <c r="U3013" s="6">
        <v>0</v>
      </c>
      <c r="V3013" s="6">
        <v>0</v>
      </c>
      <c r="W3013" s="6">
        <v>0</v>
      </c>
      <c r="X3013" s="6" t="s">
        <v>169</v>
      </c>
      <c r="Z3013" s="6" t="s">
        <v>170</v>
      </c>
      <c r="AA3013" s="6" t="s">
        <v>171</v>
      </c>
      <c r="AB3013" s="6">
        <v>0</v>
      </c>
      <c r="AC3013" s="6" t="str">
        <f>""</f>
        <v/>
      </c>
      <c r="AS3013" s="6">
        <v>0</v>
      </c>
      <c r="AT3013" s="6">
        <v>0</v>
      </c>
    </row>
    <row r="3014" spans="2:46" ht="132">
      <c r="B3014" s="6" t="s">
        <v>108</v>
      </c>
      <c r="D3014" s="6" t="s">
        <v>8189</v>
      </c>
      <c r="F3014" s="6" t="s">
        <v>12442</v>
      </c>
      <c r="G3014" s="6" t="str">
        <f>"A17S2TBU148PUM"</f>
        <v>A17S2TBU148PUM</v>
      </c>
      <c r="I3014" s="7" t="s">
        <v>44</v>
      </c>
      <c r="J3014" s="6" t="str">
        <f>"UNISEX OVERSIZED DAMBORU T-SHIRT atb148u
Purple"</f>
        <v>UNISEX OVERSIZED DAMBORU T-SHIRT atb148u
Purple</v>
      </c>
      <c r="K3014" s="6">
        <v>0</v>
      </c>
      <c r="L3014" s="6">
        <v>0</v>
      </c>
      <c r="M3014" s="6">
        <v>0</v>
      </c>
      <c r="N3014" s="6" t="str">
        <f>""</f>
        <v/>
      </c>
      <c r="O3014" s="6">
        <v>23802</v>
      </c>
      <c r="P3014" s="6" t="s">
        <v>12443</v>
      </c>
      <c r="R3014" s="6" t="s">
        <v>12444</v>
      </c>
      <c r="S3014" s="7" t="s">
        <v>12445</v>
      </c>
      <c r="T3014" s="6">
        <v>0</v>
      </c>
      <c r="U3014" s="6">
        <v>0</v>
      </c>
      <c r="V3014" s="6">
        <v>0</v>
      </c>
      <c r="W3014" s="6">
        <v>0</v>
      </c>
      <c r="X3014" s="6" t="s">
        <v>169</v>
      </c>
      <c r="Z3014" s="6" t="s">
        <v>170</v>
      </c>
      <c r="AA3014" s="6" t="s">
        <v>171</v>
      </c>
      <c r="AB3014" s="6">
        <v>0</v>
      </c>
      <c r="AC3014" s="6" t="str">
        <f>"KEY-030"</f>
        <v>KEY-030</v>
      </c>
      <c r="AQ3014" s="6" t="str">
        <f>""</f>
        <v/>
      </c>
      <c r="AR3014" s="6" t="s">
        <v>1472</v>
      </c>
      <c r="AS3014" s="6">
        <v>0</v>
      </c>
      <c r="AT3014" s="6">
        <v>0</v>
      </c>
    </row>
    <row r="3015" spans="2:46" ht="99">
      <c r="B3015" s="6" t="s">
        <v>108</v>
      </c>
      <c r="D3015" s="6" t="s">
        <v>8189</v>
      </c>
      <c r="F3015" s="6" t="s">
        <v>12446</v>
      </c>
      <c r="G3015" s="6" t="str">
        <f>"A17S2TBU147WHS"</f>
        <v>A17S2TBU147WHS</v>
      </c>
      <c r="H3015" s="6" t="s">
        <v>12447</v>
      </c>
      <c r="I3015" s="7" t="s">
        <v>12448</v>
      </c>
      <c r="J3015" s="6" t="str">
        <f>"UNISEX PACIFIC SURFER T-SHIRT atb147u
White"</f>
        <v>UNISEX PACIFIC SURFER T-SHIRT atb147u
White</v>
      </c>
      <c r="K3015" s="6">
        <v>0</v>
      </c>
      <c r="L3015" s="6">
        <v>0</v>
      </c>
      <c r="M3015" s="6">
        <v>0</v>
      </c>
      <c r="N3015" s="6" t="str">
        <f>""</f>
        <v/>
      </c>
      <c r="O3015" s="6">
        <v>23800</v>
      </c>
      <c r="P3015" s="6" t="s">
        <v>12449</v>
      </c>
      <c r="R3015" s="6" t="s">
        <v>12129</v>
      </c>
      <c r="S3015" s="7" t="s">
        <v>12450</v>
      </c>
      <c r="T3015" s="6">
        <v>0</v>
      </c>
      <c r="U3015" s="6">
        <v>0</v>
      </c>
      <c r="V3015" s="6">
        <v>0</v>
      </c>
      <c r="W3015" s="6">
        <v>0</v>
      </c>
      <c r="X3015" s="6" t="s">
        <v>169</v>
      </c>
      <c r="Z3015" s="6" t="s">
        <v>170</v>
      </c>
      <c r="AA3015" s="6" t="s">
        <v>171</v>
      </c>
      <c r="AB3015" s="6">
        <v>0</v>
      </c>
      <c r="AC3015" s="6" t="str">
        <f>""</f>
        <v/>
      </c>
      <c r="AS3015" s="6">
        <v>0</v>
      </c>
      <c r="AT3015" s="6">
        <v>0</v>
      </c>
    </row>
    <row r="3016" spans="2:46" ht="99">
      <c r="B3016" s="6" t="s">
        <v>108</v>
      </c>
      <c r="D3016" s="6" t="s">
        <v>8189</v>
      </c>
      <c r="F3016" s="6" t="s">
        <v>12451</v>
      </c>
      <c r="G3016" s="6" t="str">
        <f>"A17S2TBU147WHM"</f>
        <v>A17S2TBU147WHM</v>
      </c>
      <c r="H3016" s="6" t="s">
        <v>12452</v>
      </c>
      <c r="I3016" s="7" t="s">
        <v>12448</v>
      </c>
      <c r="J3016" s="6" t="str">
        <f>"UNISEX PACIFIC SURFER T-SHIRT atb147u
White"</f>
        <v>UNISEX PACIFIC SURFER T-SHIRT atb147u
White</v>
      </c>
      <c r="K3016" s="6">
        <v>0</v>
      </c>
      <c r="L3016" s="6">
        <v>0</v>
      </c>
      <c r="M3016" s="6">
        <v>0</v>
      </c>
      <c r="N3016" s="6" t="str">
        <f>""</f>
        <v/>
      </c>
      <c r="O3016" s="6">
        <v>23799</v>
      </c>
      <c r="P3016" s="6" t="s">
        <v>12453</v>
      </c>
      <c r="R3016" s="6" t="s">
        <v>12134</v>
      </c>
      <c r="S3016" s="7" t="s">
        <v>12454</v>
      </c>
      <c r="T3016" s="6">
        <v>0</v>
      </c>
      <c r="U3016" s="6">
        <v>0</v>
      </c>
      <c r="V3016" s="6">
        <v>0</v>
      </c>
      <c r="W3016" s="6">
        <v>0</v>
      </c>
      <c r="X3016" s="6" t="s">
        <v>169</v>
      </c>
      <c r="Z3016" s="6" t="s">
        <v>170</v>
      </c>
      <c r="AA3016" s="6" t="s">
        <v>171</v>
      </c>
      <c r="AB3016" s="6">
        <v>0</v>
      </c>
      <c r="AC3016" s="6" t="str">
        <f>""</f>
        <v/>
      </c>
      <c r="AS3016" s="6">
        <v>0</v>
      </c>
      <c r="AT3016" s="6">
        <v>0</v>
      </c>
    </row>
    <row r="3017" spans="2:46" ht="99">
      <c r="B3017" s="6" t="s">
        <v>108</v>
      </c>
      <c r="D3017" s="6" t="s">
        <v>8189</v>
      </c>
      <c r="F3017" s="6" t="s">
        <v>12455</v>
      </c>
      <c r="G3017" s="6" t="str">
        <f>"A17S2TBU147MLS"</f>
        <v>A17S2TBU147MLS</v>
      </c>
      <c r="H3017" s="6" t="s">
        <v>12456</v>
      </c>
      <c r="I3017" s="7" t="s">
        <v>12457</v>
      </c>
      <c r="J3017" s="6" t="str">
        <f>"UNISEX PACIFIC SURFER T-SHIRT atb147u
Mint"</f>
        <v>UNISEX PACIFIC SURFER T-SHIRT atb147u
Mint</v>
      </c>
      <c r="K3017" s="6">
        <v>0</v>
      </c>
      <c r="L3017" s="6">
        <v>0</v>
      </c>
      <c r="M3017" s="6">
        <v>0</v>
      </c>
      <c r="N3017" s="6" t="str">
        <f>""</f>
        <v/>
      </c>
      <c r="O3017" s="6">
        <v>23797</v>
      </c>
      <c r="P3017" s="6" t="s">
        <v>12458</v>
      </c>
      <c r="R3017" s="6" t="s">
        <v>12459</v>
      </c>
      <c r="S3017" s="7" t="s">
        <v>12460</v>
      </c>
      <c r="T3017" s="6">
        <v>0</v>
      </c>
      <c r="U3017" s="6">
        <v>0</v>
      </c>
      <c r="V3017" s="6">
        <v>0</v>
      </c>
      <c r="W3017" s="6">
        <v>0</v>
      </c>
      <c r="X3017" s="6" t="s">
        <v>169</v>
      </c>
      <c r="Z3017" s="6" t="s">
        <v>170</v>
      </c>
      <c r="AA3017" s="6" t="s">
        <v>171</v>
      </c>
      <c r="AB3017" s="6">
        <v>0</v>
      </c>
      <c r="AC3017" s="6" t="str">
        <f>""</f>
        <v/>
      </c>
      <c r="AS3017" s="6">
        <v>0</v>
      </c>
      <c r="AT3017" s="6">
        <v>0</v>
      </c>
    </row>
    <row r="3018" spans="2:46" ht="99">
      <c r="B3018" s="6" t="s">
        <v>108</v>
      </c>
      <c r="D3018" s="6" t="s">
        <v>8189</v>
      </c>
      <c r="F3018" s="6" t="s">
        <v>12461</v>
      </c>
      <c r="G3018" s="6" t="str">
        <f>"A17S2TBU147MLM"</f>
        <v>A17S2TBU147MLM</v>
      </c>
      <c r="H3018" s="6" t="s">
        <v>12462</v>
      </c>
      <c r="I3018" s="7" t="s">
        <v>12457</v>
      </c>
      <c r="J3018" s="6" t="str">
        <f>"UNISEX PACIFIC SURFER T-SHIRT atb147u
Mint"</f>
        <v>UNISEX PACIFIC SURFER T-SHIRT atb147u
Mint</v>
      </c>
      <c r="K3018" s="6">
        <v>0</v>
      </c>
      <c r="L3018" s="6">
        <v>0</v>
      </c>
      <c r="M3018" s="6">
        <v>0</v>
      </c>
      <c r="N3018" s="6" t="str">
        <f>""</f>
        <v/>
      </c>
      <c r="O3018" s="6">
        <v>23796</v>
      </c>
      <c r="P3018" s="6" t="s">
        <v>12463</v>
      </c>
      <c r="R3018" s="6" t="s">
        <v>12464</v>
      </c>
      <c r="S3018" s="7" t="s">
        <v>12465</v>
      </c>
      <c r="T3018" s="6">
        <v>0</v>
      </c>
      <c r="U3018" s="6">
        <v>0</v>
      </c>
      <c r="V3018" s="6">
        <v>0</v>
      </c>
      <c r="W3018" s="6">
        <v>0</v>
      </c>
      <c r="X3018" s="6" t="s">
        <v>169</v>
      </c>
      <c r="Z3018" s="6" t="s">
        <v>170</v>
      </c>
      <c r="AA3018" s="6" t="s">
        <v>171</v>
      </c>
      <c r="AB3018" s="6">
        <v>0</v>
      </c>
      <c r="AC3018" s="6" t="str">
        <f>""</f>
        <v/>
      </c>
      <c r="AS3018" s="6">
        <v>0</v>
      </c>
      <c r="AT3018" s="6">
        <v>0</v>
      </c>
    </row>
    <row r="3019" spans="2:46" ht="99">
      <c r="B3019" s="6" t="s">
        <v>108</v>
      </c>
      <c r="D3019" s="6" t="s">
        <v>8189</v>
      </c>
      <c r="F3019" s="6" t="s">
        <v>12466</v>
      </c>
      <c r="G3019" s="6" t="str">
        <f>"A17S2TBU147BKS"</f>
        <v>A17S2TBU147BKS</v>
      </c>
      <c r="H3019" s="6" t="s">
        <v>12467</v>
      </c>
      <c r="I3019" s="7" t="s">
        <v>12468</v>
      </c>
      <c r="J3019" s="6" t="str">
        <f>"UNISEX PACIFIC SURFER T-SHIRT atb147u
Black"</f>
        <v>UNISEX PACIFIC SURFER T-SHIRT atb147u
Black</v>
      </c>
      <c r="K3019" s="6">
        <v>0</v>
      </c>
      <c r="L3019" s="6">
        <v>0</v>
      </c>
      <c r="M3019" s="6">
        <v>0</v>
      </c>
      <c r="N3019" s="6" t="str">
        <f>""</f>
        <v/>
      </c>
      <c r="O3019" s="6">
        <v>23794</v>
      </c>
      <c r="P3019" s="6" t="s">
        <v>12469</v>
      </c>
      <c r="R3019" s="6" t="s">
        <v>1555</v>
      </c>
      <c r="S3019" s="7" t="s">
        <v>12470</v>
      </c>
      <c r="T3019" s="6">
        <v>0</v>
      </c>
      <c r="U3019" s="6">
        <v>0</v>
      </c>
      <c r="V3019" s="6">
        <v>0</v>
      </c>
      <c r="W3019" s="6">
        <v>0</v>
      </c>
      <c r="X3019" s="6" t="s">
        <v>169</v>
      </c>
      <c r="Z3019" s="6" t="s">
        <v>170</v>
      </c>
      <c r="AA3019" s="6" t="s">
        <v>171</v>
      </c>
      <c r="AB3019" s="6">
        <v>0</v>
      </c>
      <c r="AC3019" s="6" t="str">
        <f>""</f>
        <v/>
      </c>
      <c r="AS3019" s="6">
        <v>0</v>
      </c>
      <c r="AT3019" s="6">
        <v>0</v>
      </c>
    </row>
    <row r="3020" spans="2:46" ht="99">
      <c r="B3020" s="6" t="s">
        <v>108</v>
      </c>
      <c r="D3020" s="6" t="s">
        <v>8189</v>
      </c>
      <c r="F3020" s="6" t="s">
        <v>12471</v>
      </c>
      <c r="G3020" s="6" t="str">
        <f>"A17S2TBU147BKM"</f>
        <v>A17S2TBU147BKM</v>
      </c>
      <c r="H3020" s="6" t="s">
        <v>12472</v>
      </c>
      <c r="I3020" s="7" t="s">
        <v>12468</v>
      </c>
      <c r="J3020" s="6" t="str">
        <f>"UNISEX PACIFIC SURFER T-SHIRT atb147u
Black"</f>
        <v>UNISEX PACIFIC SURFER T-SHIRT atb147u
Black</v>
      </c>
      <c r="K3020" s="6">
        <v>0</v>
      </c>
      <c r="L3020" s="6">
        <v>0</v>
      </c>
      <c r="M3020" s="6">
        <v>0</v>
      </c>
      <c r="N3020" s="6" t="str">
        <f>""</f>
        <v/>
      </c>
      <c r="O3020" s="6">
        <v>23793</v>
      </c>
      <c r="P3020" s="6" t="s">
        <v>12473</v>
      </c>
      <c r="R3020" s="6" t="s">
        <v>1551</v>
      </c>
      <c r="S3020" s="7" t="s">
        <v>12474</v>
      </c>
      <c r="T3020" s="6">
        <v>0</v>
      </c>
      <c r="U3020" s="6">
        <v>0</v>
      </c>
      <c r="V3020" s="6">
        <v>0</v>
      </c>
      <c r="W3020" s="6">
        <v>0</v>
      </c>
      <c r="X3020" s="6" t="s">
        <v>169</v>
      </c>
      <c r="Z3020" s="6" t="s">
        <v>170</v>
      </c>
      <c r="AA3020" s="6" t="s">
        <v>171</v>
      </c>
      <c r="AB3020" s="6">
        <v>0</v>
      </c>
      <c r="AC3020" s="6" t="str">
        <f>""</f>
        <v/>
      </c>
      <c r="AS3020" s="6">
        <v>0</v>
      </c>
      <c r="AT3020" s="6">
        <v>0</v>
      </c>
    </row>
    <row r="3021" spans="2:46" ht="115.5">
      <c r="B3021" s="6" t="s">
        <v>108</v>
      </c>
      <c r="D3021" s="6" t="s">
        <v>8189</v>
      </c>
      <c r="F3021" s="6" t="s">
        <v>12475</v>
      </c>
      <c r="G3021" s="6" t="str">
        <f>"A17S2TBU146WHS"</f>
        <v>A17S2TBU146WHS</v>
      </c>
      <c r="H3021" s="6" t="s">
        <v>12476</v>
      </c>
      <c r="I3021" s="7" t="s">
        <v>12477</v>
      </c>
      <c r="J3021" s="6" t="str">
        <f>"UNISEX NEW YORK LOGO T-SHIRT atb146u
White"</f>
        <v>UNISEX NEW YORK LOGO T-SHIRT atb146u
White</v>
      </c>
      <c r="K3021" s="6">
        <v>0</v>
      </c>
      <c r="L3021" s="6">
        <v>0</v>
      </c>
      <c r="M3021" s="6">
        <v>0</v>
      </c>
      <c r="N3021" s="6" t="str">
        <f>""</f>
        <v/>
      </c>
      <c r="O3021" s="6">
        <v>23791</v>
      </c>
      <c r="P3021" s="6" t="s">
        <v>12478</v>
      </c>
      <c r="R3021" s="6" t="s">
        <v>12129</v>
      </c>
      <c r="S3021" s="7" t="s">
        <v>12479</v>
      </c>
      <c r="T3021" s="6">
        <v>0</v>
      </c>
      <c r="U3021" s="6">
        <v>0</v>
      </c>
      <c r="V3021" s="6">
        <v>0</v>
      </c>
      <c r="W3021" s="6">
        <v>0</v>
      </c>
      <c r="X3021" s="6" t="s">
        <v>169</v>
      </c>
      <c r="Z3021" s="6" t="s">
        <v>170</v>
      </c>
      <c r="AA3021" s="6" t="s">
        <v>171</v>
      </c>
      <c r="AB3021" s="6">
        <v>0</v>
      </c>
      <c r="AC3021" s="6" t="str">
        <f>""</f>
        <v/>
      </c>
      <c r="AS3021" s="6">
        <v>0</v>
      </c>
      <c r="AT3021" s="6">
        <v>0</v>
      </c>
    </row>
    <row r="3022" spans="2:46" ht="115.5">
      <c r="B3022" s="6" t="s">
        <v>108</v>
      </c>
      <c r="D3022" s="6" t="s">
        <v>8189</v>
      </c>
      <c r="F3022" s="6" t="s">
        <v>12480</v>
      </c>
      <c r="G3022" s="6" t="str">
        <f>"A17S2TBU146WHM"</f>
        <v>A17S2TBU146WHM</v>
      </c>
      <c r="H3022" s="6" t="s">
        <v>12481</v>
      </c>
      <c r="I3022" s="7" t="s">
        <v>12477</v>
      </c>
      <c r="J3022" s="6" t="str">
        <f>"UNISEX NEW YORK LOGO T-SHIRT atb146u
White"</f>
        <v>UNISEX NEW YORK LOGO T-SHIRT atb146u
White</v>
      </c>
      <c r="K3022" s="6">
        <v>0</v>
      </c>
      <c r="L3022" s="6">
        <v>0</v>
      </c>
      <c r="M3022" s="6">
        <v>0</v>
      </c>
      <c r="N3022" s="6" t="str">
        <f>""</f>
        <v/>
      </c>
      <c r="O3022" s="6">
        <v>23790</v>
      </c>
      <c r="P3022" s="6" t="s">
        <v>12482</v>
      </c>
      <c r="R3022" s="6" t="s">
        <v>12134</v>
      </c>
      <c r="S3022" s="7" t="s">
        <v>12483</v>
      </c>
      <c r="T3022" s="6">
        <v>0</v>
      </c>
      <c r="U3022" s="6">
        <v>0</v>
      </c>
      <c r="V3022" s="6">
        <v>0</v>
      </c>
      <c r="W3022" s="6">
        <v>0</v>
      </c>
      <c r="X3022" s="6" t="s">
        <v>169</v>
      </c>
      <c r="Z3022" s="6" t="s">
        <v>170</v>
      </c>
      <c r="AA3022" s="6" t="s">
        <v>171</v>
      </c>
      <c r="AB3022" s="6">
        <v>0</v>
      </c>
      <c r="AC3022" s="6" t="str">
        <f>""</f>
        <v/>
      </c>
      <c r="AS3022" s="6">
        <v>0</v>
      </c>
      <c r="AT3022" s="6">
        <v>0</v>
      </c>
    </row>
    <row r="3023" spans="2:46" ht="115.5">
      <c r="B3023" s="6" t="s">
        <v>108</v>
      </c>
      <c r="D3023" s="6" t="s">
        <v>8189</v>
      </c>
      <c r="F3023" s="6" t="s">
        <v>12484</v>
      </c>
      <c r="G3023" s="6" t="str">
        <f>"A17S2TBU146GRS"</f>
        <v>A17S2TBU146GRS</v>
      </c>
      <c r="H3023" s="6" t="s">
        <v>12485</v>
      </c>
      <c r="I3023" s="7" t="s">
        <v>12486</v>
      </c>
      <c r="J3023" s="6" t="str">
        <f>"UNISEX NEW YORK LOGO T-SHIRT atb146u
green"</f>
        <v>UNISEX NEW YORK LOGO T-SHIRT atb146u
green</v>
      </c>
      <c r="K3023" s="6">
        <v>0</v>
      </c>
      <c r="L3023" s="6">
        <v>0</v>
      </c>
      <c r="M3023" s="6">
        <v>0</v>
      </c>
      <c r="N3023" s="6" t="str">
        <f>""</f>
        <v/>
      </c>
      <c r="O3023" s="6">
        <v>23788</v>
      </c>
      <c r="P3023" s="6" t="s">
        <v>12487</v>
      </c>
      <c r="R3023" s="6" t="s">
        <v>5787</v>
      </c>
      <c r="S3023" s="7" t="s">
        <v>12488</v>
      </c>
      <c r="T3023" s="6">
        <v>0</v>
      </c>
      <c r="U3023" s="6">
        <v>0</v>
      </c>
      <c r="V3023" s="6">
        <v>0</v>
      </c>
      <c r="W3023" s="6">
        <v>0</v>
      </c>
      <c r="X3023" s="6" t="s">
        <v>169</v>
      </c>
      <c r="Z3023" s="6" t="s">
        <v>170</v>
      </c>
      <c r="AA3023" s="6" t="s">
        <v>171</v>
      </c>
      <c r="AB3023" s="6">
        <v>0</v>
      </c>
      <c r="AC3023" s="6" t="str">
        <f>""</f>
        <v/>
      </c>
      <c r="AS3023" s="6">
        <v>0</v>
      </c>
      <c r="AT3023" s="6">
        <v>0</v>
      </c>
    </row>
    <row r="3024" spans="2:46" ht="115.5">
      <c r="B3024" s="6" t="s">
        <v>108</v>
      </c>
      <c r="D3024" s="6" t="s">
        <v>8189</v>
      </c>
      <c r="F3024" s="6" t="s">
        <v>12489</v>
      </c>
      <c r="G3024" s="6" t="str">
        <f>"A17S2TBU146GRM"</f>
        <v>A17S2TBU146GRM</v>
      </c>
      <c r="H3024" s="6" t="s">
        <v>12490</v>
      </c>
      <c r="I3024" s="7" t="s">
        <v>12486</v>
      </c>
      <c r="J3024" s="6" t="str">
        <f>"UNISEX NEW YORK LOGO T-SHIRT atb146u
green"</f>
        <v>UNISEX NEW YORK LOGO T-SHIRT atb146u
green</v>
      </c>
      <c r="K3024" s="6">
        <v>0</v>
      </c>
      <c r="L3024" s="6">
        <v>0</v>
      </c>
      <c r="M3024" s="6">
        <v>0</v>
      </c>
      <c r="N3024" s="6" t="str">
        <f>""</f>
        <v/>
      </c>
      <c r="O3024" s="6">
        <v>23787</v>
      </c>
      <c r="P3024" s="6" t="s">
        <v>12491</v>
      </c>
      <c r="R3024" s="6" t="s">
        <v>12492</v>
      </c>
      <c r="S3024" s="7" t="s">
        <v>12493</v>
      </c>
      <c r="T3024" s="6">
        <v>0</v>
      </c>
      <c r="U3024" s="6">
        <v>0</v>
      </c>
      <c r="V3024" s="6">
        <v>0</v>
      </c>
      <c r="W3024" s="6">
        <v>0</v>
      </c>
      <c r="X3024" s="6" t="s">
        <v>169</v>
      </c>
      <c r="Z3024" s="6" t="s">
        <v>170</v>
      </c>
      <c r="AA3024" s="6" t="s">
        <v>171</v>
      </c>
      <c r="AB3024" s="6">
        <v>0</v>
      </c>
      <c r="AC3024" s="6" t="str">
        <f>""</f>
        <v/>
      </c>
      <c r="AS3024" s="6">
        <v>0</v>
      </c>
      <c r="AT3024" s="6">
        <v>0</v>
      </c>
    </row>
    <row r="3025" spans="2:46" ht="115.5">
      <c r="B3025" s="6" t="s">
        <v>108</v>
      </c>
      <c r="D3025" s="6" t="s">
        <v>8189</v>
      </c>
      <c r="F3025" s="6" t="s">
        <v>12494</v>
      </c>
      <c r="G3025" s="6" t="str">
        <f>"A17S2TBU146BKS"</f>
        <v>A17S2TBU146BKS</v>
      </c>
      <c r="I3025" s="7" t="s">
        <v>12495</v>
      </c>
      <c r="J3025" s="6" t="str">
        <f>"UNISEX NEW YORK LOGO T-SHIRT atb146u
Black"</f>
        <v>UNISEX NEW YORK LOGO T-SHIRT atb146u
Black</v>
      </c>
      <c r="K3025" s="6">
        <v>0</v>
      </c>
      <c r="L3025" s="6">
        <v>0</v>
      </c>
      <c r="M3025" s="6">
        <v>0</v>
      </c>
      <c r="N3025" s="6" t="str">
        <f>""</f>
        <v/>
      </c>
      <c r="O3025" s="6">
        <v>23785</v>
      </c>
      <c r="P3025" s="6" t="s">
        <v>12496</v>
      </c>
      <c r="R3025" s="6" t="s">
        <v>1555</v>
      </c>
      <c r="S3025" s="7" t="s">
        <v>12497</v>
      </c>
      <c r="T3025" s="6">
        <v>1</v>
      </c>
      <c r="U3025" s="6">
        <v>0</v>
      </c>
      <c r="V3025" s="6">
        <v>0</v>
      </c>
      <c r="W3025" s="6">
        <v>0</v>
      </c>
      <c r="X3025" s="6" t="s">
        <v>169</v>
      </c>
      <c r="Z3025" s="6" t="s">
        <v>170</v>
      </c>
      <c r="AA3025" s="6" t="s">
        <v>171</v>
      </c>
      <c r="AB3025" s="6">
        <v>0</v>
      </c>
      <c r="AC3025" s="6" t="str">
        <f>"KEY-023"</f>
        <v>KEY-023</v>
      </c>
      <c r="AQ3025" s="6" t="str">
        <f>""</f>
        <v/>
      </c>
      <c r="AR3025" s="6" t="s">
        <v>1567</v>
      </c>
      <c r="AS3025" s="6">
        <v>0</v>
      </c>
      <c r="AT3025" s="6">
        <v>1</v>
      </c>
    </row>
    <row r="3026" spans="2:46" ht="115.5">
      <c r="B3026" s="6" t="s">
        <v>108</v>
      </c>
      <c r="D3026" s="6" t="s">
        <v>8189</v>
      </c>
      <c r="F3026" s="6" t="s">
        <v>12498</v>
      </c>
      <c r="G3026" s="6" t="str">
        <f>"A17S2TBU146BKM"</f>
        <v>A17S2TBU146BKM</v>
      </c>
      <c r="H3026" s="6" t="s">
        <v>12499</v>
      </c>
      <c r="I3026" s="7" t="s">
        <v>12495</v>
      </c>
      <c r="J3026" s="6" t="str">
        <f>"UNISEX NEW YORK LOGO T-SHIRT atb146u
Black"</f>
        <v>UNISEX NEW YORK LOGO T-SHIRT atb146u
Black</v>
      </c>
      <c r="K3026" s="6">
        <v>0</v>
      </c>
      <c r="L3026" s="6">
        <v>0</v>
      </c>
      <c r="M3026" s="6">
        <v>0</v>
      </c>
      <c r="N3026" s="6" t="str">
        <f>""</f>
        <v/>
      </c>
      <c r="O3026" s="6">
        <v>23784</v>
      </c>
      <c r="P3026" s="6" t="s">
        <v>12500</v>
      </c>
      <c r="R3026" s="6" t="s">
        <v>9651</v>
      </c>
      <c r="S3026" s="7" t="s">
        <v>12501</v>
      </c>
      <c r="T3026" s="6">
        <v>0</v>
      </c>
      <c r="U3026" s="6">
        <v>0</v>
      </c>
      <c r="V3026" s="6">
        <v>0</v>
      </c>
      <c r="W3026" s="6">
        <v>0</v>
      </c>
      <c r="X3026" s="6" t="s">
        <v>169</v>
      </c>
      <c r="Z3026" s="6" t="s">
        <v>170</v>
      </c>
      <c r="AA3026" s="6" t="s">
        <v>171</v>
      </c>
      <c r="AB3026" s="6">
        <v>0</v>
      </c>
      <c r="AC3026" s="6" t="str">
        <f>""</f>
        <v/>
      </c>
      <c r="AS3026" s="6">
        <v>0</v>
      </c>
      <c r="AT3026" s="6">
        <v>0</v>
      </c>
    </row>
    <row r="3027" spans="2:46" ht="132">
      <c r="B3027" s="6" t="s">
        <v>108</v>
      </c>
      <c r="D3027" s="6" t="s">
        <v>8189</v>
      </c>
      <c r="F3027" s="6" t="s">
        <v>12502</v>
      </c>
      <c r="G3027" s="6" t="str">
        <f>"A17S2TBU143WHS"</f>
        <v>A17S2TBU143WHS</v>
      </c>
      <c r="H3027" s="6" t="s">
        <v>12503</v>
      </c>
      <c r="I3027" s="7" t="s">
        <v>12504</v>
      </c>
      <c r="J3027" s="6" t="str">
        <f>"UNISEX COLLEGE SHORT SLEEVED SWEATSHIRT atb143u
White"</f>
        <v>UNISEX COLLEGE SHORT SLEEVED SWEATSHIRT atb143u
White</v>
      </c>
      <c r="K3027" s="6">
        <v>0</v>
      </c>
      <c r="L3027" s="6">
        <v>0</v>
      </c>
      <c r="M3027" s="6">
        <v>0</v>
      </c>
      <c r="N3027" s="6" t="str">
        <f>""</f>
        <v/>
      </c>
      <c r="O3027" s="6">
        <v>23782</v>
      </c>
      <c r="P3027" s="6" t="s">
        <v>12505</v>
      </c>
      <c r="R3027" s="6" t="s">
        <v>12506</v>
      </c>
      <c r="S3027" s="7" t="s">
        <v>12507</v>
      </c>
      <c r="T3027" s="6">
        <v>0</v>
      </c>
      <c r="U3027" s="6">
        <v>0</v>
      </c>
      <c r="V3027" s="6">
        <v>0</v>
      </c>
      <c r="W3027" s="6">
        <v>0</v>
      </c>
      <c r="X3027" s="6" t="s">
        <v>169</v>
      </c>
      <c r="Z3027" s="6" t="s">
        <v>170</v>
      </c>
      <c r="AA3027" s="6" t="s">
        <v>171</v>
      </c>
      <c r="AB3027" s="6">
        <v>0</v>
      </c>
      <c r="AC3027" s="6" t="str">
        <f>""</f>
        <v/>
      </c>
      <c r="AS3027" s="6">
        <v>0</v>
      </c>
      <c r="AT3027" s="6">
        <v>0</v>
      </c>
    </row>
    <row r="3028" spans="2:46" ht="132">
      <c r="B3028" s="6" t="s">
        <v>108</v>
      </c>
      <c r="D3028" s="6" t="s">
        <v>8189</v>
      </c>
      <c r="F3028" s="6" t="s">
        <v>12508</v>
      </c>
      <c r="G3028" s="6" t="str">
        <f>"A17S2TBU143WHM"</f>
        <v>A17S2TBU143WHM</v>
      </c>
      <c r="I3028" s="7" t="s">
        <v>12504</v>
      </c>
      <c r="J3028" s="6" t="str">
        <f>"UNISEX COLLEGE SHORT SLEEVED SWEATSHIRT atb143u
White"</f>
        <v>UNISEX COLLEGE SHORT SLEEVED SWEATSHIRT atb143u
White</v>
      </c>
      <c r="K3028" s="6">
        <v>0</v>
      </c>
      <c r="L3028" s="6">
        <v>0</v>
      </c>
      <c r="M3028" s="6">
        <v>0</v>
      </c>
      <c r="N3028" s="6" t="str">
        <f>""</f>
        <v/>
      </c>
      <c r="O3028" s="6">
        <v>23781</v>
      </c>
      <c r="P3028" s="6" t="s">
        <v>12509</v>
      </c>
      <c r="R3028" s="6" t="s">
        <v>12134</v>
      </c>
      <c r="S3028" s="7" t="s">
        <v>12510</v>
      </c>
      <c r="T3028" s="6">
        <v>1</v>
      </c>
      <c r="U3028" s="6">
        <v>0</v>
      </c>
      <c r="V3028" s="6">
        <v>0</v>
      </c>
      <c r="W3028" s="6">
        <v>0</v>
      </c>
      <c r="X3028" s="6" t="s">
        <v>169</v>
      </c>
      <c r="Z3028" s="6" t="s">
        <v>170</v>
      </c>
      <c r="AA3028" s="6" t="s">
        <v>171</v>
      </c>
      <c r="AB3028" s="6">
        <v>0</v>
      </c>
      <c r="AC3028" s="6" t="str">
        <f>"KEY-009"</f>
        <v>KEY-009</v>
      </c>
      <c r="AQ3028" s="6" t="str">
        <f>""</f>
        <v/>
      </c>
      <c r="AR3028" s="6" t="s">
        <v>1584</v>
      </c>
      <c r="AS3028" s="6">
        <v>0</v>
      </c>
      <c r="AT3028" s="6">
        <v>1</v>
      </c>
    </row>
    <row r="3029" spans="2:46" ht="132">
      <c r="B3029" s="6" t="s">
        <v>108</v>
      </c>
      <c r="D3029" s="6" t="s">
        <v>8189</v>
      </c>
      <c r="F3029" s="6" t="s">
        <v>12511</v>
      </c>
      <c r="G3029" s="6" t="str">
        <f>"A17S2TBU143RDS"</f>
        <v>A17S2TBU143RDS</v>
      </c>
      <c r="I3029" s="7" t="s">
        <v>12512</v>
      </c>
      <c r="J3029" s="6" t="str">
        <f>"UNISEX COLLEGE SHORT SLEEVED SWEATSHIRT atb143u
Red"</f>
        <v>UNISEX COLLEGE SHORT SLEEVED SWEATSHIRT atb143u
Red</v>
      </c>
      <c r="K3029" s="6">
        <v>0</v>
      </c>
      <c r="L3029" s="6">
        <v>0</v>
      </c>
      <c r="M3029" s="6">
        <v>0</v>
      </c>
      <c r="N3029" s="6" t="str">
        <f>""</f>
        <v/>
      </c>
      <c r="O3029" s="6">
        <v>23779</v>
      </c>
      <c r="P3029" s="6" t="s">
        <v>12513</v>
      </c>
      <c r="R3029" s="6" t="s">
        <v>11023</v>
      </c>
      <c r="S3029" s="7" t="s">
        <v>12514</v>
      </c>
      <c r="T3029" s="6">
        <v>1</v>
      </c>
      <c r="U3029" s="6">
        <v>0</v>
      </c>
      <c r="V3029" s="6">
        <v>0</v>
      </c>
      <c r="W3029" s="6">
        <v>0</v>
      </c>
      <c r="X3029" s="6" t="s">
        <v>169</v>
      </c>
      <c r="Z3029" s="6" t="s">
        <v>170</v>
      </c>
      <c r="AA3029" s="6" t="s">
        <v>171</v>
      </c>
      <c r="AB3029" s="6">
        <v>0</v>
      </c>
      <c r="AC3029" s="6" t="str">
        <f>"KEY-023"</f>
        <v>KEY-023</v>
      </c>
      <c r="AQ3029" s="6" t="str">
        <f>""</f>
        <v/>
      </c>
      <c r="AR3029" s="6" t="s">
        <v>1567</v>
      </c>
      <c r="AS3029" s="6">
        <v>0</v>
      </c>
      <c r="AT3029" s="6">
        <v>1</v>
      </c>
    </row>
    <row r="3030" spans="2:46" ht="132">
      <c r="B3030" s="6" t="s">
        <v>108</v>
      </c>
      <c r="D3030" s="6" t="s">
        <v>8189</v>
      </c>
      <c r="F3030" s="6" t="s">
        <v>12515</v>
      </c>
      <c r="G3030" s="6" t="str">
        <f>"A17S2TBU143RDM"</f>
        <v>A17S2TBU143RDM</v>
      </c>
      <c r="H3030" s="6" t="s">
        <v>12516</v>
      </c>
      <c r="I3030" s="7" t="s">
        <v>12512</v>
      </c>
      <c r="J3030" s="6" t="str">
        <f>"UNISEX COLLEGE SHORT SLEEVED SWEATSHIRT atb143u
Red"</f>
        <v>UNISEX COLLEGE SHORT SLEEVED SWEATSHIRT atb143u
Red</v>
      </c>
      <c r="K3030" s="6">
        <v>0</v>
      </c>
      <c r="L3030" s="6">
        <v>0</v>
      </c>
      <c r="M3030" s="6">
        <v>0</v>
      </c>
      <c r="N3030" s="6" t="str">
        <f>""</f>
        <v/>
      </c>
      <c r="O3030" s="6">
        <v>23778</v>
      </c>
      <c r="P3030" s="6" t="s">
        <v>12517</v>
      </c>
      <c r="R3030" s="6" t="s">
        <v>11019</v>
      </c>
      <c r="S3030" s="7" t="s">
        <v>12518</v>
      </c>
      <c r="T3030" s="6">
        <v>0</v>
      </c>
      <c r="U3030" s="6">
        <v>0</v>
      </c>
      <c r="V3030" s="6">
        <v>0</v>
      </c>
      <c r="W3030" s="6">
        <v>0</v>
      </c>
      <c r="X3030" s="6" t="s">
        <v>169</v>
      </c>
      <c r="Z3030" s="6" t="s">
        <v>170</v>
      </c>
      <c r="AA3030" s="6" t="s">
        <v>171</v>
      </c>
      <c r="AB3030" s="6">
        <v>0</v>
      </c>
      <c r="AC3030" s="6" t="str">
        <f>""</f>
        <v/>
      </c>
      <c r="AS3030" s="6">
        <v>0</v>
      </c>
      <c r="AT3030" s="6">
        <v>0</v>
      </c>
    </row>
    <row r="3031" spans="2:46" ht="132">
      <c r="B3031" s="6" t="s">
        <v>108</v>
      </c>
      <c r="D3031" s="6" t="s">
        <v>8189</v>
      </c>
      <c r="F3031" s="6" t="s">
        <v>12519</v>
      </c>
      <c r="G3031" s="6" t="str">
        <f>"A17S2TBU143BKS"</f>
        <v>A17S2TBU143BKS</v>
      </c>
      <c r="H3031" s="6" t="s">
        <v>12520</v>
      </c>
      <c r="I3031" s="7" t="s">
        <v>12521</v>
      </c>
      <c r="J3031" s="6" t="str">
        <f>"UNISEX COLLEGE SHORT SLEEVED SWEATSHIRT atb143u
Black"</f>
        <v>UNISEX COLLEGE SHORT SLEEVED SWEATSHIRT atb143u
Black</v>
      </c>
      <c r="K3031" s="6">
        <v>0</v>
      </c>
      <c r="L3031" s="6">
        <v>0</v>
      </c>
      <c r="M3031" s="6">
        <v>0</v>
      </c>
      <c r="N3031" s="6" t="str">
        <f>""</f>
        <v/>
      </c>
      <c r="O3031" s="6">
        <v>23776</v>
      </c>
      <c r="P3031" s="6" t="s">
        <v>12522</v>
      </c>
      <c r="R3031" s="6" t="s">
        <v>1555</v>
      </c>
      <c r="S3031" s="7" t="s">
        <v>12523</v>
      </c>
      <c r="T3031" s="6">
        <v>0</v>
      </c>
      <c r="U3031" s="6">
        <v>0</v>
      </c>
      <c r="V3031" s="6">
        <v>0</v>
      </c>
      <c r="W3031" s="6">
        <v>0</v>
      </c>
      <c r="X3031" s="6" t="s">
        <v>169</v>
      </c>
      <c r="Z3031" s="6" t="s">
        <v>170</v>
      </c>
      <c r="AA3031" s="6" t="s">
        <v>171</v>
      </c>
      <c r="AB3031" s="6">
        <v>0</v>
      </c>
      <c r="AC3031" s="6" t="str">
        <f>""</f>
        <v/>
      </c>
      <c r="AS3031" s="6">
        <v>0</v>
      </c>
      <c r="AT3031" s="6">
        <v>0</v>
      </c>
    </row>
    <row r="3032" spans="2:46" ht="132">
      <c r="B3032" s="6" t="s">
        <v>108</v>
      </c>
      <c r="D3032" s="6" t="s">
        <v>8189</v>
      </c>
      <c r="F3032" s="6" t="s">
        <v>12524</v>
      </c>
      <c r="G3032" s="6" t="str">
        <f>"A17S2TBU143BKM"</f>
        <v>A17S2TBU143BKM</v>
      </c>
      <c r="I3032" s="7" t="s">
        <v>12521</v>
      </c>
      <c r="J3032" s="6" t="str">
        <f>"UNISEX COLLEGE SHORT SLEEVED SWEATSHIRT atb143u
Black"</f>
        <v>UNISEX COLLEGE SHORT SLEEVED SWEATSHIRT atb143u
Black</v>
      </c>
      <c r="K3032" s="6">
        <v>0</v>
      </c>
      <c r="L3032" s="6">
        <v>0</v>
      </c>
      <c r="M3032" s="6">
        <v>0</v>
      </c>
      <c r="N3032" s="6" t="str">
        <f>""</f>
        <v/>
      </c>
      <c r="O3032" s="6">
        <v>23775</v>
      </c>
      <c r="P3032" s="6" t="s">
        <v>12525</v>
      </c>
      <c r="R3032" s="6" t="s">
        <v>1551</v>
      </c>
      <c r="S3032" s="7" t="s">
        <v>12526</v>
      </c>
      <c r="T3032" s="6">
        <v>1</v>
      </c>
      <c r="U3032" s="6">
        <v>0</v>
      </c>
      <c r="V3032" s="6">
        <v>0</v>
      </c>
      <c r="W3032" s="6">
        <v>0</v>
      </c>
      <c r="X3032" s="6" t="s">
        <v>169</v>
      </c>
      <c r="Z3032" s="6" t="s">
        <v>170</v>
      </c>
      <c r="AA3032" s="6" t="s">
        <v>171</v>
      </c>
      <c r="AB3032" s="6">
        <v>0</v>
      </c>
      <c r="AC3032" s="6" t="str">
        <f>"KEY-073"</f>
        <v>KEY-073</v>
      </c>
      <c r="AQ3032" s="6" t="str">
        <f>""</f>
        <v/>
      </c>
      <c r="AR3032" s="6" t="s">
        <v>1567</v>
      </c>
      <c r="AS3032" s="6">
        <v>0</v>
      </c>
      <c r="AT3032" s="6">
        <v>1</v>
      </c>
    </row>
    <row r="3033" spans="2:46" ht="132">
      <c r="B3033" s="6" t="s">
        <v>108</v>
      </c>
      <c r="D3033" s="6" t="s">
        <v>8189</v>
      </c>
      <c r="F3033" s="6" t="s">
        <v>12527</v>
      </c>
      <c r="G3033" s="6" t="str">
        <f>"A17S2TBU142TDS"</f>
        <v>A17S2TBU142TDS</v>
      </c>
      <c r="H3033" s="6" t="s">
        <v>12528</v>
      </c>
      <c r="I3033" s="7" t="s">
        <v>12529</v>
      </c>
      <c r="J3033" s="6" t="str">
        <f>"UNISEX ARTIST COLLABORATION T-SHIRT atb142u
The Doors"</f>
        <v>UNISEX ARTIST COLLABORATION T-SHIRT atb142u
The Doors</v>
      </c>
      <c r="K3033" s="6">
        <v>0</v>
      </c>
      <c r="L3033" s="6">
        <v>0</v>
      </c>
      <c r="M3033" s="6">
        <v>0</v>
      </c>
      <c r="N3033" s="6" t="str">
        <f>""</f>
        <v/>
      </c>
      <c r="O3033" s="6">
        <v>23773</v>
      </c>
      <c r="P3033" s="6" t="s">
        <v>12530</v>
      </c>
      <c r="R3033" s="6" t="s">
        <v>12531</v>
      </c>
      <c r="S3033" s="7" t="s">
        <v>12532</v>
      </c>
      <c r="T3033" s="6">
        <v>0</v>
      </c>
      <c r="U3033" s="6">
        <v>0</v>
      </c>
      <c r="V3033" s="6">
        <v>0</v>
      </c>
      <c r="W3033" s="6">
        <v>0</v>
      </c>
      <c r="X3033" s="6" t="s">
        <v>169</v>
      </c>
      <c r="Z3033" s="6" t="s">
        <v>170</v>
      </c>
      <c r="AA3033" s="6" t="s">
        <v>171</v>
      </c>
      <c r="AB3033" s="6">
        <v>0</v>
      </c>
      <c r="AC3033" s="6" t="str">
        <f>""</f>
        <v/>
      </c>
      <c r="AS3033" s="6">
        <v>0</v>
      </c>
      <c r="AT3033" s="6">
        <v>0</v>
      </c>
    </row>
    <row r="3034" spans="2:46" ht="132">
      <c r="B3034" s="6" t="s">
        <v>108</v>
      </c>
      <c r="D3034" s="6" t="s">
        <v>8189</v>
      </c>
      <c r="F3034" s="6" t="s">
        <v>12533</v>
      </c>
      <c r="G3034" s="6" t="str">
        <f>"A17S2TBU142TDM"</f>
        <v>A17S2TBU142TDM</v>
      </c>
      <c r="H3034" s="6" t="s">
        <v>12534</v>
      </c>
      <c r="I3034" s="7" t="s">
        <v>12529</v>
      </c>
      <c r="J3034" s="6" t="str">
        <f>"UNISEX ARTIST COLLABORATION T-SHIRT atb142u
The Doors"</f>
        <v>UNISEX ARTIST COLLABORATION T-SHIRT atb142u
The Doors</v>
      </c>
      <c r="K3034" s="6">
        <v>0</v>
      </c>
      <c r="L3034" s="6">
        <v>0</v>
      </c>
      <c r="M3034" s="6">
        <v>0</v>
      </c>
      <c r="N3034" s="6" t="str">
        <f>""</f>
        <v/>
      </c>
      <c r="O3034" s="6">
        <v>23772</v>
      </c>
      <c r="P3034" s="6" t="s">
        <v>12535</v>
      </c>
      <c r="R3034" s="6" t="s">
        <v>12536</v>
      </c>
      <c r="S3034" s="7" t="s">
        <v>12537</v>
      </c>
      <c r="T3034" s="6">
        <v>0</v>
      </c>
      <c r="U3034" s="6">
        <v>0</v>
      </c>
      <c r="V3034" s="6">
        <v>0</v>
      </c>
      <c r="W3034" s="6">
        <v>0</v>
      </c>
      <c r="X3034" s="6" t="s">
        <v>169</v>
      </c>
      <c r="Z3034" s="6" t="s">
        <v>170</v>
      </c>
      <c r="AA3034" s="6" t="s">
        <v>171</v>
      </c>
      <c r="AB3034" s="6">
        <v>0</v>
      </c>
      <c r="AC3034" s="6" t="str">
        <f>""</f>
        <v/>
      </c>
      <c r="AS3034" s="6">
        <v>0</v>
      </c>
      <c r="AT3034" s="6">
        <v>0</v>
      </c>
    </row>
    <row r="3035" spans="2:46" ht="115.5">
      <c r="B3035" s="6" t="s">
        <v>108</v>
      </c>
      <c r="D3035" s="6" t="s">
        <v>8189</v>
      </c>
      <c r="F3035" s="6" t="s">
        <v>12538</v>
      </c>
      <c r="G3035" s="6" t="str">
        <f>"A17S2TBU142PRXS"</f>
        <v>A17S2TBU142PRXS</v>
      </c>
      <c r="H3035" s="6" t="s">
        <v>12539</v>
      </c>
      <c r="I3035" s="7" t="s">
        <v>12540</v>
      </c>
      <c r="J3035" s="6" t="str">
        <f>"UNISEX ARTIST COLLABORATION T-SHIRT atb142u
Prince"</f>
        <v>UNISEX ARTIST COLLABORATION T-SHIRT atb142u
Prince</v>
      </c>
      <c r="K3035" s="6">
        <v>0</v>
      </c>
      <c r="L3035" s="6">
        <v>0</v>
      </c>
      <c r="M3035" s="6">
        <v>0</v>
      </c>
      <c r="N3035" s="6" t="str">
        <f>""</f>
        <v/>
      </c>
      <c r="O3035" s="6">
        <v>23770</v>
      </c>
      <c r="P3035" s="6" t="s">
        <v>12541</v>
      </c>
      <c r="R3035" s="6" t="s">
        <v>12542</v>
      </c>
      <c r="S3035" s="7" t="s">
        <v>12543</v>
      </c>
      <c r="T3035" s="6">
        <v>0</v>
      </c>
      <c r="U3035" s="6">
        <v>0</v>
      </c>
      <c r="V3035" s="6">
        <v>0</v>
      </c>
      <c r="W3035" s="6">
        <v>0</v>
      </c>
      <c r="X3035" s="6" t="s">
        <v>169</v>
      </c>
      <c r="Z3035" s="6" t="s">
        <v>170</v>
      </c>
      <c r="AA3035" s="6" t="s">
        <v>171</v>
      </c>
      <c r="AB3035" s="6">
        <v>0</v>
      </c>
      <c r="AC3035" s="6" t="str">
        <f>""</f>
        <v/>
      </c>
      <c r="AS3035" s="6">
        <v>0</v>
      </c>
      <c r="AT3035" s="6">
        <v>0</v>
      </c>
    </row>
    <row r="3036" spans="2:46" ht="115.5">
      <c r="B3036" s="6" t="s">
        <v>108</v>
      </c>
      <c r="D3036" s="6" t="s">
        <v>8189</v>
      </c>
      <c r="F3036" s="6" t="s">
        <v>12544</v>
      </c>
      <c r="G3036" s="6" t="str">
        <f>"A17S2TBU142PRS"</f>
        <v>A17S2TBU142PRS</v>
      </c>
      <c r="H3036" s="6" t="s">
        <v>12545</v>
      </c>
      <c r="I3036" s="7" t="s">
        <v>12540</v>
      </c>
      <c r="J3036" s="6" t="str">
        <f>"UNISEX ARTIST COLLABORATION T-SHIRT atb142u
Prince"</f>
        <v>UNISEX ARTIST COLLABORATION T-SHIRT atb142u
Prince</v>
      </c>
      <c r="K3036" s="6">
        <v>0</v>
      </c>
      <c r="L3036" s="6">
        <v>0</v>
      </c>
      <c r="M3036" s="6">
        <v>0</v>
      </c>
      <c r="N3036" s="6" t="str">
        <f>""</f>
        <v/>
      </c>
      <c r="O3036" s="6">
        <v>23769</v>
      </c>
      <c r="P3036" s="6" t="s">
        <v>12546</v>
      </c>
      <c r="R3036" s="6" t="s">
        <v>12547</v>
      </c>
      <c r="S3036" s="7" t="s">
        <v>12548</v>
      </c>
      <c r="T3036" s="6">
        <v>0</v>
      </c>
      <c r="U3036" s="6">
        <v>0</v>
      </c>
      <c r="V3036" s="6">
        <v>0</v>
      </c>
      <c r="W3036" s="6">
        <v>0</v>
      </c>
      <c r="X3036" s="6" t="s">
        <v>169</v>
      </c>
      <c r="Z3036" s="6" t="s">
        <v>170</v>
      </c>
      <c r="AA3036" s="6" t="s">
        <v>171</v>
      </c>
      <c r="AB3036" s="6">
        <v>0</v>
      </c>
      <c r="AC3036" s="6" t="str">
        <f>""</f>
        <v/>
      </c>
      <c r="AS3036" s="6">
        <v>0</v>
      </c>
      <c r="AT3036" s="6">
        <v>0</v>
      </c>
    </row>
    <row r="3037" spans="2:46" ht="115.5">
      <c r="B3037" s="6" t="s">
        <v>108</v>
      </c>
      <c r="D3037" s="6" t="s">
        <v>8189</v>
      </c>
      <c r="F3037" s="6" t="s">
        <v>12549</v>
      </c>
      <c r="G3037" s="6" t="str">
        <f>"A17S2TBU142PRM"</f>
        <v>A17S2TBU142PRM</v>
      </c>
      <c r="H3037" s="6" t="s">
        <v>12550</v>
      </c>
      <c r="I3037" s="7" t="s">
        <v>12540</v>
      </c>
      <c r="J3037" s="6" t="str">
        <f>"UNISEX ARTIST COLLABORATION T-SHIRT atb142u
Prince"</f>
        <v>UNISEX ARTIST COLLABORATION T-SHIRT atb142u
Prince</v>
      </c>
      <c r="K3037" s="6">
        <v>0</v>
      </c>
      <c r="L3037" s="6">
        <v>0</v>
      </c>
      <c r="M3037" s="6">
        <v>0</v>
      </c>
      <c r="N3037" s="6" t="str">
        <f>""</f>
        <v/>
      </c>
      <c r="O3037" s="6">
        <v>23768</v>
      </c>
      <c r="P3037" s="6" t="s">
        <v>12551</v>
      </c>
      <c r="R3037" s="6" t="s">
        <v>12552</v>
      </c>
      <c r="S3037" s="7" t="s">
        <v>12553</v>
      </c>
      <c r="T3037" s="6">
        <v>0</v>
      </c>
      <c r="U3037" s="6">
        <v>0</v>
      </c>
      <c r="V3037" s="6">
        <v>0</v>
      </c>
      <c r="W3037" s="6">
        <v>0</v>
      </c>
      <c r="X3037" s="6" t="s">
        <v>169</v>
      </c>
      <c r="Z3037" s="6" t="s">
        <v>170</v>
      </c>
      <c r="AA3037" s="6" t="s">
        <v>171</v>
      </c>
      <c r="AB3037" s="6">
        <v>0</v>
      </c>
      <c r="AC3037" s="6" t="str">
        <f>""</f>
        <v/>
      </c>
      <c r="AS3037" s="6">
        <v>0</v>
      </c>
      <c r="AT3037" s="6">
        <v>0</v>
      </c>
    </row>
    <row r="3038" spans="2:46" ht="132">
      <c r="B3038" s="6" t="s">
        <v>108</v>
      </c>
      <c r="D3038" s="6" t="s">
        <v>8189</v>
      </c>
      <c r="F3038" s="6" t="s">
        <v>12554</v>
      </c>
      <c r="G3038" s="6" t="str">
        <f>"A17S2TBU142DDS"</f>
        <v>A17S2TBU142DDS</v>
      </c>
      <c r="H3038" s="6" t="s">
        <v>12555</v>
      </c>
      <c r="I3038" s="7" t="s">
        <v>12556</v>
      </c>
      <c r="J3038" s="6" t="str">
        <f>"UNISEX ARTIST COLLABORATION T-SHIRT atb142u
David Bowie"</f>
        <v>UNISEX ARTIST COLLABORATION T-SHIRT atb142u
David Bowie</v>
      </c>
      <c r="K3038" s="6">
        <v>0</v>
      </c>
      <c r="L3038" s="6">
        <v>0</v>
      </c>
      <c r="M3038" s="6">
        <v>0</v>
      </c>
      <c r="N3038" s="6" t="str">
        <f>""</f>
        <v/>
      </c>
      <c r="O3038" s="6">
        <v>23766</v>
      </c>
      <c r="P3038" s="6" t="s">
        <v>12557</v>
      </c>
      <c r="R3038" s="6" t="s">
        <v>12558</v>
      </c>
      <c r="S3038" s="7" t="s">
        <v>12559</v>
      </c>
      <c r="T3038" s="6">
        <v>0</v>
      </c>
      <c r="U3038" s="6">
        <v>0</v>
      </c>
      <c r="V3038" s="6">
        <v>0</v>
      </c>
      <c r="W3038" s="6">
        <v>0</v>
      </c>
      <c r="X3038" s="6" t="s">
        <v>169</v>
      </c>
      <c r="Z3038" s="6" t="s">
        <v>170</v>
      </c>
      <c r="AA3038" s="6" t="s">
        <v>171</v>
      </c>
      <c r="AB3038" s="6">
        <v>0</v>
      </c>
      <c r="AC3038" s="6" t="str">
        <f>""</f>
        <v/>
      </c>
      <c r="AS3038" s="6">
        <v>0</v>
      </c>
      <c r="AT3038" s="6">
        <v>0</v>
      </c>
    </row>
    <row r="3039" spans="2:46" ht="132">
      <c r="B3039" s="6" t="s">
        <v>108</v>
      </c>
      <c r="D3039" s="6" t="s">
        <v>8189</v>
      </c>
      <c r="F3039" s="6" t="s">
        <v>12560</v>
      </c>
      <c r="G3039" s="6" t="str">
        <f>"A17S2TBU142DDM"</f>
        <v>A17S2TBU142DDM</v>
      </c>
      <c r="H3039" s="6" t="s">
        <v>12561</v>
      </c>
      <c r="I3039" s="7" t="s">
        <v>12556</v>
      </c>
      <c r="J3039" s="6" t="str">
        <f>"UNISEX ARTIST COLLABORATION T-SHIRT atb142u
David Bowie"</f>
        <v>UNISEX ARTIST COLLABORATION T-SHIRT atb142u
David Bowie</v>
      </c>
      <c r="K3039" s="6">
        <v>0</v>
      </c>
      <c r="L3039" s="6">
        <v>0</v>
      </c>
      <c r="M3039" s="6">
        <v>0</v>
      </c>
      <c r="N3039" s="6" t="str">
        <f>""</f>
        <v/>
      </c>
      <c r="O3039" s="6">
        <v>23765</v>
      </c>
      <c r="P3039" s="6" t="s">
        <v>12562</v>
      </c>
      <c r="R3039" s="6" t="s">
        <v>12563</v>
      </c>
      <c r="S3039" s="7" t="s">
        <v>12564</v>
      </c>
      <c r="T3039" s="6">
        <v>0</v>
      </c>
      <c r="U3039" s="6">
        <v>0</v>
      </c>
      <c r="V3039" s="6">
        <v>0</v>
      </c>
      <c r="W3039" s="6">
        <v>0</v>
      </c>
      <c r="X3039" s="6" t="s">
        <v>169</v>
      </c>
      <c r="Z3039" s="6" t="s">
        <v>170</v>
      </c>
      <c r="AA3039" s="6" t="s">
        <v>171</v>
      </c>
      <c r="AB3039" s="6">
        <v>0</v>
      </c>
      <c r="AC3039" s="6" t="str">
        <f>""</f>
        <v/>
      </c>
      <c r="AS3039" s="6">
        <v>0</v>
      </c>
      <c r="AT3039" s="6">
        <v>0</v>
      </c>
    </row>
    <row r="3040" spans="2:46">
      <c r="B3040" s="6" t="s">
        <v>108</v>
      </c>
      <c r="D3040" s="6" t="s">
        <v>8189</v>
      </c>
      <c r="F3040" s="6" t="s">
        <v>12565</v>
      </c>
      <c r="G3040" s="6" t="str">
        <f>"A17S2TBW139BKS"</f>
        <v>A17S2TBW139BKS</v>
      </c>
      <c r="H3040" s="6" t="s">
        <v>12566</v>
      </c>
      <c r="I3040" s="6" t="s">
        <v>12567</v>
      </c>
      <c r="J3040" s="6" t="str">
        <f>"PINK PRINT FRILL DRESS atb139wBlack"</f>
        <v>PINK PRINT FRILL DRESS atb139wBlack</v>
      </c>
      <c r="K3040" s="6">
        <v>0</v>
      </c>
      <c r="L3040" s="6">
        <v>0</v>
      </c>
      <c r="M3040" s="6">
        <v>0</v>
      </c>
      <c r="N3040" s="6" t="str">
        <f>""</f>
        <v/>
      </c>
      <c r="O3040" s="6">
        <v>23763</v>
      </c>
      <c r="P3040" s="6" t="s">
        <v>12568</v>
      </c>
      <c r="R3040" s="6" t="s">
        <v>1555</v>
      </c>
      <c r="S3040" s="6" t="s">
        <v>12569</v>
      </c>
      <c r="T3040" s="6">
        <v>0</v>
      </c>
      <c r="U3040" s="6">
        <v>0</v>
      </c>
      <c r="V3040" s="6">
        <v>0</v>
      </c>
      <c r="W3040" s="6">
        <v>0</v>
      </c>
      <c r="X3040" s="6" t="s">
        <v>169</v>
      </c>
      <c r="Z3040" s="6" t="s">
        <v>170</v>
      </c>
      <c r="AA3040" s="6" t="s">
        <v>171</v>
      </c>
      <c r="AB3040" s="6">
        <v>0</v>
      </c>
      <c r="AC3040" s="6" t="str">
        <f>""</f>
        <v/>
      </c>
      <c r="AS3040" s="6">
        <v>0</v>
      </c>
      <c r="AT3040" s="6">
        <v>0</v>
      </c>
    </row>
    <row r="3041" spans="2:46">
      <c r="B3041" s="6" t="s">
        <v>108</v>
      </c>
      <c r="D3041" s="6" t="s">
        <v>8189</v>
      </c>
      <c r="F3041" s="6" t="s">
        <v>12570</v>
      </c>
      <c r="G3041" s="6" t="str">
        <f>"A17S2TBW138BLFRE"</f>
        <v>A17S2TBW138BLFRE</v>
      </c>
      <c r="H3041" s="6" t="s">
        <v>12571</v>
      </c>
      <c r="I3041" s="6" t="s">
        <v>12572</v>
      </c>
      <c r="J3041" s="6" t="str">
        <f>"MOONLIGHT DOUBLE FABRIC DRESS atb138w"</f>
        <v>MOONLIGHT DOUBLE FABRIC DRESS atb138w</v>
      </c>
      <c r="K3041" s="6">
        <v>0</v>
      </c>
      <c r="L3041" s="6">
        <v>0</v>
      </c>
      <c r="M3041" s="6">
        <v>0</v>
      </c>
      <c r="N3041" s="6" t="str">
        <f>""</f>
        <v/>
      </c>
      <c r="O3041" s="6">
        <v>23761</v>
      </c>
      <c r="P3041" s="6" t="s">
        <v>12573</v>
      </c>
      <c r="R3041" s="6" t="s">
        <v>3938</v>
      </c>
      <c r="S3041" s="6" t="s">
        <v>12574</v>
      </c>
      <c r="T3041" s="6">
        <v>0</v>
      </c>
      <c r="U3041" s="6">
        <v>0</v>
      </c>
      <c r="V3041" s="6">
        <v>0</v>
      </c>
      <c r="W3041" s="6">
        <v>0</v>
      </c>
      <c r="X3041" s="6" t="s">
        <v>169</v>
      </c>
      <c r="Z3041" s="6" t="s">
        <v>170</v>
      </c>
      <c r="AA3041" s="6" t="s">
        <v>171</v>
      </c>
      <c r="AB3041" s="6">
        <v>0</v>
      </c>
      <c r="AC3041" s="6" t="str">
        <f>""</f>
        <v/>
      </c>
      <c r="AS3041" s="6">
        <v>0</v>
      </c>
      <c r="AT3041" s="6">
        <v>0</v>
      </c>
    </row>
    <row r="3042" spans="2:46">
      <c r="B3042" s="6" t="s">
        <v>108</v>
      </c>
      <c r="D3042" s="6" t="s">
        <v>8189</v>
      </c>
      <c r="F3042" s="6" t="s">
        <v>12575</v>
      </c>
      <c r="G3042" s="6" t="str">
        <f>"A17S2TBW134SRS"</f>
        <v>A17S2TBW134SRS</v>
      </c>
      <c r="H3042" s="6" t="s">
        <v>12576</v>
      </c>
      <c r="I3042" s="6" t="s">
        <v>12577</v>
      </c>
      <c r="J3042" s="6" t="str">
        <f>"UNBALANCE FLOUNCE BLOUSE atb134wStripe"</f>
        <v>UNBALANCE FLOUNCE BLOUSE atb134wStripe</v>
      </c>
      <c r="K3042" s="6">
        <v>0</v>
      </c>
      <c r="L3042" s="6">
        <v>0</v>
      </c>
      <c r="M3042" s="6">
        <v>0</v>
      </c>
      <c r="N3042" s="6" t="str">
        <f>""</f>
        <v/>
      </c>
      <c r="O3042" s="6">
        <v>23759</v>
      </c>
      <c r="P3042" s="6" t="s">
        <v>12578</v>
      </c>
      <c r="R3042" s="6" t="s">
        <v>12579</v>
      </c>
      <c r="S3042" s="6" t="s">
        <v>12580</v>
      </c>
      <c r="T3042" s="6">
        <v>0</v>
      </c>
      <c r="U3042" s="6">
        <v>0</v>
      </c>
      <c r="V3042" s="6">
        <v>0</v>
      </c>
      <c r="W3042" s="6">
        <v>0</v>
      </c>
      <c r="X3042" s="6" t="s">
        <v>169</v>
      </c>
      <c r="Z3042" s="6" t="s">
        <v>170</v>
      </c>
      <c r="AA3042" s="6" t="s">
        <v>171</v>
      </c>
      <c r="AB3042" s="6">
        <v>0</v>
      </c>
      <c r="AC3042" s="6" t="str">
        <f>""</f>
        <v/>
      </c>
      <c r="AS3042" s="6">
        <v>0</v>
      </c>
      <c r="AT3042" s="6">
        <v>0</v>
      </c>
    </row>
    <row r="3043" spans="2:46">
      <c r="B3043" s="6" t="s">
        <v>108</v>
      </c>
      <c r="D3043" s="6" t="s">
        <v>8189</v>
      </c>
      <c r="F3043" s="6" t="s">
        <v>12581</v>
      </c>
      <c r="G3043" s="6" t="str">
        <f>"A17S2TBW134FOS"</f>
        <v>A17S2TBW134FOS</v>
      </c>
      <c r="H3043" s="6" t="s">
        <v>12582</v>
      </c>
      <c r="I3043" s="6" t="s">
        <v>12583</v>
      </c>
      <c r="J3043" s="6" t="str">
        <f>"UNBALANCE FLOUNCE BLOUSE atb134wFloral"</f>
        <v>UNBALANCE FLOUNCE BLOUSE atb134wFloral</v>
      </c>
      <c r="K3043" s="6">
        <v>0</v>
      </c>
      <c r="L3043" s="6">
        <v>0</v>
      </c>
      <c r="M3043" s="6">
        <v>0</v>
      </c>
      <c r="N3043" s="6" t="str">
        <f>""</f>
        <v/>
      </c>
      <c r="O3043" s="6">
        <v>23757</v>
      </c>
      <c r="P3043" s="6" t="s">
        <v>12584</v>
      </c>
      <c r="R3043" s="6" t="s">
        <v>12585</v>
      </c>
      <c r="S3043" s="6" t="s">
        <v>12586</v>
      </c>
      <c r="T3043" s="6">
        <v>0</v>
      </c>
      <c r="U3043" s="6">
        <v>0</v>
      </c>
      <c r="V3043" s="6">
        <v>0</v>
      </c>
      <c r="W3043" s="6">
        <v>0</v>
      </c>
      <c r="X3043" s="6" t="s">
        <v>169</v>
      </c>
      <c r="Z3043" s="6" t="s">
        <v>170</v>
      </c>
      <c r="AA3043" s="6" t="s">
        <v>171</v>
      </c>
      <c r="AB3043" s="6">
        <v>0</v>
      </c>
      <c r="AC3043" s="6" t="str">
        <f>""</f>
        <v/>
      </c>
      <c r="AS3043" s="6">
        <v>0</v>
      </c>
      <c r="AT3043" s="6">
        <v>0</v>
      </c>
    </row>
    <row r="3044" spans="2:46">
      <c r="B3044" s="6" t="s">
        <v>108</v>
      </c>
      <c r="D3044" s="6" t="s">
        <v>8189</v>
      </c>
      <c r="F3044" s="6" t="s">
        <v>12587</v>
      </c>
      <c r="G3044" s="6" t="str">
        <f>"A17S2TBM131PUM"</f>
        <v>A17S2TBM131PUM</v>
      </c>
      <c r="H3044" s="6" t="s">
        <v>12588</v>
      </c>
      <c r="I3044" s="6" t="s">
        <v>12589</v>
      </c>
      <c r="J3044" s="6" t="str">
        <f>"NEWYORK ALOHA SHIRT atb131mPurple"</f>
        <v>NEWYORK ALOHA SHIRT atb131mPurple</v>
      </c>
      <c r="K3044" s="6">
        <v>0</v>
      </c>
      <c r="L3044" s="6">
        <v>0</v>
      </c>
      <c r="M3044" s="6">
        <v>0</v>
      </c>
      <c r="N3044" s="6" t="str">
        <f>""</f>
        <v/>
      </c>
      <c r="O3044" s="6">
        <v>23755</v>
      </c>
      <c r="P3044" s="6" t="s">
        <v>12590</v>
      </c>
      <c r="R3044" s="6" t="s">
        <v>12444</v>
      </c>
      <c r="S3044" s="6" t="s">
        <v>12591</v>
      </c>
      <c r="T3044" s="6">
        <v>0</v>
      </c>
      <c r="U3044" s="6">
        <v>0</v>
      </c>
      <c r="V3044" s="6">
        <v>0</v>
      </c>
      <c r="W3044" s="6">
        <v>0</v>
      </c>
      <c r="X3044" s="6" t="s">
        <v>169</v>
      </c>
      <c r="Z3044" s="6" t="s">
        <v>170</v>
      </c>
      <c r="AA3044" s="6" t="s">
        <v>171</v>
      </c>
      <c r="AB3044" s="6">
        <v>0</v>
      </c>
      <c r="AC3044" s="6" t="str">
        <f>""</f>
        <v/>
      </c>
      <c r="AS3044" s="6">
        <v>0</v>
      </c>
      <c r="AT3044" s="6">
        <v>0</v>
      </c>
    </row>
    <row r="3045" spans="2:46" ht="99">
      <c r="B3045" s="6" t="s">
        <v>108</v>
      </c>
      <c r="D3045" s="6" t="s">
        <v>8189</v>
      </c>
      <c r="F3045" s="6" t="s">
        <v>12592</v>
      </c>
      <c r="G3045" s="6" t="str">
        <f>"A17SSTBW126RDFRE"</f>
        <v>A17SSTBW126RDFRE</v>
      </c>
      <c r="H3045" s="6" t="s">
        <v>12593</v>
      </c>
      <c r="I3045" s="7" t="s">
        <v>12594</v>
      </c>
      <c r="J3045" s="6" t="str">
        <f>"BACK SLIT STRING SWEATSHIRT 
atb126w"</f>
        <v>BACK SLIT STRING SWEATSHIRT 
atb126w</v>
      </c>
      <c r="K3045" s="6">
        <v>0</v>
      </c>
      <c r="L3045" s="6">
        <v>0</v>
      </c>
      <c r="M3045" s="6">
        <v>0</v>
      </c>
      <c r="N3045" s="6" t="str">
        <f>""</f>
        <v/>
      </c>
      <c r="O3045" s="6">
        <v>23753</v>
      </c>
      <c r="P3045" s="6" t="s">
        <v>12595</v>
      </c>
      <c r="R3045" s="6" t="s">
        <v>1599</v>
      </c>
      <c r="S3045" s="7" t="s">
        <v>12596</v>
      </c>
      <c r="T3045" s="6">
        <v>0</v>
      </c>
      <c r="U3045" s="6">
        <v>0</v>
      </c>
      <c r="V3045" s="6">
        <v>0</v>
      </c>
      <c r="W3045" s="6">
        <v>0</v>
      </c>
      <c r="X3045" s="6" t="s">
        <v>169</v>
      </c>
      <c r="Z3045" s="6" t="s">
        <v>170</v>
      </c>
      <c r="AA3045" s="6" t="s">
        <v>171</v>
      </c>
      <c r="AB3045" s="6">
        <v>0</v>
      </c>
      <c r="AC3045" s="6" t="str">
        <f>""</f>
        <v/>
      </c>
      <c r="AS3045" s="6">
        <v>0</v>
      </c>
      <c r="AT3045" s="6">
        <v>0</v>
      </c>
    </row>
    <row r="3046" spans="2:46" ht="99">
      <c r="B3046" s="6" t="s">
        <v>108</v>
      </c>
      <c r="D3046" s="6" t="s">
        <v>8189</v>
      </c>
      <c r="F3046" s="6" t="s">
        <v>12597</v>
      </c>
      <c r="G3046" s="6" t="str">
        <f>"A17SSTBW126BKFRE"</f>
        <v>A17SSTBW126BKFRE</v>
      </c>
      <c r="H3046" s="6" t="s">
        <v>12598</v>
      </c>
      <c r="I3046" s="7" t="s">
        <v>12594</v>
      </c>
      <c r="J3046" s="6" t="str">
        <f>"BACK SLIT STRING SWEATSHIRT 
atb126w"</f>
        <v>BACK SLIT STRING SWEATSHIRT 
atb126w</v>
      </c>
      <c r="K3046" s="6">
        <v>0</v>
      </c>
      <c r="L3046" s="6">
        <v>0</v>
      </c>
      <c r="M3046" s="6">
        <v>0</v>
      </c>
      <c r="N3046" s="6" t="str">
        <f>""</f>
        <v/>
      </c>
      <c r="O3046" s="6">
        <v>23752</v>
      </c>
      <c r="P3046" s="6" t="s">
        <v>12599</v>
      </c>
      <c r="R3046" s="6" t="s">
        <v>1565</v>
      </c>
      <c r="S3046" s="7" t="s">
        <v>12600</v>
      </c>
      <c r="T3046" s="6">
        <v>0</v>
      </c>
      <c r="U3046" s="6">
        <v>0</v>
      </c>
      <c r="V3046" s="6">
        <v>0</v>
      </c>
      <c r="W3046" s="6">
        <v>0</v>
      </c>
      <c r="X3046" s="6" t="s">
        <v>169</v>
      </c>
      <c r="Z3046" s="6" t="s">
        <v>170</v>
      </c>
      <c r="AA3046" s="6" t="s">
        <v>171</v>
      </c>
      <c r="AB3046" s="6">
        <v>0</v>
      </c>
      <c r="AC3046" s="6" t="str">
        <f>""</f>
        <v/>
      </c>
      <c r="AS3046" s="6">
        <v>0</v>
      </c>
      <c r="AT3046" s="6">
        <v>0</v>
      </c>
    </row>
    <row r="3047" spans="2:46" ht="99">
      <c r="B3047" s="6" t="s">
        <v>108</v>
      </c>
      <c r="D3047" s="6" t="s">
        <v>8189</v>
      </c>
      <c r="F3047" s="6" t="s">
        <v>12601</v>
      </c>
      <c r="G3047" s="6" t="str">
        <f>"A17SSTBM125KKS"</f>
        <v>A17SSTBM125KKS</v>
      </c>
      <c r="H3047" s="6" t="s">
        <v>12602</v>
      </c>
      <c r="I3047" s="7" t="s">
        <v>12603</v>
      </c>
      <c r="J3047" s="6" t="str">
        <f t="shared" ref="J3047:J3052" si="28">"KANE OVERSIZED PIQUE T-SHIRT  
atb125m"</f>
        <v>KANE OVERSIZED PIQUE T-SHIRT  
atb125m</v>
      </c>
      <c r="K3047" s="6">
        <v>0</v>
      </c>
      <c r="L3047" s="6">
        <v>0</v>
      </c>
      <c r="M3047" s="6">
        <v>0</v>
      </c>
      <c r="N3047" s="6" t="str">
        <f>""</f>
        <v/>
      </c>
      <c r="O3047" s="6">
        <v>23750</v>
      </c>
      <c r="P3047" s="6" t="s">
        <v>12604</v>
      </c>
      <c r="R3047" s="6" t="s">
        <v>11898</v>
      </c>
      <c r="S3047" s="7" t="s">
        <v>12605</v>
      </c>
      <c r="T3047" s="6">
        <v>0</v>
      </c>
      <c r="U3047" s="6">
        <v>0</v>
      </c>
      <c r="V3047" s="6">
        <v>0</v>
      </c>
      <c r="W3047" s="6">
        <v>0</v>
      </c>
      <c r="X3047" s="6" t="s">
        <v>169</v>
      </c>
      <c r="Z3047" s="6" t="s">
        <v>170</v>
      </c>
      <c r="AA3047" s="6" t="s">
        <v>171</v>
      </c>
      <c r="AB3047" s="6">
        <v>0</v>
      </c>
      <c r="AC3047" s="6" t="str">
        <f>""</f>
        <v/>
      </c>
      <c r="AS3047" s="6">
        <v>0</v>
      </c>
      <c r="AT3047" s="6">
        <v>0</v>
      </c>
    </row>
    <row r="3048" spans="2:46" ht="99">
      <c r="B3048" s="6" t="s">
        <v>108</v>
      </c>
      <c r="D3048" s="6" t="s">
        <v>8189</v>
      </c>
      <c r="F3048" s="6" t="s">
        <v>12606</v>
      </c>
      <c r="G3048" s="6" t="str">
        <f>"A17SSTBM125KKM"</f>
        <v>A17SSTBM125KKM</v>
      </c>
      <c r="H3048" s="6" t="s">
        <v>12607</v>
      </c>
      <c r="I3048" s="7" t="s">
        <v>12603</v>
      </c>
      <c r="J3048" s="6" t="str">
        <f t="shared" si="28"/>
        <v>KANE OVERSIZED PIQUE T-SHIRT  
atb125m</v>
      </c>
      <c r="K3048" s="6">
        <v>0</v>
      </c>
      <c r="L3048" s="6">
        <v>0</v>
      </c>
      <c r="M3048" s="6">
        <v>0</v>
      </c>
      <c r="N3048" s="6" t="str">
        <f>""</f>
        <v/>
      </c>
      <c r="O3048" s="6">
        <v>23749</v>
      </c>
      <c r="P3048" s="6" t="s">
        <v>12608</v>
      </c>
      <c r="R3048" s="6" t="s">
        <v>12148</v>
      </c>
      <c r="S3048" s="7" t="s">
        <v>12609</v>
      </c>
      <c r="T3048" s="6">
        <v>0</v>
      </c>
      <c r="U3048" s="6">
        <v>0</v>
      </c>
      <c r="V3048" s="6">
        <v>0</v>
      </c>
      <c r="W3048" s="6">
        <v>0</v>
      </c>
      <c r="X3048" s="6" t="s">
        <v>169</v>
      </c>
      <c r="Z3048" s="6" t="s">
        <v>170</v>
      </c>
      <c r="AA3048" s="6" t="s">
        <v>171</v>
      </c>
      <c r="AB3048" s="6">
        <v>0</v>
      </c>
      <c r="AC3048" s="6" t="str">
        <f>""</f>
        <v/>
      </c>
      <c r="AS3048" s="6">
        <v>0</v>
      </c>
      <c r="AT3048" s="6">
        <v>0</v>
      </c>
    </row>
    <row r="3049" spans="2:46" ht="99">
      <c r="B3049" s="6" t="s">
        <v>108</v>
      </c>
      <c r="D3049" s="6" t="s">
        <v>8189</v>
      </c>
      <c r="F3049" s="6" t="s">
        <v>12610</v>
      </c>
      <c r="G3049" s="6" t="str">
        <f>"A17SSTBM125KKL"</f>
        <v>A17SSTBM125KKL</v>
      </c>
      <c r="H3049" s="6" t="s">
        <v>12611</v>
      </c>
      <c r="I3049" s="7" t="s">
        <v>12603</v>
      </c>
      <c r="J3049" s="6" t="str">
        <f t="shared" si="28"/>
        <v>KANE OVERSIZED PIQUE T-SHIRT  
atb125m</v>
      </c>
      <c r="K3049" s="6">
        <v>0</v>
      </c>
      <c r="L3049" s="6">
        <v>0</v>
      </c>
      <c r="M3049" s="6">
        <v>0</v>
      </c>
      <c r="N3049" s="6" t="str">
        <f>""</f>
        <v/>
      </c>
      <c r="O3049" s="6">
        <v>23748</v>
      </c>
      <c r="P3049" s="6" t="s">
        <v>12612</v>
      </c>
      <c r="R3049" s="6" t="s">
        <v>12153</v>
      </c>
      <c r="S3049" s="7" t="s">
        <v>12613</v>
      </c>
      <c r="T3049" s="6">
        <v>0</v>
      </c>
      <c r="U3049" s="6">
        <v>0</v>
      </c>
      <c r="V3049" s="6">
        <v>0</v>
      </c>
      <c r="W3049" s="6">
        <v>0</v>
      </c>
      <c r="X3049" s="6" t="s">
        <v>169</v>
      </c>
      <c r="Z3049" s="6" t="s">
        <v>170</v>
      </c>
      <c r="AA3049" s="6" t="s">
        <v>171</v>
      </c>
      <c r="AB3049" s="6">
        <v>0</v>
      </c>
      <c r="AC3049" s="6" t="str">
        <f>""</f>
        <v/>
      </c>
      <c r="AS3049" s="6">
        <v>0</v>
      </c>
      <c r="AT3049" s="6">
        <v>0</v>
      </c>
    </row>
    <row r="3050" spans="2:46" ht="99">
      <c r="B3050" s="6" t="s">
        <v>108</v>
      </c>
      <c r="D3050" s="6" t="s">
        <v>8189</v>
      </c>
      <c r="F3050" s="6" t="s">
        <v>12614</v>
      </c>
      <c r="G3050" s="6" t="str">
        <f>"A17SSTBM125BKS"</f>
        <v>A17SSTBM125BKS</v>
      </c>
      <c r="H3050" s="6" t="s">
        <v>12615</v>
      </c>
      <c r="I3050" s="7" t="s">
        <v>12603</v>
      </c>
      <c r="J3050" s="6" t="str">
        <f t="shared" si="28"/>
        <v>KANE OVERSIZED PIQUE T-SHIRT  
atb125m</v>
      </c>
      <c r="K3050" s="6">
        <v>0</v>
      </c>
      <c r="L3050" s="6">
        <v>0</v>
      </c>
      <c r="M3050" s="6">
        <v>0</v>
      </c>
      <c r="N3050" s="6" t="str">
        <f>""</f>
        <v/>
      </c>
      <c r="O3050" s="6">
        <v>23747</v>
      </c>
      <c r="P3050" s="6" t="s">
        <v>12616</v>
      </c>
      <c r="R3050" s="6" t="s">
        <v>1555</v>
      </c>
      <c r="S3050" s="7" t="s">
        <v>12617</v>
      </c>
      <c r="T3050" s="6">
        <v>0</v>
      </c>
      <c r="U3050" s="6">
        <v>0</v>
      </c>
      <c r="V3050" s="6">
        <v>0</v>
      </c>
      <c r="W3050" s="6">
        <v>0</v>
      </c>
      <c r="X3050" s="6" t="s">
        <v>169</v>
      </c>
      <c r="Z3050" s="6" t="s">
        <v>170</v>
      </c>
      <c r="AA3050" s="6" t="s">
        <v>171</v>
      </c>
      <c r="AB3050" s="6">
        <v>0</v>
      </c>
      <c r="AC3050" s="6" t="str">
        <f>""</f>
        <v/>
      </c>
      <c r="AS3050" s="6">
        <v>0</v>
      </c>
      <c r="AT3050" s="6">
        <v>0</v>
      </c>
    </row>
    <row r="3051" spans="2:46" ht="99">
      <c r="B3051" s="6" t="s">
        <v>108</v>
      </c>
      <c r="D3051" s="6" t="s">
        <v>8189</v>
      </c>
      <c r="F3051" s="6" t="s">
        <v>12618</v>
      </c>
      <c r="G3051" s="6" t="str">
        <f>"A17SSTBM125BKM"</f>
        <v>A17SSTBM125BKM</v>
      </c>
      <c r="H3051" s="6" t="s">
        <v>12619</v>
      </c>
      <c r="I3051" s="7" t="s">
        <v>12603</v>
      </c>
      <c r="J3051" s="6" t="str">
        <f t="shared" si="28"/>
        <v>KANE OVERSIZED PIQUE T-SHIRT  
atb125m</v>
      </c>
      <c r="K3051" s="6">
        <v>0</v>
      </c>
      <c r="L3051" s="6">
        <v>0</v>
      </c>
      <c r="M3051" s="6">
        <v>0</v>
      </c>
      <c r="N3051" s="6" t="str">
        <f>""</f>
        <v/>
      </c>
      <c r="O3051" s="6">
        <v>23746</v>
      </c>
      <c r="P3051" s="6" t="s">
        <v>12620</v>
      </c>
      <c r="R3051" s="6" t="s">
        <v>1551</v>
      </c>
      <c r="S3051" s="7" t="s">
        <v>12621</v>
      </c>
      <c r="T3051" s="6">
        <v>0</v>
      </c>
      <c r="U3051" s="6">
        <v>0</v>
      </c>
      <c r="V3051" s="6">
        <v>0</v>
      </c>
      <c r="W3051" s="6">
        <v>0</v>
      </c>
      <c r="X3051" s="6" t="s">
        <v>169</v>
      </c>
      <c r="Z3051" s="6" t="s">
        <v>170</v>
      </c>
      <c r="AA3051" s="6" t="s">
        <v>171</v>
      </c>
      <c r="AB3051" s="6">
        <v>0</v>
      </c>
      <c r="AC3051" s="6" t="str">
        <f>""</f>
        <v/>
      </c>
      <c r="AS3051" s="6">
        <v>0</v>
      </c>
      <c r="AT3051" s="6">
        <v>0</v>
      </c>
    </row>
    <row r="3052" spans="2:46" ht="99">
      <c r="B3052" s="6" t="s">
        <v>108</v>
      </c>
      <c r="D3052" s="6" t="s">
        <v>8189</v>
      </c>
      <c r="F3052" s="6" t="s">
        <v>12622</v>
      </c>
      <c r="G3052" s="6" t="str">
        <f>"A17SSTBM125BKL"</f>
        <v>A17SSTBM125BKL</v>
      </c>
      <c r="H3052" s="6" t="s">
        <v>12623</v>
      </c>
      <c r="I3052" s="7" t="s">
        <v>12603</v>
      </c>
      <c r="J3052" s="6" t="str">
        <f t="shared" si="28"/>
        <v>KANE OVERSIZED PIQUE T-SHIRT  
atb125m</v>
      </c>
      <c r="K3052" s="6">
        <v>0</v>
      </c>
      <c r="L3052" s="6">
        <v>0</v>
      </c>
      <c r="M3052" s="6">
        <v>0</v>
      </c>
      <c r="N3052" s="6" t="str">
        <f>""</f>
        <v/>
      </c>
      <c r="O3052" s="6">
        <v>23745</v>
      </c>
      <c r="P3052" s="6" t="s">
        <v>12624</v>
      </c>
      <c r="R3052" s="6" t="s">
        <v>1547</v>
      </c>
      <c r="S3052" s="7" t="s">
        <v>12625</v>
      </c>
      <c r="T3052" s="6">
        <v>0</v>
      </c>
      <c r="U3052" s="6">
        <v>0</v>
      </c>
      <c r="V3052" s="6">
        <v>0</v>
      </c>
      <c r="W3052" s="6">
        <v>0</v>
      </c>
      <c r="X3052" s="6" t="s">
        <v>169</v>
      </c>
      <c r="Z3052" s="6" t="s">
        <v>170</v>
      </c>
      <c r="AA3052" s="6" t="s">
        <v>171</v>
      </c>
      <c r="AB3052" s="6">
        <v>0</v>
      </c>
      <c r="AC3052" s="6" t="str">
        <f>""</f>
        <v/>
      </c>
      <c r="AS3052" s="6">
        <v>0</v>
      </c>
      <c r="AT3052" s="6">
        <v>0</v>
      </c>
    </row>
    <row r="3053" spans="2:46">
      <c r="B3053" s="6" t="s">
        <v>108</v>
      </c>
      <c r="D3053" s="6" t="s">
        <v>8189</v>
      </c>
      <c r="F3053" s="6" t="s">
        <v>12626</v>
      </c>
      <c r="G3053" s="6" t="str">
        <f>"A17SSTBU124BKS"</f>
        <v>A17SSTBU124BKS</v>
      </c>
      <c r="I3053" s="6" t="s">
        <v>76</v>
      </c>
      <c r="J3053" s="6" t="str">
        <f t="shared" ref="J3053:J3058" si="29">"UNISEX ANDERSSON VINTAGE COTTON T-SHIRT  atb124u"</f>
        <v>UNISEX ANDERSSON VINTAGE COTTON T-SHIRT  atb124u</v>
      </c>
      <c r="K3053" s="6">
        <v>0</v>
      </c>
      <c r="L3053" s="6">
        <v>0</v>
      </c>
      <c r="M3053" s="6">
        <v>0</v>
      </c>
      <c r="N3053" s="6" t="str">
        <f>""</f>
        <v/>
      </c>
      <c r="O3053" s="6">
        <v>33335</v>
      </c>
      <c r="P3053" s="6" t="s">
        <v>75</v>
      </c>
      <c r="R3053" s="6" t="s">
        <v>1555</v>
      </c>
      <c r="S3053" s="6" t="s">
        <v>12627</v>
      </c>
      <c r="T3053" s="6">
        <v>0</v>
      </c>
      <c r="U3053" s="6">
        <v>0</v>
      </c>
      <c r="V3053" s="6">
        <v>0</v>
      </c>
      <c r="W3053" s="6">
        <v>0</v>
      </c>
      <c r="X3053" s="6" t="s">
        <v>169</v>
      </c>
      <c r="Z3053" s="6" t="s">
        <v>170</v>
      </c>
      <c r="AA3053" s="6" t="s">
        <v>171</v>
      </c>
      <c r="AB3053" s="6">
        <v>0</v>
      </c>
      <c r="AC3053" s="6" t="str">
        <f>"KEY-017"</f>
        <v>KEY-017</v>
      </c>
      <c r="AQ3053" s="6" t="str">
        <f>"atb124BKS"</f>
        <v>atb124BKS</v>
      </c>
      <c r="AR3053" s="6" t="s">
        <v>1472</v>
      </c>
      <c r="AS3053" s="6">
        <v>0</v>
      </c>
      <c r="AT3053" s="6">
        <v>0</v>
      </c>
    </row>
    <row r="3054" spans="2:46">
      <c r="B3054" s="6" t="s">
        <v>108</v>
      </c>
      <c r="D3054" s="6" t="s">
        <v>8189</v>
      </c>
      <c r="F3054" s="6" t="s">
        <v>12628</v>
      </c>
      <c r="G3054" s="6" t="str">
        <f>"A17SSTBU124WHS"</f>
        <v>A17SSTBU124WHS</v>
      </c>
      <c r="H3054" s="6" t="s">
        <v>12629</v>
      </c>
      <c r="I3054" s="6" t="s">
        <v>76</v>
      </c>
      <c r="J3054" s="6" t="str">
        <f t="shared" si="29"/>
        <v>UNISEX ANDERSSON VINTAGE COTTON T-SHIRT  atb124u</v>
      </c>
      <c r="K3054" s="6">
        <v>0</v>
      </c>
      <c r="L3054" s="6">
        <v>0</v>
      </c>
      <c r="M3054" s="6">
        <v>0</v>
      </c>
      <c r="N3054" s="6" t="str">
        <f>""</f>
        <v/>
      </c>
      <c r="O3054" s="6">
        <v>23743</v>
      </c>
      <c r="P3054" s="6" t="s">
        <v>12630</v>
      </c>
      <c r="R3054" s="6" t="s">
        <v>12129</v>
      </c>
      <c r="S3054" s="6" t="s">
        <v>12631</v>
      </c>
      <c r="T3054" s="6">
        <v>0</v>
      </c>
      <c r="U3054" s="6">
        <v>0</v>
      </c>
      <c r="V3054" s="6">
        <v>0</v>
      </c>
      <c r="W3054" s="6">
        <v>0</v>
      </c>
      <c r="X3054" s="6" t="s">
        <v>169</v>
      </c>
      <c r="Z3054" s="6" t="s">
        <v>170</v>
      </c>
      <c r="AA3054" s="6" t="s">
        <v>171</v>
      </c>
      <c r="AB3054" s="6">
        <v>0</v>
      </c>
      <c r="AC3054" s="6" t="str">
        <f>""</f>
        <v/>
      </c>
      <c r="AS3054" s="6">
        <v>0</v>
      </c>
      <c r="AT3054" s="6">
        <v>0</v>
      </c>
    </row>
    <row r="3055" spans="2:46">
      <c r="B3055" s="6" t="s">
        <v>108</v>
      </c>
      <c r="D3055" s="6" t="s">
        <v>8189</v>
      </c>
      <c r="F3055" s="6" t="s">
        <v>12632</v>
      </c>
      <c r="G3055" s="6" t="str">
        <f>"A17SSTBU124WHM"</f>
        <v>A17SSTBU124WHM</v>
      </c>
      <c r="H3055" s="6" t="s">
        <v>12633</v>
      </c>
      <c r="I3055" s="6" t="s">
        <v>76</v>
      </c>
      <c r="J3055" s="6" t="str">
        <f t="shared" si="29"/>
        <v>UNISEX ANDERSSON VINTAGE COTTON T-SHIRT  atb124u</v>
      </c>
      <c r="K3055" s="6">
        <v>0</v>
      </c>
      <c r="L3055" s="6">
        <v>0</v>
      </c>
      <c r="M3055" s="6">
        <v>0</v>
      </c>
      <c r="N3055" s="6" t="str">
        <f>""</f>
        <v/>
      </c>
      <c r="O3055" s="6">
        <v>23742</v>
      </c>
      <c r="P3055" s="6" t="s">
        <v>12634</v>
      </c>
      <c r="R3055" s="6" t="s">
        <v>12134</v>
      </c>
      <c r="S3055" s="6" t="s">
        <v>12635</v>
      </c>
      <c r="T3055" s="6">
        <v>0</v>
      </c>
      <c r="U3055" s="6">
        <v>0</v>
      </c>
      <c r="V3055" s="6">
        <v>0</v>
      </c>
      <c r="W3055" s="6">
        <v>0</v>
      </c>
      <c r="X3055" s="6" t="s">
        <v>169</v>
      </c>
      <c r="Z3055" s="6" t="s">
        <v>170</v>
      </c>
      <c r="AA3055" s="6" t="s">
        <v>171</v>
      </c>
      <c r="AB3055" s="6">
        <v>0</v>
      </c>
      <c r="AC3055" s="6" t="str">
        <f>""</f>
        <v/>
      </c>
      <c r="AS3055" s="6">
        <v>0</v>
      </c>
      <c r="AT3055" s="6">
        <v>0</v>
      </c>
    </row>
    <row r="3056" spans="2:46">
      <c r="B3056" s="6" t="s">
        <v>108</v>
      </c>
      <c r="D3056" s="6" t="s">
        <v>8189</v>
      </c>
      <c r="F3056" s="6" t="s">
        <v>12636</v>
      </c>
      <c r="G3056" s="6" t="str">
        <f>"A17SSTBU124WHL"</f>
        <v>A17SSTBU124WHL</v>
      </c>
      <c r="H3056" s="6" t="s">
        <v>12637</v>
      </c>
      <c r="I3056" s="6" t="s">
        <v>76</v>
      </c>
      <c r="J3056" s="6" t="str">
        <f t="shared" si="29"/>
        <v>UNISEX ANDERSSON VINTAGE COTTON T-SHIRT  atb124u</v>
      </c>
      <c r="K3056" s="6">
        <v>0</v>
      </c>
      <c r="L3056" s="6">
        <v>0</v>
      </c>
      <c r="M3056" s="6">
        <v>0</v>
      </c>
      <c r="N3056" s="6" t="str">
        <f>""</f>
        <v/>
      </c>
      <c r="O3056" s="6">
        <v>23741</v>
      </c>
      <c r="P3056" s="6" t="s">
        <v>12638</v>
      </c>
      <c r="R3056" s="6" t="s">
        <v>12139</v>
      </c>
      <c r="S3056" s="6" t="s">
        <v>12639</v>
      </c>
      <c r="T3056" s="6">
        <v>0</v>
      </c>
      <c r="U3056" s="6">
        <v>0</v>
      </c>
      <c r="V3056" s="6">
        <v>0</v>
      </c>
      <c r="W3056" s="6">
        <v>0</v>
      </c>
      <c r="X3056" s="6" t="s">
        <v>169</v>
      </c>
      <c r="Z3056" s="6" t="s">
        <v>170</v>
      </c>
      <c r="AA3056" s="6" t="s">
        <v>171</v>
      </c>
      <c r="AB3056" s="6">
        <v>0</v>
      </c>
      <c r="AC3056" s="6" t="str">
        <f>""</f>
        <v/>
      </c>
      <c r="AS3056" s="6">
        <v>0</v>
      </c>
      <c r="AT3056" s="6">
        <v>0</v>
      </c>
    </row>
    <row r="3057" spans="2:46">
      <c r="B3057" s="6" t="s">
        <v>108</v>
      </c>
      <c r="D3057" s="6" t="s">
        <v>8189</v>
      </c>
      <c r="F3057" s="6" t="s">
        <v>12640</v>
      </c>
      <c r="G3057" s="6" t="str">
        <f>"A17SSTBU124BKM"</f>
        <v>A17SSTBU124BKM</v>
      </c>
      <c r="H3057" s="6" t="s">
        <v>12641</v>
      </c>
      <c r="I3057" s="6" t="s">
        <v>76</v>
      </c>
      <c r="J3057" s="6" t="str">
        <f t="shared" si="29"/>
        <v>UNISEX ANDERSSON VINTAGE COTTON T-SHIRT  atb124u</v>
      </c>
      <c r="K3057" s="6">
        <v>0</v>
      </c>
      <c r="L3057" s="6">
        <v>0</v>
      </c>
      <c r="M3057" s="6">
        <v>0</v>
      </c>
      <c r="N3057" s="6" t="str">
        <f>""</f>
        <v/>
      </c>
      <c r="O3057" s="6">
        <v>23740</v>
      </c>
      <c r="P3057" s="6" t="s">
        <v>12642</v>
      </c>
      <c r="R3057" s="6" t="s">
        <v>1551</v>
      </c>
      <c r="S3057" s="6" t="s">
        <v>12643</v>
      </c>
      <c r="T3057" s="6">
        <v>0</v>
      </c>
      <c r="U3057" s="6">
        <v>0</v>
      </c>
      <c r="V3057" s="6">
        <v>0</v>
      </c>
      <c r="W3057" s="6">
        <v>0</v>
      </c>
      <c r="X3057" s="6" t="s">
        <v>169</v>
      </c>
      <c r="Z3057" s="6" t="s">
        <v>170</v>
      </c>
      <c r="AA3057" s="6" t="s">
        <v>171</v>
      </c>
      <c r="AB3057" s="6">
        <v>0</v>
      </c>
      <c r="AC3057" s="6" t="str">
        <f>""</f>
        <v/>
      </c>
      <c r="AS3057" s="6">
        <v>0</v>
      </c>
      <c r="AT3057" s="6">
        <v>0</v>
      </c>
    </row>
    <row r="3058" spans="2:46">
      <c r="B3058" s="6" t="s">
        <v>108</v>
      </c>
      <c r="D3058" s="6" t="s">
        <v>8189</v>
      </c>
      <c r="F3058" s="6" t="s">
        <v>12644</v>
      </c>
      <c r="G3058" s="6" t="str">
        <f>"A17SSTBU124BKL"</f>
        <v>A17SSTBU124BKL</v>
      </c>
      <c r="H3058" s="6" t="s">
        <v>12645</v>
      </c>
      <c r="I3058" s="6" t="s">
        <v>76</v>
      </c>
      <c r="J3058" s="6" t="str">
        <f t="shared" si="29"/>
        <v>UNISEX ANDERSSON VINTAGE COTTON T-SHIRT  atb124u</v>
      </c>
      <c r="K3058" s="6">
        <v>0</v>
      </c>
      <c r="L3058" s="6">
        <v>0</v>
      </c>
      <c r="M3058" s="6">
        <v>0</v>
      </c>
      <c r="N3058" s="6" t="str">
        <f>""</f>
        <v/>
      </c>
      <c r="O3058" s="6">
        <v>23739</v>
      </c>
      <c r="P3058" s="6" t="s">
        <v>12646</v>
      </c>
      <c r="R3058" s="6" t="s">
        <v>1547</v>
      </c>
      <c r="S3058" s="6" t="s">
        <v>12647</v>
      </c>
      <c r="T3058" s="6">
        <v>0</v>
      </c>
      <c r="U3058" s="6">
        <v>0</v>
      </c>
      <c r="V3058" s="6">
        <v>0</v>
      </c>
      <c r="W3058" s="6">
        <v>0</v>
      </c>
      <c r="X3058" s="6" t="s">
        <v>169</v>
      </c>
      <c r="Z3058" s="6" t="s">
        <v>170</v>
      </c>
      <c r="AA3058" s="6" t="s">
        <v>171</v>
      </c>
      <c r="AB3058" s="6">
        <v>0</v>
      </c>
      <c r="AC3058" s="6" t="str">
        <f>""</f>
        <v/>
      </c>
      <c r="AS3058" s="6">
        <v>0</v>
      </c>
      <c r="AT3058" s="6">
        <v>0</v>
      </c>
    </row>
    <row r="3059" spans="2:46">
      <c r="B3059" s="6" t="s">
        <v>108</v>
      </c>
      <c r="D3059" s="6" t="s">
        <v>8189</v>
      </c>
      <c r="F3059" s="6" t="s">
        <v>12648</v>
      </c>
      <c r="G3059" s="6" t="str">
        <f>"A17SSTBU123YLS"</f>
        <v>A17SSTBU123YLS</v>
      </c>
      <c r="H3059" s="6" t="s">
        <v>12649</v>
      </c>
      <c r="I3059" s="6" t="s">
        <v>12650</v>
      </c>
      <c r="J3059" s="6" t="str">
        <f t="shared" ref="J3059:J3066" si="30">"UNISEX LOS ANGELES EMBROIDERY SWEATSHIRT atb123u"</f>
        <v>UNISEX LOS ANGELES EMBROIDERY SWEATSHIRT atb123u</v>
      </c>
      <c r="K3059" s="6">
        <v>0</v>
      </c>
      <c r="L3059" s="6">
        <v>0</v>
      </c>
      <c r="M3059" s="6">
        <v>0</v>
      </c>
      <c r="N3059" s="6" t="str">
        <f>""</f>
        <v/>
      </c>
      <c r="O3059" s="6">
        <v>23737</v>
      </c>
      <c r="P3059" s="6" t="s">
        <v>12651</v>
      </c>
      <c r="R3059" s="6" t="s">
        <v>12104</v>
      </c>
      <c r="S3059" s="6" t="s">
        <v>12652</v>
      </c>
      <c r="T3059" s="6">
        <v>0</v>
      </c>
      <c r="U3059" s="6">
        <v>0</v>
      </c>
      <c r="V3059" s="6">
        <v>0</v>
      </c>
      <c r="W3059" s="6">
        <v>0</v>
      </c>
      <c r="X3059" s="6" t="s">
        <v>169</v>
      </c>
      <c r="Z3059" s="6" t="s">
        <v>170</v>
      </c>
      <c r="AA3059" s="6" t="s">
        <v>171</v>
      </c>
      <c r="AB3059" s="6">
        <v>0</v>
      </c>
      <c r="AC3059" s="6" t="str">
        <f>""</f>
        <v/>
      </c>
      <c r="AS3059" s="6">
        <v>0</v>
      </c>
      <c r="AT3059" s="6">
        <v>0</v>
      </c>
    </row>
    <row r="3060" spans="2:46">
      <c r="B3060" s="6" t="s">
        <v>108</v>
      </c>
      <c r="D3060" s="6" t="s">
        <v>8189</v>
      </c>
      <c r="F3060" s="6" t="s">
        <v>12653</v>
      </c>
      <c r="G3060" s="6" t="str">
        <f>"A17SSTBU123YLM"</f>
        <v>A17SSTBU123YLM</v>
      </c>
      <c r="H3060" s="6" t="s">
        <v>12654</v>
      </c>
      <c r="I3060" s="6" t="s">
        <v>12650</v>
      </c>
      <c r="J3060" s="6" t="str">
        <f t="shared" si="30"/>
        <v>UNISEX LOS ANGELES EMBROIDERY SWEATSHIRT atb123u</v>
      </c>
      <c r="K3060" s="6">
        <v>0</v>
      </c>
      <c r="L3060" s="6">
        <v>0</v>
      </c>
      <c r="M3060" s="6">
        <v>0</v>
      </c>
      <c r="N3060" s="6" t="str">
        <f>""</f>
        <v/>
      </c>
      <c r="O3060" s="6">
        <v>23736</v>
      </c>
      <c r="P3060" s="6" t="s">
        <v>12655</v>
      </c>
      <c r="R3060" s="6" t="s">
        <v>12656</v>
      </c>
      <c r="S3060" s="6" t="s">
        <v>12657</v>
      </c>
      <c r="T3060" s="6">
        <v>0</v>
      </c>
      <c r="U3060" s="6">
        <v>0</v>
      </c>
      <c r="V3060" s="6">
        <v>0</v>
      </c>
      <c r="W3060" s="6">
        <v>0</v>
      </c>
      <c r="X3060" s="6" t="s">
        <v>169</v>
      </c>
      <c r="Z3060" s="6" t="s">
        <v>170</v>
      </c>
      <c r="AA3060" s="6" t="s">
        <v>171</v>
      </c>
      <c r="AB3060" s="6">
        <v>0</v>
      </c>
      <c r="AC3060" s="6" t="str">
        <f>""</f>
        <v/>
      </c>
      <c r="AS3060" s="6">
        <v>0</v>
      </c>
      <c r="AT3060" s="6">
        <v>0</v>
      </c>
    </row>
    <row r="3061" spans="2:46">
      <c r="B3061" s="6" t="s">
        <v>108</v>
      </c>
      <c r="D3061" s="6" t="s">
        <v>8189</v>
      </c>
      <c r="F3061" s="6" t="s">
        <v>12658</v>
      </c>
      <c r="G3061" s="6" t="str">
        <f>"A17SSTBU123YLL"</f>
        <v>A17SSTBU123YLL</v>
      </c>
      <c r="H3061" s="6" t="s">
        <v>12659</v>
      </c>
      <c r="I3061" s="6" t="s">
        <v>12650</v>
      </c>
      <c r="J3061" s="6" t="str">
        <f t="shared" si="30"/>
        <v>UNISEX LOS ANGELES EMBROIDERY SWEATSHIRT atb123u</v>
      </c>
      <c r="K3061" s="6">
        <v>0</v>
      </c>
      <c r="L3061" s="6">
        <v>0</v>
      </c>
      <c r="M3061" s="6">
        <v>0</v>
      </c>
      <c r="N3061" s="6" t="str">
        <f>""</f>
        <v/>
      </c>
      <c r="O3061" s="6">
        <v>23735</v>
      </c>
      <c r="P3061" s="6" t="s">
        <v>12660</v>
      </c>
      <c r="R3061" s="6" t="s">
        <v>12661</v>
      </c>
      <c r="S3061" s="6" t="s">
        <v>12662</v>
      </c>
      <c r="T3061" s="6">
        <v>0</v>
      </c>
      <c r="U3061" s="6">
        <v>0</v>
      </c>
      <c r="V3061" s="6">
        <v>0</v>
      </c>
      <c r="W3061" s="6">
        <v>0</v>
      </c>
      <c r="X3061" s="6" t="s">
        <v>169</v>
      </c>
      <c r="Z3061" s="6" t="s">
        <v>170</v>
      </c>
      <c r="AA3061" s="6" t="s">
        <v>171</v>
      </c>
      <c r="AB3061" s="6">
        <v>0</v>
      </c>
      <c r="AC3061" s="6" t="str">
        <f>""</f>
        <v/>
      </c>
      <c r="AS3061" s="6">
        <v>0</v>
      </c>
      <c r="AT3061" s="6">
        <v>0</v>
      </c>
    </row>
    <row r="3062" spans="2:46">
      <c r="B3062" s="6" t="s">
        <v>108</v>
      </c>
      <c r="D3062" s="6" t="s">
        <v>8189</v>
      </c>
      <c r="F3062" s="6" t="s">
        <v>12663</v>
      </c>
      <c r="G3062" s="6" t="str">
        <f>"A17SSTBU123PUS"</f>
        <v>A17SSTBU123PUS</v>
      </c>
      <c r="H3062" s="6" t="s">
        <v>12664</v>
      </c>
      <c r="I3062" s="6" t="s">
        <v>12650</v>
      </c>
      <c r="J3062" s="6" t="str">
        <f t="shared" si="30"/>
        <v>UNISEX LOS ANGELES EMBROIDERY SWEATSHIRT atb123u</v>
      </c>
      <c r="K3062" s="6">
        <v>0</v>
      </c>
      <c r="L3062" s="6">
        <v>0</v>
      </c>
      <c r="M3062" s="6">
        <v>0</v>
      </c>
      <c r="N3062" s="6" t="str">
        <f>""</f>
        <v/>
      </c>
      <c r="O3062" s="6">
        <v>23734</v>
      </c>
      <c r="P3062" s="6" t="s">
        <v>12665</v>
      </c>
      <c r="R3062" s="6" t="s">
        <v>12440</v>
      </c>
      <c r="S3062" s="6" t="s">
        <v>12666</v>
      </c>
      <c r="T3062" s="6">
        <v>0</v>
      </c>
      <c r="U3062" s="6">
        <v>0</v>
      </c>
      <c r="V3062" s="6">
        <v>0</v>
      </c>
      <c r="W3062" s="6">
        <v>0</v>
      </c>
      <c r="X3062" s="6" t="s">
        <v>169</v>
      </c>
      <c r="Z3062" s="6" t="s">
        <v>170</v>
      </c>
      <c r="AA3062" s="6" t="s">
        <v>171</v>
      </c>
      <c r="AB3062" s="6">
        <v>0</v>
      </c>
      <c r="AC3062" s="6" t="str">
        <f>""</f>
        <v/>
      </c>
      <c r="AS3062" s="6">
        <v>0</v>
      </c>
      <c r="AT3062" s="6">
        <v>0</v>
      </c>
    </row>
    <row r="3063" spans="2:46">
      <c r="B3063" s="6" t="s">
        <v>108</v>
      </c>
      <c r="D3063" s="6" t="s">
        <v>8189</v>
      </c>
      <c r="F3063" s="6" t="s">
        <v>12667</v>
      </c>
      <c r="G3063" s="6" t="str">
        <f>"A17SSTBU123PUM"</f>
        <v>A17SSTBU123PUM</v>
      </c>
      <c r="H3063" s="6" t="s">
        <v>12668</v>
      </c>
      <c r="I3063" s="6" t="s">
        <v>12650</v>
      </c>
      <c r="J3063" s="6" t="str">
        <f t="shared" si="30"/>
        <v>UNISEX LOS ANGELES EMBROIDERY SWEATSHIRT atb123u</v>
      </c>
      <c r="K3063" s="6">
        <v>0</v>
      </c>
      <c r="L3063" s="6">
        <v>0</v>
      </c>
      <c r="M3063" s="6">
        <v>0</v>
      </c>
      <c r="N3063" s="6" t="str">
        <f>""</f>
        <v/>
      </c>
      <c r="O3063" s="6">
        <v>23733</v>
      </c>
      <c r="P3063" s="6" t="s">
        <v>12669</v>
      </c>
      <c r="R3063" s="6" t="s">
        <v>12444</v>
      </c>
      <c r="S3063" s="6" t="s">
        <v>12670</v>
      </c>
      <c r="T3063" s="6">
        <v>0</v>
      </c>
      <c r="U3063" s="6">
        <v>0</v>
      </c>
      <c r="V3063" s="6">
        <v>0</v>
      </c>
      <c r="W3063" s="6">
        <v>0</v>
      </c>
      <c r="X3063" s="6" t="s">
        <v>169</v>
      </c>
      <c r="Z3063" s="6" t="s">
        <v>170</v>
      </c>
      <c r="AA3063" s="6" t="s">
        <v>171</v>
      </c>
      <c r="AB3063" s="6">
        <v>0</v>
      </c>
      <c r="AC3063" s="6" t="str">
        <f>""</f>
        <v/>
      </c>
      <c r="AS3063" s="6">
        <v>0</v>
      </c>
      <c r="AT3063" s="6">
        <v>0</v>
      </c>
    </row>
    <row r="3064" spans="2:46">
      <c r="B3064" s="6" t="s">
        <v>108</v>
      </c>
      <c r="D3064" s="6" t="s">
        <v>8189</v>
      </c>
      <c r="F3064" s="6" t="s">
        <v>12671</v>
      </c>
      <c r="G3064" s="6" t="str">
        <f>"A17SSTBU123PUL"</f>
        <v>A17SSTBU123PUL</v>
      </c>
      <c r="H3064" s="6" t="s">
        <v>12672</v>
      </c>
      <c r="I3064" s="6" t="s">
        <v>12650</v>
      </c>
      <c r="J3064" s="6" t="str">
        <f t="shared" si="30"/>
        <v>UNISEX LOS ANGELES EMBROIDERY SWEATSHIRT atb123u</v>
      </c>
      <c r="K3064" s="6">
        <v>0</v>
      </c>
      <c r="L3064" s="6">
        <v>0</v>
      </c>
      <c r="M3064" s="6">
        <v>0</v>
      </c>
      <c r="N3064" s="6" t="str">
        <f>""</f>
        <v/>
      </c>
      <c r="O3064" s="6">
        <v>23732</v>
      </c>
      <c r="P3064" s="6" t="s">
        <v>12673</v>
      </c>
      <c r="R3064" s="6" t="s">
        <v>12674</v>
      </c>
      <c r="S3064" s="6" t="s">
        <v>12675</v>
      </c>
      <c r="T3064" s="6">
        <v>0</v>
      </c>
      <c r="U3064" s="6">
        <v>0</v>
      </c>
      <c r="V3064" s="6">
        <v>0</v>
      </c>
      <c r="W3064" s="6">
        <v>0</v>
      </c>
      <c r="X3064" s="6" t="s">
        <v>169</v>
      </c>
      <c r="Z3064" s="6" t="s">
        <v>170</v>
      </c>
      <c r="AA3064" s="6" t="s">
        <v>171</v>
      </c>
      <c r="AB3064" s="6">
        <v>0</v>
      </c>
      <c r="AC3064" s="6" t="str">
        <f>""</f>
        <v/>
      </c>
      <c r="AS3064" s="6">
        <v>0</v>
      </c>
      <c r="AT3064" s="6">
        <v>0</v>
      </c>
    </row>
    <row r="3065" spans="2:46">
      <c r="B3065" s="6" t="s">
        <v>108</v>
      </c>
      <c r="D3065" s="6" t="s">
        <v>8189</v>
      </c>
      <c r="F3065" s="6" t="s">
        <v>12676</v>
      </c>
      <c r="G3065" s="6" t="str">
        <f>"A17SSTBU123BRS"</f>
        <v>A17SSTBU123BRS</v>
      </c>
      <c r="H3065" s="6" t="s">
        <v>12677</v>
      </c>
      <c r="I3065" s="6" t="s">
        <v>12650</v>
      </c>
      <c r="J3065" s="6" t="str">
        <f t="shared" si="30"/>
        <v>UNISEX LOS ANGELES EMBROIDERY SWEATSHIRT atb123u</v>
      </c>
      <c r="K3065" s="6">
        <v>0</v>
      </c>
      <c r="L3065" s="6">
        <v>0</v>
      </c>
      <c r="M3065" s="6">
        <v>0</v>
      </c>
      <c r="N3065" s="6" t="str">
        <f>""</f>
        <v/>
      </c>
      <c r="O3065" s="6">
        <v>23731</v>
      </c>
      <c r="P3065" s="6" t="s">
        <v>12678</v>
      </c>
      <c r="R3065" s="6" t="s">
        <v>12113</v>
      </c>
      <c r="S3065" s="6" t="s">
        <v>12679</v>
      </c>
      <c r="T3065" s="6">
        <v>0</v>
      </c>
      <c r="U3065" s="6">
        <v>0</v>
      </c>
      <c r="V3065" s="6">
        <v>0</v>
      </c>
      <c r="W3065" s="6">
        <v>0</v>
      </c>
      <c r="X3065" s="6" t="s">
        <v>169</v>
      </c>
      <c r="Z3065" s="6" t="s">
        <v>170</v>
      </c>
      <c r="AA3065" s="6" t="s">
        <v>171</v>
      </c>
      <c r="AB3065" s="6">
        <v>0</v>
      </c>
      <c r="AC3065" s="6" t="str">
        <f>""</f>
        <v/>
      </c>
      <c r="AS3065" s="6">
        <v>0</v>
      </c>
      <c r="AT3065" s="6">
        <v>0</v>
      </c>
    </row>
    <row r="3066" spans="2:46">
      <c r="B3066" s="6" t="s">
        <v>108</v>
      </c>
      <c r="D3066" s="6" t="s">
        <v>8189</v>
      </c>
      <c r="F3066" s="6" t="s">
        <v>12680</v>
      </c>
      <c r="G3066" s="6" t="str">
        <f>"A17SSTBU123BRL"</f>
        <v>A17SSTBU123BRL</v>
      </c>
      <c r="H3066" s="6" t="s">
        <v>12681</v>
      </c>
      <c r="I3066" s="6" t="s">
        <v>12650</v>
      </c>
      <c r="J3066" s="6" t="str">
        <f t="shared" si="30"/>
        <v>UNISEX LOS ANGELES EMBROIDERY SWEATSHIRT atb123u</v>
      </c>
      <c r="K3066" s="6">
        <v>0</v>
      </c>
      <c r="L3066" s="6">
        <v>0</v>
      </c>
      <c r="M3066" s="6">
        <v>0</v>
      </c>
      <c r="N3066" s="6" t="str">
        <f>""</f>
        <v/>
      </c>
      <c r="O3066" s="6">
        <v>23730</v>
      </c>
      <c r="P3066" s="6" t="s">
        <v>12682</v>
      </c>
      <c r="R3066" s="6" t="s">
        <v>12683</v>
      </c>
      <c r="S3066" s="6" t="s">
        <v>12684</v>
      </c>
      <c r="T3066" s="6">
        <v>0</v>
      </c>
      <c r="U3066" s="6">
        <v>0</v>
      </c>
      <c r="V3066" s="6">
        <v>0</v>
      </c>
      <c r="W3066" s="6">
        <v>0</v>
      </c>
      <c r="X3066" s="6" t="s">
        <v>169</v>
      </c>
      <c r="Z3066" s="6" t="s">
        <v>170</v>
      </c>
      <c r="AA3066" s="6" t="s">
        <v>171</v>
      </c>
      <c r="AB3066" s="6">
        <v>0</v>
      </c>
      <c r="AC3066" s="6" t="str">
        <f>""</f>
        <v/>
      </c>
      <c r="AS3066" s="6">
        <v>0</v>
      </c>
      <c r="AT3066" s="6">
        <v>0</v>
      </c>
    </row>
    <row r="3067" spans="2:46">
      <c r="B3067" s="6" t="s">
        <v>108</v>
      </c>
      <c r="D3067" s="6" t="s">
        <v>8189</v>
      </c>
      <c r="F3067" s="6" t="s">
        <v>12685</v>
      </c>
      <c r="G3067" s="6" t="str">
        <f>"A17SSTBU122PKXL"</f>
        <v>A17SSTBU122PKXL</v>
      </c>
      <c r="H3067" s="6" t="s">
        <v>12686</v>
      </c>
      <c r="I3067" s="6" t="s">
        <v>12687</v>
      </c>
      <c r="J3067" s="6" t="str">
        <f t="shared" ref="J3067:J3078" si="31">"UNISEX UNUSUAL PALETTE HOODIE atb122u"</f>
        <v>UNISEX UNUSUAL PALETTE HOODIE atb122u</v>
      </c>
      <c r="K3067" s="6">
        <v>0</v>
      </c>
      <c r="L3067" s="6">
        <v>0</v>
      </c>
      <c r="M3067" s="6">
        <v>0</v>
      </c>
      <c r="N3067" s="6" t="str">
        <f>""</f>
        <v/>
      </c>
      <c r="O3067" s="6">
        <v>23728</v>
      </c>
      <c r="P3067" s="6" t="s">
        <v>12688</v>
      </c>
      <c r="R3067" s="6" t="s">
        <v>12689</v>
      </c>
      <c r="S3067" s="6" t="s">
        <v>12690</v>
      </c>
      <c r="T3067" s="6">
        <v>0</v>
      </c>
      <c r="U3067" s="6">
        <v>0</v>
      </c>
      <c r="V3067" s="6">
        <v>0</v>
      </c>
      <c r="W3067" s="6">
        <v>0</v>
      </c>
      <c r="X3067" s="6" t="s">
        <v>169</v>
      </c>
      <c r="Z3067" s="6" t="s">
        <v>170</v>
      </c>
      <c r="AA3067" s="6" t="s">
        <v>171</v>
      </c>
      <c r="AB3067" s="6">
        <v>0</v>
      </c>
      <c r="AC3067" s="6" t="str">
        <f>""</f>
        <v/>
      </c>
      <c r="AS3067" s="6">
        <v>0</v>
      </c>
      <c r="AT3067" s="6">
        <v>0</v>
      </c>
    </row>
    <row r="3068" spans="2:46">
      <c r="B3068" s="6" t="s">
        <v>108</v>
      </c>
      <c r="D3068" s="6" t="s">
        <v>8189</v>
      </c>
      <c r="F3068" s="6" t="s">
        <v>12691</v>
      </c>
      <c r="G3068" s="6" t="str">
        <f>"A17SSTBU122PKS"</f>
        <v>A17SSTBU122PKS</v>
      </c>
      <c r="H3068" s="6" t="s">
        <v>12692</v>
      </c>
      <c r="I3068" s="6" t="s">
        <v>12687</v>
      </c>
      <c r="J3068" s="6" t="str">
        <f t="shared" si="31"/>
        <v>UNISEX UNUSUAL PALETTE HOODIE atb122u</v>
      </c>
      <c r="K3068" s="6">
        <v>0</v>
      </c>
      <c r="L3068" s="6">
        <v>0</v>
      </c>
      <c r="M3068" s="6">
        <v>0</v>
      </c>
      <c r="N3068" s="6" t="str">
        <f>""</f>
        <v/>
      </c>
      <c r="O3068" s="6">
        <v>23727</v>
      </c>
      <c r="P3068" s="6" t="s">
        <v>12693</v>
      </c>
      <c r="R3068" s="6" t="s">
        <v>12694</v>
      </c>
      <c r="S3068" s="6" t="s">
        <v>12695</v>
      </c>
      <c r="T3068" s="6">
        <v>0</v>
      </c>
      <c r="U3068" s="6">
        <v>0</v>
      </c>
      <c r="V3068" s="6">
        <v>0</v>
      </c>
      <c r="W3068" s="6">
        <v>0</v>
      </c>
      <c r="X3068" s="6" t="s">
        <v>169</v>
      </c>
      <c r="Z3068" s="6" t="s">
        <v>170</v>
      </c>
      <c r="AA3068" s="6" t="s">
        <v>171</v>
      </c>
      <c r="AB3068" s="6">
        <v>0</v>
      </c>
      <c r="AC3068" s="6" t="str">
        <f>""</f>
        <v/>
      </c>
      <c r="AS3068" s="6">
        <v>0</v>
      </c>
      <c r="AT3068" s="6">
        <v>0</v>
      </c>
    </row>
    <row r="3069" spans="2:46">
      <c r="B3069" s="6" t="s">
        <v>108</v>
      </c>
      <c r="D3069" s="6" t="s">
        <v>8189</v>
      </c>
      <c r="F3069" s="6" t="s">
        <v>12696</v>
      </c>
      <c r="G3069" s="6" t="str">
        <f>"A17SSTBU122PKM"</f>
        <v>A17SSTBU122PKM</v>
      </c>
      <c r="H3069" s="6" t="s">
        <v>12697</v>
      </c>
      <c r="I3069" s="6" t="s">
        <v>12687</v>
      </c>
      <c r="J3069" s="6" t="str">
        <f t="shared" si="31"/>
        <v>UNISEX UNUSUAL PALETTE HOODIE atb122u</v>
      </c>
      <c r="K3069" s="6">
        <v>0</v>
      </c>
      <c r="L3069" s="6">
        <v>0</v>
      </c>
      <c r="M3069" s="6">
        <v>0</v>
      </c>
      <c r="N3069" s="6" t="str">
        <f>""</f>
        <v/>
      </c>
      <c r="O3069" s="6">
        <v>23726</v>
      </c>
      <c r="P3069" s="6" t="s">
        <v>12698</v>
      </c>
      <c r="R3069" s="6" t="s">
        <v>12699</v>
      </c>
      <c r="S3069" s="6" t="s">
        <v>12700</v>
      </c>
      <c r="T3069" s="6">
        <v>0</v>
      </c>
      <c r="U3069" s="6">
        <v>0</v>
      </c>
      <c r="V3069" s="6">
        <v>0</v>
      </c>
      <c r="W3069" s="6">
        <v>0</v>
      </c>
      <c r="X3069" s="6" t="s">
        <v>169</v>
      </c>
      <c r="Z3069" s="6" t="s">
        <v>170</v>
      </c>
      <c r="AA3069" s="6" t="s">
        <v>171</v>
      </c>
      <c r="AB3069" s="6">
        <v>0</v>
      </c>
      <c r="AC3069" s="6" t="str">
        <f>""</f>
        <v/>
      </c>
      <c r="AS3069" s="6">
        <v>0</v>
      </c>
      <c r="AT3069" s="6">
        <v>0</v>
      </c>
    </row>
    <row r="3070" spans="2:46">
      <c r="B3070" s="6" t="s">
        <v>108</v>
      </c>
      <c r="D3070" s="6" t="s">
        <v>8189</v>
      </c>
      <c r="F3070" s="6" t="s">
        <v>12701</v>
      </c>
      <c r="G3070" s="6" t="str">
        <f>"A17SSTBU122PKL"</f>
        <v>A17SSTBU122PKL</v>
      </c>
      <c r="H3070" s="6" t="s">
        <v>12702</v>
      </c>
      <c r="I3070" s="6" t="s">
        <v>12687</v>
      </c>
      <c r="J3070" s="6" t="str">
        <f t="shared" si="31"/>
        <v>UNISEX UNUSUAL PALETTE HOODIE atb122u</v>
      </c>
      <c r="K3070" s="6">
        <v>0</v>
      </c>
      <c r="L3070" s="6">
        <v>0</v>
      </c>
      <c r="M3070" s="6">
        <v>0</v>
      </c>
      <c r="N3070" s="6" t="str">
        <f>""</f>
        <v/>
      </c>
      <c r="O3070" s="6">
        <v>23725</v>
      </c>
      <c r="P3070" s="6" t="s">
        <v>12703</v>
      </c>
      <c r="R3070" s="6" t="s">
        <v>12704</v>
      </c>
      <c r="S3070" s="6" t="s">
        <v>12705</v>
      </c>
      <c r="T3070" s="6">
        <v>0</v>
      </c>
      <c r="U3070" s="6">
        <v>0</v>
      </c>
      <c r="V3070" s="6">
        <v>0</v>
      </c>
      <c r="W3070" s="6">
        <v>0</v>
      </c>
      <c r="X3070" s="6" t="s">
        <v>169</v>
      </c>
      <c r="Z3070" s="6" t="s">
        <v>170</v>
      </c>
      <c r="AA3070" s="6" t="s">
        <v>171</v>
      </c>
      <c r="AB3070" s="6">
        <v>0</v>
      </c>
      <c r="AC3070" s="6" t="str">
        <f>""</f>
        <v/>
      </c>
      <c r="AS3070" s="6">
        <v>0</v>
      </c>
      <c r="AT3070" s="6">
        <v>0</v>
      </c>
    </row>
    <row r="3071" spans="2:46">
      <c r="B3071" s="6" t="s">
        <v>108</v>
      </c>
      <c r="D3071" s="6" t="s">
        <v>8189</v>
      </c>
      <c r="F3071" s="6" t="s">
        <v>12706</v>
      </c>
      <c r="G3071" s="6" t="str">
        <f>"A17SSTBU122GEXL"</f>
        <v>A17SSTBU122GEXL</v>
      </c>
      <c r="H3071" s="6" t="s">
        <v>12707</v>
      </c>
      <c r="I3071" s="6" t="s">
        <v>12687</v>
      </c>
      <c r="J3071" s="6" t="str">
        <f t="shared" si="31"/>
        <v>UNISEX UNUSUAL PALETTE HOODIE atb122u</v>
      </c>
      <c r="K3071" s="6">
        <v>0</v>
      </c>
      <c r="L3071" s="6">
        <v>0</v>
      </c>
      <c r="M3071" s="6">
        <v>0</v>
      </c>
      <c r="N3071" s="6" t="str">
        <f>""</f>
        <v/>
      </c>
      <c r="O3071" s="6">
        <v>23724</v>
      </c>
      <c r="P3071" s="6" t="s">
        <v>12708</v>
      </c>
      <c r="R3071" s="6" t="s">
        <v>12709</v>
      </c>
      <c r="S3071" s="6" t="s">
        <v>12710</v>
      </c>
      <c r="T3071" s="6">
        <v>0</v>
      </c>
      <c r="U3071" s="6">
        <v>0</v>
      </c>
      <c r="V3071" s="6">
        <v>0</v>
      </c>
      <c r="W3071" s="6">
        <v>0</v>
      </c>
      <c r="X3071" s="6" t="s">
        <v>169</v>
      </c>
      <c r="Z3071" s="6" t="s">
        <v>170</v>
      </c>
      <c r="AA3071" s="6" t="s">
        <v>171</v>
      </c>
      <c r="AB3071" s="6">
        <v>0</v>
      </c>
      <c r="AC3071" s="6" t="str">
        <f>""</f>
        <v/>
      </c>
      <c r="AS3071" s="6">
        <v>0</v>
      </c>
      <c r="AT3071" s="6">
        <v>0</v>
      </c>
    </row>
    <row r="3072" spans="2:46">
      <c r="B3072" s="6" t="s">
        <v>108</v>
      </c>
      <c r="D3072" s="6" t="s">
        <v>8189</v>
      </c>
      <c r="F3072" s="6" t="s">
        <v>12711</v>
      </c>
      <c r="G3072" s="6" t="str">
        <f>"A17SSTBU122GES"</f>
        <v>A17SSTBU122GES</v>
      </c>
      <c r="H3072" s="6" t="s">
        <v>12712</v>
      </c>
      <c r="I3072" s="6" t="s">
        <v>12687</v>
      </c>
      <c r="J3072" s="6" t="str">
        <f t="shared" si="31"/>
        <v>UNISEX UNUSUAL PALETTE HOODIE atb122u</v>
      </c>
      <c r="K3072" s="6">
        <v>0</v>
      </c>
      <c r="L3072" s="6">
        <v>0</v>
      </c>
      <c r="M3072" s="6">
        <v>0</v>
      </c>
      <c r="N3072" s="6" t="str">
        <f>""</f>
        <v/>
      </c>
      <c r="O3072" s="6">
        <v>23723</v>
      </c>
      <c r="P3072" s="6" t="s">
        <v>12713</v>
      </c>
      <c r="R3072" s="6" t="s">
        <v>12207</v>
      </c>
      <c r="S3072" s="6" t="s">
        <v>12714</v>
      </c>
      <c r="T3072" s="6">
        <v>0</v>
      </c>
      <c r="U3072" s="6">
        <v>0</v>
      </c>
      <c r="V3072" s="6">
        <v>0</v>
      </c>
      <c r="W3072" s="6">
        <v>0</v>
      </c>
      <c r="X3072" s="6" t="s">
        <v>169</v>
      </c>
      <c r="Z3072" s="6" t="s">
        <v>170</v>
      </c>
      <c r="AA3072" s="6" t="s">
        <v>171</v>
      </c>
      <c r="AB3072" s="6">
        <v>0</v>
      </c>
      <c r="AC3072" s="6" t="str">
        <f>""</f>
        <v/>
      </c>
      <c r="AS3072" s="6">
        <v>0</v>
      </c>
      <c r="AT3072" s="6">
        <v>0</v>
      </c>
    </row>
    <row r="3073" spans="2:46">
      <c r="B3073" s="6" t="s">
        <v>108</v>
      </c>
      <c r="D3073" s="6" t="s">
        <v>8189</v>
      </c>
      <c r="F3073" s="6" t="s">
        <v>12715</v>
      </c>
      <c r="G3073" s="6" t="str">
        <f>"A17SSTBU122GEM"</f>
        <v>A17SSTBU122GEM</v>
      </c>
      <c r="H3073" s="6" t="s">
        <v>12716</v>
      </c>
      <c r="I3073" s="6" t="s">
        <v>12687</v>
      </c>
      <c r="J3073" s="6" t="str">
        <f t="shared" si="31"/>
        <v>UNISEX UNUSUAL PALETTE HOODIE atb122u</v>
      </c>
      <c r="K3073" s="6">
        <v>0</v>
      </c>
      <c r="L3073" s="6">
        <v>0</v>
      </c>
      <c r="M3073" s="6">
        <v>0</v>
      </c>
      <c r="N3073" s="6" t="str">
        <f>""</f>
        <v/>
      </c>
      <c r="O3073" s="6">
        <v>23722</v>
      </c>
      <c r="P3073" s="6" t="s">
        <v>12717</v>
      </c>
      <c r="R3073" s="6" t="s">
        <v>12212</v>
      </c>
      <c r="S3073" s="6" t="s">
        <v>12718</v>
      </c>
      <c r="T3073" s="6">
        <v>0</v>
      </c>
      <c r="U3073" s="6">
        <v>0</v>
      </c>
      <c r="V3073" s="6">
        <v>0</v>
      </c>
      <c r="W3073" s="6">
        <v>0</v>
      </c>
      <c r="X3073" s="6" t="s">
        <v>169</v>
      </c>
      <c r="Z3073" s="6" t="s">
        <v>170</v>
      </c>
      <c r="AA3073" s="6" t="s">
        <v>171</v>
      </c>
      <c r="AB3073" s="6">
        <v>0</v>
      </c>
      <c r="AC3073" s="6" t="str">
        <f>""</f>
        <v/>
      </c>
      <c r="AS3073" s="6">
        <v>0</v>
      </c>
      <c r="AT3073" s="6">
        <v>0</v>
      </c>
    </row>
    <row r="3074" spans="2:46">
      <c r="B3074" s="6" t="s">
        <v>108</v>
      </c>
      <c r="D3074" s="6" t="s">
        <v>8189</v>
      </c>
      <c r="F3074" s="6" t="s">
        <v>12719</v>
      </c>
      <c r="G3074" s="6" t="str">
        <f>"A17SSTBU122GEL"</f>
        <v>A17SSTBU122GEL</v>
      </c>
      <c r="H3074" s="6" t="s">
        <v>12720</v>
      </c>
      <c r="I3074" s="6" t="s">
        <v>12687</v>
      </c>
      <c r="J3074" s="6" t="str">
        <f t="shared" si="31"/>
        <v>UNISEX UNUSUAL PALETTE HOODIE atb122u</v>
      </c>
      <c r="K3074" s="6">
        <v>0</v>
      </c>
      <c r="L3074" s="6">
        <v>0</v>
      </c>
      <c r="M3074" s="6">
        <v>0</v>
      </c>
      <c r="N3074" s="6" t="str">
        <f>""</f>
        <v/>
      </c>
      <c r="O3074" s="6">
        <v>23721</v>
      </c>
      <c r="P3074" s="6" t="s">
        <v>12721</v>
      </c>
      <c r="R3074" s="6" t="s">
        <v>12217</v>
      </c>
      <c r="S3074" s="6" t="s">
        <v>12722</v>
      </c>
      <c r="T3074" s="6">
        <v>0</v>
      </c>
      <c r="U3074" s="6">
        <v>0</v>
      </c>
      <c r="V3074" s="6">
        <v>0</v>
      </c>
      <c r="W3074" s="6">
        <v>0</v>
      </c>
      <c r="X3074" s="6" t="s">
        <v>169</v>
      </c>
      <c r="Z3074" s="6" t="s">
        <v>170</v>
      </c>
      <c r="AA3074" s="6" t="s">
        <v>171</v>
      </c>
      <c r="AB3074" s="6">
        <v>0</v>
      </c>
      <c r="AC3074" s="6" t="str">
        <f>""</f>
        <v/>
      </c>
      <c r="AS3074" s="6">
        <v>0</v>
      </c>
      <c r="AT3074" s="6">
        <v>0</v>
      </c>
    </row>
    <row r="3075" spans="2:46">
      <c r="B3075" s="6" t="s">
        <v>108</v>
      </c>
      <c r="D3075" s="6" t="s">
        <v>8189</v>
      </c>
      <c r="F3075" s="6" t="s">
        <v>12723</v>
      </c>
      <c r="G3075" s="6" t="str">
        <f>"A17SSTBU122BKXL"</f>
        <v>A17SSTBU122BKXL</v>
      </c>
      <c r="H3075" s="6" t="s">
        <v>12724</v>
      </c>
      <c r="I3075" s="6" t="s">
        <v>12687</v>
      </c>
      <c r="J3075" s="6" t="str">
        <f t="shared" si="31"/>
        <v>UNISEX UNUSUAL PALETTE HOODIE atb122u</v>
      </c>
      <c r="K3075" s="6">
        <v>0</v>
      </c>
      <c r="L3075" s="6">
        <v>0</v>
      </c>
      <c r="M3075" s="6">
        <v>0</v>
      </c>
      <c r="N3075" s="6" t="str">
        <f>""</f>
        <v/>
      </c>
      <c r="O3075" s="6">
        <v>23720</v>
      </c>
      <c r="P3075" s="6" t="s">
        <v>12725</v>
      </c>
      <c r="R3075" s="6" t="s">
        <v>12015</v>
      </c>
      <c r="S3075" s="6" t="s">
        <v>12726</v>
      </c>
      <c r="T3075" s="6">
        <v>0</v>
      </c>
      <c r="U3075" s="6">
        <v>0</v>
      </c>
      <c r="V3075" s="6">
        <v>0</v>
      </c>
      <c r="W3075" s="6">
        <v>0</v>
      </c>
      <c r="X3075" s="6" t="s">
        <v>169</v>
      </c>
      <c r="Z3075" s="6" t="s">
        <v>170</v>
      </c>
      <c r="AA3075" s="6" t="s">
        <v>171</v>
      </c>
      <c r="AB3075" s="6">
        <v>0</v>
      </c>
      <c r="AC3075" s="6" t="str">
        <f>""</f>
        <v/>
      </c>
      <c r="AS3075" s="6">
        <v>0</v>
      </c>
      <c r="AT3075" s="6">
        <v>0</v>
      </c>
    </row>
    <row r="3076" spans="2:46">
      <c r="B3076" s="6" t="s">
        <v>108</v>
      </c>
      <c r="D3076" s="6" t="s">
        <v>8189</v>
      </c>
      <c r="F3076" s="6" t="s">
        <v>12727</v>
      </c>
      <c r="G3076" s="6" t="str">
        <f>"A17SSTBU122BKS"</f>
        <v>A17SSTBU122BKS</v>
      </c>
      <c r="H3076" s="6" t="s">
        <v>12728</v>
      </c>
      <c r="I3076" s="6" t="s">
        <v>12687</v>
      </c>
      <c r="J3076" s="6" t="str">
        <f t="shared" si="31"/>
        <v>UNISEX UNUSUAL PALETTE HOODIE atb122u</v>
      </c>
      <c r="K3076" s="6">
        <v>0</v>
      </c>
      <c r="L3076" s="6">
        <v>0</v>
      </c>
      <c r="M3076" s="6">
        <v>0</v>
      </c>
      <c r="N3076" s="6" t="str">
        <f>""</f>
        <v/>
      </c>
      <c r="O3076" s="6">
        <v>23719</v>
      </c>
      <c r="P3076" s="6" t="s">
        <v>12729</v>
      </c>
      <c r="R3076" s="6" t="s">
        <v>1555</v>
      </c>
      <c r="S3076" s="6" t="s">
        <v>12730</v>
      </c>
      <c r="T3076" s="6">
        <v>0</v>
      </c>
      <c r="U3076" s="6">
        <v>0</v>
      </c>
      <c r="V3076" s="6">
        <v>0</v>
      </c>
      <c r="W3076" s="6">
        <v>0</v>
      </c>
      <c r="X3076" s="6" t="s">
        <v>169</v>
      </c>
      <c r="Z3076" s="6" t="s">
        <v>170</v>
      </c>
      <c r="AA3076" s="6" t="s">
        <v>171</v>
      </c>
      <c r="AB3076" s="6">
        <v>0</v>
      </c>
      <c r="AC3076" s="6" t="str">
        <f>""</f>
        <v/>
      </c>
      <c r="AS3076" s="6">
        <v>0</v>
      </c>
      <c r="AT3076" s="6">
        <v>0</v>
      </c>
    </row>
    <row r="3077" spans="2:46">
      <c r="B3077" s="6" t="s">
        <v>108</v>
      </c>
      <c r="D3077" s="6" t="s">
        <v>8189</v>
      </c>
      <c r="F3077" s="6" t="s">
        <v>12731</v>
      </c>
      <c r="G3077" s="6" t="str">
        <f>"A17SSTBU122BKM"</f>
        <v>A17SSTBU122BKM</v>
      </c>
      <c r="H3077" s="6" t="s">
        <v>12732</v>
      </c>
      <c r="I3077" s="6" t="s">
        <v>12687</v>
      </c>
      <c r="J3077" s="6" t="str">
        <f t="shared" si="31"/>
        <v>UNISEX UNUSUAL PALETTE HOODIE atb122u</v>
      </c>
      <c r="K3077" s="6">
        <v>0</v>
      </c>
      <c r="L3077" s="6">
        <v>0</v>
      </c>
      <c r="M3077" s="6">
        <v>0</v>
      </c>
      <c r="N3077" s="6" t="str">
        <f>""</f>
        <v/>
      </c>
      <c r="O3077" s="6">
        <v>23718</v>
      </c>
      <c r="P3077" s="6" t="s">
        <v>12733</v>
      </c>
      <c r="R3077" s="6" t="s">
        <v>1551</v>
      </c>
      <c r="S3077" s="6" t="s">
        <v>12734</v>
      </c>
      <c r="T3077" s="6">
        <v>0</v>
      </c>
      <c r="U3077" s="6">
        <v>0</v>
      </c>
      <c r="V3077" s="6">
        <v>0</v>
      </c>
      <c r="W3077" s="6">
        <v>0</v>
      </c>
      <c r="X3077" s="6" t="s">
        <v>169</v>
      </c>
      <c r="Z3077" s="6" t="s">
        <v>170</v>
      </c>
      <c r="AA3077" s="6" t="s">
        <v>171</v>
      </c>
      <c r="AB3077" s="6">
        <v>0</v>
      </c>
      <c r="AC3077" s="6" t="str">
        <f>""</f>
        <v/>
      </c>
      <c r="AS3077" s="6">
        <v>0</v>
      </c>
      <c r="AT3077" s="6">
        <v>0</v>
      </c>
    </row>
    <row r="3078" spans="2:46">
      <c r="B3078" s="6" t="s">
        <v>108</v>
      </c>
      <c r="D3078" s="6" t="s">
        <v>8189</v>
      </c>
      <c r="F3078" s="6" t="s">
        <v>12735</v>
      </c>
      <c r="G3078" s="6" t="str">
        <f>"A17SSTBU122BKL"</f>
        <v>A17SSTBU122BKL</v>
      </c>
      <c r="H3078" s="6" t="s">
        <v>12736</v>
      </c>
      <c r="I3078" s="6" t="s">
        <v>12687</v>
      </c>
      <c r="J3078" s="6" t="str">
        <f t="shared" si="31"/>
        <v>UNISEX UNUSUAL PALETTE HOODIE atb122u</v>
      </c>
      <c r="K3078" s="6">
        <v>0</v>
      </c>
      <c r="L3078" s="6">
        <v>0</v>
      </c>
      <c r="M3078" s="6">
        <v>0</v>
      </c>
      <c r="N3078" s="6" t="str">
        <f>""</f>
        <v/>
      </c>
      <c r="O3078" s="6">
        <v>23717</v>
      </c>
      <c r="P3078" s="6" t="s">
        <v>12737</v>
      </c>
      <c r="R3078" s="6" t="s">
        <v>1547</v>
      </c>
      <c r="S3078" s="6" t="s">
        <v>12738</v>
      </c>
      <c r="T3078" s="6">
        <v>0</v>
      </c>
      <c r="U3078" s="6">
        <v>0</v>
      </c>
      <c r="V3078" s="6">
        <v>0</v>
      </c>
      <c r="W3078" s="6">
        <v>0</v>
      </c>
      <c r="X3078" s="6" t="s">
        <v>169</v>
      </c>
      <c r="Z3078" s="6" t="s">
        <v>170</v>
      </c>
      <c r="AA3078" s="6" t="s">
        <v>171</v>
      </c>
      <c r="AB3078" s="6">
        <v>0</v>
      </c>
      <c r="AC3078" s="6" t="str">
        <f>""</f>
        <v/>
      </c>
      <c r="AS3078" s="6">
        <v>0</v>
      </c>
      <c r="AT3078" s="6">
        <v>0</v>
      </c>
    </row>
    <row r="3079" spans="2:46">
      <c r="B3079" s="6" t="s">
        <v>108</v>
      </c>
      <c r="D3079" s="6" t="s">
        <v>8189</v>
      </c>
      <c r="F3079" s="6" t="s">
        <v>12739</v>
      </c>
      <c r="G3079" s="6" t="str">
        <f>"A17SSTBW119YLM"</f>
        <v>A17SSTBW119YLM</v>
      </c>
      <c r="H3079" s="6" t="s">
        <v>12740</v>
      </c>
      <c r="I3079" s="6" t="s">
        <v>12741</v>
      </c>
      <c r="J3079" s="6" t="str">
        <f>"JANE PYJAMA LONG SHIRT atb119w(Yellow)"</f>
        <v>JANE PYJAMA LONG SHIRT atb119w(Yellow)</v>
      </c>
      <c r="K3079" s="6">
        <v>0</v>
      </c>
      <c r="L3079" s="6">
        <v>0</v>
      </c>
      <c r="M3079" s="6">
        <v>0</v>
      </c>
      <c r="N3079" s="6" t="str">
        <f>""</f>
        <v/>
      </c>
      <c r="O3079" s="6">
        <v>23715</v>
      </c>
      <c r="P3079" s="6" t="s">
        <v>12742</v>
      </c>
      <c r="R3079" s="6" t="s">
        <v>12656</v>
      </c>
      <c r="S3079" s="6" t="s">
        <v>12743</v>
      </c>
      <c r="T3079" s="6">
        <v>0</v>
      </c>
      <c r="U3079" s="6">
        <v>0</v>
      </c>
      <c r="V3079" s="6">
        <v>0</v>
      </c>
      <c r="W3079" s="6">
        <v>0</v>
      </c>
      <c r="X3079" s="6" t="s">
        <v>169</v>
      </c>
      <c r="Z3079" s="6" t="s">
        <v>170</v>
      </c>
      <c r="AA3079" s="6" t="s">
        <v>171</v>
      </c>
      <c r="AB3079" s="6">
        <v>0</v>
      </c>
      <c r="AC3079" s="6" t="str">
        <f>""</f>
        <v/>
      </c>
      <c r="AS3079" s="6">
        <v>0</v>
      </c>
      <c r="AT3079" s="6">
        <v>0</v>
      </c>
    </row>
    <row r="3080" spans="2:46" ht="82.5">
      <c r="B3080" s="6" t="s">
        <v>108</v>
      </c>
      <c r="D3080" s="6" t="s">
        <v>8189</v>
      </c>
      <c r="F3080" s="6" t="s">
        <v>12744</v>
      </c>
      <c r="G3080" s="6" t="str">
        <f>"A17SSTBW118SRFRE"</f>
        <v>A17SSTBW118SRFRE</v>
      </c>
      <c r="H3080" s="6" t="s">
        <v>12745</v>
      </c>
      <c r="I3080" s="7" t="s">
        <v>12746</v>
      </c>
      <c r="J3080" s="6" t="str">
        <f>"KARINA STRIPE V NECK SHIRT 
atb118w"</f>
        <v>KARINA STRIPE V NECK SHIRT 
atb118w</v>
      </c>
      <c r="K3080" s="6">
        <v>0</v>
      </c>
      <c r="L3080" s="6">
        <v>0</v>
      </c>
      <c r="M3080" s="6">
        <v>0</v>
      </c>
      <c r="N3080" s="6" t="str">
        <f>""</f>
        <v/>
      </c>
      <c r="O3080" s="6">
        <v>23713</v>
      </c>
      <c r="P3080" s="6" t="s">
        <v>12747</v>
      </c>
      <c r="R3080" s="6" t="s">
        <v>3010</v>
      </c>
      <c r="S3080" s="7" t="s">
        <v>12748</v>
      </c>
      <c r="T3080" s="6">
        <v>0</v>
      </c>
      <c r="U3080" s="6">
        <v>0</v>
      </c>
      <c r="V3080" s="6">
        <v>0</v>
      </c>
      <c r="W3080" s="6">
        <v>0</v>
      </c>
      <c r="X3080" s="6" t="s">
        <v>169</v>
      </c>
      <c r="Z3080" s="6" t="s">
        <v>170</v>
      </c>
      <c r="AA3080" s="6" t="s">
        <v>171</v>
      </c>
      <c r="AB3080" s="6">
        <v>0</v>
      </c>
      <c r="AC3080" s="6" t="str">
        <f>""</f>
        <v/>
      </c>
      <c r="AS3080" s="6">
        <v>0</v>
      </c>
      <c r="AT3080" s="6">
        <v>0</v>
      </c>
    </row>
    <row r="3081" spans="2:46" ht="99">
      <c r="B3081" s="6" t="s">
        <v>108</v>
      </c>
      <c r="D3081" s="6" t="s">
        <v>8189</v>
      </c>
      <c r="F3081" s="6" t="s">
        <v>12749</v>
      </c>
      <c r="G3081" s="6" t="str">
        <f>"A17SSTBW117RDS"</f>
        <v>A17SSTBW117RDS</v>
      </c>
      <c r="H3081" s="6" t="s">
        <v>12750</v>
      </c>
      <c r="I3081" s="7" t="s">
        <v>12751</v>
      </c>
      <c r="J3081" s="6" t="str">
        <f>"INES UNBALANCE STRIPE SHIRT 
atb117w"</f>
        <v>INES UNBALANCE STRIPE SHIRT 
atb117w</v>
      </c>
      <c r="K3081" s="6">
        <v>0</v>
      </c>
      <c r="L3081" s="6">
        <v>0</v>
      </c>
      <c r="M3081" s="6">
        <v>0</v>
      </c>
      <c r="N3081" s="6" t="str">
        <f>""</f>
        <v/>
      </c>
      <c r="O3081" s="6">
        <v>23711</v>
      </c>
      <c r="P3081" s="6" t="s">
        <v>12752</v>
      </c>
      <c r="R3081" s="6" t="s">
        <v>11023</v>
      </c>
      <c r="S3081" s="7" t="s">
        <v>12753</v>
      </c>
      <c r="T3081" s="6">
        <v>0</v>
      </c>
      <c r="U3081" s="6">
        <v>0</v>
      </c>
      <c r="V3081" s="6">
        <v>0</v>
      </c>
      <c r="W3081" s="6">
        <v>0</v>
      </c>
      <c r="X3081" s="6" t="s">
        <v>169</v>
      </c>
      <c r="Z3081" s="6" t="s">
        <v>170</v>
      </c>
      <c r="AA3081" s="6" t="s">
        <v>171</v>
      </c>
      <c r="AB3081" s="6">
        <v>0</v>
      </c>
      <c r="AC3081" s="6" t="str">
        <f>""</f>
        <v/>
      </c>
      <c r="AS3081" s="6">
        <v>0</v>
      </c>
      <c r="AT3081" s="6">
        <v>0</v>
      </c>
    </row>
    <row r="3082" spans="2:46" ht="99">
      <c r="B3082" s="6" t="s">
        <v>108</v>
      </c>
      <c r="D3082" s="6" t="s">
        <v>8189</v>
      </c>
      <c r="F3082" s="6" t="s">
        <v>12754</v>
      </c>
      <c r="G3082" s="6" t="str">
        <f>"A17SSTBW117BKS"</f>
        <v>A17SSTBW117BKS</v>
      </c>
      <c r="H3082" s="6" t="s">
        <v>12755</v>
      </c>
      <c r="I3082" s="7" t="s">
        <v>12751</v>
      </c>
      <c r="J3082" s="6" t="str">
        <f>"INES UNBALANCE STRIPE SHIRT 
atb117w"</f>
        <v>INES UNBALANCE STRIPE SHIRT 
atb117w</v>
      </c>
      <c r="K3082" s="6">
        <v>0</v>
      </c>
      <c r="L3082" s="6">
        <v>0</v>
      </c>
      <c r="M3082" s="6">
        <v>0</v>
      </c>
      <c r="N3082" s="6" t="str">
        <f>""</f>
        <v/>
      </c>
      <c r="O3082" s="6">
        <v>23710</v>
      </c>
      <c r="P3082" s="6" t="s">
        <v>12756</v>
      </c>
      <c r="R3082" s="6" t="s">
        <v>1555</v>
      </c>
      <c r="S3082" s="7" t="s">
        <v>12757</v>
      </c>
      <c r="T3082" s="6">
        <v>0</v>
      </c>
      <c r="U3082" s="6">
        <v>0</v>
      </c>
      <c r="V3082" s="6">
        <v>0</v>
      </c>
      <c r="W3082" s="6">
        <v>0</v>
      </c>
      <c r="X3082" s="6" t="s">
        <v>169</v>
      </c>
      <c r="Z3082" s="6" t="s">
        <v>170</v>
      </c>
      <c r="AA3082" s="6" t="s">
        <v>171</v>
      </c>
      <c r="AB3082" s="6">
        <v>0</v>
      </c>
      <c r="AC3082" s="6" t="str">
        <f>""</f>
        <v/>
      </c>
      <c r="AS3082" s="6">
        <v>0</v>
      </c>
      <c r="AT3082" s="6">
        <v>0</v>
      </c>
    </row>
    <row r="3083" spans="2:46" ht="99">
      <c r="B3083" s="6" t="s">
        <v>108</v>
      </c>
      <c r="D3083" s="6" t="s">
        <v>8189</v>
      </c>
      <c r="F3083" s="6" t="s">
        <v>12758</v>
      </c>
      <c r="G3083" s="6" t="str">
        <f>"A17SSTBW117BKM"</f>
        <v>A17SSTBW117BKM</v>
      </c>
      <c r="H3083" s="6" t="s">
        <v>12759</v>
      </c>
      <c r="I3083" s="7" t="s">
        <v>12751</v>
      </c>
      <c r="J3083" s="6" t="str">
        <f>"INES UNBALANCE STRIPE SHIRT 
atb117w"</f>
        <v>INES UNBALANCE STRIPE SHIRT 
atb117w</v>
      </c>
      <c r="K3083" s="6">
        <v>0</v>
      </c>
      <c r="L3083" s="6">
        <v>0</v>
      </c>
      <c r="M3083" s="6">
        <v>0</v>
      </c>
      <c r="N3083" s="6" t="str">
        <f>""</f>
        <v/>
      </c>
      <c r="O3083" s="6">
        <v>23709</v>
      </c>
      <c r="P3083" s="6" t="s">
        <v>12760</v>
      </c>
      <c r="R3083" s="6" t="s">
        <v>1551</v>
      </c>
      <c r="S3083" s="7" t="s">
        <v>12761</v>
      </c>
      <c r="T3083" s="6">
        <v>0</v>
      </c>
      <c r="U3083" s="6">
        <v>0</v>
      </c>
      <c r="V3083" s="6">
        <v>0</v>
      </c>
      <c r="W3083" s="6">
        <v>0</v>
      </c>
      <c r="X3083" s="6" t="s">
        <v>169</v>
      </c>
      <c r="Z3083" s="6" t="s">
        <v>170</v>
      </c>
      <c r="AA3083" s="6" t="s">
        <v>171</v>
      </c>
      <c r="AB3083" s="6">
        <v>0</v>
      </c>
      <c r="AC3083" s="6" t="str">
        <f>""</f>
        <v/>
      </c>
      <c r="AS3083" s="6">
        <v>0</v>
      </c>
      <c r="AT3083" s="6">
        <v>0</v>
      </c>
    </row>
    <row r="3084" spans="2:46" ht="82.5">
      <c r="B3084" s="6" t="s">
        <v>108</v>
      </c>
      <c r="D3084" s="6" t="s">
        <v>8189</v>
      </c>
      <c r="F3084" s="6" t="s">
        <v>12762</v>
      </c>
      <c r="G3084" s="6" t="str">
        <f>"A17SSTBM113RDM"</f>
        <v>A17SSTBM113RDM</v>
      </c>
      <c r="I3084" s="7" t="s">
        <v>78</v>
      </c>
      <c r="J3084" s="6" t="str">
        <f>"CALIFORNIA ALOHA SHIRT 
atb113m"</f>
        <v>CALIFORNIA ALOHA SHIRT 
atb113m</v>
      </c>
      <c r="K3084" s="6">
        <v>0</v>
      </c>
      <c r="L3084" s="6">
        <v>0</v>
      </c>
      <c r="M3084" s="6">
        <v>0</v>
      </c>
      <c r="N3084" s="6" t="str">
        <f>""</f>
        <v/>
      </c>
      <c r="O3084" s="6">
        <v>23707</v>
      </c>
      <c r="P3084" s="6" t="s">
        <v>77</v>
      </c>
      <c r="R3084" s="6" t="s">
        <v>11019</v>
      </c>
      <c r="S3084" s="7" t="s">
        <v>12763</v>
      </c>
      <c r="T3084" s="6">
        <v>0</v>
      </c>
      <c r="U3084" s="6">
        <v>0</v>
      </c>
      <c r="V3084" s="6">
        <v>0</v>
      </c>
      <c r="W3084" s="6">
        <v>0</v>
      </c>
      <c r="X3084" s="6" t="s">
        <v>169</v>
      </c>
      <c r="Z3084" s="6" t="s">
        <v>170</v>
      </c>
      <c r="AA3084" s="6" t="s">
        <v>171</v>
      </c>
      <c r="AB3084" s="6">
        <v>0</v>
      </c>
      <c r="AC3084" s="6" t="str">
        <f>"KEY-016"</f>
        <v>KEY-016</v>
      </c>
      <c r="AQ3084" s="6" t="str">
        <f>""</f>
        <v/>
      </c>
      <c r="AR3084" s="6" t="s">
        <v>1472</v>
      </c>
      <c r="AS3084" s="6">
        <v>0</v>
      </c>
      <c r="AT3084" s="6">
        <v>0</v>
      </c>
    </row>
    <row r="3085" spans="2:46" ht="82.5">
      <c r="B3085" s="6" t="s">
        <v>108</v>
      </c>
      <c r="D3085" s="6" t="s">
        <v>8189</v>
      </c>
      <c r="F3085" s="6" t="s">
        <v>12764</v>
      </c>
      <c r="G3085" s="6" t="str">
        <f>"A17SSTBM113RDL"</f>
        <v>A17SSTBM113RDL</v>
      </c>
      <c r="H3085" s="6" t="s">
        <v>12765</v>
      </c>
      <c r="I3085" s="7" t="s">
        <v>78</v>
      </c>
      <c r="J3085" s="6" t="str">
        <f>"CALIFORNIA ALOHA SHIRT 
atb113m"</f>
        <v>CALIFORNIA ALOHA SHIRT 
atb113m</v>
      </c>
      <c r="K3085" s="6">
        <v>0</v>
      </c>
      <c r="L3085" s="6">
        <v>0</v>
      </c>
      <c r="M3085" s="6">
        <v>0</v>
      </c>
      <c r="N3085" s="6" t="str">
        <f>""</f>
        <v/>
      </c>
      <c r="O3085" s="6">
        <v>23706</v>
      </c>
      <c r="P3085" s="6" t="s">
        <v>12766</v>
      </c>
      <c r="R3085" s="6" t="s">
        <v>11034</v>
      </c>
      <c r="S3085" s="7" t="s">
        <v>12767</v>
      </c>
      <c r="T3085" s="6">
        <v>0</v>
      </c>
      <c r="U3085" s="6">
        <v>0</v>
      </c>
      <c r="V3085" s="6">
        <v>0</v>
      </c>
      <c r="W3085" s="6">
        <v>0</v>
      </c>
      <c r="X3085" s="6" t="s">
        <v>169</v>
      </c>
      <c r="Z3085" s="6" t="s">
        <v>170</v>
      </c>
      <c r="AA3085" s="6" t="s">
        <v>171</v>
      </c>
      <c r="AB3085" s="6">
        <v>0</v>
      </c>
      <c r="AC3085" s="6" t="str">
        <f>""</f>
        <v/>
      </c>
      <c r="AS3085" s="6">
        <v>0</v>
      </c>
      <c r="AT3085" s="6">
        <v>0</v>
      </c>
    </row>
    <row r="3086" spans="2:46" ht="82.5">
      <c r="B3086" s="6" t="s">
        <v>108</v>
      </c>
      <c r="D3086" s="6" t="s">
        <v>8189</v>
      </c>
      <c r="F3086" s="6" t="s">
        <v>12768</v>
      </c>
      <c r="G3086" s="6" t="str">
        <f>"A17SSTBM113BKM"</f>
        <v>A17SSTBM113BKM</v>
      </c>
      <c r="H3086" s="6" t="s">
        <v>12769</v>
      </c>
      <c r="I3086" s="7" t="s">
        <v>78</v>
      </c>
      <c r="J3086" s="6" t="str">
        <f>"CALIFORNIA ALOHA SHIRT 
atb113m"</f>
        <v>CALIFORNIA ALOHA SHIRT 
atb113m</v>
      </c>
      <c r="K3086" s="6">
        <v>0</v>
      </c>
      <c r="L3086" s="6">
        <v>0</v>
      </c>
      <c r="M3086" s="6">
        <v>0</v>
      </c>
      <c r="N3086" s="6" t="str">
        <f>""</f>
        <v/>
      </c>
      <c r="O3086" s="6">
        <v>23705</v>
      </c>
      <c r="P3086" s="6" t="s">
        <v>12770</v>
      </c>
      <c r="R3086" s="6" t="s">
        <v>1551</v>
      </c>
      <c r="S3086" s="7" t="s">
        <v>12771</v>
      </c>
      <c r="T3086" s="6">
        <v>0</v>
      </c>
      <c r="U3086" s="6">
        <v>0</v>
      </c>
      <c r="V3086" s="6">
        <v>0</v>
      </c>
      <c r="W3086" s="6">
        <v>0</v>
      </c>
      <c r="X3086" s="6" t="s">
        <v>169</v>
      </c>
      <c r="Z3086" s="6" t="s">
        <v>170</v>
      </c>
      <c r="AA3086" s="6" t="s">
        <v>171</v>
      </c>
      <c r="AB3086" s="6">
        <v>0</v>
      </c>
      <c r="AC3086" s="6" t="str">
        <f>""</f>
        <v/>
      </c>
      <c r="AS3086" s="6">
        <v>0</v>
      </c>
      <c r="AT3086" s="6">
        <v>0</v>
      </c>
    </row>
    <row r="3087" spans="2:46">
      <c r="B3087" s="6" t="s">
        <v>108</v>
      </c>
      <c r="D3087" s="6" t="s">
        <v>8189</v>
      </c>
      <c r="F3087" s="6" t="s">
        <v>12772</v>
      </c>
      <c r="G3087" s="6" t="str">
        <f>"A16FWTBM105GEM"</f>
        <v>A16FWTBM105GEM</v>
      </c>
      <c r="H3087" s="6" t="s">
        <v>12773</v>
      </c>
      <c r="I3087" s="6" t="s">
        <v>12774</v>
      </c>
      <c r="J3087" s="6" t="str">
        <f>"atb105"</f>
        <v>atb105</v>
      </c>
      <c r="K3087" s="6">
        <v>0</v>
      </c>
      <c r="L3087" s="6">
        <v>0</v>
      </c>
      <c r="M3087" s="6">
        <v>0</v>
      </c>
      <c r="N3087" s="6" t="str">
        <f>""</f>
        <v/>
      </c>
      <c r="O3087" s="6">
        <v>23703</v>
      </c>
      <c r="P3087" s="6" t="s">
        <v>12775</v>
      </c>
      <c r="R3087" s="6" t="s">
        <v>12212</v>
      </c>
      <c r="S3087" s="6" t="s">
        <v>12776</v>
      </c>
      <c r="T3087" s="6">
        <v>0</v>
      </c>
      <c r="U3087" s="6">
        <v>0</v>
      </c>
      <c r="V3087" s="6">
        <v>0</v>
      </c>
      <c r="W3087" s="6">
        <v>0</v>
      </c>
      <c r="X3087" s="6" t="s">
        <v>169</v>
      </c>
      <c r="Z3087" s="6" t="s">
        <v>170</v>
      </c>
      <c r="AA3087" s="6" t="s">
        <v>171</v>
      </c>
      <c r="AB3087" s="6">
        <v>0</v>
      </c>
      <c r="AC3087" s="6" t="str">
        <f>""</f>
        <v/>
      </c>
      <c r="AS3087" s="6">
        <v>0</v>
      </c>
      <c r="AT3087" s="6">
        <v>0</v>
      </c>
    </row>
    <row r="3088" spans="2:46">
      <c r="B3088" s="6" t="s">
        <v>108</v>
      </c>
      <c r="D3088" s="6" t="s">
        <v>8189</v>
      </c>
      <c r="F3088" s="6" t="s">
        <v>12777</v>
      </c>
      <c r="G3088" s="6" t="str">
        <f>"A16FWTBM105GEL"</f>
        <v>A16FWTBM105GEL</v>
      </c>
      <c r="H3088" s="6" t="s">
        <v>12778</v>
      </c>
      <c r="I3088" s="6" t="s">
        <v>12774</v>
      </c>
      <c r="J3088" s="6" t="str">
        <f>"atb105"</f>
        <v>atb105</v>
      </c>
      <c r="K3088" s="6">
        <v>0</v>
      </c>
      <c r="L3088" s="6">
        <v>0</v>
      </c>
      <c r="M3088" s="6">
        <v>0</v>
      </c>
      <c r="N3088" s="6" t="str">
        <f>""</f>
        <v/>
      </c>
      <c r="O3088" s="6">
        <v>23702</v>
      </c>
      <c r="P3088" s="6" t="s">
        <v>12779</v>
      </c>
      <c r="R3088" s="6" t="s">
        <v>12217</v>
      </c>
      <c r="S3088" s="6" t="s">
        <v>12780</v>
      </c>
      <c r="T3088" s="6">
        <v>0</v>
      </c>
      <c r="U3088" s="6">
        <v>0</v>
      </c>
      <c r="V3088" s="6">
        <v>0</v>
      </c>
      <c r="W3088" s="6">
        <v>0</v>
      </c>
      <c r="X3088" s="6" t="s">
        <v>169</v>
      </c>
      <c r="Z3088" s="6" t="s">
        <v>170</v>
      </c>
      <c r="AA3088" s="6" t="s">
        <v>171</v>
      </c>
      <c r="AB3088" s="6">
        <v>0</v>
      </c>
      <c r="AC3088" s="6" t="str">
        <f>""</f>
        <v/>
      </c>
      <c r="AS3088" s="6">
        <v>0</v>
      </c>
      <c r="AT3088" s="6">
        <v>0</v>
      </c>
    </row>
    <row r="3089" spans="2:46">
      <c r="B3089" s="6" t="s">
        <v>108</v>
      </c>
      <c r="D3089" s="6" t="s">
        <v>8189</v>
      </c>
      <c r="F3089" s="6" t="s">
        <v>12781</v>
      </c>
      <c r="G3089" s="6" t="str">
        <f>"A16FWTBU100GEXL"</f>
        <v>A16FWTBU100GEXL</v>
      </c>
      <c r="H3089" s="6" t="s">
        <v>12782</v>
      </c>
      <c r="I3089" s="6" t="s">
        <v>12783</v>
      </c>
      <c r="J3089" s="6" t="str">
        <f>"UNISEX LONDON EYELET HOODIE atb100"</f>
        <v>UNISEX LONDON EYELET HOODIE atb100</v>
      </c>
      <c r="K3089" s="6">
        <v>0</v>
      </c>
      <c r="L3089" s="6">
        <v>0</v>
      </c>
      <c r="M3089" s="6">
        <v>0</v>
      </c>
      <c r="N3089" s="6" t="str">
        <f>""</f>
        <v/>
      </c>
      <c r="O3089" s="6">
        <v>23700</v>
      </c>
      <c r="P3089" s="6" t="s">
        <v>12784</v>
      </c>
      <c r="R3089" s="6" t="s">
        <v>12785</v>
      </c>
      <c r="S3089" s="6" t="s">
        <v>12786</v>
      </c>
      <c r="T3089" s="6">
        <v>0</v>
      </c>
      <c r="U3089" s="6">
        <v>0</v>
      </c>
      <c r="V3089" s="6">
        <v>0</v>
      </c>
      <c r="W3089" s="6">
        <v>0</v>
      </c>
      <c r="X3089" s="6" t="s">
        <v>169</v>
      </c>
      <c r="Z3089" s="6" t="s">
        <v>170</v>
      </c>
      <c r="AA3089" s="6" t="s">
        <v>171</v>
      </c>
      <c r="AB3089" s="6">
        <v>0</v>
      </c>
      <c r="AC3089" s="6" t="str">
        <f>""</f>
        <v/>
      </c>
      <c r="AS3089" s="6">
        <v>0</v>
      </c>
      <c r="AT3089" s="6">
        <v>0</v>
      </c>
    </row>
    <row r="3090" spans="2:46">
      <c r="B3090" s="6" t="s">
        <v>108</v>
      </c>
      <c r="D3090" s="6" t="s">
        <v>8189</v>
      </c>
      <c r="F3090" s="6" t="s">
        <v>12787</v>
      </c>
      <c r="G3090" s="6" t="str">
        <f>"A16FWTBU100GES"</f>
        <v>A16FWTBU100GES</v>
      </c>
      <c r="H3090" s="6" t="s">
        <v>12788</v>
      </c>
      <c r="I3090" s="6" t="s">
        <v>12783</v>
      </c>
      <c r="J3090" s="6" t="str">
        <f>"UNISEX LONDON EYELET HOODIE atb100"</f>
        <v>UNISEX LONDON EYELET HOODIE atb100</v>
      </c>
      <c r="K3090" s="6">
        <v>0</v>
      </c>
      <c r="L3090" s="6">
        <v>0</v>
      </c>
      <c r="M3090" s="6">
        <v>0</v>
      </c>
      <c r="N3090" s="6" t="str">
        <f>""</f>
        <v/>
      </c>
      <c r="O3090" s="6">
        <v>23699</v>
      </c>
      <c r="P3090" s="6" t="s">
        <v>12789</v>
      </c>
      <c r="R3090" s="6" t="s">
        <v>12790</v>
      </c>
      <c r="S3090" s="6" t="s">
        <v>12791</v>
      </c>
      <c r="T3090" s="6">
        <v>0</v>
      </c>
      <c r="U3090" s="6">
        <v>0</v>
      </c>
      <c r="V3090" s="6">
        <v>0</v>
      </c>
      <c r="W3090" s="6">
        <v>0</v>
      </c>
      <c r="X3090" s="6" t="s">
        <v>169</v>
      </c>
      <c r="Z3090" s="6" t="s">
        <v>170</v>
      </c>
      <c r="AA3090" s="6" t="s">
        <v>171</v>
      </c>
      <c r="AB3090" s="6">
        <v>0</v>
      </c>
      <c r="AC3090" s="6" t="str">
        <f>""</f>
        <v/>
      </c>
      <c r="AS3090" s="6">
        <v>0</v>
      </c>
      <c r="AT3090" s="6">
        <v>0</v>
      </c>
    </row>
    <row r="3091" spans="2:46">
      <c r="B3091" s="6" t="s">
        <v>108</v>
      </c>
      <c r="D3091" s="6" t="s">
        <v>8189</v>
      </c>
      <c r="F3091" s="6" t="s">
        <v>12792</v>
      </c>
      <c r="G3091" s="6" t="str">
        <f>"A16FWTBU100GEM"</f>
        <v>A16FWTBU100GEM</v>
      </c>
      <c r="H3091" s="6" t="s">
        <v>12793</v>
      </c>
      <c r="I3091" s="6" t="s">
        <v>12783</v>
      </c>
      <c r="J3091" s="6" t="str">
        <f>"UNISEX LONDON EYELET HOODIE atb100"</f>
        <v>UNISEX LONDON EYELET HOODIE atb100</v>
      </c>
      <c r="K3091" s="6">
        <v>0</v>
      </c>
      <c r="L3091" s="6">
        <v>0</v>
      </c>
      <c r="M3091" s="6">
        <v>0</v>
      </c>
      <c r="N3091" s="6" t="str">
        <f>""</f>
        <v/>
      </c>
      <c r="O3091" s="6">
        <v>23698</v>
      </c>
      <c r="P3091" s="6" t="s">
        <v>12794</v>
      </c>
      <c r="R3091" s="6" t="s">
        <v>9803</v>
      </c>
      <c r="S3091" s="6" t="s">
        <v>12795</v>
      </c>
      <c r="T3091" s="6">
        <v>0</v>
      </c>
      <c r="U3091" s="6">
        <v>0</v>
      </c>
      <c r="V3091" s="6">
        <v>0</v>
      </c>
      <c r="W3091" s="6">
        <v>0</v>
      </c>
      <c r="X3091" s="6" t="s">
        <v>169</v>
      </c>
      <c r="Z3091" s="6" t="s">
        <v>170</v>
      </c>
      <c r="AA3091" s="6" t="s">
        <v>171</v>
      </c>
      <c r="AB3091" s="6">
        <v>0</v>
      </c>
      <c r="AC3091" s="6" t="str">
        <f>""</f>
        <v/>
      </c>
      <c r="AS3091" s="6">
        <v>0</v>
      </c>
      <c r="AT3091" s="6">
        <v>0</v>
      </c>
    </row>
    <row r="3092" spans="2:46">
      <c r="B3092" s="6" t="s">
        <v>108</v>
      </c>
      <c r="D3092" s="6" t="s">
        <v>8189</v>
      </c>
      <c r="F3092" s="6" t="s">
        <v>12796</v>
      </c>
      <c r="G3092" s="6" t="str">
        <f>"A16FWTBU100GEL"</f>
        <v>A16FWTBU100GEL</v>
      </c>
      <c r="H3092" s="6" t="s">
        <v>12797</v>
      </c>
      <c r="I3092" s="6" t="s">
        <v>12783</v>
      </c>
      <c r="J3092" s="6" t="str">
        <f>"UNISEX LONDON EYELET HOODIE atb100"</f>
        <v>UNISEX LONDON EYELET HOODIE atb100</v>
      </c>
      <c r="K3092" s="6">
        <v>0</v>
      </c>
      <c r="L3092" s="6">
        <v>0</v>
      </c>
      <c r="M3092" s="6">
        <v>0</v>
      </c>
      <c r="N3092" s="6" t="str">
        <f>""</f>
        <v/>
      </c>
      <c r="O3092" s="6">
        <v>23697</v>
      </c>
      <c r="P3092" s="6" t="s">
        <v>12798</v>
      </c>
      <c r="R3092" s="6" t="s">
        <v>9798</v>
      </c>
      <c r="S3092" s="6" t="s">
        <v>12799</v>
      </c>
      <c r="T3092" s="6">
        <v>0</v>
      </c>
      <c r="U3092" s="6">
        <v>0</v>
      </c>
      <c r="V3092" s="6">
        <v>0</v>
      </c>
      <c r="W3092" s="6">
        <v>0</v>
      </c>
      <c r="X3092" s="6" t="s">
        <v>169</v>
      </c>
      <c r="Z3092" s="6" t="s">
        <v>170</v>
      </c>
      <c r="AA3092" s="6" t="s">
        <v>171</v>
      </c>
      <c r="AB3092" s="6">
        <v>0</v>
      </c>
      <c r="AC3092" s="6" t="str">
        <f>""</f>
        <v/>
      </c>
      <c r="AS3092" s="6">
        <v>0</v>
      </c>
      <c r="AT3092" s="6">
        <v>0</v>
      </c>
    </row>
    <row r="3093" spans="2:46">
      <c r="B3093" s="6" t="s">
        <v>108</v>
      </c>
      <c r="D3093" s="6" t="s">
        <v>8189</v>
      </c>
      <c r="F3093" s="6" t="s">
        <v>12800</v>
      </c>
      <c r="G3093" s="6" t="str">
        <f>"A16FWTBU086BKS"</f>
        <v>A16FWTBU086BKS</v>
      </c>
      <c r="H3093" s="6" t="s">
        <v>12801</v>
      </c>
      <c r="I3093" s="6" t="s">
        <v>12802</v>
      </c>
      <c r="J3093" s="6" t="str">
        <f>"UNISEX  NEW SADDLE RAGLAN SWEATER atb086"</f>
        <v>UNISEX  NEW SADDLE RAGLAN SWEATER atb086</v>
      </c>
      <c r="K3093" s="6">
        <v>0</v>
      </c>
      <c r="L3093" s="6">
        <v>0</v>
      </c>
      <c r="M3093" s="6">
        <v>0</v>
      </c>
      <c r="N3093" s="6" t="str">
        <f>""</f>
        <v/>
      </c>
      <c r="O3093" s="6">
        <v>23695</v>
      </c>
      <c r="P3093" s="6" t="s">
        <v>12803</v>
      </c>
      <c r="R3093" s="6" t="s">
        <v>1555</v>
      </c>
      <c r="S3093" s="6" t="s">
        <v>12804</v>
      </c>
      <c r="T3093" s="6">
        <v>0</v>
      </c>
      <c r="U3093" s="6">
        <v>0</v>
      </c>
      <c r="V3093" s="6">
        <v>0</v>
      </c>
      <c r="W3093" s="6">
        <v>0</v>
      </c>
      <c r="X3093" s="6" t="s">
        <v>169</v>
      </c>
      <c r="Z3093" s="6" t="s">
        <v>170</v>
      </c>
      <c r="AA3093" s="6" t="s">
        <v>171</v>
      </c>
      <c r="AB3093" s="6">
        <v>0</v>
      </c>
      <c r="AC3093" s="6" t="str">
        <f>""</f>
        <v/>
      </c>
      <c r="AS3093" s="6">
        <v>0</v>
      </c>
      <c r="AT3093" s="6">
        <v>0</v>
      </c>
    </row>
    <row r="3094" spans="2:46">
      <c r="B3094" s="6" t="s">
        <v>108</v>
      </c>
      <c r="D3094" s="6" t="s">
        <v>8189</v>
      </c>
      <c r="F3094" s="6" t="s">
        <v>12805</v>
      </c>
      <c r="G3094" s="6" t="str">
        <f>"A16FWTBU086BKM"</f>
        <v>A16FWTBU086BKM</v>
      </c>
      <c r="H3094" s="6" t="s">
        <v>12806</v>
      </c>
      <c r="I3094" s="6" t="s">
        <v>12802</v>
      </c>
      <c r="J3094" s="6" t="str">
        <f>"UNISEX  NEW SADDLE RAGLAN SWEATER atb086"</f>
        <v>UNISEX  NEW SADDLE RAGLAN SWEATER atb086</v>
      </c>
      <c r="K3094" s="6">
        <v>0</v>
      </c>
      <c r="L3094" s="6">
        <v>0</v>
      </c>
      <c r="M3094" s="6">
        <v>0</v>
      </c>
      <c r="N3094" s="6" t="str">
        <f>""</f>
        <v/>
      </c>
      <c r="O3094" s="6">
        <v>23694</v>
      </c>
      <c r="P3094" s="6" t="s">
        <v>12807</v>
      </c>
      <c r="R3094" s="6" t="s">
        <v>1551</v>
      </c>
      <c r="S3094" s="6" t="s">
        <v>12808</v>
      </c>
      <c r="T3094" s="6">
        <v>0</v>
      </c>
      <c r="U3094" s="6">
        <v>0</v>
      </c>
      <c r="V3094" s="6">
        <v>0</v>
      </c>
      <c r="W3094" s="6">
        <v>0</v>
      </c>
      <c r="X3094" s="6" t="s">
        <v>169</v>
      </c>
      <c r="Z3094" s="6" t="s">
        <v>170</v>
      </c>
      <c r="AA3094" s="6" t="s">
        <v>171</v>
      </c>
      <c r="AB3094" s="6">
        <v>0</v>
      </c>
      <c r="AC3094" s="6" t="str">
        <f>""</f>
        <v/>
      </c>
      <c r="AS3094" s="6">
        <v>0</v>
      </c>
      <c r="AT3094" s="6">
        <v>0</v>
      </c>
    </row>
    <row r="3095" spans="2:46">
      <c r="B3095" s="6" t="s">
        <v>108</v>
      </c>
      <c r="D3095" s="6" t="s">
        <v>8189</v>
      </c>
      <c r="F3095" s="6" t="s">
        <v>12809</v>
      </c>
      <c r="G3095" s="6" t="str">
        <f>"A17F2PAW210SRS"</f>
        <v>A17F2PAW210SRS</v>
      </c>
      <c r="H3095" s="6" t="s">
        <v>12810</v>
      </c>
      <c r="I3095" s="6" t="s">
        <v>12811</v>
      </c>
      <c r="J3095" s="6" t="str">
        <f>"CORDUROY WIDE LEGGED TROUSER apa210w"</f>
        <v>CORDUROY WIDE LEGGED TROUSER apa210w</v>
      </c>
      <c r="K3095" s="6">
        <v>0</v>
      </c>
      <c r="L3095" s="6">
        <v>0</v>
      </c>
      <c r="M3095" s="6">
        <v>0</v>
      </c>
      <c r="N3095" s="6" t="str">
        <f>""</f>
        <v/>
      </c>
      <c r="O3095" s="6">
        <v>23692</v>
      </c>
      <c r="P3095" s="6" t="s">
        <v>12812</v>
      </c>
      <c r="R3095" s="6" t="s">
        <v>12579</v>
      </c>
      <c r="S3095" s="6" t="s">
        <v>12813</v>
      </c>
      <c r="T3095" s="6">
        <v>0</v>
      </c>
      <c r="U3095" s="6">
        <v>0</v>
      </c>
      <c r="V3095" s="6">
        <v>0</v>
      </c>
      <c r="W3095" s="6">
        <v>0</v>
      </c>
      <c r="X3095" s="6" t="s">
        <v>169</v>
      </c>
      <c r="Z3095" s="6" t="s">
        <v>170</v>
      </c>
      <c r="AA3095" s="6" t="s">
        <v>171</v>
      </c>
      <c r="AB3095" s="6">
        <v>0</v>
      </c>
      <c r="AC3095" s="6" t="str">
        <f>""</f>
        <v/>
      </c>
      <c r="AS3095" s="6">
        <v>0</v>
      </c>
      <c r="AT3095" s="6">
        <v>0</v>
      </c>
    </row>
    <row r="3096" spans="2:46">
      <c r="B3096" s="6" t="s">
        <v>108</v>
      </c>
      <c r="D3096" s="6" t="s">
        <v>8189</v>
      </c>
      <c r="F3096" s="6" t="s">
        <v>12814</v>
      </c>
      <c r="G3096" s="6" t="str">
        <f>"A17F2PAW210SRM"</f>
        <v>A17F2PAW210SRM</v>
      </c>
      <c r="H3096" s="6" t="s">
        <v>12815</v>
      </c>
      <c r="I3096" s="6" t="s">
        <v>12811</v>
      </c>
      <c r="J3096" s="6" t="str">
        <f>"CORDUROY WIDE LEGGED TROUSER apa210w"</f>
        <v>CORDUROY WIDE LEGGED TROUSER apa210w</v>
      </c>
      <c r="K3096" s="6">
        <v>0</v>
      </c>
      <c r="L3096" s="6">
        <v>0</v>
      </c>
      <c r="M3096" s="6">
        <v>0</v>
      </c>
      <c r="N3096" s="6" t="str">
        <f>""</f>
        <v/>
      </c>
      <c r="O3096" s="6">
        <v>23691</v>
      </c>
      <c r="P3096" s="6" t="s">
        <v>12816</v>
      </c>
      <c r="R3096" s="6" t="s">
        <v>12817</v>
      </c>
      <c r="S3096" s="6" t="s">
        <v>12818</v>
      </c>
      <c r="T3096" s="6">
        <v>0</v>
      </c>
      <c r="U3096" s="6">
        <v>0</v>
      </c>
      <c r="V3096" s="6">
        <v>0</v>
      </c>
      <c r="W3096" s="6">
        <v>0</v>
      </c>
      <c r="X3096" s="6" t="s">
        <v>169</v>
      </c>
      <c r="Z3096" s="6" t="s">
        <v>170</v>
      </c>
      <c r="AA3096" s="6" t="s">
        <v>171</v>
      </c>
      <c r="AB3096" s="6">
        <v>0</v>
      </c>
      <c r="AC3096" s="6" t="str">
        <f>""</f>
        <v/>
      </c>
      <c r="AS3096" s="6">
        <v>0</v>
      </c>
      <c r="AT3096" s="6">
        <v>0</v>
      </c>
    </row>
    <row r="3097" spans="2:46">
      <c r="B3097" s="6" t="s">
        <v>108</v>
      </c>
      <c r="D3097" s="6" t="s">
        <v>8189</v>
      </c>
      <c r="F3097" s="6" t="s">
        <v>12819</v>
      </c>
      <c r="G3097" s="6" t="str">
        <f>"A17F2PAW210RDS"</f>
        <v>A17F2PAW210RDS</v>
      </c>
      <c r="H3097" s="6" t="s">
        <v>12820</v>
      </c>
      <c r="I3097" s="6" t="s">
        <v>12811</v>
      </c>
      <c r="J3097" s="6" t="str">
        <f>"CORDUROY WIDE LEGGED TROUSER apa210w"</f>
        <v>CORDUROY WIDE LEGGED TROUSER apa210w</v>
      </c>
      <c r="K3097" s="6">
        <v>0</v>
      </c>
      <c r="L3097" s="6">
        <v>0</v>
      </c>
      <c r="M3097" s="6">
        <v>0</v>
      </c>
      <c r="N3097" s="6" t="str">
        <f>""</f>
        <v/>
      </c>
      <c r="O3097" s="6">
        <v>23690</v>
      </c>
      <c r="P3097" s="6" t="s">
        <v>12821</v>
      </c>
      <c r="R3097" s="6" t="s">
        <v>11023</v>
      </c>
      <c r="S3097" s="6" t="s">
        <v>12822</v>
      </c>
      <c r="T3097" s="6">
        <v>0</v>
      </c>
      <c r="U3097" s="6">
        <v>0</v>
      </c>
      <c r="V3097" s="6">
        <v>0</v>
      </c>
      <c r="W3097" s="6">
        <v>0</v>
      </c>
      <c r="X3097" s="6" t="s">
        <v>169</v>
      </c>
      <c r="Z3097" s="6" t="s">
        <v>170</v>
      </c>
      <c r="AA3097" s="6" t="s">
        <v>171</v>
      </c>
      <c r="AB3097" s="6">
        <v>0</v>
      </c>
      <c r="AC3097" s="6" t="str">
        <f>""</f>
        <v/>
      </c>
      <c r="AS3097" s="6">
        <v>0</v>
      </c>
      <c r="AT3097" s="6">
        <v>0</v>
      </c>
    </row>
    <row r="3098" spans="2:46">
      <c r="B3098" s="6" t="s">
        <v>108</v>
      </c>
      <c r="D3098" s="6" t="s">
        <v>8189</v>
      </c>
      <c r="F3098" s="6" t="s">
        <v>12823</v>
      </c>
      <c r="G3098" s="6" t="str">
        <f>"A17F2PAW210RDM"</f>
        <v>A17F2PAW210RDM</v>
      </c>
      <c r="H3098" s="6" t="s">
        <v>12824</v>
      </c>
      <c r="I3098" s="6" t="s">
        <v>12811</v>
      </c>
      <c r="J3098" s="6" t="str">
        <f>"CORDUROY WIDE LEGGED TROUSER apa210w"</f>
        <v>CORDUROY WIDE LEGGED TROUSER apa210w</v>
      </c>
      <c r="K3098" s="6">
        <v>0</v>
      </c>
      <c r="L3098" s="6">
        <v>0</v>
      </c>
      <c r="M3098" s="6">
        <v>0</v>
      </c>
      <c r="N3098" s="6" t="str">
        <f>""</f>
        <v/>
      </c>
      <c r="O3098" s="6">
        <v>23689</v>
      </c>
      <c r="P3098" s="6" t="s">
        <v>12825</v>
      </c>
      <c r="R3098" s="6" t="s">
        <v>11019</v>
      </c>
      <c r="S3098" s="6" t="s">
        <v>12826</v>
      </c>
      <c r="T3098" s="6">
        <v>0</v>
      </c>
      <c r="U3098" s="6">
        <v>0</v>
      </c>
      <c r="V3098" s="6">
        <v>0</v>
      </c>
      <c r="W3098" s="6">
        <v>0</v>
      </c>
      <c r="X3098" s="6" t="s">
        <v>169</v>
      </c>
      <c r="Z3098" s="6" t="s">
        <v>170</v>
      </c>
      <c r="AA3098" s="6" t="s">
        <v>171</v>
      </c>
      <c r="AB3098" s="6">
        <v>0</v>
      </c>
      <c r="AC3098" s="6" t="str">
        <f>""</f>
        <v/>
      </c>
      <c r="AS3098" s="6">
        <v>0</v>
      </c>
      <c r="AT3098" s="6">
        <v>0</v>
      </c>
    </row>
    <row r="3099" spans="2:46">
      <c r="B3099" s="6" t="s">
        <v>108</v>
      </c>
      <c r="D3099" s="6" t="s">
        <v>8189</v>
      </c>
      <c r="F3099" s="6" t="s">
        <v>12827</v>
      </c>
      <c r="G3099" s="6" t="str">
        <f>"A17F2PAM207NVS"</f>
        <v>A17F2PAM207NVS</v>
      </c>
      <c r="H3099" s="6" t="s">
        <v>12828</v>
      </c>
      <c r="I3099" s="6" t="s">
        <v>12829</v>
      </c>
      <c r="J3099" s="6" t="str">
        <f t="shared" ref="J3099:J3104" si="32">"MITTE JERSEY TRACK PANTS apa207m"</f>
        <v>MITTE JERSEY TRACK PANTS apa207m</v>
      </c>
      <c r="K3099" s="6">
        <v>0</v>
      </c>
      <c r="L3099" s="6">
        <v>0</v>
      </c>
      <c r="M3099" s="6">
        <v>0</v>
      </c>
      <c r="N3099" s="6" t="str">
        <f>""</f>
        <v/>
      </c>
      <c r="O3099" s="6">
        <v>23687</v>
      </c>
      <c r="P3099" s="6" t="s">
        <v>12830</v>
      </c>
      <c r="R3099" s="6" t="s">
        <v>566</v>
      </c>
      <c r="S3099" s="6" t="s">
        <v>12831</v>
      </c>
      <c r="T3099" s="6">
        <v>0</v>
      </c>
      <c r="U3099" s="6">
        <v>0</v>
      </c>
      <c r="V3099" s="6">
        <v>0</v>
      </c>
      <c r="W3099" s="6">
        <v>0</v>
      </c>
      <c r="X3099" s="6" t="s">
        <v>169</v>
      </c>
      <c r="Z3099" s="6" t="s">
        <v>170</v>
      </c>
      <c r="AA3099" s="6" t="s">
        <v>171</v>
      </c>
      <c r="AB3099" s="6">
        <v>0</v>
      </c>
      <c r="AC3099" s="6" t="str">
        <f>""</f>
        <v/>
      </c>
      <c r="AS3099" s="6">
        <v>0</v>
      </c>
      <c r="AT3099" s="6">
        <v>0</v>
      </c>
    </row>
    <row r="3100" spans="2:46">
      <c r="B3100" s="6" t="s">
        <v>108</v>
      </c>
      <c r="D3100" s="6" t="s">
        <v>8189</v>
      </c>
      <c r="F3100" s="6" t="s">
        <v>12832</v>
      </c>
      <c r="G3100" s="6" t="str">
        <f>"A17F2PAM207NVM"</f>
        <v>A17F2PAM207NVM</v>
      </c>
      <c r="H3100" s="6" t="s">
        <v>12833</v>
      </c>
      <c r="I3100" s="6" t="s">
        <v>12829</v>
      </c>
      <c r="J3100" s="6" t="str">
        <f t="shared" si="32"/>
        <v>MITTE JERSEY TRACK PANTS apa207m</v>
      </c>
      <c r="K3100" s="6">
        <v>0</v>
      </c>
      <c r="L3100" s="6">
        <v>0</v>
      </c>
      <c r="M3100" s="6">
        <v>0</v>
      </c>
      <c r="N3100" s="6" t="str">
        <f>""</f>
        <v/>
      </c>
      <c r="O3100" s="6">
        <v>23686</v>
      </c>
      <c r="P3100" s="6" t="s">
        <v>12834</v>
      </c>
      <c r="R3100" s="6" t="s">
        <v>571</v>
      </c>
      <c r="S3100" s="6" t="s">
        <v>12835</v>
      </c>
      <c r="T3100" s="6">
        <v>0</v>
      </c>
      <c r="U3100" s="6">
        <v>0</v>
      </c>
      <c r="V3100" s="6">
        <v>0</v>
      </c>
      <c r="W3100" s="6">
        <v>0</v>
      </c>
      <c r="X3100" s="6" t="s">
        <v>169</v>
      </c>
      <c r="Z3100" s="6" t="s">
        <v>170</v>
      </c>
      <c r="AA3100" s="6" t="s">
        <v>171</v>
      </c>
      <c r="AB3100" s="6">
        <v>0</v>
      </c>
      <c r="AC3100" s="6" t="str">
        <f>""</f>
        <v/>
      </c>
      <c r="AS3100" s="6">
        <v>0</v>
      </c>
      <c r="AT3100" s="6">
        <v>0</v>
      </c>
    </row>
    <row r="3101" spans="2:46">
      <c r="B3101" s="6" t="s">
        <v>108</v>
      </c>
      <c r="D3101" s="6" t="s">
        <v>8189</v>
      </c>
      <c r="F3101" s="6" t="s">
        <v>12836</v>
      </c>
      <c r="G3101" s="6" t="str">
        <f>"A17F2PAM207NVL"</f>
        <v>A17F2PAM207NVL</v>
      </c>
      <c r="H3101" s="6" t="s">
        <v>12837</v>
      </c>
      <c r="I3101" s="6" t="s">
        <v>12829</v>
      </c>
      <c r="J3101" s="6" t="str">
        <f t="shared" si="32"/>
        <v>MITTE JERSEY TRACK PANTS apa207m</v>
      </c>
      <c r="K3101" s="6">
        <v>0</v>
      </c>
      <c r="L3101" s="6">
        <v>0</v>
      </c>
      <c r="M3101" s="6">
        <v>0</v>
      </c>
      <c r="N3101" s="6" t="str">
        <f>""</f>
        <v/>
      </c>
      <c r="O3101" s="6">
        <v>23685</v>
      </c>
      <c r="P3101" s="6" t="s">
        <v>12838</v>
      </c>
      <c r="R3101" s="6" t="s">
        <v>5089</v>
      </c>
      <c r="S3101" s="6" t="s">
        <v>12839</v>
      </c>
      <c r="T3101" s="6">
        <v>0</v>
      </c>
      <c r="U3101" s="6">
        <v>0</v>
      </c>
      <c r="V3101" s="6">
        <v>0</v>
      </c>
      <c r="W3101" s="6">
        <v>0</v>
      </c>
      <c r="X3101" s="6" t="s">
        <v>169</v>
      </c>
      <c r="Z3101" s="6" t="s">
        <v>170</v>
      </c>
      <c r="AA3101" s="6" t="s">
        <v>171</v>
      </c>
      <c r="AB3101" s="6">
        <v>0</v>
      </c>
      <c r="AC3101" s="6" t="str">
        <f>""</f>
        <v/>
      </c>
      <c r="AS3101" s="6">
        <v>0</v>
      </c>
      <c r="AT3101" s="6">
        <v>0</v>
      </c>
    </row>
    <row r="3102" spans="2:46">
      <c r="B3102" s="6" t="s">
        <v>108</v>
      </c>
      <c r="D3102" s="6" t="s">
        <v>8189</v>
      </c>
      <c r="F3102" s="6" t="s">
        <v>12840</v>
      </c>
      <c r="G3102" s="6" t="str">
        <f>"A17F2PAM207BKS"</f>
        <v>A17F2PAM207BKS</v>
      </c>
      <c r="H3102" s="6" t="s">
        <v>12841</v>
      </c>
      <c r="I3102" s="6" t="s">
        <v>12829</v>
      </c>
      <c r="J3102" s="6" t="str">
        <f t="shared" si="32"/>
        <v>MITTE JERSEY TRACK PANTS apa207m</v>
      </c>
      <c r="K3102" s="6">
        <v>0</v>
      </c>
      <c r="L3102" s="6">
        <v>0</v>
      </c>
      <c r="M3102" s="6">
        <v>0</v>
      </c>
      <c r="N3102" s="6" t="str">
        <f>""</f>
        <v/>
      </c>
      <c r="O3102" s="6">
        <v>23684</v>
      </c>
      <c r="P3102" s="6" t="s">
        <v>12842</v>
      </c>
      <c r="R3102" s="6" t="s">
        <v>606</v>
      </c>
      <c r="S3102" s="6" t="s">
        <v>12843</v>
      </c>
      <c r="T3102" s="6">
        <v>0</v>
      </c>
      <c r="U3102" s="6">
        <v>0</v>
      </c>
      <c r="V3102" s="6">
        <v>0</v>
      </c>
      <c r="W3102" s="6">
        <v>0</v>
      </c>
      <c r="X3102" s="6" t="s">
        <v>169</v>
      </c>
      <c r="Z3102" s="6" t="s">
        <v>170</v>
      </c>
      <c r="AA3102" s="6" t="s">
        <v>171</v>
      </c>
      <c r="AB3102" s="6">
        <v>0</v>
      </c>
      <c r="AC3102" s="6" t="str">
        <f>""</f>
        <v/>
      </c>
      <c r="AS3102" s="6">
        <v>0</v>
      </c>
      <c r="AT3102" s="6">
        <v>0</v>
      </c>
    </row>
    <row r="3103" spans="2:46">
      <c r="B3103" s="6" t="s">
        <v>108</v>
      </c>
      <c r="D3103" s="6" t="s">
        <v>8189</v>
      </c>
      <c r="F3103" s="6" t="s">
        <v>12844</v>
      </c>
      <c r="G3103" s="6" t="str">
        <f>"A17F2PAM207BKM"</f>
        <v>A17F2PAM207BKM</v>
      </c>
      <c r="H3103" s="6" t="s">
        <v>12845</v>
      </c>
      <c r="I3103" s="6" t="s">
        <v>12829</v>
      </c>
      <c r="J3103" s="6" t="str">
        <f t="shared" si="32"/>
        <v>MITTE JERSEY TRACK PANTS apa207m</v>
      </c>
      <c r="K3103" s="6">
        <v>0</v>
      </c>
      <c r="L3103" s="6">
        <v>0</v>
      </c>
      <c r="M3103" s="6">
        <v>0</v>
      </c>
      <c r="N3103" s="6" t="str">
        <f>""</f>
        <v/>
      </c>
      <c r="O3103" s="6">
        <v>23683</v>
      </c>
      <c r="P3103" s="6" t="s">
        <v>12846</v>
      </c>
      <c r="R3103" s="6" t="s">
        <v>601</v>
      </c>
      <c r="S3103" s="6" t="s">
        <v>12847</v>
      </c>
      <c r="T3103" s="6">
        <v>0</v>
      </c>
      <c r="U3103" s="6">
        <v>0</v>
      </c>
      <c r="V3103" s="6">
        <v>0</v>
      </c>
      <c r="W3103" s="6">
        <v>0</v>
      </c>
      <c r="X3103" s="6" t="s">
        <v>169</v>
      </c>
      <c r="Z3103" s="6" t="s">
        <v>170</v>
      </c>
      <c r="AA3103" s="6" t="s">
        <v>171</v>
      </c>
      <c r="AB3103" s="6">
        <v>0</v>
      </c>
      <c r="AC3103" s="6" t="str">
        <f>""</f>
        <v/>
      </c>
      <c r="AS3103" s="6">
        <v>0</v>
      </c>
      <c r="AT3103" s="6">
        <v>0</v>
      </c>
    </row>
    <row r="3104" spans="2:46">
      <c r="B3104" s="6" t="s">
        <v>108</v>
      </c>
      <c r="D3104" s="6" t="s">
        <v>8189</v>
      </c>
      <c r="F3104" s="6" t="s">
        <v>12848</v>
      </c>
      <c r="G3104" s="6" t="str">
        <f>"A17F2PAM207BKL"</f>
        <v>A17F2PAM207BKL</v>
      </c>
      <c r="H3104" s="6" t="s">
        <v>12849</v>
      </c>
      <c r="I3104" s="6" t="s">
        <v>12829</v>
      </c>
      <c r="J3104" s="6" t="str">
        <f t="shared" si="32"/>
        <v>MITTE JERSEY TRACK PANTS apa207m</v>
      </c>
      <c r="K3104" s="6">
        <v>0</v>
      </c>
      <c r="L3104" s="6">
        <v>0</v>
      </c>
      <c r="M3104" s="6">
        <v>0</v>
      </c>
      <c r="N3104" s="6" t="str">
        <f>""</f>
        <v/>
      </c>
      <c r="O3104" s="6">
        <v>23682</v>
      </c>
      <c r="P3104" s="6" t="s">
        <v>12850</v>
      </c>
      <c r="R3104" s="6" t="s">
        <v>5106</v>
      </c>
      <c r="S3104" s="6" t="s">
        <v>12851</v>
      </c>
      <c r="T3104" s="6">
        <v>0</v>
      </c>
      <c r="U3104" s="6">
        <v>0</v>
      </c>
      <c r="V3104" s="6">
        <v>0</v>
      </c>
      <c r="W3104" s="6">
        <v>0</v>
      </c>
      <c r="X3104" s="6" t="s">
        <v>169</v>
      </c>
      <c r="Z3104" s="6" t="s">
        <v>170</v>
      </c>
      <c r="AA3104" s="6" t="s">
        <v>171</v>
      </c>
      <c r="AB3104" s="6">
        <v>0</v>
      </c>
      <c r="AC3104" s="6" t="str">
        <f>""</f>
        <v/>
      </c>
      <c r="AS3104" s="6">
        <v>0</v>
      </c>
      <c r="AT3104" s="6">
        <v>0</v>
      </c>
    </row>
    <row r="3105" spans="2:46" ht="82.5">
      <c r="B3105" s="6" t="s">
        <v>108</v>
      </c>
      <c r="D3105" s="6" t="s">
        <v>8189</v>
      </c>
      <c r="F3105" s="6" t="s">
        <v>12852</v>
      </c>
      <c r="G3105" s="6" t="str">
        <f>"A17FWPAW199BLM"</f>
        <v>A17FWPAW199BLM</v>
      </c>
      <c r="H3105" s="6" t="s">
        <v>12853</v>
      </c>
      <c r="I3105" s="7" t="s">
        <v>12854</v>
      </c>
      <c r="J3105" s="6" t="str">
        <f>"UNBALANCE SLIT CROP JEANS 
apa199w"</f>
        <v>UNBALANCE SLIT CROP JEANS 
apa199w</v>
      </c>
      <c r="K3105" s="6">
        <v>0</v>
      </c>
      <c r="L3105" s="6">
        <v>0</v>
      </c>
      <c r="M3105" s="6">
        <v>0</v>
      </c>
      <c r="N3105" s="6" t="str">
        <f>""</f>
        <v/>
      </c>
      <c r="O3105" s="6">
        <v>23680</v>
      </c>
      <c r="P3105" s="6" t="s">
        <v>12855</v>
      </c>
      <c r="R3105" s="6" t="s">
        <v>1533</v>
      </c>
      <c r="S3105" s="7" t="s">
        <v>12856</v>
      </c>
      <c r="T3105" s="6">
        <v>0</v>
      </c>
      <c r="U3105" s="6">
        <v>0</v>
      </c>
      <c r="V3105" s="6">
        <v>0</v>
      </c>
      <c r="W3105" s="6">
        <v>0</v>
      </c>
      <c r="X3105" s="6" t="s">
        <v>169</v>
      </c>
      <c r="Z3105" s="6" t="s">
        <v>170</v>
      </c>
      <c r="AA3105" s="6" t="s">
        <v>171</v>
      </c>
      <c r="AB3105" s="6">
        <v>0</v>
      </c>
      <c r="AC3105" s="6" t="str">
        <f>""</f>
        <v/>
      </c>
      <c r="AS3105" s="6">
        <v>0</v>
      </c>
      <c r="AT3105" s="6">
        <v>0</v>
      </c>
    </row>
    <row r="3106" spans="2:46" ht="82.5">
      <c r="B3106" s="6" t="s">
        <v>108</v>
      </c>
      <c r="D3106" s="6" t="s">
        <v>8189</v>
      </c>
      <c r="F3106" s="6" t="s">
        <v>12857</v>
      </c>
      <c r="G3106" s="6" t="str">
        <f>"A17FWPAW199BKS"</f>
        <v>A17FWPAW199BKS</v>
      </c>
      <c r="H3106" s="6" t="s">
        <v>12858</v>
      </c>
      <c r="I3106" s="7" t="s">
        <v>12854</v>
      </c>
      <c r="J3106" s="6" t="str">
        <f>"UNBALANCE SLIT CROP JEANS 
apa199w"</f>
        <v>UNBALANCE SLIT CROP JEANS 
apa199w</v>
      </c>
      <c r="K3106" s="6">
        <v>0</v>
      </c>
      <c r="L3106" s="6">
        <v>0</v>
      </c>
      <c r="M3106" s="6">
        <v>0</v>
      </c>
      <c r="N3106" s="6" t="str">
        <f>""</f>
        <v/>
      </c>
      <c r="O3106" s="6">
        <v>23679</v>
      </c>
      <c r="P3106" s="6" t="s">
        <v>12859</v>
      </c>
      <c r="R3106" s="6" t="s">
        <v>1555</v>
      </c>
      <c r="S3106" s="7" t="s">
        <v>12860</v>
      </c>
      <c r="T3106" s="6">
        <v>0</v>
      </c>
      <c r="U3106" s="6">
        <v>0</v>
      </c>
      <c r="V3106" s="6">
        <v>0</v>
      </c>
      <c r="W3106" s="6">
        <v>0</v>
      </c>
      <c r="X3106" s="6" t="s">
        <v>169</v>
      </c>
      <c r="Z3106" s="6" t="s">
        <v>170</v>
      </c>
      <c r="AA3106" s="6" t="s">
        <v>171</v>
      </c>
      <c r="AB3106" s="6">
        <v>0</v>
      </c>
      <c r="AC3106" s="6" t="str">
        <f>""</f>
        <v/>
      </c>
      <c r="AS3106" s="6">
        <v>0</v>
      </c>
      <c r="AT3106" s="6">
        <v>0</v>
      </c>
    </row>
    <row r="3107" spans="2:46" ht="82.5">
      <c r="B3107" s="6" t="s">
        <v>108</v>
      </c>
      <c r="D3107" s="6" t="s">
        <v>8189</v>
      </c>
      <c r="F3107" s="6" t="s">
        <v>12861</v>
      </c>
      <c r="G3107" s="6" t="str">
        <f>"A17FWPAW199BKM"</f>
        <v>A17FWPAW199BKM</v>
      </c>
      <c r="H3107" s="6" t="s">
        <v>12862</v>
      </c>
      <c r="I3107" s="7" t="s">
        <v>12854</v>
      </c>
      <c r="J3107" s="6" t="str">
        <f>"UNBALANCE SLIT CROP JEANS 
apa199w"</f>
        <v>UNBALANCE SLIT CROP JEANS 
apa199w</v>
      </c>
      <c r="K3107" s="6">
        <v>0</v>
      </c>
      <c r="L3107" s="6">
        <v>0</v>
      </c>
      <c r="M3107" s="6">
        <v>0</v>
      </c>
      <c r="N3107" s="6" t="str">
        <f>""</f>
        <v/>
      </c>
      <c r="O3107" s="6">
        <v>23678</v>
      </c>
      <c r="P3107" s="6" t="s">
        <v>12863</v>
      </c>
      <c r="R3107" s="6" t="s">
        <v>1551</v>
      </c>
      <c r="S3107" s="7" t="s">
        <v>12864</v>
      </c>
      <c r="T3107" s="6">
        <v>0</v>
      </c>
      <c r="U3107" s="6">
        <v>0</v>
      </c>
      <c r="V3107" s="6">
        <v>0</v>
      </c>
      <c r="W3107" s="6">
        <v>0</v>
      </c>
      <c r="X3107" s="6" t="s">
        <v>169</v>
      </c>
      <c r="Z3107" s="6" t="s">
        <v>170</v>
      </c>
      <c r="AA3107" s="6" t="s">
        <v>171</v>
      </c>
      <c r="AB3107" s="6">
        <v>0</v>
      </c>
      <c r="AC3107" s="6" t="str">
        <f>""</f>
        <v/>
      </c>
      <c r="AS3107" s="6">
        <v>0</v>
      </c>
      <c r="AT3107" s="6">
        <v>0</v>
      </c>
    </row>
    <row r="3108" spans="2:46" ht="66">
      <c r="B3108" s="6" t="s">
        <v>108</v>
      </c>
      <c r="D3108" s="6" t="s">
        <v>8189</v>
      </c>
      <c r="F3108" s="6" t="s">
        <v>12865</v>
      </c>
      <c r="G3108" s="6" t="str">
        <f>"A17FWPAW198CKS"</f>
        <v>A17FWPAW198CKS</v>
      </c>
      <c r="H3108" s="6" t="s">
        <v>12866</v>
      </c>
      <c r="I3108" s="7" t="s">
        <v>12867</v>
      </c>
      <c r="J3108" s="6" t="str">
        <f>"TWEED DRAPE SKIRT 
apa198w"</f>
        <v>TWEED DRAPE SKIRT 
apa198w</v>
      </c>
      <c r="K3108" s="6">
        <v>0</v>
      </c>
      <c r="L3108" s="6">
        <v>0</v>
      </c>
      <c r="M3108" s="6">
        <v>0</v>
      </c>
      <c r="N3108" s="6" t="str">
        <f>""</f>
        <v/>
      </c>
      <c r="O3108" s="6">
        <v>23676</v>
      </c>
      <c r="P3108" s="6" t="s">
        <v>12868</v>
      </c>
      <c r="R3108" s="6" t="s">
        <v>11903</v>
      </c>
      <c r="S3108" s="7" t="s">
        <v>12869</v>
      </c>
      <c r="T3108" s="6">
        <v>0</v>
      </c>
      <c r="U3108" s="6">
        <v>0</v>
      </c>
      <c r="V3108" s="6">
        <v>0</v>
      </c>
      <c r="W3108" s="6">
        <v>0</v>
      </c>
      <c r="X3108" s="6" t="s">
        <v>169</v>
      </c>
      <c r="Z3108" s="6" t="s">
        <v>170</v>
      </c>
      <c r="AA3108" s="6" t="s">
        <v>171</v>
      </c>
      <c r="AB3108" s="6">
        <v>0</v>
      </c>
      <c r="AC3108" s="6" t="str">
        <f>""</f>
        <v/>
      </c>
      <c r="AS3108" s="6">
        <v>0</v>
      </c>
      <c r="AT3108" s="6">
        <v>0</v>
      </c>
    </row>
    <row r="3109" spans="2:46" ht="66">
      <c r="B3109" s="6" t="s">
        <v>108</v>
      </c>
      <c r="D3109" s="6" t="s">
        <v>8189</v>
      </c>
      <c r="F3109" s="6" t="s">
        <v>12870</v>
      </c>
      <c r="G3109" s="6" t="str">
        <f>"A17FWPAW198CKM"</f>
        <v>A17FWPAW198CKM</v>
      </c>
      <c r="H3109" s="6" t="s">
        <v>12871</v>
      </c>
      <c r="I3109" s="7" t="s">
        <v>12867</v>
      </c>
      <c r="J3109" s="6" t="str">
        <f>"TWEED DRAPE SKIRT 
apa198w"</f>
        <v>TWEED DRAPE SKIRT 
apa198w</v>
      </c>
      <c r="K3109" s="6">
        <v>0</v>
      </c>
      <c r="L3109" s="6">
        <v>0</v>
      </c>
      <c r="M3109" s="6">
        <v>0</v>
      </c>
      <c r="N3109" s="6" t="str">
        <f>""</f>
        <v/>
      </c>
      <c r="O3109" s="6">
        <v>23675</v>
      </c>
      <c r="P3109" s="6" t="s">
        <v>12872</v>
      </c>
      <c r="R3109" s="6" t="s">
        <v>12873</v>
      </c>
      <c r="S3109" s="7" t="s">
        <v>12874</v>
      </c>
      <c r="T3109" s="6">
        <v>0</v>
      </c>
      <c r="U3109" s="6">
        <v>0</v>
      </c>
      <c r="V3109" s="6">
        <v>0</v>
      </c>
      <c r="W3109" s="6">
        <v>0</v>
      </c>
      <c r="X3109" s="6" t="s">
        <v>169</v>
      </c>
      <c r="Z3109" s="6" t="s">
        <v>170</v>
      </c>
      <c r="AA3109" s="6" t="s">
        <v>171</v>
      </c>
      <c r="AB3109" s="6">
        <v>0</v>
      </c>
      <c r="AC3109" s="6" t="str">
        <f>""</f>
        <v/>
      </c>
      <c r="AS3109" s="6">
        <v>0</v>
      </c>
      <c r="AT3109" s="6">
        <v>0</v>
      </c>
    </row>
    <row r="3110" spans="2:46" ht="66">
      <c r="B3110" s="6" t="s">
        <v>108</v>
      </c>
      <c r="D3110" s="6" t="s">
        <v>8189</v>
      </c>
      <c r="F3110" s="6" t="s">
        <v>12875</v>
      </c>
      <c r="G3110" s="6" t="str">
        <f>"A17FWPAW196CKS"</f>
        <v>A17FWPAW196CKS</v>
      </c>
      <c r="H3110" s="6" t="s">
        <v>12876</v>
      </c>
      <c r="I3110" s="7" t="s">
        <v>12877</v>
      </c>
      <c r="J3110" s="6" t="str">
        <f>"TREA CORSET TROUSER 
apa196w"</f>
        <v>TREA CORSET TROUSER 
apa196w</v>
      </c>
      <c r="K3110" s="6">
        <v>0</v>
      </c>
      <c r="L3110" s="6">
        <v>0</v>
      </c>
      <c r="M3110" s="6">
        <v>0</v>
      </c>
      <c r="N3110" s="6" t="str">
        <f>""</f>
        <v/>
      </c>
      <c r="O3110" s="6">
        <v>23673</v>
      </c>
      <c r="P3110" s="6" t="s">
        <v>12878</v>
      </c>
      <c r="R3110" s="6" t="s">
        <v>11903</v>
      </c>
      <c r="S3110" s="7" t="s">
        <v>12879</v>
      </c>
      <c r="T3110" s="6">
        <v>0</v>
      </c>
      <c r="U3110" s="6">
        <v>0</v>
      </c>
      <c r="V3110" s="6">
        <v>0</v>
      </c>
      <c r="W3110" s="6">
        <v>0</v>
      </c>
      <c r="X3110" s="6" t="s">
        <v>169</v>
      </c>
      <c r="Z3110" s="6" t="s">
        <v>170</v>
      </c>
      <c r="AA3110" s="6" t="s">
        <v>171</v>
      </c>
      <c r="AB3110" s="6">
        <v>0</v>
      </c>
      <c r="AC3110" s="6" t="str">
        <f>""</f>
        <v/>
      </c>
      <c r="AS3110" s="6">
        <v>0</v>
      </c>
      <c r="AT3110" s="6">
        <v>0</v>
      </c>
    </row>
    <row r="3111" spans="2:46" ht="66">
      <c r="B3111" s="6" t="s">
        <v>108</v>
      </c>
      <c r="D3111" s="6" t="s">
        <v>8189</v>
      </c>
      <c r="F3111" s="6" t="s">
        <v>12880</v>
      </c>
      <c r="G3111" s="6" t="str">
        <f>"A17FWPAW196CHM"</f>
        <v>A17FWPAW196CHM</v>
      </c>
      <c r="H3111" s="6" t="s">
        <v>12881</v>
      </c>
      <c r="I3111" s="7" t="s">
        <v>12877</v>
      </c>
      <c r="J3111" s="6" t="str">
        <f>"TREA CORSET TROUSER 
apa196w"</f>
        <v>TREA CORSET TROUSER 
apa196w</v>
      </c>
      <c r="K3111" s="6">
        <v>0</v>
      </c>
      <c r="L3111" s="6">
        <v>0</v>
      </c>
      <c r="M3111" s="6">
        <v>0</v>
      </c>
      <c r="N3111" s="6" t="str">
        <f>""</f>
        <v/>
      </c>
      <c r="O3111" s="6">
        <v>23672</v>
      </c>
      <c r="P3111" s="6" t="s">
        <v>12882</v>
      </c>
      <c r="R3111" s="6" t="s">
        <v>12873</v>
      </c>
      <c r="S3111" s="7" t="s">
        <v>12883</v>
      </c>
      <c r="T3111" s="6">
        <v>0</v>
      </c>
      <c r="U3111" s="6">
        <v>0</v>
      </c>
      <c r="V3111" s="6">
        <v>0</v>
      </c>
      <c r="W3111" s="6">
        <v>0</v>
      </c>
      <c r="X3111" s="6" t="s">
        <v>169</v>
      </c>
      <c r="Z3111" s="6" t="s">
        <v>170</v>
      </c>
      <c r="AA3111" s="6" t="s">
        <v>171</v>
      </c>
      <c r="AB3111" s="6">
        <v>0</v>
      </c>
      <c r="AC3111" s="6" t="str">
        <f>""</f>
        <v/>
      </c>
      <c r="AS3111" s="6">
        <v>0</v>
      </c>
      <c r="AT3111" s="6">
        <v>0</v>
      </c>
    </row>
    <row r="3112" spans="2:46" ht="66">
      <c r="B3112" s="6" t="s">
        <v>108</v>
      </c>
      <c r="D3112" s="6" t="s">
        <v>8189</v>
      </c>
      <c r="F3112" s="6" t="s">
        <v>12884</v>
      </c>
      <c r="G3112" s="6" t="str">
        <f>"A17FWPAW196BKS"</f>
        <v>A17FWPAW196BKS</v>
      </c>
      <c r="H3112" s="6" t="s">
        <v>12885</v>
      </c>
      <c r="I3112" s="7" t="s">
        <v>12877</v>
      </c>
      <c r="J3112" s="6" t="str">
        <f>"TREA CORSET TROUSER 
apa196w"</f>
        <v>TREA CORSET TROUSER 
apa196w</v>
      </c>
      <c r="K3112" s="6">
        <v>0</v>
      </c>
      <c r="L3112" s="6">
        <v>0</v>
      </c>
      <c r="M3112" s="6">
        <v>0</v>
      </c>
      <c r="N3112" s="6" t="str">
        <f>""</f>
        <v/>
      </c>
      <c r="O3112" s="6">
        <v>23671</v>
      </c>
      <c r="P3112" s="6" t="s">
        <v>12886</v>
      </c>
      <c r="R3112" s="6" t="s">
        <v>1555</v>
      </c>
      <c r="S3112" s="7" t="s">
        <v>12887</v>
      </c>
      <c r="T3112" s="6">
        <v>0</v>
      </c>
      <c r="U3112" s="6">
        <v>0</v>
      </c>
      <c r="V3112" s="6">
        <v>0</v>
      </c>
      <c r="W3112" s="6">
        <v>0</v>
      </c>
      <c r="X3112" s="6" t="s">
        <v>169</v>
      </c>
      <c r="Z3112" s="6" t="s">
        <v>170</v>
      </c>
      <c r="AA3112" s="6" t="s">
        <v>171</v>
      </c>
      <c r="AB3112" s="6">
        <v>0</v>
      </c>
      <c r="AC3112" s="6" t="str">
        <f>""</f>
        <v/>
      </c>
      <c r="AS3112" s="6">
        <v>0</v>
      </c>
      <c r="AT3112" s="6">
        <v>0</v>
      </c>
    </row>
    <row r="3113" spans="2:46" ht="66">
      <c r="B3113" s="6" t="s">
        <v>108</v>
      </c>
      <c r="D3113" s="6" t="s">
        <v>8189</v>
      </c>
      <c r="F3113" s="6" t="s">
        <v>12888</v>
      </c>
      <c r="G3113" s="6" t="str">
        <f>"A17FWPAW196BKM"</f>
        <v>A17FWPAW196BKM</v>
      </c>
      <c r="H3113" s="6" t="s">
        <v>12889</v>
      </c>
      <c r="I3113" s="7" t="s">
        <v>12877</v>
      </c>
      <c r="J3113" s="6" t="str">
        <f>"TREA CORSET TROUSER 
apa196w"</f>
        <v>TREA CORSET TROUSER 
apa196w</v>
      </c>
      <c r="K3113" s="6">
        <v>0</v>
      </c>
      <c r="L3113" s="6">
        <v>0</v>
      </c>
      <c r="M3113" s="6">
        <v>0</v>
      </c>
      <c r="N3113" s="6" t="str">
        <f>""</f>
        <v/>
      </c>
      <c r="O3113" s="6">
        <v>23670</v>
      </c>
      <c r="P3113" s="6" t="s">
        <v>12890</v>
      </c>
      <c r="R3113" s="6" t="s">
        <v>1551</v>
      </c>
      <c r="S3113" s="7" t="s">
        <v>12891</v>
      </c>
      <c r="T3113" s="6">
        <v>0</v>
      </c>
      <c r="U3113" s="6">
        <v>0</v>
      </c>
      <c r="V3113" s="6">
        <v>0</v>
      </c>
      <c r="W3113" s="6">
        <v>0</v>
      </c>
      <c r="X3113" s="6" t="s">
        <v>169</v>
      </c>
      <c r="Z3113" s="6" t="s">
        <v>170</v>
      </c>
      <c r="AA3113" s="6" t="s">
        <v>171</v>
      </c>
      <c r="AB3113" s="6">
        <v>0</v>
      </c>
      <c r="AC3113" s="6" t="str">
        <f>""</f>
        <v/>
      </c>
      <c r="AS3113" s="6">
        <v>0</v>
      </c>
      <c r="AT3113" s="6">
        <v>0</v>
      </c>
    </row>
    <row r="3114" spans="2:46">
      <c r="B3114" s="6" t="s">
        <v>108</v>
      </c>
      <c r="D3114" s="6" t="s">
        <v>8189</v>
      </c>
      <c r="F3114" s="6" t="s">
        <v>12892</v>
      </c>
      <c r="G3114" s="6" t="str">
        <f>"A17S2PAW185BKS"</f>
        <v>A17S2PAW185BKS</v>
      </c>
      <c r="H3114" s="6" t="s">
        <v>12893</v>
      </c>
      <c r="I3114" s="6" t="s">
        <v>12894</v>
      </c>
      <c r="J3114" s="6" t="str">
        <f>"VICTORIA TAPING TROUSER apa185w Black"</f>
        <v>VICTORIA TAPING TROUSER apa185w Black</v>
      </c>
      <c r="K3114" s="6">
        <v>0</v>
      </c>
      <c r="L3114" s="6">
        <v>0</v>
      </c>
      <c r="M3114" s="6">
        <v>0</v>
      </c>
      <c r="N3114" s="6" t="str">
        <f>""</f>
        <v/>
      </c>
      <c r="O3114" s="6">
        <v>23668</v>
      </c>
      <c r="P3114" s="6" t="s">
        <v>12895</v>
      </c>
      <c r="R3114" s="6" t="s">
        <v>1555</v>
      </c>
      <c r="S3114" s="6" t="s">
        <v>12896</v>
      </c>
      <c r="T3114" s="6">
        <v>0</v>
      </c>
      <c r="U3114" s="6">
        <v>0</v>
      </c>
      <c r="V3114" s="6">
        <v>0</v>
      </c>
      <c r="W3114" s="6">
        <v>0</v>
      </c>
      <c r="X3114" s="6" t="s">
        <v>169</v>
      </c>
      <c r="Z3114" s="6" t="s">
        <v>170</v>
      </c>
      <c r="AA3114" s="6" t="s">
        <v>171</v>
      </c>
      <c r="AB3114" s="6">
        <v>0</v>
      </c>
      <c r="AC3114" s="6" t="str">
        <f>""</f>
        <v/>
      </c>
      <c r="AS3114" s="6">
        <v>0</v>
      </c>
      <c r="AT3114" s="6">
        <v>0</v>
      </c>
    </row>
    <row r="3115" spans="2:46">
      <c r="B3115" s="6" t="s">
        <v>108</v>
      </c>
      <c r="D3115" s="6" t="s">
        <v>8189</v>
      </c>
      <c r="F3115" s="6" t="s">
        <v>12897</v>
      </c>
      <c r="G3115" s="6" t="str">
        <f>"A17S2PAW185BKM"</f>
        <v>A17S2PAW185BKM</v>
      </c>
      <c r="H3115" s="6" t="s">
        <v>12898</v>
      </c>
      <c r="I3115" s="6" t="s">
        <v>12894</v>
      </c>
      <c r="J3115" s="6" t="str">
        <f>"VICTORIA TAPING TROUSER apa185w Black"</f>
        <v>VICTORIA TAPING TROUSER apa185w Black</v>
      </c>
      <c r="K3115" s="6">
        <v>0</v>
      </c>
      <c r="L3115" s="6">
        <v>0</v>
      </c>
      <c r="M3115" s="6">
        <v>0</v>
      </c>
      <c r="N3115" s="6" t="str">
        <f>""</f>
        <v/>
      </c>
      <c r="O3115" s="6">
        <v>23667</v>
      </c>
      <c r="P3115" s="6" t="s">
        <v>12899</v>
      </c>
      <c r="R3115" s="6" t="s">
        <v>1551</v>
      </c>
      <c r="S3115" s="6" t="s">
        <v>12900</v>
      </c>
      <c r="T3115" s="6">
        <v>0</v>
      </c>
      <c r="U3115" s="6">
        <v>0</v>
      </c>
      <c r="V3115" s="6">
        <v>0</v>
      </c>
      <c r="W3115" s="6">
        <v>0</v>
      </c>
      <c r="X3115" s="6" t="s">
        <v>169</v>
      </c>
      <c r="Z3115" s="6" t="s">
        <v>170</v>
      </c>
      <c r="AA3115" s="6" t="s">
        <v>171</v>
      </c>
      <c r="AB3115" s="6">
        <v>0</v>
      </c>
      <c r="AC3115" s="6" t="str">
        <f>""</f>
        <v/>
      </c>
      <c r="AS3115" s="6">
        <v>0</v>
      </c>
      <c r="AT3115" s="6">
        <v>0</v>
      </c>
    </row>
    <row r="3116" spans="2:46" ht="82.5">
      <c r="B3116" s="6" t="s">
        <v>108</v>
      </c>
      <c r="D3116" s="6" t="s">
        <v>8189</v>
      </c>
      <c r="F3116" s="6" t="s">
        <v>12901</v>
      </c>
      <c r="G3116" s="6" t="str">
        <f>"A17SSPAW173KKS"</f>
        <v>A17SSPAW173KKS</v>
      </c>
      <c r="H3116" s="6" t="s">
        <v>12902</v>
      </c>
      <c r="I3116" s="7" t="s">
        <v>12903</v>
      </c>
      <c r="J3116" s="6" t="str">
        <f>"LEILA SLIT PLEATED SKIRT  
apa173w"</f>
        <v>LEILA SLIT PLEATED SKIRT  
apa173w</v>
      </c>
      <c r="K3116" s="6">
        <v>0</v>
      </c>
      <c r="L3116" s="6">
        <v>0</v>
      </c>
      <c r="M3116" s="6">
        <v>0</v>
      </c>
      <c r="N3116" s="6" t="str">
        <f>""</f>
        <v/>
      </c>
      <c r="O3116" s="6">
        <v>23665</v>
      </c>
      <c r="P3116" s="6" t="s">
        <v>12904</v>
      </c>
      <c r="R3116" s="6" t="s">
        <v>11898</v>
      </c>
      <c r="S3116" s="7" t="s">
        <v>12905</v>
      </c>
      <c r="T3116" s="6">
        <v>0</v>
      </c>
      <c r="U3116" s="6">
        <v>0</v>
      </c>
      <c r="V3116" s="6">
        <v>0</v>
      </c>
      <c r="W3116" s="6">
        <v>0</v>
      </c>
      <c r="X3116" s="6" t="s">
        <v>169</v>
      </c>
      <c r="Z3116" s="6" t="s">
        <v>170</v>
      </c>
      <c r="AA3116" s="6" t="s">
        <v>171</v>
      </c>
      <c r="AB3116" s="6">
        <v>0</v>
      </c>
      <c r="AC3116" s="6" t="str">
        <f>""</f>
        <v/>
      </c>
      <c r="AS3116" s="6">
        <v>0</v>
      </c>
      <c r="AT3116" s="6">
        <v>0</v>
      </c>
    </row>
    <row r="3117" spans="2:46" ht="82.5">
      <c r="B3117" s="6" t="s">
        <v>108</v>
      </c>
      <c r="D3117" s="6" t="s">
        <v>8189</v>
      </c>
      <c r="F3117" s="6" t="s">
        <v>12906</v>
      </c>
      <c r="G3117" s="6" t="str">
        <f>"A17SSPAW173KKM"</f>
        <v>A17SSPAW173KKM</v>
      </c>
      <c r="H3117" s="6" t="s">
        <v>12907</v>
      </c>
      <c r="I3117" s="7" t="s">
        <v>12903</v>
      </c>
      <c r="J3117" s="6" t="str">
        <f>"LEILA SLIT PLEATED SKIRT  
apa173w"</f>
        <v>LEILA SLIT PLEATED SKIRT  
apa173w</v>
      </c>
      <c r="K3117" s="6">
        <v>0</v>
      </c>
      <c r="L3117" s="6">
        <v>0</v>
      </c>
      <c r="M3117" s="6">
        <v>0</v>
      </c>
      <c r="N3117" s="6" t="str">
        <f>""</f>
        <v/>
      </c>
      <c r="O3117" s="6">
        <v>23664</v>
      </c>
      <c r="P3117" s="6" t="s">
        <v>12908</v>
      </c>
      <c r="R3117" s="6" t="s">
        <v>12148</v>
      </c>
      <c r="S3117" s="7" t="s">
        <v>12909</v>
      </c>
      <c r="T3117" s="6">
        <v>0</v>
      </c>
      <c r="U3117" s="6">
        <v>0</v>
      </c>
      <c r="V3117" s="6">
        <v>0</v>
      </c>
      <c r="W3117" s="6">
        <v>0</v>
      </c>
      <c r="X3117" s="6" t="s">
        <v>169</v>
      </c>
      <c r="Z3117" s="6" t="s">
        <v>170</v>
      </c>
      <c r="AA3117" s="6" t="s">
        <v>171</v>
      </c>
      <c r="AB3117" s="6">
        <v>0</v>
      </c>
      <c r="AC3117" s="6" t="str">
        <f>""</f>
        <v/>
      </c>
      <c r="AS3117" s="6">
        <v>0</v>
      </c>
      <c r="AT3117" s="6">
        <v>0</v>
      </c>
    </row>
    <row r="3118" spans="2:46" ht="82.5">
      <c r="B3118" s="6" t="s">
        <v>108</v>
      </c>
      <c r="D3118" s="6" t="s">
        <v>8189</v>
      </c>
      <c r="F3118" s="6" t="s">
        <v>12910</v>
      </c>
      <c r="G3118" s="6" t="str">
        <f>"A17SSPAW173BKS"</f>
        <v>A17SSPAW173BKS</v>
      </c>
      <c r="H3118" s="6" t="s">
        <v>12911</v>
      </c>
      <c r="I3118" s="7" t="s">
        <v>12903</v>
      </c>
      <c r="J3118" s="6" t="str">
        <f>"LEILA SLIT PLEATED SKIRT  
apa173w"</f>
        <v>LEILA SLIT PLEATED SKIRT  
apa173w</v>
      </c>
      <c r="K3118" s="6">
        <v>0</v>
      </c>
      <c r="L3118" s="6">
        <v>0</v>
      </c>
      <c r="M3118" s="6">
        <v>0</v>
      </c>
      <c r="N3118" s="6" t="str">
        <f>""</f>
        <v/>
      </c>
      <c r="O3118" s="6">
        <v>23663</v>
      </c>
      <c r="P3118" s="6" t="s">
        <v>12912</v>
      </c>
      <c r="R3118" s="6" t="s">
        <v>1555</v>
      </c>
      <c r="S3118" s="7" t="s">
        <v>12913</v>
      </c>
      <c r="T3118" s="6">
        <v>0</v>
      </c>
      <c r="U3118" s="6">
        <v>0</v>
      </c>
      <c r="V3118" s="6">
        <v>0</v>
      </c>
      <c r="W3118" s="6">
        <v>0</v>
      </c>
      <c r="X3118" s="6" t="s">
        <v>169</v>
      </c>
      <c r="Z3118" s="6" t="s">
        <v>170</v>
      </c>
      <c r="AA3118" s="6" t="s">
        <v>171</v>
      </c>
      <c r="AB3118" s="6">
        <v>0</v>
      </c>
      <c r="AC3118" s="6" t="str">
        <f>""</f>
        <v/>
      </c>
      <c r="AS3118" s="6">
        <v>0</v>
      </c>
      <c r="AT3118" s="6">
        <v>0</v>
      </c>
    </row>
    <row r="3119" spans="2:46" ht="82.5">
      <c r="B3119" s="6" t="s">
        <v>108</v>
      </c>
      <c r="D3119" s="6" t="s">
        <v>8189</v>
      </c>
      <c r="F3119" s="6" t="s">
        <v>12914</v>
      </c>
      <c r="G3119" s="6" t="str">
        <f>"A17SSPAW173BKM"</f>
        <v>A17SSPAW173BKM</v>
      </c>
      <c r="H3119" s="6" t="s">
        <v>12915</v>
      </c>
      <c r="I3119" s="7" t="s">
        <v>12903</v>
      </c>
      <c r="J3119" s="6" t="str">
        <f>"LEILA SLIT PLEATED SKIRT  
apa173w"</f>
        <v>LEILA SLIT PLEATED SKIRT  
apa173w</v>
      </c>
      <c r="K3119" s="6">
        <v>0</v>
      </c>
      <c r="L3119" s="6">
        <v>0</v>
      </c>
      <c r="M3119" s="6">
        <v>0</v>
      </c>
      <c r="N3119" s="6" t="str">
        <f>""</f>
        <v/>
      </c>
      <c r="O3119" s="6">
        <v>23662</v>
      </c>
      <c r="P3119" s="6" t="s">
        <v>12916</v>
      </c>
      <c r="R3119" s="6" t="s">
        <v>1551</v>
      </c>
      <c r="S3119" s="7" t="s">
        <v>12917</v>
      </c>
      <c r="T3119" s="6">
        <v>0</v>
      </c>
      <c r="U3119" s="6">
        <v>0</v>
      </c>
      <c r="V3119" s="6">
        <v>0</v>
      </c>
      <c r="W3119" s="6">
        <v>0</v>
      </c>
      <c r="X3119" s="6" t="s">
        <v>169</v>
      </c>
      <c r="Z3119" s="6" t="s">
        <v>170</v>
      </c>
      <c r="AA3119" s="6" t="s">
        <v>171</v>
      </c>
      <c r="AB3119" s="6">
        <v>0</v>
      </c>
      <c r="AC3119" s="6" t="str">
        <f>""</f>
        <v/>
      </c>
      <c r="AS3119" s="6">
        <v>0</v>
      </c>
      <c r="AT3119" s="6">
        <v>0</v>
      </c>
    </row>
    <row r="3120" spans="2:46" ht="115.5">
      <c r="B3120" s="6" t="s">
        <v>108</v>
      </c>
      <c r="D3120" s="6" t="s">
        <v>8189</v>
      </c>
      <c r="F3120" s="6" t="s">
        <v>12918</v>
      </c>
      <c r="G3120" s="6" t="str">
        <f>"A17FWAAU056PKFRE"</f>
        <v>A17FWAAU056PKFRE</v>
      </c>
      <c r="H3120" s="6" t="s">
        <v>12919</v>
      </c>
      <c r="I3120" s="7" t="s">
        <v>12920</v>
      </c>
      <c r="J3120" s="6" t="str">
        <f>"UNISEX BIG CORDUROY BASEBALL CAP 
aaa056u"</f>
        <v>UNISEX BIG CORDUROY BASEBALL CAP 
aaa056u</v>
      </c>
      <c r="K3120" s="6">
        <v>0</v>
      </c>
      <c r="L3120" s="6">
        <v>0</v>
      </c>
      <c r="M3120" s="6">
        <v>0</v>
      </c>
      <c r="N3120" s="6" t="str">
        <f>""</f>
        <v/>
      </c>
      <c r="O3120" s="6">
        <v>23660</v>
      </c>
      <c r="P3120" s="6" t="s">
        <v>12921</v>
      </c>
      <c r="R3120" s="6" t="s">
        <v>3165</v>
      </c>
      <c r="S3120" s="7" t="s">
        <v>12922</v>
      </c>
      <c r="T3120" s="6">
        <v>0</v>
      </c>
      <c r="U3120" s="6">
        <v>0</v>
      </c>
      <c r="V3120" s="6">
        <v>0</v>
      </c>
      <c r="W3120" s="6">
        <v>0</v>
      </c>
      <c r="X3120" s="6" t="s">
        <v>169</v>
      </c>
      <c r="Z3120" s="6" t="s">
        <v>170</v>
      </c>
      <c r="AA3120" s="6" t="s">
        <v>171</v>
      </c>
      <c r="AB3120" s="6">
        <v>0</v>
      </c>
      <c r="AC3120" s="6" t="str">
        <f>""</f>
        <v/>
      </c>
      <c r="AS3120" s="6">
        <v>0</v>
      </c>
      <c r="AT3120" s="6">
        <v>0</v>
      </c>
    </row>
    <row r="3121" spans="2:46" ht="115.5">
      <c r="B3121" s="6" t="s">
        <v>108</v>
      </c>
      <c r="D3121" s="6" t="s">
        <v>8189</v>
      </c>
      <c r="F3121" s="6" t="s">
        <v>12923</v>
      </c>
      <c r="G3121" s="6" t="str">
        <f>"A17FWAAU056BKFRE"</f>
        <v>A17FWAAU056BKFRE</v>
      </c>
      <c r="H3121" s="6" t="s">
        <v>12924</v>
      </c>
      <c r="I3121" s="7" t="s">
        <v>12920</v>
      </c>
      <c r="J3121" s="6" t="str">
        <f>"UNISEX BIG CORDUROY BASEBALL CAP 
aaa056u"</f>
        <v>UNISEX BIG CORDUROY BASEBALL CAP 
aaa056u</v>
      </c>
      <c r="K3121" s="6">
        <v>0</v>
      </c>
      <c r="L3121" s="6">
        <v>0</v>
      </c>
      <c r="M3121" s="6">
        <v>0</v>
      </c>
      <c r="N3121" s="6" t="str">
        <f>""</f>
        <v/>
      </c>
      <c r="O3121" s="6">
        <v>23659</v>
      </c>
      <c r="P3121" s="6" t="s">
        <v>12925</v>
      </c>
      <c r="R3121" s="6" t="s">
        <v>2989</v>
      </c>
      <c r="S3121" s="7" t="s">
        <v>12926</v>
      </c>
      <c r="T3121" s="6">
        <v>0</v>
      </c>
      <c r="U3121" s="6">
        <v>0</v>
      </c>
      <c r="V3121" s="6">
        <v>0</v>
      </c>
      <c r="W3121" s="6">
        <v>0</v>
      </c>
      <c r="X3121" s="6" t="s">
        <v>169</v>
      </c>
      <c r="Z3121" s="6" t="s">
        <v>170</v>
      </c>
      <c r="AA3121" s="6" t="s">
        <v>171</v>
      </c>
      <c r="AB3121" s="6">
        <v>0</v>
      </c>
      <c r="AC3121" s="6" t="str">
        <f>""</f>
        <v/>
      </c>
      <c r="AS3121" s="6">
        <v>0</v>
      </c>
      <c r="AT3121" s="6">
        <v>0</v>
      </c>
    </row>
    <row r="3122" spans="2:46" ht="115.5">
      <c r="B3122" s="6" t="s">
        <v>108</v>
      </c>
      <c r="D3122" s="6" t="s">
        <v>8189</v>
      </c>
      <c r="F3122" s="6" t="s">
        <v>12927</v>
      </c>
      <c r="G3122" s="6" t="str">
        <f>"A17FWAAU056BEFRE"</f>
        <v>A17FWAAU056BEFRE</v>
      </c>
      <c r="H3122" s="6" t="s">
        <v>12928</v>
      </c>
      <c r="I3122" s="7" t="s">
        <v>12920</v>
      </c>
      <c r="J3122" s="6" t="str">
        <f>"UNISEX BIG CORDUROY BASEBALL CAP 
aaa056u"</f>
        <v>UNISEX BIG CORDUROY BASEBALL CAP 
aaa056u</v>
      </c>
      <c r="K3122" s="6">
        <v>0</v>
      </c>
      <c r="L3122" s="6">
        <v>0</v>
      </c>
      <c r="M3122" s="6">
        <v>0</v>
      </c>
      <c r="N3122" s="6" t="str">
        <f>""</f>
        <v/>
      </c>
      <c r="O3122" s="6">
        <v>23658</v>
      </c>
      <c r="P3122" s="6" t="s">
        <v>12929</v>
      </c>
      <c r="R3122" s="6" t="s">
        <v>3066</v>
      </c>
      <c r="S3122" s="7" t="s">
        <v>12930</v>
      </c>
      <c r="T3122" s="6">
        <v>0</v>
      </c>
      <c r="U3122" s="6">
        <v>0</v>
      </c>
      <c r="V3122" s="6">
        <v>0</v>
      </c>
      <c r="W3122" s="6">
        <v>0</v>
      </c>
      <c r="X3122" s="6" t="s">
        <v>169</v>
      </c>
      <c r="Z3122" s="6" t="s">
        <v>170</v>
      </c>
      <c r="AA3122" s="6" t="s">
        <v>171</v>
      </c>
      <c r="AB3122" s="6">
        <v>0</v>
      </c>
      <c r="AC3122" s="6" t="str">
        <f>""</f>
        <v/>
      </c>
      <c r="AS3122" s="6">
        <v>0</v>
      </c>
      <c r="AT3122" s="6">
        <v>0</v>
      </c>
    </row>
    <row r="3123" spans="2:46">
      <c r="B3123" s="6" t="s">
        <v>108</v>
      </c>
      <c r="D3123" s="6" t="s">
        <v>8189</v>
      </c>
      <c r="F3123" s="6" t="s">
        <v>12931</v>
      </c>
      <c r="G3123" s="6" t="str">
        <f>"A17FWAAU055BKFRE"</f>
        <v>A17FWAAU055BKFRE</v>
      </c>
      <c r="H3123" s="6" t="s">
        <v>12932</v>
      </c>
      <c r="I3123" s="6" t="s">
        <v>12933</v>
      </c>
      <c r="J3123" s="6" t="str">
        <f>"DEREK RIDGERS COLLABORATION ECO BAG aaa055u"</f>
        <v>DEREK RIDGERS COLLABORATION ECO BAG aaa055u</v>
      </c>
      <c r="K3123" s="6">
        <v>0</v>
      </c>
      <c r="L3123" s="6">
        <v>0</v>
      </c>
      <c r="M3123" s="6">
        <v>0</v>
      </c>
      <c r="N3123" s="6" t="str">
        <f>""</f>
        <v/>
      </c>
      <c r="O3123" s="6">
        <v>23656</v>
      </c>
      <c r="P3123" s="6" t="s">
        <v>12934</v>
      </c>
      <c r="R3123" s="6" t="s">
        <v>2989</v>
      </c>
      <c r="S3123" s="6" t="s">
        <v>12935</v>
      </c>
      <c r="T3123" s="6">
        <v>0</v>
      </c>
      <c r="U3123" s="6">
        <v>0</v>
      </c>
      <c r="V3123" s="6">
        <v>0</v>
      </c>
      <c r="W3123" s="6">
        <v>0</v>
      </c>
      <c r="X3123" s="6" t="s">
        <v>169</v>
      </c>
      <c r="Z3123" s="6" t="s">
        <v>170</v>
      </c>
      <c r="AA3123" s="6" t="s">
        <v>171</v>
      </c>
      <c r="AB3123" s="6">
        <v>0</v>
      </c>
      <c r="AC3123" s="6" t="str">
        <f>""</f>
        <v/>
      </c>
      <c r="AS3123" s="6">
        <v>0</v>
      </c>
      <c r="AT3123" s="6">
        <v>0</v>
      </c>
    </row>
    <row r="3124" spans="2:46" ht="66">
      <c r="B3124" s="6" t="s">
        <v>108</v>
      </c>
      <c r="D3124" s="6" t="s">
        <v>8189</v>
      </c>
      <c r="F3124" s="6" t="s">
        <v>12936</v>
      </c>
      <c r="G3124" s="6" t="str">
        <f>"A17S2AAU052BWFRE"</f>
        <v>A17S2AAU052BWFRE</v>
      </c>
      <c r="H3124" s="6" t="s">
        <v>12937</v>
      </c>
      <c r="I3124" s="7" t="s">
        <v>12938</v>
      </c>
      <c r="J3124" s="6" t="str">
        <f>"UNISEX Side Line Socks 
aaa052"</f>
        <v>UNISEX Side Line Socks 
aaa052</v>
      </c>
      <c r="K3124" s="6">
        <v>0</v>
      </c>
      <c r="L3124" s="6">
        <v>0</v>
      </c>
      <c r="M3124" s="6">
        <v>0</v>
      </c>
      <c r="N3124" s="6" t="str">
        <f>""</f>
        <v/>
      </c>
      <c r="O3124" s="6">
        <v>23654</v>
      </c>
      <c r="P3124" s="6" t="s">
        <v>12939</v>
      </c>
      <c r="R3124" s="6" t="s">
        <v>12940</v>
      </c>
      <c r="S3124" s="7" t="s">
        <v>12941</v>
      </c>
      <c r="T3124" s="6">
        <v>0</v>
      </c>
      <c r="U3124" s="6">
        <v>0</v>
      </c>
      <c r="V3124" s="6">
        <v>0</v>
      </c>
      <c r="W3124" s="6">
        <v>0</v>
      </c>
      <c r="X3124" s="6" t="s">
        <v>169</v>
      </c>
      <c r="Z3124" s="6" t="s">
        <v>170</v>
      </c>
      <c r="AA3124" s="6" t="s">
        <v>171</v>
      </c>
      <c r="AB3124" s="6">
        <v>0</v>
      </c>
      <c r="AC3124" s="6" t="str">
        <f>""</f>
        <v/>
      </c>
      <c r="AS3124" s="6">
        <v>0</v>
      </c>
      <c r="AT3124" s="6">
        <v>0</v>
      </c>
    </row>
    <row r="3125" spans="2:46" ht="66">
      <c r="B3125" s="6" t="s">
        <v>108</v>
      </c>
      <c r="D3125" s="6" t="s">
        <v>8189</v>
      </c>
      <c r="F3125" s="6" t="s">
        <v>12942</v>
      </c>
      <c r="G3125" s="6" t="str">
        <f>"A17S2AAU052BHFRE"</f>
        <v>A17S2AAU052BHFRE</v>
      </c>
      <c r="H3125" s="6" t="s">
        <v>12943</v>
      </c>
      <c r="I3125" s="7" t="s">
        <v>12938</v>
      </c>
      <c r="J3125" s="6" t="str">
        <f>"UNISEX Side Line Socks 
aaa052"</f>
        <v>UNISEX Side Line Socks 
aaa052</v>
      </c>
      <c r="K3125" s="6">
        <v>0</v>
      </c>
      <c r="L3125" s="6">
        <v>0</v>
      </c>
      <c r="M3125" s="6">
        <v>0</v>
      </c>
      <c r="N3125" s="6" t="str">
        <f>""</f>
        <v/>
      </c>
      <c r="O3125" s="6">
        <v>23653</v>
      </c>
      <c r="P3125" s="6" t="s">
        <v>12944</v>
      </c>
      <c r="R3125" s="6" t="s">
        <v>12945</v>
      </c>
      <c r="S3125" s="7" t="s">
        <v>12946</v>
      </c>
      <c r="T3125" s="6">
        <v>0</v>
      </c>
      <c r="U3125" s="6">
        <v>0</v>
      </c>
      <c r="V3125" s="6">
        <v>0</v>
      </c>
      <c r="W3125" s="6">
        <v>0</v>
      </c>
      <c r="X3125" s="6" t="s">
        <v>169</v>
      </c>
      <c r="Z3125" s="6" t="s">
        <v>170</v>
      </c>
      <c r="AA3125" s="6" t="s">
        <v>171</v>
      </c>
      <c r="AB3125" s="6">
        <v>0</v>
      </c>
      <c r="AC3125" s="6" t="str">
        <f>""</f>
        <v/>
      </c>
      <c r="AS3125" s="6">
        <v>0</v>
      </c>
      <c r="AT3125" s="6">
        <v>0</v>
      </c>
    </row>
    <row r="3126" spans="2:46" ht="66">
      <c r="B3126" s="6" t="s">
        <v>108</v>
      </c>
      <c r="D3126" s="6" t="s">
        <v>8189</v>
      </c>
      <c r="F3126" s="6" t="s">
        <v>12947</v>
      </c>
      <c r="G3126" s="6" t="str">
        <f>"A17S2AAU052BSFRE"</f>
        <v>A17S2AAU052BSFRE</v>
      </c>
      <c r="H3126" s="6" t="s">
        <v>12948</v>
      </c>
      <c r="I3126" s="7" t="s">
        <v>12938</v>
      </c>
      <c r="J3126" s="6" t="str">
        <f>"UNISEX Side Line Socks 
aaa052"</f>
        <v>UNISEX Side Line Socks 
aaa052</v>
      </c>
      <c r="K3126" s="6">
        <v>0</v>
      </c>
      <c r="L3126" s="6">
        <v>0</v>
      </c>
      <c r="M3126" s="6">
        <v>0</v>
      </c>
      <c r="N3126" s="6" t="str">
        <f>""</f>
        <v/>
      </c>
      <c r="O3126" s="6">
        <v>23652</v>
      </c>
      <c r="P3126" s="6" t="s">
        <v>12949</v>
      </c>
      <c r="R3126" s="6" t="s">
        <v>12950</v>
      </c>
      <c r="S3126" s="7" t="s">
        <v>12951</v>
      </c>
      <c r="T3126" s="6">
        <v>0</v>
      </c>
      <c r="U3126" s="6">
        <v>0</v>
      </c>
      <c r="V3126" s="6">
        <v>0</v>
      </c>
      <c r="W3126" s="6">
        <v>0</v>
      </c>
      <c r="X3126" s="6" t="s">
        <v>169</v>
      </c>
      <c r="Z3126" s="6" t="s">
        <v>170</v>
      </c>
      <c r="AA3126" s="6" t="s">
        <v>171</v>
      </c>
      <c r="AB3126" s="6">
        <v>0</v>
      </c>
      <c r="AC3126" s="6" t="str">
        <f>""</f>
        <v/>
      </c>
      <c r="AS3126" s="6">
        <v>0</v>
      </c>
      <c r="AT3126" s="6">
        <v>0</v>
      </c>
    </row>
    <row r="3127" spans="2:46" ht="99">
      <c r="B3127" s="6" t="s">
        <v>108</v>
      </c>
      <c r="D3127" s="6" t="s">
        <v>8189</v>
      </c>
      <c r="F3127" s="6" t="s">
        <v>12952</v>
      </c>
      <c r="G3127" s="6" t="str">
        <f>"A17SSAAU043OGFRE"</f>
        <v>A17SSAAU043OGFRE</v>
      </c>
      <c r="H3127" s="6" t="s">
        <v>12953</v>
      </c>
      <c r="I3127" s="7" t="s">
        <v>12954</v>
      </c>
      <c r="J3127" s="6" t="str">
        <f>"UNISEX ANDERSSON COTTON BELT 
aaa043u"</f>
        <v>UNISEX ANDERSSON COTTON BELT 
aaa043u</v>
      </c>
      <c r="K3127" s="6">
        <v>0</v>
      </c>
      <c r="L3127" s="6">
        <v>0</v>
      </c>
      <c r="M3127" s="6">
        <v>0</v>
      </c>
      <c r="N3127" s="6" t="str">
        <f>""</f>
        <v/>
      </c>
      <c r="O3127" s="6">
        <v>23650</v>
      </c>
      <c r="P3127" s="6" t="s">
        <v>12955</v>
      </c>
      <c r="R3127" s="6" t="s">
        <v>1674</v>
      </c>
      <c r="S3127" s="7" t="s">
        <v>12956</v>
      </c>
      <c r="T3127" s="6">
        <v>0</v>
      </c>
      <c r="U3127" s="6">
        <v>0</v>
      </c>
      <c r="V3127" s="6">
        <v>0</v>
      </c>
      <c r="W3127" s="6">
        <v>0</v>
      </c>
      <c r="X3127" s="6" t="s">
        <v>169</v>
      </c>
      <c r="Z3127" s="6" t="s">
        <v>170</v>
      </c>
      <c r="AA3127" s="6" t="s">
        <v>171</v>
      </c>
      <c r="AB3127" s="6">
        <v>0</v>
      </c>
      <c r="AC3127" s="6" t="str">
        <f>""</f>
        <v/>
      </c>
      <c r="AS3127" s="6">
        <v>0</v>
      </c>
      <c r="AT3127" s="6">
        <v>0</v>
      </c>
    </row>
    <row r="3128" spans="2:46" ht="99">
      <c r="B3128" s="6" t="s">
        <v>108</v>
      </c>
      <c r="D3128" s="6" t="s">
        <v>8189</v>
      </c>
      <c r="F3128" s="6" t="s">
        <v>12957</v>
      </c>
      <c r="G3128" s="6" t="str">
        <f>"A17SSAAU043BKFRE"</f>
        <v>A17SSAAU043BKFRE</v>
      </c>
      <c r="H3128" s="6" t="s">
        <v>12958</v>
      </c>
      <c r="I3128" s="7" t="s">
        <v>12954</v>
      </c>
      <c r="J3128" s="6" t="str">
        <f>"UNISEX ANDERSSON COTTON BELT 
aaa043u"</f>
        <v>UNISEX ANDERSSON COTTON BELT 
aaa043u</v>
      </c>
      <c r="K3128" s="6">
        <v>0</v>
      </c>
      <c r="L3128" s="6">
        <v>0</v>
      </c>
      <c r="M3128" s="6">
        <v>0</v>
      </c>
      <c r="N3128" s="6" t="str">
        <f>""</f>
        <v/>
      </c>
      <c r="O3128" s="6">
        <v>23649</v>
      </c>
      <c r="P3128" s="6" t="s">
        <v>12959</v>
      </c>
      <c r="R3128" s="6" t="s">
        <v>1565</v>
      </c>
      <c r="S3128" s="7" t="s">
        <v>12960</v>
      </c>
      <c r="T3128" s="6">
        <v>0</v>
      </c>
      <c r="U3128" s="6">
        <v>0</v>
      </c>
      <c r="V3128" s="6">
        <v>0</v>
      </c>
      <c r="W3128" s="6">
        <v>0</v>
      </c>
      <c r="X3128" s="6" t="s">
        <v>169</v>
      </c>
      <c r="Z3128" s="6" t="s">
        <v>170</v>
      </c>
      <c r="AA3128" s="6" t="s">
        <v>171</v>
      </c>
      <c r="AB3128" s="6">
        <v>0</v>
      </c>
      <c r="AC3128" s="6" t="str">
        <f>""</f>
        <v/>
      </c>
      <c r="AS3128" s="6">
        <v>0</v>
      </c>
      <c r="AT3128" s="6">
        <v>0</v>
      </c>
    </row>
    <row r="3129" spans="2:46" ht="99">
      <c r="B3129" s="6" t="s">
        <v>108</v>
      </c>
      <c r="D3129" s="6" t="s">
        <v>8189</v>
      </c>
      <c r="F3129" s="6" t="s">
        <v>12961</v>
      </c>
      <c r="G3129" s="6" t="str">
        <f>"A17SSAAU043BEFRE"</f>
        <v>A17SSAAU043BEFRE</v>
      </c>
      <c r="H3129" s="6" t="s">
        <v>12962</v>
      </c>
      <c r="I3129" s="7" t="s">
        <v>12954</v>
      </c>
      <c r="J3129" s="6" t="str">
        <f>"UNISEX ANDERSSON COTTON BELT 
aaa043u"</f>
        <v>UNISEX ANDERSSON COTTON BELT 
aaa043u</v>
      </c>
      <c r="K3129" s="6">
        <v>0</v>
      </c>
      <c r="L3129" s="6">
        <v>0</v>
      </c>
      <c r="M3129" s="6">
        <v>0</v>
      </c>
      <c r="N3129" s="6" t="str">
        <f>""</f>
        <v/>
      </c>
      <c r="O3129" s="6">
        <v>23648</v>
      </c>
      <c r="P3129" s="6" t="s">
        <v>12963</v>
      </c>
      <c r="R3129" s="6" t="s">
        <v>3268</v>
      </c>
      <c r="S3129" s="7" t="s">
        <v>12964</v>
      </c>
      <c r="T3129" s="6">
        <v>0</v>
      </c>
      <c r="U3129" s="6">
        <v>0</v>
      </c>
      <c r="V3129" s="6">
        <v>0</v>
      </c>
      <c r="W3129" s="6">
        <v>0</v>
      </c>
      <c r="X3129" s="6" t="s">
        <v>169</v>
      </c>
      <c r="Z3129" s="6" t="s">
        <v>170</v>
      </c>
      <c r="AA3129" s="6" t="s">
        <v>171</v>
      </c>
      <c r="AB3129" s="6">
        <v>0</v>
      </c>
      <c r="AC3129" s="6" t="str">
        <f>""</f>
        <v/>
      </c>
      <c r="AS3129" s="6">
        <v>0</v>
      </c>
      <c r="AT3129" s="6">
        <v>0</v>
      </c>
    </row>
    <row r="3130" spans="2:46" ht="99">
      <c r="B3130" s="6" t="s">
        <v>108</v>
      </c>
      <c r="D3130" s="6" t="s">
        <v>8189</v>
      </c>
      <c r="F3130" s="6" t="s">
        <v>12965</v>
      </c>
      <c r="G3130" s="6" t="str">
        <f>"A17SSAAU042RDFRE"</f>
        <v>A17SSAAU042RDFRE</v>
      </c>
      <c r="H3130" s="6" t="s">
        <v>12966</v>
      </c>
      <c r="I3130" s="7" t="s">
        <v>84</v>
      </c>
      <c r="J3130" s="6" t="str">
        <f>"UNISEX NEW GLOSS BASEBALL CAP 
aaa042u"</f>
        <v>UNISEX NEW GLOSS BASEBALL CAP 
aaa042u</v>
      </c>
      <c r="K3130" s="6">
        <v>0</v>
      </c>
      <c r="L3130" s="6">
        <v>0</v>
      </c>
      <c r="M3130" s="6">
        <v>0</v>
      </c>
      <c r="N3130" s="6" t="str">
        <f>""</f>
        <v/>
      </c>
      <c r="O3130" s="6">
        <v>23646</v>
      </c>
      <c r="P3130" s="6" t="s">
        <v>12967</v>
      </c>
      <c r="R3130" s="6" t="s">
        <v>1599</v>
      </c>
      <c r="S3130" s="7" t="s">
        <v>12968</v>
      </c>
      <c r="T3130" s="6">
        <v>0</v>
      </c>
      <c r="U3130" s="6">
        <v>0</v>
      </c>
      <c r="V3130" s="6">
        <v>0</v>
      </c>
      <c r="W3130" s="6">
        <v>0</v>
      </c>
      <c r="X3130" s="6" t="s">
        <v>169</v>
      </c>
      <c r="Z3130" s="6" t="s">
        <v>170</v>
      </c>
      <c r="AA3130" s="6" t="s">
        <v>171</v>
      </c>
      <c r="AB3130" s="6">
        <v>0</v>
      </c>
      <c r="AC3130" s="6" t="str">
        <f>""</f>
        <v/>
      </c>
      <c r="AS3130" s="6">
        <v>0</v>
      </c>
      <c r="AT3130" s="6">
        <v>0</v>
      </c>
    </row>
    <row r="3131" spans="2:46" ht="99">
      <c r="B3131" s="6" t="s">
        <v>108</v>
      </c>
      <c r="D3131" s="6" t="s">
        <v>8189</v>
      </c>
      <c r="F3131" s="6" t="s">
        <v>12969</v>
      </c>
      <c r="G3131" s="6" t="str">
        <f>"A17SSAAU042BRDFRE"</f>
        <v>A17SSAAU042BRDFRE</v>
      </c>
      <c r="I3131" s="7" t="s">
        <v>84</v>
      </c>
      <c r="J3131" s="6" t="str">
        <f>"UNISEX NEW GLOSS BASEBALL CAP 
aaa042u"</f>
        <v>UNISEX NEW GLOSS BASEBALL CAP 
aaa042u</v>
      </c>
      <c r="K3131" s="6">
        <v>0</v>
      </c>
      <c r="L3131" s="6">
        <v>0</v>
      </c>
      <c r="M3131" s="6">
        <v>0</v>
      </c>
      <c r="N3131" s="6" t="str">
        <f>""</f>
        <v/>
      </c>
      <c r="O3131" s="6">
        <v>23645</v>
      </c>
      <c r="P3131" s="6" t="s">
        <v>83</v>
      </c>
      <c r="R3131" s="6" t="s">
        <v>12970</v>
      </c>
      <c r="S3131" s="7" t="s">
        <v>12971</v>
      </c>
      <c r="T3131" s="6">
        <v>1</v>
      </c>
      <c r="U3131" s="6">
        <v>0</v>
      </c>
      <c r="V3131" s="6">
        <v>0</v>
      </c>
      <c r="W3131" s="6">
        <v>0</v>
      </c>
      <c r="X3131" s="6" t="s">
        <v>169</v>
      </c>
      <c r="Z3131" s="6" t="s">
        <v>170</v>
      </c>
      <c r="AA3131" s="6" t="s">
        <v>171</v>
      </c>
      <c r="AB3131" s="6">
        <v>0</v>
      </c>
      <c r="AC3131" s="6" t="str">
        <f>"KEY-018"</f>
        <v>KEY-018</v>
      </c>
      <c r="AQ3131" s="6" t="str">
        <f>""</f>
        <v/>
      </c>
      <c r="AR3131" s="6" t="s">
        <v>1472</v>
      </c>
      <c r="AS3131" s="6">
        <v>0</v>
      </c>
      <c r="AT3131" s="6">
        <v>1</v>
      </c>
    </row>
    <row r="3132" spans="2:46" ht="99">
      <c r="B3132" s="6" t="s">
        <v>108</v>
      </c>
      <c r="D3132" s="6" t="s">
        <v>8189</v>
      </c>
      <c r="F3132" s="6" t="s">
        <v>12972</v>
      </c>
      <c r="G3132" s="6" t="str">
        <f>"A17SSAAU042BOFRE"</f>
        <v>A17SSAAU042BOFRE</v>
      </c>
      <c r="H3132" s="6" t="s">
        <v>12973</v>
      </c>
      <c r="I3132" s="7" t="s">
        <v>84</v>
      </c>
      <c r="J3132" s="6" t="str">
        <f>"UNISEX NEW GLOSS BASEBALL CAP 
aaa042u"</f>
        <v>UNISEX NEW GLOSS BASEBALL CAP 
aaa042u</v>
      </c>
      <c r="K3132" s="6">
        <v>0</v>
      </c>
      <c r="L3132" s="6">
        <v>0</v>
      </c>
      <c r="M3132" s="6">
        <v>0</v>
      </c>
      <c r="N3132" s="6" t="str">
        <f>""</f>
        <v/>
      </c>
      <c r="O3132" s="6">
        <v>23644</v>
      </c>
      <c r="P3132" s="6" t="s">
        <v>12974</v>
      </c>
      <c r="R3132" s="6" t="s">
        <v>12975</v>
      </c>
      <c r="S3132" s="7" t="s">
        <v>12976</v>
      </c>
      <c r="T3132" s="6">
        <v>0</v>
      </c>
      <c r="U3132" s="6">
        <v>0</v>
      </c>
      <c r="V3132" s="6">
        <v>0</v>
      </c>
      <c r="W3132" s="6">
        <v>0</v>
      </c>
      <c r="X3132" s="6" t="s">
        <v>169</v>
      </c>
      <c r="Z3132" s="6" t="s">
        <v>170</v>
      </c>
      <c r="AA3132" s="6" t="s">
        <v>171</v>
      </c>
      <c r="AB3132" s="6">
        <v>0</v>
      </c>
      <c r="AC3132" s="6" t="str">
        <f>""</f>
        <v/>
      </c>
      <c r="AS3132" s="6">
        <v>0</v>
      </c>
      <c r="AT3132" s="6">
        <v>0</v>
      </c>
    </row>
    <row r="3133" spans="2:46">
      <c r="B3133" s="6" t="s">
        <v>108</v>
      </c>
      <c r="D3133" s="6" t="s">
        <v>8189</v>
      </c>
      <c r="F3133" s="6" t="s">
        <v>12977</v>
      </c>
      <c r="G3133" s="6" t="str">
        <f>"atb109ORL"</f>
        <v>atb109ORL</v>
      </c>
      <c r="H3133" s="6" t="s">
        <v>12978</v>
      </c>
      <c r="I3133" s="6" t="s">
        <v>12978</v>
      </c>
      <c r="J3133" s="6" t="str">
        <f>"atb109ORL"</f>
        <v>atb109ORL</v>
      </c>
      <c r="K3133" s="6">
        <v>0</v>
      </c>
      <c r="L3133" s="6">
        <v>0</v>
      </c>
      <c r="M3133" s="6">
        <v>0</v>
      </c>
      <c r="N3133" s="6" t="str">
        <f>""</f>
        <v/>
      </c>
      <c r="O3133" s="6">
        <v>23642</v>
      </c>
      <c r="P3133" s="6" t="s">
        <v>12978</v>
      </c>
      <c r="R3133" s="6" t="s">
        <v>5071</v>
      </c>
      <c r="S3133" s="6" t="s">
        <v>12979</v>
      </c>
      <c r="T3133" s="6">
        <v>0</v>
      </c>
      <c r="U3133" s="6">
        <v>0</v>
      </c>
      <c r="V3133" s="6">
        <v>0</v>
      </c>
      <c r="W3133" s="6">
        <v>0</v>
      </c>
      <c r="X3133" s="6" t="s">
        <v>169</v>
      </c>
      <c r="Z3133" s="6" t="s">
        <v>170</v>
      </c>
      <c r="AA3133" s="6" t="s">
        <v>171</v>
      </c>
      <c r="AB3133" s="6">
        <v>0</v>
      </c>
      <c r="AC3133" s="6" t="str">
        <f>""</f>
        <v/>
      </c>
      <c r="AS3133" s="6">
        <v>0</v>
      </c>
      <c r="AT3133" s="6">
        <v>1</v>
      </c>
    </row>
    <row r="3134" spans="2:46">
      <c r="B3134" s="6" t="s">
        <v>114</v>
      </c>
      <c r="D3134" s="6" t="s">
        <v>8189</v>
      </c>
      <c r="F3134" s="6" t="s">
        <v>12980</v>
      </c>
      <c r="G3134" s="6" t="str">
        <f>"2000000010823"</f>
        <v>2000000010823</v>
      </c>
      <c r="H3134" s="6">
        <v>2000000010823</v>
      </c>
      <c r="I3134" s="6" t="s">
        <v>12981</v>
      </c>
      <c r="J3134" s="6" t="str">
        <f>"Lespaul Navy CBO00554NV"</f>
        <v>Lespaul Navy CBO00554NV</v>
      </c>
      <c r="K3134" s="6">
        <v>0</v>
      </c>
      <c r="L3134" s="6">
        <v>0</v>
      </c>
      <c r="M3134" s="6">
        <v>0</v>
      </c>
      <c r="N3134" s="6" t="str">
        <f>""</f>
        <v/>
      </c>
      <c r="O3134" s="6">
        <v>23640</v>
      </c>
      <c r="P3134" s="6" t="s">
        <v>12982</v>
      </c>
      <c r="R3134" s="6" t="s">
        <v>12983</v>
      </c>
      <c r="S3134" s="6" t="s">
        <v>12984</v>
      </c>
      <c r="T3134" s="6">
        <v>0</v>
      </c>
      <c r="U3134" s="6">
        <v>0</v>
      </c>
      <c r="V3134" s="6">
        <v>0</v>
      </c>
      <c r="W3134" s="6">
        <v>0</v>
      </c>
      <c r="X3134" s="6" t="s">
        <v>169</v>
      </c>
      <c r="Z3134" s="6" t="s">
        <v>170</v>
      </c>
      <c r="AA3134" s="6" t="s">
        <v>171</v>
      </c>
      <c r="AB3134" s="6">
        <v>0</v>
      </c>
      <c r="AC3134" s="6" t="str">
        <f>""</f>
        <v/>
      </c>
      <c r="AS3134" s="6">
        <v>0</v>
      </c>
      <c r="AT3134" s="6">
        <v>0</v>
      </c>
    </row>
    <row r="3135" spans="2:46">
      <c r="B3135" s="6" t="s">
        <v>114</v>
      </c>
      <c r="D3135" s="6" t="s">
        <v>8189</v>
      </c>
      <c r="F3135" s="6" t="s">
        <v>12985</v>
      </c>
      <c r="G3135" s="6" t="str">
        <f>"2000000011110"</f>
        <v>2000000011110</v>
      </c>
      <c r="H3135" s="6">
        <v>2000000011110</v>
      </c>
      <c r="I3135" s="6" t="s">
        <v>12986</v>
      </c>
      <c r="J3135" s="6" t="str">
        <f>"Cozy NAVY YJS00556NV"</f>
        <v>Cozy NAVY YJS00556NV</v>
      </c>
      <c r="K3135" s="6">
        <v>0</v>
      </c>
      <c r="L3135" s="6">
        <v>0</v>
      </c>
      <c r="M3135" s="6">
        <v>0</v>
      </c>
      <c r="N3135" s="6" t="str">
        <f>""</f>
        <v/>
      </c>
      <c r="O3135" s="6">
        <v>23638</v>
      </c>
      <c r="P3135" s="6" t="s">
        <v>12987</v>
      </c>
      <c r="R3135" s="6" t="s">
        <v>12988</v>
      </c>
      <c r="S3135" s="6" t="s">
        <v>12989</v>
      </c>
      <c r="T3135" s="6">
        <v>0</v>
      </c>
      <c r="U3135" s="6">
        <v>0</v>
      </c>
      <c r="V3135" s="6">
        <v>0</v>
      </c>
      <c r="W3135" s="6">
        <v>0</v>
      </c>
      <c r="X3135" s="6" t="s">
        <v>169</v>
      </c>
      <c r="Z3135" s="6" t="s">
        <v>170</v>
      </c>
      <c r="AA3135" s="6" t="s">
        <v>171</v>
      </c>
      <c r="AB3135" s="6">
        <v>0</v>
      </c>
      <c r="AC3135" s="6" t="str">
        <f>""</f>
        <v/>
      </c>
      <c r="AS3135" s="6">
        <v>0</v>
      </c>
      <c r="AT3135" s="6">
        <v>0</v>
      </c>
    </row>
    <row r="3136" spans="2:46">
      <c r="B3136" s="6" t="s">
        <v>114</v>
      </c>
      <c r="D3136" s="6" t="s">
        <v>8189</v>
      </c>
      <c r="F3136" s="6" t="s">
        <v>12990</v>
      </c>
      <c r="G3136" s="6" t="str">
        <f>"2000000011080"</f>
        <v>2000000011080</v>
      </c>
      <c r="H3136" s="6">
        <v>2000000011080</v>
      </c>
      <c r="I3136" s="6" t="s">
        <v>12991</v>
      </c>
      <c r="J3136" s="6" t="str">
        <f>"Cozy IVORY YJS00556IV"</f>
        <v>Cozy IVORY YJS00556IV</v>
      </c>
      <c r="K3136" s="6">
        <v>0</v>
      </c>
      <c r="L3136" s="6">
        <v>0</v>
      </c>
      <c r="M3136" s="6">
        <v>0</v>
      </c>
      <c r="N3136" s="6" t="str">
        <f>""</f>
        <v/>
      </c>
      <c r="O3136" s="6">
        <v>23636</v>
      </c>
      <c r="P3136" s="6" t="s">
        <v>12992</v>
      </c>
      <c r="R3136" s="6" t="s">
        <v>12993</v>
      </c>
      <c r="S3136" s="6" t="s">
        <v>12994</v>
      </c>
      <c r="T3136" s="6">
        <v>0</v>
      </c>
      <c r="U3136" s="6">
        <v>0</v>
      </c>
      <c r="V3136" s="6">
        <v>0</v>
      </c>
      <c r="W3136" s="6">
        <v>0</v>
      </c>
      <c r="X3136" s="6" t="s">
        <v>169</v>
      </c>
      <c r="Z3136" s="6" t="s">
        <v>170</v>
      </c>
      <c r="AA3136" s="6" t="s">
        <v>171</v>
      </c>
      <c r="AB3136" s="6">
        <v>0</v>
      </c>
      <c r="AC3136" s="6" t="str">
        <f>""</f>
        <v/>
      </c>
      <c r="AS3136" s="6">
        <v>0</v>
      </c>
      <c r="AT3136" s="6">
        <v>0</v>
      </c>
    </row>
    <row r="3137" spans="2:46">
      <c r="B3137" s="6" t="s">
        <v>114</v>
      </c>
      <c r="D3137" s="6" t="s">
        <v>8189</v>
      </c>
      <c r="F3137" s="6" t="s">
        <v>12995</v>
      </c>
      <c r="G3137" s="6" t="str">
        <f>"2000000011127"</f>
        <v>2000000011127</v>
      </c>
      <c r="I3137" s="6" t="s">
        <v>12996</v>
      </c>
      <c r="J3137" s="6" t="str">
        <f>"Cozy GRAY YJS00556GY"</f>
        <v>Cozy GRAY YJS00556GY</v>
      </c>
      <c r="K3137" s="6">
        <v>0</v>
      </c>
      <c r="L3137" s="6">
        <v>0</v>
      </c>
      <c r="M3137" s="6">
        <v>0</v>
      </c>
      <c r="N3137" s="6" t="str">
        <f>""</f>
        <v/>
      </c>
      <c r="O3137" s="6">
        <v>23634</v>
      </c>
      <c r="P3137" s="6" t="s">
        <v>12997</v>
      </c>
      <c r="R3137" s="6" t="s">
        <v>12998</v>
      </c>
      <c r="S3137" s="6" t="s">
        <v>12999</v>
      </c>
      <c r="T3137" s="6">
        <v>1</v>
      </c>
      <c r="U3137" s="6">
        <v>0</v>
      </c>
      <c r="V3137" s="6">
        <v>0</v>
      </c>
      <c r="W3137" s="6">
        <v>0</v>
      </c>
      <c r="X3137" s="6" t="s">
        <v>169</v>
      </c>
      <c r="Z3137" s="6" t="s">
        <v>170</v>
      </c>
      <c r="AA3137" s="6" t="s">
        <v>171</v>
      </c>
      <c r="AB3137" s="6">
        <v>0</v>
      </c>
      <c r="AC3137" s="6" t="str">
        <f>"KEY-017"</f>
        <v>KEY-017</v>
      </c>
      <c r="AQ3137" s="6" t="str">
        <f>""</f>
        <v/>
      </c>
      <c r="AR3137" s="6" t="s">
        <v>1567</v>
      </c>
      <c r="AS3137" s="6">
        <v>0</v>
      </c>
      <c r="AT3137" s="6">
        <v>1</v>
      </c>
    </row>
    <row r="3138" spans="2:46">
      <c r="B3138" s="6" t="s">
        <v>114</v>
      </c>
      <c r="D3138" s="6" t="s">
        <v>8189</v>
      </c>
      <c r="F3138" s="6" t="s">
        <v>13000</v>
      </c>
      <c r="G3138" s="6" t="str">
        <f>"2000000011134"</f>
        <v>2000000011134</v>
      </c>
      <c r="H3138" s="6">
        <v>2000000011134</v>
      </c>
      <c r="I3138" s="6" t="s">
        <v>13001</v>
      </c>
      <c r="J3138" s="6" t="str">
        <f>"Cozy BURGUNDY YJS00556BG"</f>
        <v>Cozy BURGUNDY YJS00556BG</v>
      </c>
      <c r="K3138" s="6">
        <v>0</v>
      </c>
      <c r="L3138" s="6">
        <v>0</v>
      </c>
      <c r="M3138" s="6">
        <v>0</v>
      </c>
      <c r="N3138" s="6" t="str">
        <f>""</f>
        <v/>
      </c>
      <c r="O3138" s="6">
        <v>23632</v>
      </c>
      <c r="P3138" s="6" t="s">
        <v>13002</v>
      </c>
      <c r="R3138" s="6" t="s">
        <v>13003</v>
      </c>
      <c r="S3138" s="6" t="s">
        <v>13004</v>
      </c>
      <c r="T3138" s="6">
        <v>0</v>
      </c>
      <c r="U3138" s="6">
        <v>0</v>
      </c>
      <c r="V3138" s="6">
        <v>0</v>
      </c>
      <c r="W3138" s="6">
        <v>0</v>
      </c>
      <c r="X3138" s="6" t="s">
        <v>169</v>
      </c>
      <c r="Z3138" s="6" t="s">
        <v>170</v>
      </c>
      <c r="AA3138" s="6" t="s">
        <v>171</v>
      </c>
      <c r="AB3138" s="6">
        <v>0</v>
      </c>
      <c r="AC3138" s="6" t="str">
        <f>""</f>
        <v/>
      </c>
      <c r="AS3138" s="6">
        <v>0</v>
      </c>
      <c r="AT3138" s="6">
        <v>0</v>
      </c>
    </row>
    <row r="3139" spans="2:46">
      <c r="B3139" s="6" t="s">
        <v>114</v>
      </c>
      <c r="D3139" s="6" t="s">
        <v>8189</v>
      </c>
      <c r="F3139" s="6" t="s">
        <v>13005</v>
      </c>
      <c r="G3139" s="6" t="str">
        <f>"2000000011103"</f>
        <v>2000000011103</v>
      </c>
      <c r="H3139" s="6">
        <v>2000000011103</v>
      </c>
      <c r="I3139" s="6" t="s">
        <v>13006</v>
      </c>
      <c r="J3139" s="6" t="str">
        <f>"Cozy BLACK YJS00556BK"</f>
        <v>Cozy BLACK YJS00556BK</v>
      </c>
      <c r="K3139" s="6">
        <v>0</v>
      </c>
      <c r="L3139" s="6">
        <v>0</v>
      </c>
      <c r="M3139" s="6">
        <v>0</v>
      </c>
      <c r="N3139" s="6" t="str">
        <f>""</f>
        <v/>
      </c>
      <c r="O3139" s="6">
        <v>23630</v>
      </c>
      <c r="P3139" s="6" t="s">
        <v>13007</v>
      </c>
      <c r="R3139" s="6" t="s">
        <v>13008</v>
      </c>
      <c r="S3139" s="6" t="s">
        <v>13009</v>
      </c>
      <c r="T3139" s="6">
        <v>0</v>
      </c>
      <c r="U3139" s="6">
        <v>0</v>
      </c>
      <c r="V3139" s="6">
        <v>0</v>
      </c>
      <c r="W3139" s="6">
        <v>0</v>
      </c>
      <c r="X3139" s="6" t="s">
        <v>169</v>
      </c>
      <c r="Z3139" s="6" t="s">
        <v>170</v>
      </c>
      <c r="AA3139" s="6" t="s">
        <v>171</v>
      </c>
      <c r="AB3139" s="6">
        <v>0</v>
      </c>
      <c r="AC3139" s="6" t="str">
        <f>""</f>
        <v/>
      </c>
      <c r="AS3139" s="6">
        <v>0</v>
      </c>
      <c r="AT3139" s="6">
        <v>0</v>
      </c>
    </row>
    <row r="3140" spans="2:46">
      <c r="B3140" s="6" t="s">
        <v>114</v>
      </c>
      <c r="D3140" s="6" t="s">
        <v>8189</v>
      </c>
      <c r="F3140" s="6" t="s">
        <v>13010</v>
      </c>
      <c r="G3140" s="6" t="str">
        <f>"2000000011097"</f>
        <v>2000000011097</v>
      </c>
      <c r="H3140" s="6">
        <v>2000000011097</v>
      </c>
      <c r="I3140" s="6" t="s">
        <v>13011</v>
      </c>
      <c r="J3140" s="6" t="str">
        <f>"Cozy BEIGE YJS00556BE"</f>
        <v>Cozy BEIGE YJS00556BE</v>
      </c>
      <c r="K3140" s="6">
        <v>0</v>
      </c>
      <c r="L3140" s="6">
        <v>0</v>
      </c>
      <c r="M3140" s="6">
        <v>0</v>
      </c>
      <c r="N3140" s="6" t="str">
        <f>""</f>
        <v/>
      </c>
      <c r="O3140" s="6">
        <v>23628</v>
      </c>
      <c r="P3140" s="6" t="s">
        <v>13012</v>
      </c>
      <c r="R3140" s="6" t="s">
        <v>13013</v>
      </c>
      <c r="S3140" s="6" t="s">
        <v>13014</v>
      </c>
      <c r="T3140" s="6">
        <v>0</v>
      </c>
      <c r="U3140" s="6">
        <v>0</v>
      </c>
      <c r="V3140" s="6">
        <v>0</v>
      </c>
      <c r="W3140" s="6">
        <v>0</v>
      </c>
      <c r="X3140" s="6" t="s">
        <v>169</v>
      </c>
      <c r="Z3140" s="6" t="s">
        <v>170</v>
      </c>
      <c r="AA3140" s="6" t="s">
        <v>171</v>
      </c>
      <c r="AB3140" s="6">
        <v>0</v>
      </c>
      <c r="AC3140" s="6" t="str">
        <f>""</f>
        <v/>
      </c>
      <c r="AS3140" s="6">
        <v>0</v>
      </c>
      <c r="AT3140" s="6">
        <v>0</v>
      </c>
    </row>
    <row r="3141" spans="2:46">
      <c r="B3141" s="6" t="s">
        <v>114</v>
      </c>
      <c r="D3141" s="6" t="s">
        <v>8189</v>
      </c>
      <c r="F3141" s="6" t="s">
        <v>13015</v>
      </c>
      <c r="G3141" s="6" t="str">
        <f>"2000000011356"</f>
        <v>2000000011356</v>
      </c>
      <c r="H3141" s="6">
        <v>2000000011356</v>
      </c>
      <c r="I3141" s="6" t="s">
        <v>13016</v>
      </c>
      <c r="J3141" s="6" t="str">
        <f>"Lena KHAKI KJS00563KH"</f>
        <v>Lena KHAKI KJS00563KH</v>
      </c>
      <c r="K3141" s="6">
        <v>0</v>
      </c>
      <c r="L3141" s="6">
        <v>0</v>
      </c>
      <c r="M3141" s="6">
        <v>0</v>
      </c>
      <c r="N3141" s="6" t="str">
        <f>""</f>
        <v/>
      </c>
      <c r="O3141" s="6">
        <v>23626</v>
      </c>
      <c r="P3141" s="6" t="s">
        <v>13017</v>
      </c>
      <c r="R3141" s="6" t="s">
        <v>13018</v>
      </c>
      <c r="S3141" s="6" t="s">
        <v>13019</v>
      </c>
      <c r="T3141" s="6">
        <v>0</v>
      </c>
      <c r="U3141" s="6">
        <v>0</v>
      </c>
      <c r="V3141" s="6">
        <v>0</v>
      </c>
      <c r="W3141" s="6">
        <v>0</v>
      </c>
      <c r="X3141" s="6" t="s">
        <v>169</v>
      </c>
      <c r="Z3141" s="6" t="s">
        <v>170</v>
      </c>
      <c r="AA3141" s="6" t="s">
        <v>171</v>
      </c>
      <c r="AB3141" s="6">
        <v>0</v>
      </c>
      <c r="AC3141" s="6" t="str">
        <f>""</f>
        <v/>
      </c>
      <c r="AS3141" s="6">
        <v>0</v>
      </c>
      <c r="AT3141" s="6">
        <v>0</v>
      </c>
    </row>
    <row r="3142" spans="2:46">
      <c r="B3142" s="6" t="s">
        <v>114</v>
      </c>
      <c r="D3142" s="6" t="s">
        <v>8189</v>
      </c>
      <c r="F3142" s="6" t="s">
        <v>13020</v>
      </c>
      <c r="G3142" s="6" t="str">
        <f>"2000000011363"</f>
        <v>2000000011363</v>
      </c>
      <c r="H3142" s="6">
        <v>2000000011363</v>
      </c>
      <c r="I3142" s="6" t="s">
        <v>13021</v>
      </c>
      <c r="J3142" s="6" t="str">
        <f>"Lena INDYPINK KJS00563IP"</f>
        <v>Lena INDYPINK KJS00563IP</v>
      </c>
      <c r="K3142" s="6">
        <v>0</v>
      </c>
      <c r="L3142" s="6">
        <v>0</v>
      </c>
      <c r="M3142" s="6">
        <v>0</v>
      </c>
      <c r="N3142" s="6" t="str">
        <f>""</f>
        <v/>
      </c>
      <c r="O3142" s="6">
        <v>23624</v>
      </c>
      <c r="P3142" s="6" t="s">
        <v>13022</v>
      </c>
      <c r="R3142" s="6" t="s">
        <v>13023</v>
      </c>
      <c r="S3142" s="6" t="s">
        <v>13024</v>
      </c>
      <c r="T3142" s="6">
        <v>0</v>
      </c>
      <c r="U3142" s="6">
        <v>0</v>
      </c>
      <c r="V3142" s="6">
        <v>0</v>
      </c>
      <c r="W3142" s="6">
        <v>0</v>
      </c>
      <c r="X3142" s="6" t="s">
        <v>169</v>
      </c>
      <c r="Z3142" s="6" t="s">
        <v>170</v>
      </c>
      <c r="AA3142" s="6" t="s">
        <v>171</v>
      </c>
      <c r="AB3142" s="6">
        <v>0</v>
      </c>
      <c r="AC3142" s="6" t="str">
        <f>""</f>
        <v/>
      </c>
      <c r="AS3142" s="6">
        <v>0</v>
      </c>
      <c r="AT3142" s="6">
        <v>0</v>
      </c>
    </row>
    <row r="3143" spans="2:46">
      <c r="B3143" s="6" t="s">
        <v>114</v>
      </c>
      <c r="D3143" s="6" t="s">
        <v>8189</v>
      </c>
      <c r="F3143" s="6" t="s">
        <v>13025</v>
      </c>
      <c r="G3143" s="6" t="str">
        <f>"2000000011370"</f>
        <v>2000000011370</v>
      </c>
      <c r="H3143" s="6">
        <v>2000000011370</v>
      </c>
      <c r="I3143" s="6" t="s">
        <v>13026</v>
      </c>
      <c r="J3143" s="6" t="str">
        <f>"Lena WINE KJS00563WN"</f>
        <v>Lena WINE KJS00563WN</v>
      </c>
      <c r="K3143" s="6">
        <v>0</v>
      </c>
      <c r="L3143" s="6">
        <v>0</v>
      </c>
      <c r="M3143" s="6">
        <v>0</v>
      </c>
      <c r="N3143" s="6" t="str">
        <f>""</f>
        <v/>
      </c>
      <c r="O3143" s="6">
        <v>23622</v>
      </c>
      <c r="P3143" s="6" t="s">
        <v>13027</v>
      </c>
      <c r="R3143" s="6" t="s">
        <v>13028</v>
      </c>
      <c r="S3143" s="6" t="s">
        <v>13029</v>
      </c>
      <c r="T3143" s="6">
        <v>0</v>
      </c>
      <c r="U3143" s="6">
        <v>0</v>
      </c>
      <c r="V3143" s="6">
        <v>0</v>
      </c>
      <c r="W3143" s="6">
        <v>0</v>
      </c>
      <c r="X3143" s="6" t="s">
        <v>169</v>
      </c>
      <c r="Z3143" s="6" t="s">
        <v>170</v>
      </c>
      <c r="AA3143" s="6" t="s">
        <v>171</v>
      </c>
      <c r="AB3143" s="6">
        <v>0</v>
      </c>
      <c r="AC3143" s="6" t="str">
        <f>""</f>
        <v/>
      </c>
      <c r="AS3143" s="6">
        <v>0</v>
      </c>
      <c r="AT3143" s="6">
        <v>0</v>
      </c>
    </row>
    <row r="3144" spans="2:46">
      <c r="B3144" s="6" t="s">
        <v>114</v>
      </c>
      <c r="D3144" s="6" t="s">
        <v>8189</v>
      </c>
      <c r="F3144" s="6" t="s">
        <v>13030</v>
      </c>
      <c r="G3144" s="6" t="str">
        <f>"2000000011349"</f>
        <v>2000000011349</v>
      </c>
      <c r="H3144" s="6">
        <v>2000000011349</v>
      </c>
      <c r="I3144" s="6" t="s">
        <v>13031</v>
      </c>
      <c r="J3144" s="6" t="str">
        <f>"Lena BROWN KJS00563BR"</f>
        <v>Lena BROWN KJS00563BR</v>
      </c>
      <c r="K3144" s="6">
        <v>0</v>
      </c>
      <c r="L3144" s="6">
        <v>0</v>
      </c>
      <c r="M3144" s="6">
        <v>0</v>
      </c>
      <c r="N3144" s="6" t="str">
        <f>""</f>
        <v/>
      </c>
      <c r="O3144" s="6">
        <v>23620</v>
      </c>
      <c r="P3144" s="6" t="s">
        <v>13032</v>
      </c>
      <c r="R3144" s="6" t="s">
        <v>13033</v>
      </c>
      <c r="S3144" s="6" t="s">
        <v>13034</v>
      </c>
      <c r="T3144" s="6">
        <v>0</v>
      </c>
      <c r="U3144" s="6">
        <v>0</v>
      </c>
      <c r="V3144" s="6">
        <v>0</v>
      </c>
      <c r="W3144" s="6">
        <v>0</v>
      </c>
      <c r="X3144" s="6" t="s">
        <v>169</v>
      </c>
      <c r="Z3144" s="6" t="s">
        <v>170</v>
      </c>
      <c r="AA3144" s="6" t="s">
        <v>171</v>
      </c>
      <c r="AB3144" s="6">
        <v>0</v>
      </c>
      <c r="AC3144" s="6" t="str">
        <f>""</f>
        <v/>
      </c>
      <c r="AS3144" s="6">
        <v>0</v>
      </c>
      <c r="AT3144" s="6">
        <v>0</v>
      </c>
    </row>
    <row r="3145" spans="2:46">
      <c r="B3145" s="6" t="s">
        <v>114</v>
      </c>
      <c r="D3145" s="6" t="s">
        <v>8189</v>
      </c>
      <c r="F3145" s="6" t="s">
        <v>13035</v>
      </c>
      <c r="G3145" s="6" t="str">
        <f>"2000000011332"</f>
        <v>2000000011332</v>
      </c>
      <c r="H3145" s="6">
        <v>2000000011332</v>
      </c>
      <c r="I3145" s="6" t="s">
        <v>13036</v>
      </c>
      <c r="J3145" s="6" t="str">
        <f>"Lena BLACK KJS00563BK"</f>
        <v>Lena BLACK KJS00563BK</v>
      </c>
      <c r="K3145" s="6">
        <v>0</v>
      </c>
      <c r="L3145" s="6">
        <v>0</v>
      </c>
      <c r="M3145" s="6">
        <v>0</v>
      </c>
      <c r="N3145" s="6" t="str">
        <f>""</f>
        <v/>
      </c>
      <c r="O3145" s="6">
        <v>23618</v>
      </c>
      <c r="P3145" s="6" t="s">
        <v>13037</v>
      </c>
      <c r="R3145" s="6" t="s">
        <v>13008</v>
      </c>
      <c r="S3145" s="6" t="s">
        <v>13038</v>
      </c>
      <c r="T3145" s="6">
        <v>0</v>
      </c>
      <c r="U3145" s="6">
        <v>0</v>
      </c>
      <c r="V3145" s="6">
        <v>0</v>
      </c>
      <c r="W3145" s="6">
        <v>0</v>
      </c>
      <c r="X3145" s="6" t="s">
        <v>169</v>
      </c>
      <c r="Z3145" s="6" t="s">
        <v>170</v>
      </c>
      <c r="AA3145" s="6" t="s">
        <v>171</v>
      </c>
      <c r="AB3145" s="6">
        <v>0</v>
      </c>
      <c r="AC3145" s="6" t="str">
        <f>""</f>
        <v/>
      </c>
      <c r="AS3145" s="6">
        <v>0</v>
      </c>
      <c r="AT3145" s="6">
        <v>0</v>
      </c>
    </row>
    <row r="3146" spans="2:46">
      <c r="B3146" s="6" t="s">
        <v>114</v>
      </c>
      <c r="D3146" s="6" t="s">
        <v>8189</v>
      </c>
      <c r="F3146" s="6" t="s">
        <v>13039</v>
      </c>
      <c r="G3146" s="6" t="str">
        <f>"2000000010618"</f>
        <v>2000000010618</v>
      </c>
      <c r="H3146" s="6">
        <v>2000000010618</v>
      </c>
      <c r="I3146" s="6" t="s">
        <v>13040</v>
      </c>
      <c r="J3146" s="6" t="str">
        <f>"Praha RED KDK00551RD"</f>
        <v>Praha RED KDK00551RD</v>
      </c>
      <c r="K3146" s="6">
        <v>0</v>
      </c>
      <c r="L3146" s="6">
        <v>0</v>
      </c>
      <c r="M3146" s="6">
        <v>0</v>
      </c>
      <c r="N3146" s="6" t="str">
        <f>""</f>
        <v/>
      </c>
      <c r="O3146" s="6">
        <v>23616</v>
      </c>
      <c r="P3146" s="6" t="s">
        <v>13041</v>
      </c>
      <c r="R3146" s="6" t="s">
        <v>13042</v>
      </c>
      <c r="S3146" s="6" t="s">
        <v>13043</v>
      </c>
      <c r="T3146" s="6">
        <v>0</v>
      </c>
      <c r="U3146" s="6">
        <v>0</v>
      </c>
      <c r="V3146" s="6">
        <v>0</v>
      </c>
      <c r="W3146" s="6">
        <v>0</v>
      </c>
      <c r="X3146" s="6" t="s">
        <v>169</v>
      </c>
      <c r="Z3146" s="6" t="s">
        <v>170</v>
      </c>
      <c r="AA3146" s="6" t="s">
        <v>171</v>
      </c>
      <c r="AB3146" s="6">
        <v>0</v>
      </c>
      <c r="AC3146" s="6" t="str">
        <f>""</f>
        <v/>
      </c>
      <c r="AS3146" s="6">
        <v>0</v>
      </c>
      <c r="AT3146" s="6">
        <v>0</v>
      </c>
    </row>
    <row r="3147" spans="2:46">
      <c r="B3147" s="6" t="s">
        <v>114</v>
      </c>
      <c r="D3147" s="6" t="s">
        <v>8189</v>
      </c>
      <c r="F3147" s="6" t="s">
        <v>13044</v>
      </c>
      <c r="G3147" s="6" t="str">
        <f>"2000000010625"</f>
        <v>2000000010625</v>
      </c>
      <c r="I3147" s="6" t="s">
        <v>13045</v>
      </c>
      <c r="J3147" s="6" t="str">
        <f>"Praha PURPLE KDK00551PU"</f>
        <v>Praha PURPLE KDK00551PU</v>
      </c>
      <c r="K3147" s="6">
        <v>0</v>
      </c>
      <c r="L3147" s="6">
        <v>0</v>
      </c>
      <c r="M3147" s="6">
        <v>0</v>
      </c>
      <c r="N3147" s="6" t="str">
        <f>""</f>
        <v/>
      </c>
      <c r="O3147" s="6">
        <v>23614</v>
      </c>
      <c r="P3147" s="6" t="s">
        <v>13046</v>
      </c>
      <c r="R3147" s="6" t="s">
        <v>13047</v>
      </c>
      <c r="S3147" s="6" t="s">
        <v>13048</v>
      </c>
      <c r="T3147" s="6">
        <v>2</v>
      </c>
      <c r="U3147" s="6">
        <v>0</v>
      </c>
      <c r="V3147" s="6">
        <v>0</v>
      </c>
      <c r="W3147" s="6">
        <v>0</v>
      </c>
      <c r="X3147" s="6" t="s">
        <v>169</v>
      </c>
      <c r="Z3147" s="6" t="s">
        <v>170</v>
      </c>
      <c r="AA3147" s="6" t="s">
        <v>171</v>
      </c>
      <c r="AB3147" s="6">
        <v>0</v>
      </c>
      <c r="AC3147" s="6" t="str">
        <f>"KEY-014"</f>
        <v>KEY-014</v>
      </c>
      <c r="AQ3147" s="6" t="str">
        <f>""</f>
        <v/>
      </c>
      <c r="AR3147" s="6" t="s">
        <v>1584</v>
      </c>
      <c r="AS3147" s="6">
        <v>0</v>
      </c>
      <c r="AT3147" s="6">
        <v>2</v>
      </c>
    </row>
    <row r="3148" spans="2:46">
      <c r="B3148" s="6" t="s">
        <v>114</v>
      </c>
      <c r="D3148" s="6" t="s">
        <v>8189</v>
      </c>
      <c r="F3148" s="6" t="s">
        <v>13049</v>
      </c>
      <c r="G3148" s="6" t="str">
        <f>"2000000010649"</f>
        <v>2000000010649</v>
      </c>
      <c r="H3148" s="6">
        <v>2000000010649</v>
      </c>
      <c r="I3148" s="6" t="s">
        <v>13050</v>
      </c>
      <c r="J3148" s="6" t="str">
        <f>"Praha NAVY KDK00551NV"</f>
        <v>Praha NAVY KDK00551NV</v>
      </c>
      <c r="K3148" s="6">
        <v>0</v>
      </c>
      <c r="L3148" s="6">
        <v>0</v>
      </c>
      <c r="M3148" s="6">
        <v>0</v>
      </c>
      <c r="N3148" s="6" t="str">
        <f>""</f>
        <v/>
      </c>
      <c r="O3148" s="6">
        <v>23612</v>
      </c>
      <c r="P3148" s="6" t="s">
        <v>13051</v>
      </c>
      <c r="R3148" s="6" t="s">
        <v>12988</v>
      </c>
      <c r="S3148" s="6" t="s">
        <v>13052</v>
      </c>
      <c r="T3148" s="6">
        <v>0</v>
      </c>
      <c r="U3148" s="6">
        <v>0</v>
      </c>
      <c r="V3148" s="6">
        <v>0</v>
      </c>
      <c r="W3148" s="6">
        <v>0</v>
      </c>
      <c r="X3148" s="6" t="s">
        <v>169</v>
      </c>
      <c r="Z3148" s="6" t="s">
        <v>170</v>
      </c>
      <c r="AA3148" s="6" t="s">
        <v>171</v>
      </c>
      <c r="AB3148" s="6">
        <v>0</v>
      </c>
      <c r="AC3148" s="6" t="str">
        <f>""</f>
        <v/>
      </c>
      <c r="AS3148" s="6">
        <v>0</v>
      </c>
      <c r="AT3148" s="6">
        <v>0</v>
      </c>
    </row>
    <row r="3149" spans="2:46">
      <c r="B3149" s="6" t="s">
        <v>114</v>
      </c>
      <c r="D3149" s="6" t="s">
        <v>8189</v>
      </c>
      <c r="F3149" s="6" t="s">
        <v>13053</v>
      </c>
      <c r="G3149" s="6" t="str">
        <f>"2000000010632"</f>
        <v>2000000010632</v>
      </c>
      <c r="H3149" s="6">
        <v>2000000010632</v>
      </c>
      <c r="I3149" s="6" t="s">
        <v>13054</v>
      </c>
      <c r="J3149" s="6" t="str">
        <f>"Praha GREEN KDK00551GR"</f>
        <v>Praha GREEN KDK00551GR</v>
      </c>
      <c r="K3149" s="6">
        <v>0</v>
      </c>
      <c r="L3149" s="6">
        <v>0</v>
      </c>
      <c r="M3149" s="6">
        <v>0</v>
      </c>
      <c r="N3149" s="6" t="str">
        <f>""</f>
        <v/>
      </c>
      <c r="O3149" s="6">
        <v>23610</v>
      </c>
      <c r="P3149" s="6" t="s">
        <v>13055</v>
      </c>
      <c r="R3149" s="6" t="s">
        <v>13056</v>
      </c>
      <c r="S3149" s="6" t="s">
        <v>13057</v>
      </c>
      <c r="T3149" s="6">
        <v>0</v>
      </c>
      <c r="U3149" s="6">
        <v>0</v>
      </c>
      <c r="V3149" s="6">
        <v>0</v>
      </c>
      <c r="W3149" s="6">
        <v>0</v>
      </c>
      <c r="X3149" s="6" t="s">
        <v>169</v>
      </c>
      <c r="Z3149" s="6" t="s">
        <v>170</v>
      </c>
      <c r="AA3149" s="6" t="s">
        <v>171</v>
      </c>
      <c r="AB3149" s="6">
        <v>0</v>
      </c>
      <c r="AC3149" s="6" t="str">
        <f>""</f>
        <v/>
      </c>
      <c r="AS3149" s="6">
        <v>0</v>
      </c>
      <c r="AT3149" s="6">
        <v>0</v>
      </c>
    </row>
    <row r="3150" spans="2:46">
      <c r="B3150" s="6" t="s">
        <v>114</v>
      </c>
      <c r="D3150" s="6" t="s">
        <v>8189</v>
      </c>
      <c r="F3150" s="6" t="s">
        <v>13058</v>
      </c>
      <c r="G3150" s="6" t="str">
        <f>"2000000010687"</f>
        <v>2000000010687</v>
      </c>
      <c r="H3150" s="6">
        <v>2000000010687</v>
      </c>
      <c r="I3150" s="6" t="s">
        <v>13059</v>
      </c>
      <c r="J3150" s="6" t="str">
        <f>"Praha COCOA KDK00551CO"</f>
        <v>Praha COCOA KDK00551CO</v>
      </c>
      <c r="K3150" s="6">
        <v>0</v>
      </c>
      <c r="L3150" s="6">
        <v>0</v>
      </c>
      <c r="M3150" s="6">
        <v>0</v>
      </c>
      <c r="N3150" s="6" t="str">
        <f>""</f>
        <v/>
      </c>
      <c r="O3150" s="6">
        <v>23608</v>
      </c>
      <c r="P3150" s="6" t="s">
        <v>13060</v>
      </c>
      <c r="R3150" s="6" t="s">
        <v>13061</v>
      </c>
      <c r="S3150" s="6" t="s">
        <v>13062</v>
      </c>
      <c r="T3150" s="6">
        <v>0</v>
      </c>
      <c r="U3150" s="6">
        <v>0</v>
      </c>
      <c r="V3150" s="6">
        <v>0</v>
      </c>
      <c r="W3150" s="6">
        <v>0</v>
      </c>
      <c r="X3150" s="6" t="s">
        <v>169</v>
      </c>
      <c r="Z3150" s="6" t="s">
        <v>170</v>
      </c>
      <c r="AA3150" s="6" t="s">
        <v>171</v>
      </c>
      <c r="AB3150" s="6">
        <v>0</v>
      </c>
      <c r="AC3150" s="6" t="str">
        <f>""</f>
        <v/>
      </c>
      <c r="AS3150" s="6">
        <v>0</v>
      </c>
      <c r="AT3150" s="6">
        <v>0</v>
      </c>
    </row>
    <row r="3151" spans="2:46">
      <c r="B3151" s="6" t="s">
        <v>114</v>
      </c>
      <c r="D3151" s="6" t="s">
        <v>8189</v>
      </c>
      <c r="F3151" s="6" t="s">
        <v>13063</v>
      </c>
      <c r="G3151" s="6" t="str">
        <f>"2000000010663"</f>
        <v>2000000010663</v>
      </c>
      <c r="H3151" s="6">
        <v>2000000010663</v>
      </c>
      <c r="I3151" s="6" t="s">
        <v>13064</v>
      </c>
      <c r="J3151" s="6" t="str">
        <f>"Praha BROWN KDK00551BR"</f>
        <v>Praha BROWN KDK00551BR</v>
      </c>
      <c r="K3151" s="6">
        <v>0</v>
      </c>
      <c r="L3151" s="6">
        <v>0</v>
      </c>
      <c r="M3151" s="6">
        <v>0</v>
      </c>
      <c r="N3151" s="6" t="str">
        <f>""</f>
        <v/>
      </c>
      <c r="O3151" s="6">
        <v>23606</v>
      </c>
      <c r="P3151" s="6" t="s">
        <v>13065</v>
      </c>
      <c r="R3151" s="6" t="s">
        <v>13033</v>
      </c>
      <c r="S3151" s="6" t="s">
        <v>13066</v>
      </c>
      <c r="T3151" s="6">
        <v>0</v>
      </c>
      <c r="U3151" s="6">
        <v>0</v>
      </c>
      <c r="V3151" s="6">
        <v>0</v>
      </c>
      <c r="W3151" s="6">
        <v>0</v>
      </c>
      <c r="X3151" s="6" t="s">
        <v>169</v>
      </c>
      <c r="Z3151" s="6" t="s">
        <v>170</v>
      </c>
      <c r="AA3151" s="6" t="s">
        <v>171</v>
      </c>
      <c r="AB3151" s="6">
        <v>0</v>
      </c>
      <c r="AC3151" s="6" t="str">
        <f>""</f>
        <v/>
      </c>
      <c r="AS3151" s="6">
        <v>0</v>
      </c>
      <c r="AT3151" s="6">
        <v>0</v>
      </c>
    </row>
    <row r="3152" spans="2:46">
      <c r="B3152" s="6" t="s">
        <v>114</v>
      </c>
      <c r="D3152" s="6" t="s">
        <v>8189</v>
      </c>
      <c r="F3152" s="6" t="s">
        <v>13067</v>
      </c>
      <c r="G3152" s="6" t="str">
        <f>"2000000010656"</f>
        <v>2000000010656</v>
      </c>
      <c r="I3152" s="6" t="s">
        <v>13068</v>
      </c>
      <c r="J3152" s="6" t="str">
        <f>"Praha BLUE KDK00551BL"</f>
        <v>Praha BLUE KDK00551BL</v>
      </c>
      <c r="K3152" s="6">
        <v>0</v>
      </c>
      <c r="L3152" s="6">
        <v>0</v>
      </c>
      <c r="M3152" s="6">
        <v>0</v>
      </c>
      <c r="N3152" s="6" t="str">
        <f>""</f>
        <v/>
      </c>
      <c r="O3152" s="6">
        <v>23604</v>
      </c>
      <c r="P3152" s="6" t="s">
        <v>13069</v>
      </c>
      <c r="R3152" s="6" t="s">
        <v>13070</v>
      </c>
      <c r="S3152" s="6" t="s">
        <v>13071</v>
      </c>
      <c r="T3152" s="6">
        <v>1</v>
      </c>
      <c r="U3152" s="6">
        <v>0</v>
      </c>
      <c r="V3152" s="6">
        <v>0</v>
      </c>
      <c r="W3152" s="6">
        <v>0</v>
      </c>
      <c r="X3152" s="6" t="s">
        <v>169</v>
      </c>
      <c r="Z3152" s="6" t="s">
        <v>170</v>
      </c>
      <c r="AA3152" s="6" t="s">
        <v>171</v>
      </c>
      <c r="AB3152" s="6">
        <v>0</v>
      </c>
      <c r="AC3152" s="6" t="str">
        <f>"KEY-016"</f>
        <v>KEY-016</v>
      </c>
      <c r="AQ3152" s="6" t="str">
        <f>""</f>
        <v/>
      </c>
      <c r="AR3152" s="6" t="s">
        <v>1584</v>
      </c>
      <c r="AS3152" s="6">
        <v>0</v>
      </c>
      <c r="AT3152" s="6">
        <v>1</v>
      </c>
    </row>
    <row r="3153" spans="2:46">
      <c r="B3153" s="6" t="s">
        <v>114</v>
      </c>
      <c r="D3153" s="6" t="s">
        <v>8189</v>
      </c>
      <c r="F3153" s="6" t="s">
        <v>13072</v>
      </c>
      <c r="G3153" s="6" t="str">
        <f>"2000000010670"</f>
        <v>2000000010670</v>
      </c>
      <c r="H3153" s="6">
        <v>2000000010670</v>
      </c>
      <c r="I3153" s="6" t="s">
        <v>13073</v>
      </c>
      <c r="J3153" s="6" t="str">
        <f>"Praha BLACK KDK00551BK"</f>
        <v>Praha BLACK KDK00551BK</v>
      </c>
      <c r="K3153" s="6">
        <v>0</v>
      </c>
      <c r="L3153" s="6">
        <v>0</v>
      </c>
      <c r="M3153" s="6">
        <v>0</v>
      </c>
      <c r="N3153" s="6" t="str">
        <f>""</f>
        <v/>
      </c>
      <c r="O3153" s="6">
        <v>23602</v>
      </c>
      <c r="P3153" s="6" t="s">
        <v>13074</v>
      </c>
      <c r="R3153" s="6" t="s">
        <v>13008</v>
      </c>
      <c r="S3153" s="6" t="s">
        <v>13075</v>
      </c>
      <c r="T3153" s="6">
        <v>0</v>
      </c>
      <c r="U3153" s="6">
        <v>0</v>
      </c>
      <c r="V3153" s="6">
        <v>0</v>
      </c>
      <c r="W3153" s="6">
        <v>0</v>
      </c>
      <c r="X3153" s="6" t="s">
        <v>169</v>
      </c>
      <c r="Z3153" s="6" t="s">
        <v>170</v>
      </c>
      <c r="AA3153" s="6" t="s">
        <v>171</v>
      </c>
      <c r="AB3153" s="6">
        <v>0</v>
      </c>
      <c r="AC3153" s="6" t="str">
        <f>""</f>
        <v/>
      </c>
      <c r="AS3153" s="6">
        <v>0</v>
      </c>
      <c r="AT3153" s="6">
        <v>0</v>
      </c>
    </row>
    <row r="3154" spans="2:46">
      <c r="B3154" s="6" t="s">
        <v>114</v>
      </c>
      <c r="D3154" s="6" t="s">
        <v>8189</v>
      </c>
      <c r="F3154" s="6" t="s">
        <v>13076</v>
      </c>
      <c r="G3154" s="6" t="str">
        <f>"2000000010694"</f>
        <v>2000000010694</v>
      </c>
      <c r="H3154" s="6">
        <v>2000000010694</v>
      </c>
      <c r="I3154" s="6" t="s">
        <v>13077</v>
      </c>
      <c r="J3154" s="6" t="str">
        <f>"Harvey RED PHK00552RD"</f>
        <v>Harvey RED PHK00552RD</v>
      </c>
      <c r="K3154" s="6">
        <v>0</v>
      </c>
      <c r="L3154" s="6">
        <v>0</v>
      </c>
      <c r="M3154" s="6">
        <v>0</v>
      </c>
      <c r="N3154" s="6" t="str">
        <f>""</f>
        <v/>
      </c>
      <c r="O3154" s="6">
        <v>23600</v>
      </c>
      <c r="P3154" s="6" t="s">
        <v>13078</v>
      </c>
      <c r="R3154" s="6" t="s">
        <v>13042</v>
      </c>
      <c r="S3154" s="6" t="s">
        <v>13079</v>
      </c>
      <c r="T3154" s="6">
        <v>0</v>
      </c>
      <c r="U3154" s="6">
        <v>0</v>
      </c>
      <c r="V3154" s="6">
        <v>0</v>
      </c>
      <c r="W3154" s="6">
        <v>0</v>
      </c>
      <c r="X3154" s="6" t="s">
        <v>169</v>
      </c>
      <c r="Z3154" s="6" t="s">
        <v>170</v>
      </c>
      <c r="AA3154" s="6" t="s">
        <v>171</v>
      </c>
      <c r="AB3154" s="6">
        <v>0</v>
      </c>
      <c r="AC3154" s="6" t="str">
        <f>""</f>
        <v/>
      </c>
      <c r="AS3154" s="6">
        <v>0</v>
      </c>
      <c r="AT3154" s="6">
        <v>0</v>
      </c>
    </row>
    <row r="3155" spans="2:46">
      <c r="B3155" s="6" t="s">
        <v>114</v>
      </c>
      <c r="D3155" s="6" t="s">
        <v>8189</v>
      </c>
      <c r="F3155" s="6" t="s">
        <v>13080</v>
      </c>
      <c r="G3155" s="6" t="str">
        <f>"2000000010700"</f>
        <v>2000000010700</v>
      </c>
      <c r="H3155" s="6">
        <v>2000000010700</v>
      </c>
      <c r="I3155" s="6" t="s">
        <v>13081</v>
      </c>
      <c r="J3155" s="6" t="str">
        <f>"Harvey PURPLE PHK00552PU"</f>
        <v>Harvey PURPLE PHK00552PU</v>
      </c>
      <c r="K3155" s="6">
        <v>0</v>
      </c>
      <c r="L3155" s="6">
        <v>0</v>
      </c>
      <c r="M3155" s="6">
        <v>0</v>
      </c>
      <c r="N3155" s="6" t="str">
        <f>""</f>
        <v/>
      </c>
      <c r="O3155" s="6">
        <v>23598</v>
      </c>
      <c r="P3155" s="6" t="s">
        <v>13082</v>
      </c>
      <c r="R3155" s="6" t="s">
        <v>13047</v>
      </c>
      <c r="S3155" s="6" t="s">
        <v>13083</v>
      </c>
      <c r="T3155" s="6">
        <v>0</v>
      </c>
      <c r="U3155" s="6">
        <v>0</v>
      </c>
      <c r="V3155" s="6">
        <v>0</v>
      </c>
      <c r="W3155" s="6">
        <v>0</v>
      </c>
      <c r="X3155" s="6" t="s">
        <v>169</v>
      </c>
      <c r="Z3155" s="6" t="s">
        <v>170</v>
      </c>
      <c r="AA3155" s="6" t="s">
        <v>171</v>
      </c>
      <c r="AB3155" s="6">
        <v>0</v>
      </c>
      <c r="AC3155" s="6" t="str">
        <f>""</f>
        <v/>
      </c>
      <c r="AS3155" s="6">
        <v>0</v>
      </c>
      <c r="AT3155" s="6">
        <v>0</v>
      </c>
    </row>
    <row r="3156" spans="2:46">
      <c r="B3156" s="6" t="s">
        <v>114</v>
      </c>
      <c r="D3156" s="6" t="s">
        <v>8189</v>
      </c>
      <c r="F3156" s="6" t="s">
        <v>13084</v>
      </c>
      <c r="G3156" s="6" t="str">
        <f>"2000000010724"</f>
        <v>2000000010724</v>
      </c>
      <c r="H3156" s="6">
        <v>2000000010724</v>
      </c>
      <c r="I3156" s="6" t="s">
        <v>13085</v>
      </c>
      <c r="J3156" s="6" t="str">
        <f>"Harvey NAVY PHK00552NV"</f>
        <v>Harvey NAVY PHK00552NV</v>
      </c>
      <c r="K3156" s="6">
        <v>0</v>
      </c>
      <c r="L3156" s="6">
        <v>0</v>
      </c>
      <c r="M3156" s="6">
        <v>0</v>
      </c>
      <c r="N3156" s="6" t="str">
        <f>""</f>
        <v/>
      </c>
      <c r="O3156" s="6">
        <v>23596</v>
      </c>
      <c r="P3156" s="6" t="s">
        <v>13086</v>
      </c>
      <c r="R3156" s="6" t="s">
        <v>12988</v>
      </c>
      <c r="S3156" s="6" t="s">
        <v>13087</v>
      </c>
      <c r="T3156" s="6">
        <v>0</v>
      </c>
      <c r="U3156" s="6">
        <v>0</v>
      </c>
      <c r="V3156" s="6">
        <v>0</v>
      </c>
      <c r="W3156" s="6">
        <v>0</v>
      </c>
      <c r="X3156" s="6" t="s">
        <v>169</v>
      </c>
      <c r="Z3156" s="6" t="s">
        <v>170</v>
      </c>
      <c r="AA3156" s="6" t="s">
        <v>171</v>
      </c>
      <c r="AB3156" s="6">
        <v>0</v>
      </c>
      <c r="AC3156" s="6" t="str">
        <f>""</f>
        <v/>
      </c>
      <c r="AS3156" s="6">
        <v>0</v>
      </c>
      <c r="AT3156" s="6">
        <v>0</v>
      </c>
    </row>
    <row r="3157" spans="2:46">
      <c r="B3157" s="6" t="s">
        <v>114</v>
      </c>
      <c r="D3157" s="6" t="s">
        <v>8189</v>
      </c>
      <c r="F3157" s="6" t="s">
        <v>13088</v>
      </c>
      <c r="G3157" s="6" t="str">
        <f>"2000000010717"</f>
        <v>2000000010717</v>
      </c>
      <c r="I3157" s="6" t="s">
        <v>13089</v>
      </c>
      <c r="J3157" s="6" t="str">
        <f>"Harvey GREEN PHK00552GR"</f>
        <v>Harvey GREEN PHK00552GR</v>
      </c>
      <c r="K3157" s="6">
        <v>0</v>
      </c>
      <c r="L3157" s="6">
        <v>0</v>
      </c>
      <c r="M3157" s="6">
        <v>0</v>
      </c>
      <c r="N3157" s="6" t="str">
        <f>""</f>
        <v/>
      </c>
      <c r="O3157" s="6">
        <v>23594</v>
      </c>
      <c r="P3157" s="6" t="s">
        <v>13090</v>
      </c>
      <c r="R3157" s="6" t="s">
        <v>13056</v>
      </c>
      <c r="S3157" s="6" t="s">
        <v>13091</v>
      </c>
      <c r="T3157" s="6">
        <v>1</v>
      </c>
      <c r="U3157" s="6">
        <v>0</v>
      </c>
      <c r="V3157" s="6">
        <v>0</v>
      </c>
      <c r="W3157" s="6">
        <v>0</v>
      </c>
      <c r="X3157" s="6" t="s">
        <v>169</v>
      </c>
      <c r="Z3157" s="6" t="s">
        <v>170</v>
      </c>
      <c r="AA3157" s="6" t="s">
        <v>171</v>
      </c>
      <c r="AB3157" s="6">
        <v>0</v>
      </c>
      <c r="AC3157" s="6" t="str">
        <f>"KEY-021"</f>
        <v>KEY-021</v>
      </c>
      <c r="AQ3157" s="6" t="str">
        <f>""</f>
        <v/>
      </c>
      <c r="AR3157" s="6" t="s">
        <v>1567</v>
      </c>
      <c r="AS3157" s="6">
        <v>0</v>
      </c>
      <c r="AT3157" s="6">
        <v>1</v>
      </c>
    </row>
    <row r="3158" spans="2:46">
      <c r="B3158" s="6" t="s">
        <v>114</v>
      </c>
      <c r="D3158" s="6" t="s">
        <v>8189</v>
      </c>
      <c r="F3158" s="6" t="s">
        <v>13092</v>
      </c>
      <c r="G3158" s="6" t="str">
        <f>"2000000010762"</f>
        <v>2000000010762</v>
      </c>
      <c r="I3158" s="6" t="s">
        <v>13093</v>
      </c>
      <c r="J3158" s="6" t="str">
        <f>"Harvey COCOA PHK00552CO"</f>
        <v>Harvey COCOA PHK00552CO</v>
      </c>
      <c r="K3158" s="6">
        <v>0</v>
      </c>
      <c r="L3158" s="6">
        <v>0</v>
      </c>
      <c r="M3158" s="6">
        <v>0</v>
      </c>
      <c r="N3158" s="6" t="str">
        <f>""</f>
        <v/>
      </c>
      <c r="O3158" s="6">
        <v>23592</v>
      </c>
      <c r="P3158" s="6" t="s">
        <v>13094</v>
      </c>
      <c r="R3158" s="6" t="s">
        <v>13061</v>
      </c>
      <c r="S3158" s="6" t="s">
        <v>13095</v>
      </c>
      <c r="T3158" s="6">
        <v>1</v>
      </c>
      <c r="U3158" s="6">
        <v>0</v>
      </c>
      <c r="V3158" s="6">
        <v>0</v>
      </c>
      <c r="W3158" s="6">
        <v>0</v>
      </c>
      <c r="X3158" s="6" t="s">
        <v>169</v>
      </c>
      <c r="Z3158" s="6" t="s">
        <v>170</v>
      </c>
      <c r="AA3158" s="6" t="s">
        <v>171</v>
      </c>
      <c r="AB3158" s="6">
        <v>0</v>
      </c>
      <c r="AC3158" s="6" t="str">
        <f>"KEY-011"</f>
        <v>KEY-011</v>
      </c>
      <c r="AQ3158" s="6" t="str">
        <f>""</f>
        <v/>
      </c>
      <c r="AR3158" s="6" t="s">
        <v>1584</v>
      </c>
      <c r="AS3158" s="6">
        <v>0</v>
      </c>
      <c r="AT3158" s="6">
        <v>1</v>
      </c>
    </row>
    <row r="3159" spans="2:46">
      <c r="B3159" s="6" t="s">
        <v>114</v>
      </c>
      <c r="D3159" s="6" t="s">
        <v>8189</v>
      </c>
      <c r="F3159" s="6" t="s">
        <v>13096</v>
      </c>
      <c r="G3159" s="6" t="str">
        <f>"2000000010748"</f>
        <v>2000000010748</v>
      </c>
      <c r="H3159" s="6">
        <v>2000000010748</v>
      </c>
      <c r="I3159" s="6" t="s">
        <v>13097</v>
      </c>
      <c r="J3159" s="6" t="str">
        <f>"Harvey BROWN PHK00552BR"</f>
        <v>Harvey BROWN PHK00552BR</v>
      </c>
      <c r="K3159" s="6">
        <v>0</v>
      </c>
      <c r="L3159" s="6">
        <v>0</v>
      </c>
      <c r="M3159" s="6">
        <v>0</v>
      </c>
      <c r="N3159" s="6" t="str">
        <f>""</f>
        <v/>
      </c>
      <c r="O3159" s="6">
        <v>23590</v>
      </c>
      <c r="P3159" s="6" t="s">
        <v>13098</v>
      </c>
      <c r="R3159" s="6" t="s">
        <v>13033</v>
      </c>
      <c r="S3159" s="6" t="s">
        <v>13099</v>
      </c>
      <c r="T3159" s="6">
        <v>0</v>
      </c>
      <c r="U3159" s="6">
        <v>0</v>
      </c>
      <c r="V3159" s="6">
        <v>0</v>
      </c>
      <c r="W3159" s="6">
        <v>0</v>
      </c>
      <c r="X3159" s="6" t="s">
        <v>169</v>
      </c>
      <c r="Z3159" s="6" t="s">
        <v>170</v>
      </c>
      <c r="AA3159" s="6" t="s">
        <v>171</v>
      </c>
      <c r="AB3159" s="6">
        <v>0</v>
      </c>
      <c r="AC3159" s="6" t="str">
        <f>""</f>
        <v/>
      </c>
      <c r="AS3159" s="6">
        <v>0</v>
      </c>
      <c r="AT3159" s="6">
        <v>0</v>
      </c>
    </row>
    <row r="3160" spans="2:46">
      <c r="B3160" s="6" t="s">
        <v>114</v>
      </c>
      <c r="D3160" s="6" t="s">
        <v>8189</v>
      </c>
      <c r="F3160" s="6" t="s">
        <v>13100</v>
      </c>
      <c r="G3160" s="6" t="str">
        <f>"2000000010731"</f>
        <v>2000000010731</v>
      </c>
      <c r="H3160" s="6">
        <v>2000000010731</v>
      </c>
      <c r="I3160" s="6" t="s">
        <v>13101</v>
      </c>
      <c r="J3160" s="6" t="str">
        <f>"Harvey BLUE PHK00552BL"</f>
        <v>Harvey BLUE PHK00552BL</v>
      </c>
      <c r="K3160" s="6">
        <v>0</v>
      </c>
      <c r="L3160" s="6">
        <v>0</v>
      </c>
      <c r="M3160" s="6">
        <v>0</v>
      </c>
      <c r="N3160" s="6" t="str">
        <f>""</f>
        <v/>
      </c>
      <c r="O3160" s="6">
        <v>23588</v>
      </c>
      <c r="P3160" s="6" t="s">
        <v>13102</v>
      </c>
      <c r="R3160" s="6" t="s">
        <v>13070</v>
      </c>
      <c r="S3160" s="6" t="s">
        <v>13103</v>
      </c>
      <c r="T3160" s="6">
        <v>0</v>
      </c>
      <c r="U3160" s="6">
        <v>0</v>
      </c>
      <c r="V3160" s="6">
        <v>0</v>
      </c>
      <c r="W3160" s="6">
        <v>0</v>
      </c>
      <c r="X3160" s="6" t="s">
        <v>169</v>
      </c>
      <c r="Z3160" s="6" t="s">
        <v>170</v>
      </c>
      <c r="AA3160" s="6" t="s">
        <v>171</v>
      </c>
      <c r="AB3160" s="6">
        <v>0</v>
      </c>
      <c r="AC3160" s="6" t="str">
        <f>""</f>
        <v/>
      </c>
      <c r="AS3160" s="6">
        <v>0</v>
      </c>
      <c r="AT3160" s="6">
        <v>0</v>
      </c>
    </row>
    <row r="3161" spans="2:46">
      <c r="B3161" s="6" t="s">
        <v>114</v>
      </c>
      <c r="D3161" s="6" t="s">
        <v>8189</v>
      </c>
      <c r="F3161" s="6" t="s">
        <v>13104</v>
      </c>
      <c r="G3161" s="6" t="str">
        <f>"2000000010755"</f>
        <v>2000000010755</v>
      </c>
      <c r="I3161" s="6" t="s">
        <v>13105</v>
      </c>
      <c r="J3161" s="6" t="str">
        <f>"Harvey BLACK PHK00552BK"</f>
        <v>Harvey BLACK PHK00552BK</v>
      </c>
      <c r="K3161" s="6">
        <v>0</v>
      </c>
      <c r="L3161" s="6">
        <v>0</v>
      </c>
      <c r="M3161" s="6">
        <v>0</v>
      </c>
      <c r="N3161" s="6" t="str">
        <f>""</f>
        <v/>
      </c>
      <c r="O3161" s="6">
        <v>23586</v>
      </c>
      <c r="P3161" s="6" t="s">
        <v>13106</v>
      </c>
      <c r="R3161" s="6" t="s">
        <v>13008</v>
      </c>
      <c r="S3161" s="6" t="s">
        <v>13107</v>
      </c>
      <c r="T3161" s="6">
        <v>1</v>
      </c>
      <c r="U3161" s="6">
        <v>0</v>
      </c>
      <c r="V3161" s="6">
        <v>0</v>
      </c>
      <c r="W3161" s="6">
        <v>0</v>
      </c>
      <c r="X3161" s="6" t="s">
        <v>169</v>
      </c>
      <c r="Z3161" s="6" t="s">
        <v>170</v>
      </c>
      <c r="AA3161" s="6" t="s">
        <v>171</v>
      </c>
      <c r="AB3161" s="6">
        <v>0</v>
      </c>
      <c r="AC3161" s="6" t="str">
        <f>"KEY-030"</f>
        <v>KEY-030</v>
      </c>
      <c r="AQ3161" s="6" t="str">
        <f>""</f>
        <v/>
      </c>
      <c r="AR3161" s="6" t="s">
        <v>1567</v>
      </c>
      <c r="AS3161" s="6">
        <v>0</v>
      </c>
      <c r="AT3161" s="6">
        <v>1</v>
      </c>
    </row>
    <row r="3162" spans="2:46">
      <c r="B3162" s="6" t="s">
        <v>114</v>
      </c>
      <c r="D3162" s="6" t="s">
        <v>8189</v>
      </c>
      <c r="F3162" s="6" t="s">
        <v>13108</v>
      </c>
      <c r="G3162" s="6" t="str">
        <f>"KJS00490BU"</f>
        <v>KJS00490BU</v>
      </c>
      <c r="H3162" s="6" t="s">
        <v>13109</v>
      </c>
      <c r="I3162" s="6" t="s">
        <v>13110</v>
      </c>
      <c r="J3162" s="6" t="str">
        <f>"Jack Burgundy KJS00490BU"</f>
        <v>Jack Burgundy KJS00490BU</v>
      </c>
      <c r="K3162" s="6">
        <v>0</v>
      </c>
      <c r="L3162" s="6">
        <v>0</v>
      </c>
      <c r="M3162" s="6">
        <v>0</v>
      </c>
      <c r="N3162" s="6" t="str">
        <f>""</f>
        <v/>
      </c>
      <c r="O3162" s="6">
        <v>23584</v>
      </c>
      <c r="P3162" s="6" t="s">
        <v>13109</v>
      </c>
      <c r="R3162" s="6" t="s">
        <v>13111</v>
      </c>
      <c r="S3162" s="6" t="s">
        <v>13112</v>
      </c>
      <c r="T3162" s="6">
        <v>0</v>
      </c>
      <c r="U3162" s="6">
        <v>0</v>
      </c>
      <c r="V3162" s="6">
        <v>0</v>
      </c>
      <c r="W3162" s="6">
        <v>0</v>
      </c>
      <c r="X3162" s="6" t="s">
        <v>169</v>
      </c>
      <c r="Z3162" s="6" t="s">
        <v>170</v>
      </c>
      <c r="AA3162" s="6" t="s">
        <v>171</v>
      </c>
      <c r="AB3162" s="6">
        <v>0</v>
      </c>
      <c r="AC3162" s="6" t="str">
        <f>""</f>
        <v/>
      </c>
      <c r="AS3162" s="6">
        <v>0</v>
      </c>
      <c r="AT3162" s="6">
        <v>2</v>
      </c>
    </row>
    <row r="3163" spans="2:46">
      <c r="B3163" s="6" t="s">
        <v>114</v>
      </c>
      <c r="D3163" s="6" t="s">
        <v>8189</v>
      </c>
      <c r="F3163" s="6" t="s">
        <v>13113</v>
      </c>
      <c r="G3163" s="6" t="str">
        <f>"2000000003603"</f>
        <v>2000000003603</v>
      </c>
      <c r="H3163" s="6">
        <v>2000000003603</v>
      </c>
      <c r="I3163" s="6" t="s">
        <v>13114</v>
      </c>
      <c r="J3163" s="6" t="str">
        <f>"Woody Beige KDK00499BG"</f>
        <v>Woody Beige KDK00499BG</v>
      </c>
      <c r="K3163" s="6">
        <v>0</v>
      </c>
      <c r="L3163" s="6">
        <v>0</v>
      </c>
      <c r="M3163" s="6">
        <v>0</v>
      </c>
      <c r="N3163" s="6" t="str">
        <f>""</f>
        <v/>
      </c>
      <c r="O3163" s="6">
        <v>23582</v>
      </c>
      <c r="P3163" s="6" t="s">
        <v>13115</v>
      </c>
      <c r="R3163" s="6" t="s">
        <v>10063</v>
      </c>
      <c r="S3163" s="6" t="s">
        <v>13116</v>
      </c>
      <c r="T3163" s="6">
        <v>0</v>
      </c>
      <c r="U3163" s="6">
        <v>0</v>
      </c>
      <c r="V3163" s="6">
        <v>0</v>
      </c>
      <c r="W3163" s="6">
        <v>0</v>
      </c>
      <c r="X3163" s="6" t="s">
        <v>169</v>
      </c>
      <c r="Z3163" s="6" t="s">
        <v>170</v>
      </c>
      <c r="AA3163" s="6" t="s">
        <v>171</v>
      </c>
      <c r="AB3163" s="6">
        <v>0</v>
      </c>
      <c r="AC3163" s="6" t="str">
        <f>""</f>
        <v/>
      </c>
      <c r="AS3163" s="6">
        <v>0</v>
      </c>
      <c r="AT3163" s="6">
        <v>0</v>
      </c>
    </row>
    <row r="3164" spans="2:46">
      <c r="B3164" s="6" t="s">
        <v>114</v>
      </c>
      <c r="D3164" s="6" t="s">
        <v>8189</v>
      </c>
      <c r="F3164" s="6" t="s">
        <v>13117</v>
      </c>
      <c r="G3164" s="6" t="str">
        <f>"2000000003627"</f>
        <v>2000000003627</v>
      </c>
      <c r="H3164" s="6">
        <v>2000000003627</v>
      </c>
      <c r="I3164" s="6" t="s">
        <v>13118</v>
      </c>
      <c r="J3164" s="6" t="str">
        <f>"Woody Gray KDK00499GY"</f>
        <v>Woody Gray KDK00499GY</v>
      </c>
      <c r="K3164" s="6">
        <v>0</v>
      </c>
      <c r="L3164" s="6">
        <v>0</v>
      </c>
      <c r="M3164" s="6">
        <v>0</v>
      </c>
      <c r="N3164" s="6" t="str">
        <f>""</f>
        <v/>
      </c>
      <c r="O3164" s="6">
        <v>23580</v>
      </c>
      <c r="P3164" s="6" t="s">
        <v>13119</v>
      </c>
      <c r="R3164" s="6" t="s">
        <v>10058</v>
      </c>
      <c r="S3164" s="6" t="s">
        <v>13120</v>
      </c>
      <c r="T3164" s="6">
        <v>0</v>
      </c>
      <c r="U3164" s="6">
        <v>0</v>
      </c>
      <c r="V3164" s="6">
        <v>0</v>
      </c>
      <c r="W3164" s="6">
        <v>0</v>
      </c>
      <c r="X3164" s="6" t="s">
        <v>169</v>
      </c>
      <c r="Z3164" s="6" t="s">
        <v>170</v>
      </c>
      <c r="AA3164" s="6" t="s">
        <v>171</v>
      </c>
      <c r="AB3164" s="6">
        <v>0</v>
      </c>
      <c r="AC3164" s="6" t="str">
        <f>""</f>
        <v/>
      </c>
      <c r="AS3164" s="6">
        <v>0</v>
      </c>
      <c r="AT3164" s="6">
        <v>0</v>
      </c>
    </row>
    <row r="3165" spans="2:46">
      <c r="B3165" s="6" t="s">
        <v>114</v>
      </c>
      <c r="D3165" s="6" t="s">
        <v>8189</v>
      </c>
      <c r="F3165" s="6" t="s">
        <v>13121</v>
      </c>
      <c r="G3165" s="6" t="str">
        <f>"2000000003610"</f>
        <v>2000000003610</v>
      </c>
      <c r="H3165" s="6">
        <v>2000000003610</v>
      </c>
      <c r="I3165" s="6" t="s">
        <v>13122</v>
      </c>
      <c r="J3165" s="6" t="str">
        <f>"Woody Black KDK00499BK"</f>
        <v>Woody Black KDK00499BK</v>
      </c>
      <c r="K3165" s="6">
        <v>0</v>
      </c>
      <c r="L3165" s="6">
        <v>0</v>
      </c>
      <c r="M3165" s="6">
        <v>0</v>
      </c>
      <c r="N3165" s="6" t="str">
        <f>""</f>
        <v/>
      </c>
      <c r="O3165" s="6">
        <v>23578</v>
      </c>
      <c r="P3165" s="6" t="s">
        <v>13123</v>
      </c>
      <c r="R3165" s="6" t="s">
        <v>13124</v>
      </c>
      <c r="S3165" s="6" t="s">
        <v>13125</v>
      </c>
      <c r="T3165" s="6">
        <v>0</v>
      </c>
      <c r="U3165" s="6">
        <v>0</v>
      </c>
      <c r="V3165" s="6">
        <v>0</v>
      </c>
      <c r="W3165" s="6">
        <v>0</v>
      </c>
      <c r="X3165" s="6" t="s">
        <v>169</v>
      </c>
      <c r="Z3165" s="6" t="s">
        <v>170</v>
      </c>
      <c r="AA3165" s="6" t="s">
        <v>171</v>
      </c>
      <c r="AB3165" s="6">
        <v>0</v>
      </c>
      <c r="AC3165" s="6" t="str">
        <f>""</f>
        <v/>
      </c>
      <c r="AS3165" s="6">
        <v>0</v>
      </c>
      <c r="AT3165" s="6">
        <v>0</v>
      </c>
    </row>
    <row r="3166" spans="2:46">
      <c r="B3166" s="6" t="s">
        <v>114</v>
      </c>
      <c r="D3166" s="6" t="s">
        <v>8189</v>
      </c>
      <c r="F3166" s="6" t="s">
        <v>13126</v>
      </c>
      <c r="G3166" s="6" t="str">
        <f>"2000000003597"</f>
        <v>2000000003597</v>
      </c>
      <c r="H3166" s="6">
        <v>2000000003597</v>
      </c>
      <c r="I3166" s="6" t="s">
        <v>13127</v>
      </c>
      <c r="J3166" s="6" t="str">
        <f>"Woody Blue KDK00499EBL"</f>
        <v>Woody Blue KDK00499EBL</v>
      </c>
      <c r="K3166" s="6">
        <v>0</v>
      </c>
      <c r="L3166" s="6">
        <v>0</v>
      </c>
      <c r="M3166" s="6">
        <v>0</v>
      </c>
      <c r="N3166" s="6" t="str">
        <f>""</f>
        <v/>
      </c>
      <c r="O3166" s="6">
        <v>23576</v>
      </c>
      <c r="P3166" s="6" t="s">
        <v>13128</v>
      </c>
      <c r="R3166" s="6" t="s">
        <v>13129</v>
      </c>
      <c r="S3166" s="6" t="s">
        <v>13130</v>
      </c>
      <c r="T3166" s="6">
        <v>0</v>
      </c>
      <c r="U3166" s="6">
        <v>0</v>
      </c>
      <c r="V3166" s="6">
        <v>0</v>
      </c>
      <c r="W3166" s="6">
        <v>0</v>
      </c>
      <c r="X3166" s="6" t="s">
        <v>169</v>
      </c>
      <c r="Z3166" s="6" t="s">
        <v>170</v>
      </c>
      <c r="AA3166" s="6" t="s">
        <v>171</v>
      </c>
      <c r="AB3166" s="6">
        <v>0</v>
      </c>
      <c r="AC3166" s="6" t="str">
        <f>""</f>
        <v/>
      </c>
      <c r="AS3166" s="6">
        <v>0</v>
      </c>
      <c r="AT3166" s="6">
        <v>0</v>
      </c>
    </row>
    <row r="3167" spans="2:46">
      <c r="B3167" s="6" t="s">
        <v>114</v>
      </c>
      <c r="D3167" s="6" t="s">
        <v>13131</v>
      </c>
      <c r="F3167" s="6" t="s">
        <v>13132</v>
      </c>
      <c r="G3167" s="6" t="str">
        <f>"2000000003580"</f>
        <v>2000000003580</v>
      </c>
      <c r="I3167" s="6" t="s">
        <v>13133</v>
      </c>
      <c r="J3167" s="6" t="str">
        <f>"Woody Enamel Black KDK00499EBK"</f>
        <v>Woody Enamel Black KDK00499EBK</v>
      </c>
      <c r="K3167" s="6">
        <v>0</v>
      </c>
      <c r="L3167" s="6">
        <v>0</v>
      </c>
      <c r="M3167" s="6">
        <v>0</v>
      </c>
      <c r="N3167" s="6" t="str">
        <f>""</f>
        <v/>
      </c>
      <c r="O3167" s="6">
        <v>23574</v>
      </c>
      <c r="P3167" s="6" t="s">
        <v>13134</v>
      </c>
      <c r="R3167" s="6" t="s">
        <v>13135</v>
      </c>
      <c r="S3167" s="6" t="s">
        <v>13136</v>
      </c>
      <c r="T3167" s="6">
        <v>1</v>
      </c>
      <c r="U3167" s="6">
        <v>0</v>
      </c>
      <c r="V3167" s="6">
        <v>0</v>
      </c>
      <c r="W3167" s="6">
        <v>0</v>
      </c>
      <c r="X3167" s="6" t="s">
        <v>169</v>
      </c>
      <c r="Z3167" s="6" t="s">
        <v>170</v>
      </c>
      <c r="AA3167" s="6" t="s">
        <v>171</v>
      </c>
      <c r="AB3167" s="6">
        <v>0</v>
      </c>
      <c r="AC3167" s="6" t="str">
        <f>"KEY-007"</f>
        <v>KEY-007</v>
      </c>
      <c r="AQ3167" s="6" t="str">
        <f>""</f>
        <v/>
      </c>
      <c r="AR3167" s="6" t="s">
        <v>1584</v>
      </c>
      <c r="AS3167" s="6">
        <v>0</v>
      </c>
      <c r="AT3167" s="6">
        <v>1</v>
      </c>
    </row>
    <row r="3168" spans="2:46">
      <c r="B3168" s="6" t="s">
        <v>114</v>
      </c>
      <c r="D3168" s="6" t="s">
        <v>13131</v>
      </c>
      <c r="F3168" s="6" t="s">
        <v>13137</v>
      </c>
      <c r="G3168" s="6" t="str">
        <f>"2000000001586"</f>
        <v>2000000001586</v>
      </c>
      <c r="I3168" s="6" t="s">
        <v>13138</v>
      </c>
      <c r="J3168" s="6" t="str">
        <f>"Tom Black ARS00467BK"</f>
        <v>Tom Black ARS00467BK</v>
      </c>
      <c r="K3168" s="6">
        <v>0</v>
      </c>
      <c r="L3168" s="6">
        <v>0</v>
      </c>
      <c r="M3168" s="6">
        <v>0</v>
      </c>
      <c r="N3168" s="6" t="str">
        <f>""</f>
        <v/>
      </c>
      <c r="O3168" s="6">
        <v>23572</v>
      </c>
      <c r="P3168" s="6" t="s">
        <v>13139</v>
      </c>
      <c r="R3168" s="6" t="s">
        <v>13124</v>
      </c>
      <c r="S3168" s="6" t="s">
        <v>13140</v>
      </c>
      <c r="T3168" s="6">
        <v>1</v>
      </c>
      <c r="U3168" s="6">
        <v>0</v>
      </c>
      <c r="V3168" s="6">
        <v>0</v>
      </c>
      <c r="W3168" s="6">
        <v>0</v>
      </c>
      <c r="X3168" s="6" t="s">
        <v>169</v>
      </c>
      <c r="Z3168" s="6" t="s">
        <v>170</v>
      </c>
      <c r="AA3168" s="6" t="s">
        <v>171</v>
      </c>
      <c r="AB3168" s="6">
        <v>0</v>
      </c>
      <c r="AC3168" s="6" t="str">
        <f>"KEY-062"</f>
        <v>KEY-062</v>
      </c>
      <c r="AQ3168" s="6" t="str">
        <f>""</f>
        <v/>
      </c>
      <c r="AR3168" s="6" t="s">
        <v>1567</v>
      </c>
      <c r="AS3168" s="6">
        <v>0</v>
      </c>
      <c r="AT3168" s="6">
        <v>1</v>
      </c>
    </row>
    <row r="3169" spans="2:46">
      <c r="B3169" s="6" t="s">
        <v>114</v>
      </c>
      <c r="D3169" s="6" t="s">
        <v>13131</v>
      </c>
      <c r="F3169" s="6" t="s">
        <v>13141</v>
      </c>
      <c r="G3169" s="6" t="str">
        <f>"2000000001593"</f>
        <v>2000000001593</v>
      </c>
      <c r="H3169" s="6">
        <v>2000000001593</v>
      </c>
      <c r="I3169" s="6" t="s">
        <v>13142</v>
      </c>
      <c r="J3169" s="6" t="str">
        <f>"Tom Ivory ARS00467IV"</f>
        <v>Tom Ivory ARS00467IV</v>
      </c>
      <c r="K3169" s="6">
        <v>0</v>
      </c>
      <c r="L3169" s="6">
        <v>0</v>
      </c>
      <c r="M3169" s="6">
        <v>0</v>
      </c>
      <c r="N3169" s="6" t="str">
        <f>""</f>
        <v/>
      </c>
      <c r="O3169" s="6">
        <v>23570</v>
      </c>
      <c r="P3169" s="6" t="s">
        <v>13143</v>
      </c>
      <c r="R3169" s="6" t="s">
        <v>13144</v>
      </c>
      <c r="S3169" s="6" t="s">
        <v>13145</v>
      </c>
      <c r="T3169" s="6">
        <v>0</v>
      </c>
      <c r="U3169" s="6">
        <v>0</v>
      </c>
      <c r="V3169" s="6">
        <v>0</v>
      </c>
      <c r="W3169" s="6">
        <v>0</v>
      </c>
      <c r="X3169" s="6" t="s">
        <v>169</v>
      </c>
      <c r="Z3169" s="6" t="s">
        <v>170</v>
      </c>
      <c r="AA3169" s="6" t="s">
        <v>171</v>
      </c>
      <c r="AB3169" s="6">
        <v>0</v>
      </c>
      <c r="AC3169" s="6" t="str">
        <f>""</f>
        <v/>
      </c>
      <c r="AS3169" s="6">
        <v>0</v>
      </c>
      <c r="AT3169" s="6">
        <v>0</v>
      </c>
    </row>
    <row r="3170" spans="2:46">
      <c r="B3170" s="6" t="s">
        <v>114</v>
      </c>
      <c r="D3170" s="6" t="s">
        <v>13131</v>
      </c>
      <c r="F3170" s="6" t="s">
        <v>13146</v>
      </c>
      <c r="G3170" s="6" t="str">
        <f>"2000000008165"</f>
        <v>2000000008165</v>
      </c>
      <c r="I3170" s="6" t="s">
        <v>13147</v>
      </c>
      <c r="J3170" s="6" t="str">
        <f>"Tiny Ivory CMH00532IV"</f>
        <v>Tiny Ivory CMH00532IV</v>
      </c>
      <c r="K3170" s="6">
        <v>0</v>
      </c>
      <c r="L3170" s="6">
        <v>0</v>
      </c>
      <c r="M3170" s="6">
        <v>0</v>
      </c>
      <c r="N3170" s="6" t="str">
        <f>""</f>
        <v/>
      </c>
      <c r="O3170" s="6">
        <v>23568</v>
      </c>
      <c r="P3170" s="6" t="s">
        <v>13148</v>
      </c>
      <c r="R3170" s="6" t="s">
        <v>13144</v>
      </c>
      <c r="S3170" s="6" t="s">
        <v>13149</v>
      </c>
      <c r="T3170" s="6">
        <v>1</v>
      </c>
      <c r="U3170" s="6">
        <v>0</v>
      </c>
      <c r="V3170" s="6">
        <v>0</v>
      </c>
      <c r="W3170" s="6">
        <v>0</v>
      </c>
      <c r="X3170" s="6" t="s">
        <v>169</v>
      </c>
      <c r="Z3170" s="6" t="s">
        <v>170</v>
      </c>
      <c r="AA3170" s="6" t="s">
        <v>171</v>
      </c>
      <c r="AB3170" s="6">
        <v>0</v>
      </c>
      <c r="AC3170" s="6" t="str">
        <f>"KEY-070"</f>
        <v>KEY-070</v>
      </c>
      <c r="AQ3170" s="6" t="str">
        <f>""</f>
        <v/>
      </c>
      <c r="AR3170" s="6" t="s">
        <v>1567</v>
      </c>
      <c r="AS3170" s="6">
        <v>0</v>
      </c>
      <c r="AT3170" s="6">
        <v>1</v>
      </c>
    </row>
    <row r="3171" spans="2:46">
      <c r="B3171" s="6" t="s">
        <v>114</v>
      </c>
      <c r="D3171" s="6" t="s">
        <v>13131</v>
      </c>
      <c r="F3171" s="6" t="s">
        <v>13150</v>
      </c>
      <c r="G3171" s="6" t="str">
        <f>"2000000008172"</f>
        <v>2000000008172</v>
      </c>
      <c r="I3171" s="6" t="s">
        <v>13151</v>
      </c>
      <c r="J3171" s="6" t="str">
        <f>"Tiny Indy Pink CMH00532IP"</f>
        <v>Tiny Indy Pink CMH00532IP</v>
      </c>
      <c r="K3171" s="6">
        <v>0</v>
      </c>
      <c r="L3171" s="6">
        <v>0</v>
      </c>
      <c r="M3171" s="6">
        <v>0</v>
      </c>
      <c r="N3171" s="6" t="str">
        <f>""</f>
        <v/>
      </c>
      <c r="O3171" s="6">
        <v>23566</v>
      </c>
      <c r="P3171" s="6" t="s">
        <v>13152</v>
      </c>
      <c r="R3171" s="6" t="s">
        <v>13153</v>
      </c>
      <c r="S3171" s="6" t="s">
        <v>13154</v>
      </c>
      <c r="T3171" s="6">
        <v>1</v>
      </c>
      <c r="U3171" s="6">
        <v>0</v>
      </c>
      <c r="V3171" s="6">
        <v>0</v>
      </c>
      <c r="W3171" s="6">
        <v>0</v>
      </c>
      <c r="X3171" s="6" t="s">
        <v>169</v>
      </c>
      <c r="Z3171" s="6" t="s">
        <v>170</v>
      </c>
      <c r="AA3171" s="6" t="s">
        <v>171</v>
      </c>
      <c r="AB3171" s="6">
        <v>0</v>
      </c>
      <c r="AC3171" s="6" t="str">
        <f>"KEY-069"</f>
        <v>KEY-069</v>
      </c>
      <c r="AQ3171" s="6" t="str">
        <f>""</f>
        <v/>
      </c>
      <c r="AR3171" s="6" t="s">
        <v>1567</v>
      </c>
      <c r="AS3171" s="6">
        <v>0</v>
      </c>
      <c r="AT3171" s="6">
        <v>1</v>
      </c>
    </row>
    <row r="3172" spans="2:46">
      <c r="B3172" s="6" t="s">
        <v>114</v>
      </c>
      <c r="D3172" s="6" t="s">
        <v>13131</v>
      </c>
      <c r="F3172" s="6" t="s">
        <v>13155</v>
      </c>
      <c r="G3172" s="6" t="str">
        <f>"2000000008189"</f>
        <v>2000000008189</v>
      </c>
      <c r="H3172" s="6">
        <v>2000000008189</v>
      </c>
      <c r="I3172" s="6" t="s">
        <v>13156</v>
      </c>
      <c r="J3172" s="6" t="str">
        <f>"Tiny Red CMH00532RD"</f>
        <v>Tiny Red CMH00532RD</v>
      </c>
      <c r="K3172" s="6">
        <v>0</v>
      </c>
      <c r="L3172" s="6">
        <v>0</v>
      </c>
      <c r="M3172" s="6">
        <v>0</v>
      </c>
      <c r="N3172" s="6" t="str">
        <f>""</f>
        <v/>
      </c>
      <c r="O3172" s="6">
        <v>23564</v>
      </c>
      <c r="P3172" s="6" t="s">
        <v>13157</v>
      </c>
      <c r="R3172" s="6" t="s">
        <v>13158</v>
      </c>
      <c r="S3172" s="6" t="s">
        <v>13159</v>
      </c>
      <c r="T3172" s="6">
        <v>0</v>
      </c>
      <c r="U3172" s="6">
        <v>0</v>
      </c>
      <c r="V3172" s="6">
        <v>0</v>
      </c>
      <c r="W3172" s="6">
        <v>0</v>
      </c>
      <c r="X3172" s="6" t="s">
        <v>169</v>
      </c>
      <c r="Z3172" s="6" t="s">
        <v>170</v>
      </c>
      <c r="AA3172" s="6" t="s">
        <v>171</v>
      </c>
      <c r="AB3172" s="6">
        <v>0</v>
      </c>
      <c r="AC3172" s="6" t="str">
        <f>""</f>
        <v/>
      </c>
      <c r="AS3172" s="6">
        <v>0</v>
      </c>
      <c r="AT3172" s="6">
        <v>0</v>
      </c>
    </row>
    <row r="3173" spans="2:46">
      <c r="B3173" s="6" t="s">
        <v>114</v>
      </c>
      <c r="D3173" s="6" t="s">
        <v>13131</v>
      </c>
      <c r="F3173" s="6" t="s">
        <v>13160</v>
      </c>
      <c r="G3173" s="6" t="str">
        <f>"2000000008158"</f>
        <v>2000000008158</v>
      </c>
      <c r="H3173" s="6">
        <v>2000000008158</v>
      </c>
      <c r="I3173" s="6" t="s">
        <v>13161</v>
      </c>
      <c r="J3173" s="6" t="str">
        <f>"Tiny Cocoa CMH00532CC"</f>
        <v>Tiny Cocoa CMH00532CC</v>
      </c>
      <c r="K3173" s="6">
        <v>0</v>
      </c>
      <c r="L3173" s="6">
        <v>0</v>
      </c>
      <c r="M3173" s="6">
        <v>0</v>
      </c>
      <c r="N3173" s="6" t="str">
        <f>""</f>
        <v/>
      </c>
      <c r="O3173" s="6">
        <v>23562</v>
      </c>
      <c r="P3173" s="6" t="s">
        <v>13162</v>
      </c>
      <c r="R3173" s="6" t="s">
        <v>13163</v>
      </c>
      <c r="S3173" s="6" t="s">
        <v>13164</v>
      </c>
      <c r="T3173" s="6">
        <v>0</v>
      </c>
      <c r="U3173" s="6">
        <v>0</v>
      </c>
      <c r="V3173" s="6">
        <v>0</v>
      </c>
      <c r="W3173" s="6">
        <v>0</v>
      </c>
      <c r="X3173" s="6" t="s">
        <v>169</v>
      </c>
      <c r="Z3173" s="6" t="s">
        <v>170</v>
      </c>
      <c r="AA3173" s="6" t="s">
        <v>171</v>
      </c>
      <c r="AB3173" s="6">
        <v>0</v>
      </c>
      <c r="AC3173" s="6" t="str">
        <f>""</f>
        <v/>
      </c>
      <c r="AS3173" s="6">
        <v>0</v>
      </c>
      <c r="AT3173" s="6">
        <v>0</v>
      </c>
    </row>
    <row r="3174" spans="2:46">
      <c r="B3174" s="6" t="s">
        <v>114</v>
      </c>
      <c r="D3174" s="6" t="s">
        <v>13131</v>
      </c>
      <c r="F3174" s="6" t="s">
        <v>13165</v>
      </c>
      <c r="G3174" s="6" t="str">
        <f>"2000000008202"</f>
        <v>2000000008202</v>
      </c>
      <c r="H3174" s="6">
        <v>2000000008202</v>
      </c>
      <c r="I3174" s="6" t="s">
        <v>13166</v>
      </c>
      <c r="J3174" s="6" t="str">
        <f>"Tiny Green CMH00532GR"</f>
        <v>Tiny Green CMH00532GR</v>
      </c>
      <c r="K3174" s="6">
        <v>0</v>
      </c>
      <c r="L3174" s="6">
        <v>0</v>
      </c>
      <c r="M3174" s="6">
        <v>0</v>
      </c>
      <c r="N3174" s="6" t="str">
        <f>""</f>
        <v/>
      </c>
      <c r="O3174" s="6">
        <v>23560</v>
      </c>
      <c r="P3174" s="6" t="s">
        <v>13167</v>
      </c>
      <c r="R3174" s="6" t="s">
        <v>13168</v>
      </c>
      <c r="S3174" s="6" t="s">
        <v>13169</v>
      </c>
      <c r="T3174" s="6">
        <v>0</v>
      </c>
      <c r="U3174" s="6">
        <v>0</v>
      </c>
      <c r="V3174" s="6">
        <v>0</v>
      </c>
      <c r="W3174" s="6">
        <v>0</v>
      </c>
      <c r="X3174" s="6" t="s">
        <v>169</v>
      </c>
      <c r="Z3174" s="6" t="s">
        <v>170</v>
      </c>
      <c r="AA3174" s="6" t="s">
        <v>171</v>
      </c>
      <c r="AB3174" s="6">
        <v>0</v>
      </c>
      <c r="AC3174" s="6" t="str">
        <f>""</f>
        <v/>
      </c>
      <c r="AS3174" s="6">
        <v>0</v>
      </c>
      <c r="AT3174" s="6">
        <v>0</v>
      </c>
    </row>
    <row r="3175" spans="2:46">
      <c r="B3175" s="6" t="s">
        <v>114</v>
      </c>
      <c r="D3175" s="6" t="s">
        <v>13131</v>
      </c>
      <c r="F3175" s="6" t="s">
        <v>13170</v>
      </c>
      <c r="G3175" s="6" t="str">
        <f>"2000000008196"</f>
        <v>2000000008196</v>
      </c>
      <c r="H3175" s="6">
        <v>2000000008196</v>
      </c>
      <c r="I3175" s="6" t="s">
        <v>13171</v>
      </c>
      <c r="J3175" s="6" t="str">
        <f>"Tiny Blue CMH00532BL"</f>
        <v>Tiny Blue CMH00532BL</v>
      </c>
      <c r="K3175" s="6">
        <v>0</v>
      </c>
      <c r="L3175" s="6">
        <v>0</v>
      </c>
      <c r="M3175" s="6">
        <v>0</v>
      </c>
      <c r="N3175" s="6" t="str">
        <f>""</f>
        <v/>
      </c>
      <c r="O3175" s="6">
        <v>23558</v>
      </c>
      <c r="P3175" s="6" t="s">
        <v>13172</v>
      </c>
      <c r="R3175" s="6" t="s">
        <v>13129</v>
      </c>
      <c r="S3175" s="6" t="s">
        <v>13173</v>
      </c>
      <c r="T3175" s="6">
        <v>0</v>
      </c>
      <c r="U3175" s="6">
        <v>0</v>
      </c>
      <c r="V3175" s="6">
        <v>0</v>
      </c>
      <c r="W3175" s="6">
        <v>0</v>
      </c>
      <c r="X3175" s="6" t="s">
        <v>169</v>
      </c>
      <c r="Z3175" s="6" t="s">
        <v>170</v>
      </c>
      <c r="AA3175" s="6" t="s">
        <v>171</v>
      </c>
      <c r="AB3175" s="6">
        <v>0</v>
      </c>
      <c r="AC3175" s="6" t="str">
        <f>""</f>
        <v/>
      </c>
      <c r="AS3175" s="6">
        <v>0</v>
      </c>
      <c r="AT3175" s="6">
        <v>0</v>
      </c>
    </row>
    <row r="3176" spans="2:46">
      <c r="B3176" s="6" t="s">
        <v>114</v>
      </c>
      <c r="D3176" s="6" t="s">
        <v>13131</v>
      </c>
      <c r="F3176" s="6" t="s">
        <v>13174</v>
      </c>
      <c r="G3176" s="6" t="str">
        <f>"2000000008141"</f>
        <v>2000000008141</v>
      </c>
      <c r="H3176" s="6">
        <v>2000000008141</v>
      </c>
      <c r="I3176" s="6" t="s">
        <v>13175</v>
      </c>
      <c r="J3176" s="6" t="str">
        <f>"Tiny Black CMH00532BK"</f>
        <v>Tiny Black CMH00532BK</v>
      </c>
      <c r="K3176" s="6">
        <v>0</v>
      </c>
      <c r="L3176" s="6">
        <v>0</v>
      </c>
      <c r="M3176" s="6">
        <v>0</v>
      </c>
      <c r="N3176" s="6" t="str">
        <f>""</f>
        <v/>
      </c>
      <c r="O3176" s="6">
        <v>23556</v>
      </c>
      <c r="P3176" s="6" t="s">
        <v>13176</v>
      </c>
      <c r="R3176" s="6" t="s">
        <v>13124</v>
      </c>
      <c r="S3176" s="6" t="s">
        <v>13177</v>
      </c>
      <c r="T3176" s="6">
        <v>0</v>
      </c>
      <c r="U3176" s="6">
        <v>0</v>
      </c>
      <c r="V3176" s="6">
        <v>0</v>
      </c>
      <c r="W3176" s="6">
        <v>0</v>
      </c>
      <c r="X3176" s="6" t="s">
        <v>169</v>
      </c>
      <c r="Z3176" s="6" t="s">
        <v>170</v>
      </c>
      <c r="AA3176" s="6" t="s">
        <v>171</v>
      </c>
      <c r="AB3176" s="6">
        <v>0</v>
      </c>
      <c r="AC3176" s="6" t="str">
        <f>""</f>
        <v/>
      </c>
      <c r="AS3176" s="6">
        <v>0</v>
      </c>
      <c r="AT3176" s="6">
        <v>0</v>
      </c>
    </row>
    <row r="3177" spans="2:46">
      <c r="B3177" s="6" t="s">
        <v>114</v>
      </c>
      <c r="D3177" s="6" t="s">
        <v>13131</v>
      </c>
      <c r="F3177" s="6" t="s">
        <v>13178</v>
      </c>
      <c r="G3177" s="6" t="str">
        <f>"2000000002675"</f>
        <v>2000000002675</v>
      </c>
      <c r="H3177" s="6">
        <v>2000000002675</v>
      </c>
      <c r="I3177" s="6" t="s">
        <v>13179</v>
      </c>
      <c r="J3177" s="6" t="str">
        <f>"Roy Opal ARS00488OP"</f>
        <v>Roy Opal ARS00488OP</v>
      </c>
      <c r="K3177" s="6">
        <v>0</v>
      </c>
      <c r="L3177" s="6">
        <v>0</v>
      </c>
      <c r="M3177" s="6">
        <v>0</v>
      </c>
      <c r="N3177" s="6" t="str">
        <f>""</f>
        <v/>
      </c>
      <c r="O3177" s="6">
        <v>23554</v>
      </c>
      <c r="P3177" s="6" t="s">
        <v>13180</v>
      </c>
      <c r="R3177" s="6" t="s">
        <v>13181</v>
      </c>
      <c r="S3177" s="6" t="s">
        <v>13182</v>
      </c>
      <c r="T3177" s="6">
        <v>0</v>
      </c>
      <c r="U3177" s="6">
        <v>0</v>
      </c>
      <c r="V3177" s="6">
        <v>0</v>
      </c>
      <c r="W3177" s="6">
        <v>0</v>
      </c>
      <c r="X3177" s="6" t="s">
        <v>169</v>
      </c>
      <c r="Z3177" s="6" t="s">
        <v>170</v>
      </c>
      <c r="AA3177" s="6" t="s">
        <v>171</v>
      </c>
      <c r="AB3177" s="6">
        <v>0</v>
      </c>
      <c r="AC3177" s="6" t="str">
        <f>""</f>
        <v/>
      </c>
      <c r="AS3177" s="6">
        <v>0</v>
      </c>
      <c r="AT3177" s="6">
        <v>0</v>
      </c>
    </row>
    <row r="3178" spans="2:46">
      <c r="B3178" s="6" t="s">
        <v>114</v>
      </c>
      <c r="D3178" s="6" t="s">
        <v>13131</v>
      </c>
      <c r="F3178" s="6" t="s">
        <v>13183</v>
      </c>
      <c r="G3178" s="6" t="str">
        <f>"2000000002699"</f>
        <v>2000000002699</v>
      </c>
      <c r="H3178" s="6">
        <v>2000000002699</v>
      </c>
      <c r="I3178" s="6" t="s">
        <v>13184</v>
      </c>
      <c r="J3178" s="6" t="str">
        <f>"Roy Bronze ARS00488BZ"</f>
        <v>Roy Bronze ARS00488BZ</v>
      </c>
      <c r="K3178" s="6">
        <v>0</v>
      </c>
      <c r="L3178" s="6">
        <v>0</v>
      </c>
      <c r="M3178" s="6">
        <v>0</v>
      </c>
      <c r="N3178" s="6" t="str">
        <f>""</f>
        <v/>
      </c>
      <c r="O3178" s="6">
        <v>23552</v>
      </c>
      <c r="P3178" s="6" t="s">
        <v>13185</v>
      </c>
      <c r="R3178" s="6" t="s">
        <v>13186</v>
      </c>
      <c r="S3178" s="6" t="s">
        <v>13187</v>
      </c>
      <c r="T3178" s="6">
        <v>0</v>
      </c>
      <c r="U3178" s="6">
        <v>0</v>
      </c>
      <c r="V3178" s="6">
        <v>0</v>
      </c>
      <c r="W3178" s="6">
        <v>0</v>
      </c>
      <c r="X3178" s="6" t="s">
        <v>169</v>
      </c>
      <c r="Z3178" s="6" t="s">
        <v>170</v>
      </c>
      <c r="AA3178" s="6" t="s">
        <v>171</v>
      </c>
      <c r="AB3178" s="6">
        <v>0</v>
      </c>
      <c r="AC3178" s="6" t="str">
        <f>""</f>
        <v/>
      </c>
      <c r="AS3178" s="6">
        <v>0</v>
      </c>
      <c r="AT3178" s="6">
        <v>0</v>
      </c>
    </row>
    <row r="3179" spans="2:46">
      <c r="B3179" s="6" t="s">
        <v>114</v>
      </c>
      <c r="D3179" s="6" t="s">
        <v>13131</v>
      </c>
      <c r="F3179" s="6" t="s">
        <v>13188</v>
      </c>
      <c r="G3179" s="6" t="str">
        <f>"2000000002682"</f>
        <v>2000000002682</v>
      </c>
      <c r="H3179" s="6">
        <v>2000000002682</v>
      </c>
      <c r="I3179" s="6" t="s">
        <v>13189</v>
      </c>
      <c r="J3179" s="6" t="str">
        <f>"Roy Black Silver ARS00488BS"</f>
        <v>Roy Black Silver ARS00488BS</v>
      </c>
      <c r="K3179" s="6">
        <v>0</v>
      </c>
      <c r="L3179" s="6">
        <v>0</v>
      </c>
      <c r="M3179" s="6">
        <v>0</v>
      </c>
      <c r="N3179" s="6" t="str">
        <f>""</f>
        <v/>
      </c>
      <c r="O3179" s="6">
        <v>23550</v>
      </c>
      <c r="P3179" s="6" t="s">
        <v>13190</v>
      </c>
      <c r="R3179" s="6" t="s">
        <v>13191</v>
      </c>
      <c r="S3179" s="6" t="s">
        <v>13192</v>
      </c>
      <c r="T3179" s="6">
        <v>0</v>
      </c>
      <c r="U3179" s="6">
        <v>0</v>
      </c>
      <c r="V3179" s="6">
        <v>0</v>
      </c>
      <c r="W3179" s="6">
        <v>0</v>
      </c>
      <c r="X3179" s="6" t="s">
        <v>169</v>
      </c>
      <c r="Z3179" s="6" t="s">
        <v>170</v>
      </c>
      <c r="AA3179" s="6" t="s">
        <v>171</v>
      </c>
      <c r="AB3179" s="6">
        <v>0</v>
      </c>
      <c r="AC3179" s="6" t="str">
        <f>""</f>
        <v/>
      </c>
      <c r="AS3179" s="6">
        <v>0</v>
      </c>
      <c r="AT3179" s="6">
        <v>0</v>
      </c>
    </row>
    <row r="3180" spans="2:46">
      <c r="B3180" s="6" t="s">
        <v>114</v>
      </c>
      <c r="D3180" s="6" t="s">
        <v>13131</v>
      </c>
      <c r="F3180" s="6" t="s">
        <v>13193</v>
      </c>
      <c r="G3180" s="6" t="str">
        <f>"2000000002705"</f>
        <v>2000000002705</v>
      </c>
      <c r="H3180" s="6">
        <v>2000000002705</v>
      </c>
      <c r="I3180" s="6" t="s">
        <v>13194</v>
      </c>
      <c r="J3180" s="6" t="str">
        <f>"Roy Blue ARS00488BL"</f>
        <v>Roy Blue ARS00488BL</v>
      </c>
      <c r="K3180" s="6">
        <v>0</v>
      </c>
      <c r="L3180" s="6">
        <v>0</v>
      </c>
      <c r="M3180" s="6">
        <v>0</v>
      </c>
      <c r="N3180" s="6" t="str">
        <f>""</f>
        <v/>
      </c>
      <c r="O3180" s="6">
        <v>23548</v>
      </c>
      <c r="P3180" s="6" t="s">
        <v>13195</v>
      </c>
      <c r="R3180" s="6" t="s">
        <v>13129</v>
      </c>
      <c r="S3180" s="6" t="s">
        <v>13196</v>
      </c>
      <c r="T3180" s="6">
        <v>0</v>
      </c>
      <c r="U3180" s="6">
        <v>0</v>
      </c>
      <c r="V3180" s="6">
        <v>0</v>
      </c>
      <c r="W3180" s="6">
        <v>0</v>
      </c>
      <c r="X3180" s="6" t="s">
        <v>169</v>
      </c>
      <c r="Z3180" s="6" t="s">
        <v>170</v>
      </c>
      <c r="AA3180" s="6" t="s">
        <v>171</v>
      </c>
      <c r="AB3180" s="6">
        <v>0</v>
      </c>
      <c r="AC3180" s="6" t="str">
        <f>""</f>
        <v/>
      </c>
      <c r="AS3180" s="6">
        <v>0</v>
      </c>
      <c r="AT3180" s="6">
        <v>0</v>
      </c>
    </row>
    <row r="3181" spans="2:46">
      <c r="B3181" s="6" t="s">
        <v>114</v>
      </c>
      <c r="D3181" s="6" t="s">
        <v>13131</v>
      </c>
      <c r="F3181" s="6" t="s">
        <v>13197</v>
      </c>
      <c r="G3181" s="6" t="str">
        <f>"2000000010229"</f>
        <v>2000000010229</v>
      </c>
      <c r="I3181" s="6" t="s">
        <v>13198</v>
      </c>
      <c r="J3181" s="6" t="str">
        <f>"Robin Beige DSS00547BG"</f>
        <v>Robin Beige DSS00547BG</v>
      </c>
      <c r="K3181" s="6">
        <v>0</v>
      </c>
      <c r="L3181" s="6">
        <v>0</v>
      </c>
      <c r="M3181" s="6">
        <v>0</v>
      </c>
      <c r="N3181" s="6" t="str">
        <f>""</f>
        <v/>
      </c>
      <c r="O3181" s="6">
        <v>23546</v>
      </c>
      <c r="P3181" s="6" t="s">
        <v>13199</v>
      </c>
      <c r="R3181" s="6" t="s">
        <v>10063</v>
      </c>
      <c r="S3181" s="6" t="s">
        <v>13200</v>
      </c>
      <c r="T3181" s="6">
        <v>1</v>
      </c>
      <c r="U3181" s="6">
        <v>0</v>
      </c>
      <c r="V3181" s="6">
        <v>0</v>
      </c>
      <c r="W3181" s="6">
        <v>0</v>
      </c>
      <c r="X3181" s="6" t="s">
        <v>169</v>
      </c>
      <c r="Z3181" s="6" t="s">
        <v>170</v>
      </c>
      <c r="AA3181" s="6" t="s">
        <v>171</v>
      </c>
      <c r="AB3181" s="6">
        <v>0</v>
      </c>
      <c r="AC3181" s="6" t="str">
        <f>"KEY-052"</f>
        <v>KEY-052</v>
      </c>
      <c r="AQ3181" s="6" t="str">
        <f>""</f>
        <v/>
      </c>
      <c r="AR3181" s="6" t="s">
        <v>1567</v>
      </c>
      <c r="AS3181" s="6">
        <v>0</v>
      </c>
      <c r="AT3181" s="6">
        <v>1</v>
      </c>
    </row>
    <row r="3182" spans="2:46">
      <c r="B3182" s="6" t="s">
        <v>114</v>
      </c>
      <c r="D3182" s="6" t="s">
        <v>13131</v>
      </c>
      <c r="F3182" s="6" t="s">
        <v>13201</v>
      </c>
      <c r="G3182" s="6" t="str">
        <f>"2000000010212"</f>
        <v>2000000010212</v>
      </c>
      <c r="H3182" s="6">
        <v>2000000010212</v>
      </c>
      <c r="I3182" s="6" t="s">
        <v>13202</v>
      </c>
      <c r="J3182" s="6" t="str">
        <f>"Robin Brown DSS00547BR"</f>
        <v>Robin Brown DSS00547BR</v>
      </c>
      <c r="K3182" s="6">
        <v>0</v>
      </c>
      <c r="L3182" s="6">
        <v>0</v>
      </c>
      <c r="M3182" s="6">
        <v>0</v>
      </c>
      <c r="N3182" s="6" t="str">
        <f>""</f>
        <v/>
      </c>
      <c r="O3182" s="6">
        <v>23544</v>
      </c>
      <c r="P3182" s="6" t="s">
        <v>13203</v>
      </c>
      <c r="R3182" s="6" t="s">
        <v>13204</v>
      </c>
      <c r="S3182" s="6" t="s">
        <v>13205</v>
      </c>
      <c r="T3182" s="6">
        <v>0</v>
      </c>
      <c r="U3182" s="6">
        <v>0</v>
      </c>
      <c r="V3182" s="6">
        <v>0</v>
      </c>
      <c r="W3182" s="6">
        <v>0</v>
      </c>
      <c r="X3182" s="6" t="s">
        <v>169</v>
      </c>
      <c r="Z3182" s="6" t="s">
        <v>170</v>
      </c>
      <c r="AA3182" s="6" t="s">
        <v>171</v>
      </c>
      <c r="AB3182" s="6">
        <v>0</v>
      </c>
      <c r="AC3182" s="6" t="str">
        <f>""</f>
        <v/>
      </c>
      <c r="AS3182" s="6">
        <v>0</v>
      </c>
      <c r="AT3182" s="6">
        <v>0</v>
      </c>
    </row>
    <row r="3183" spans="2:46">
      <c r="B3183" s="6" t="s">
        <v>114</v>
      </c>
      <c r="D3183" s="6" t="s">
        <v>13131</v>
      </c>
      <c r="F3183" s="6" t="s">
        <v>13206</v>
      </c>
      <c r="G3183" s="6" t="str">
        <f>"2000000010243"</f>
        <v>2000000010243</v>
      </c>
      <c r="I3183" s="6" t="s">
        <v>13207</v>
      </c>
      <c r="J3183" s="6" t="str">
        <f>"Robin Indy Pink DSS00547IP"</f>
        <v>Robin Indy Pink DSS00547IP</v>
      </c>
      <c r="K3183" s="6">
        <v>0</v>
      </c>
      <c r="L3183" s="6">
        <v>0</v>
      </c>
      <c r="M3183" s="6">
        <v>0</v>
      </c>
      <c r="N3183" s="6" t="str">
        <f>""</f>
        <v/>
      </c>
      <c r="O3183" s="6">
        <v>23542</v>
      </c>
      <c r="P3183" s="6" t="s">
        <v>13208</v>
      </c>
      <c r="R3183" s="6" t="s">
        <v>13153</v>
      </c>
      <c r="S3183" s="6" t="s">
        <v>13209</v>
      </c>
      <c r="T3183" s="6">
        <v>1</v>
      </c>
      <c r="U3183" s="6">
        <v>0</v>
      </c>
      <c r="V3183" s="6">
        <v>0</v>
      </c>
      <c r="W3183" s="6">
        <v>0</v>
      </c>
      <c r="X3183" s="6" t="s">
        <v>169</v>
      </c>
      <c r="Z3183" s="6" t="s">
        <v>170</v>
      </c>
      <c r="AA3183" s="6" t="s">
        <v>171</v>
      </c>
      <c r="AB3183" s="6">
        <v>0</v>
      </c>
      <c r="AC3183" s="6" t="str">
        <f>"KEY-048"</f>
        <v>KEY-048</v>
      </c>
      <c r="AQ3183" s="6" t="str">
        <f>""</f>
        <v/>
      </c>
      <c r="AR3183" s="6" t="s">
        <v>1567</v>
      </c>
      <c r="AS3183" s="6">
        <v>0</v>
      </c>
      <c r="AT3183" s="6">
        <v>1</v>
      </c>
    </row>
    <row r="3184" spans="2:46">
      <c r="B3184" s="6" t="s">
        <v>114</v>
      </c>
      <c r="D3184" s="6" t="s">
        <v>13131</v>
      </c>
      <c r="F3184" s="6" t="s">
        <v>13210</v>
      </c>
      <c r="G3184" s="6" t="str">
        <f>"2000000010205"</f>
        <v>2000000010205</v>
      </c>
      <c r="H3184" s="6">
        <v>2000000010205</v>
      </c>
      <c r="I3184" s="6" t="s">
        <v>13211</v>
      </c>
      <c r="J3184" s="6" t="str">
        <f>"Robin Burgundy DSS00547BU"</f>
        <v>Robin Burgundy DSS00547BU</v>
      </c>
      <c r="K3184" s="6">
        <v>0</v>
      </c>
      <c r="L3184" s="6">
        <v>0</v>
      </c>
      <c r="M3184" s="6">
        <v>0</v>
      </c>
      <c r="N3184" s="6" t="str">
        <f>""</f>
        <v/>
      </c>
      <c r="O3184" s="6">
        <v>23540</v>
      </c>
      <c r="P3184" s="6" t="s">
        <v>13212</v>
      </c>
      <c r="R3184" s="6" t="s">
        <v>13111</v>
      </c>
      <c r="S3184" s="6" t="s">
        <v>13213</v>
      </c>
      <c r="T3184" s="6">
        <v>0</v>
      </c>
      <c r="U3184" s="6">
        <v>0</v>
      </c>
      <c r="V3184" s="6">
        <v>0</v>
      </c>
      <c r="W3184" s="6">
        <v>0</v>
      </c>
      <c r="X3184" s="6" t="s">
        <v>169</v>
      </c>
      <c r="Z3184" s="6" t="s">
        <v>170</v>
      </c>
      <c r="AA3184" s="6" t="s">
        <v>171</v>
      </c>
      <c r="AB3184" s="6">
        <v>0</v>
      </c>
      <c r="AC3184" s="6" t="str">
        <f>""</f>
        <v/>
      </c>
      <c r="AS3184" s="6">
        <v>0</v>
      </c>
      <c r="AT3184" s="6">
        <v>0</v>
      </c>
    </row>
    <row r="3185" spans="2:46">
      <c r="B3185" s="6" t="s">
        <v>114</v>
      </c>
      <c r="D3185" s="6" t="s">
        <v>13131</v>
      </c>
      <c r="F3185" s="6" t="s">
        <v>13214</v>
      </c>
      <c r="G3185" s="6" t="str">
        <f>"2000000010236"</f>
        <v>2000000010236</v>
      </c>
      <c r="H3185" s="6">
        <v>2000000010236</v>
      </c>
      <c r="I3185" s="6" t="s">
        <v>13215</v>
      </c>
      <c r="J3185" s="6" t="str">
        <f>"Robin Khaki DSS00547KK"</f>
        <v>Robin Khaki DSS00547KK</v>
      </c>
      <c r="K3185" s="6">
        <v>0</v>
      </c>
      <c r="L3185" s="6">
        <v>0</v>
      </c>
      <c r="M3185" s="6">
        <v>0</v>
      </c>
      <c r="N3185" s="6" t="str">
        <f>""</f>
        <v/>
      </c>
      <c r="O3185" s="6">
        <v>23538</v>
      </c>
      <c r="P3185" s="6" t="s">
        <v>13216</v>
      </c>
      <c r="R3185" s="6" t="s">
        <v>13217</v>
      </c>
      <c r="S3185" s="6" t="s">
        <v>13218</v>
      </c>
      <c r="T3185" s="6">
        <v>0</v>
      </c>
      <c r="U3185" s="6">
        <v>0</v>
      </c>
      <c r="V3185" s="6">
        <v>0</v>
      </c>
      <c r="W3185" s="6">
        <v>0</v>
      </c>
      <c r="X3185" s="6" t="s">
        <v>169</v>
      </c>
      <c r="Z3185" s="6" t="s">
        <v>170</v>
      </c>
      <c r="AA3185" s="6" t="s">
        <v>171</v>
      </c>
      <c r="AB3185" s="6">
        <v>0</v>
      </c>
      <c r="AC3185" s="6" t="str">
        <f>""</f>
        <v/>
      </c>
      <c r="AS3185" s="6">
        <v>0</v>
      </c>
      <c r="AT3185" s="6">
        <v>0</v>
      </c>
    </row>
    <row r="3186" spans="2:46">
      <c r="B3186" s="6" t="s">
        <v>114</v>
      </c>
      <c r="D3186" s="6" t="s">
        <v>13131</v>
      </c>
      <c r="F3186" s="6" t="s">
        <v>13219</v>
      </c>
      <c r="G3186" s="6" t="str">
        <f>"2000000010199"</f>
        <v>2000000010199</v>
      </c>
      <c r="H3186" s="6">
        <v>2000000010199</v>
      </c>
      <c r="I3186" s="6" t="s">
        <v>13220</v>
      </c>
      <c r="J3186" s="6" t="str">
        <f>"Robin Black DSS00547BK"</f>
        <v>Robin Black DSS00547BK</v>
      </c>
      <c r="K3186" s="6">
        <v>0</v>
      </c>
      <c r="L3186" s="6">
        <v>0</v>
      </c>
      <c r="M3186" s="6">
        <v>0</v>
      </c>
      <c r="N3186" s="6" t="str">
        <f>""</f>
        <v/>
      </c>
      <c r="O3186" s="6">
        <v>23536</v>
      </c>
      <c r="P3186" s="6" t="s">
        <v>13221</v>
      </c>
      <c r="R3186" s="6" t="s">
        <v>13124</v>
      </c>
      <c r="S3186" s="6" t="s">
        <v>13222</v>
      </c>
      <c r="T3186" s="6">
        <v>0</v>
      </c>
      <c r="U3186" s="6">
        <v>0</v>
      </c>
      <c r="V3186" s="6">
        <v>0</v>
      </c>
      <c r="W3186" s="6">
        <v>0</v>
      </c>
      <c r="X3186" s="6" t="s">
        <v>169</v>
      </c>
      <c r="Z3186" s="6" t="s">
        <v>170</v>
      </c>
      <c r="AA3186" s="6" t="s">
        <v>171</v>
      </c>
      <c r="AB3186" s="6">
        <v>0</v>
      </c>
      <c r="AC3186" s="6" t="str">
        <f>""</f>
        <v/>
      </c>
      <c r="AS3186" s="6">
        <v>0</v>
      </c>
      <c r="AT3186" s="6">
        <v>0</v>
      </c>
    </row>
    <row r="3187" spans="2:46">
      <c r="B3187" s="6" t="s">
        <v>114</v>
      </c>
      <c r="D3187" s="6" t="s">
        <v>13131</v>
      </c>
      <c r="F3187" s="6" t="s">
        <v>13223</v>
      </c>
      <c r="G3187" s="6" t="str">
        <f>"2000000003306"</f>
        <v>2000000003306</v>
      </c>
      <c r="H3187" s="6">
        <v>2000000003306</v>
      </c>
      <c r="I3187" s="6" t="s">
        <v>13224</v>
      </c>
      <c r="J3187" s="6" t="str">
        <f>"Raymond Ivory KDK00497IV"</f>
        <v>Raymond Ivory KDK00497IV</v>
      </c>
      <c r="K3187" s="6">
        <v>0</v>
      </c>
      <c r="L3187" s="6">
        <v>0</v>
      </c>
      <c r="M3187" s="6">
        <v>0</v>
      </c>
      <c r="N3187" s="6" t="str">
        <f>""</f>
        <v/>
      </c>
      <c r="O3187" s="6">
        <v>23534</v>
      </c>
      <c r="P3187" s="6" t="s">
        <v>13225</v>
      </c>
      <c r="R3187" s="6" t="s">
        <v>13144</v>
      </c>
      <c r="S3187" s="6" t="s">
        <v>13226</v>
      </c>
      <c r="T3187" s="6">
        <v>0</v>
      </c>
      <c r="U3187" s="6">
        <v>0</v>
      </c>
      <c r="V3187" s="6">
        <v>0</v>
      </c>
      <c r="W3187" s="6">
        <v>0</v>
      </c>
      <c r="X3187" s="6" t="s">
        <v>169</v>
      </c>
      <c r="Z3187" s="6" t="s">
        <v>170</v>
      </c>
      <c r="AA3187" s="6" t="s">
        <v>171</v>
      </c>
      <c r="AB3187" s="6">
        <v>0</v>
      </c>
      <c r="AC3187" s="6" t="str">
        <f>""</f>
        <v/>
      </c>
      <c r="AS3187" s="6">
        <v>0</v>
      </c>
      <c r="AT3187" s="6">
        <v>0</v>
      </c>
    </row>
    <row r="3188" spans="2:46">
      <c r="B3188" s="6" t="s">
        <v>114</v>
      </c>
      <c r="D3188" s="6" t="s">
        <v>13131</v>
      </c>
      <c r="F3188" s="6" t="s">
        <v>13227</v>
      </c>
      <c r="G3188" s="6" t="str">
        <f>"2000000003337"</f>
        <v>2000000003337</v>
      </c>
      <c r="H3188" s="6">
        <v>2000000003337</v>
      </c>
      <c r="I3188" s="6" t="s">
        <v>13228</v>
      </c>
      <c r="J3188" s="6" t="str">
        <f>"Raymond Light Blue KDK00497LB"</f>
        <v>Raymond Light Blue KDK00497LB</v>
      </c>
      <c r="K3188" s="6">
        <v>0</v>
      </c>
      <c r="L3188" s="6">
        <v>0</v>
      </c>
      <c r="M3188" s="6">
        <v>0</v>
      </c>
      <c r="N3188" s="6" t="str">
        <f>""</f>
        <v/>
      </c>
      <c r="O3188" s="6">
        <v>23532</v>
      </c>
      <c r="P3188" s="6" t="s">
        <v>13229</v>
      </c>
      <c r="R3188" s="6" t="s">
        <v>13230</v>
      </c>
      <c r="S3188" s="6" t="s">
        <v>13231</v>
      </c>
      <c r="T3188" s="6">
        <v>0</v>
      </c>
      <c r="U3188" s="6">
        <v>0</v>
      </c>
      <c r="V3188" s="6">
        <v>0</v>
      </c>
      <c r="W3188" s="6">
        <v>0</v>
      </c>
      <c r="X3188" s="6" t="s">
        <v>169</v>
      </c>
      <c r="Z3188" s="6" t="s">
        <v>170</v>
      </c>
      <c r="AA3188" s="6" t="s">
        <v>171</v>
      </c>
      <c r="AB3188" s="6">
        <v>0</v>
      </c>
      <c r="AC3188" s="6" t="str">
        <f>""</f>
        <v/>
      </c>
      <c r="AS3188" s="6">
        <v>0</v>
      </c>
      <c r="AT3188" s="6">
        <v>0</v>
      </c>
    </row>
    <row r="3189" spans="2:46">
      <c r="B3189" s="6" t="s">
        <v>114</v>
      </c>
      <c r="D3189" s="6" t="s">
        <v>13131</v>
      </c>
      <c r="F3189" s="6" t="s">
        <v>13232</v>
      </c>
      <c r="G3189" s="6" t="str">
        <f>"2000000003320"</f>
        <v>2000000003320</v>
      </c>
      <c r="H3189" s="6">
        <v>2000000003320</v>
      </c>
      <c r="I3189" s="6" t="s">
        <v>13233</v>
      </c>
      <c r="J3189" s="6" t="str">
        <f>"Raymond Blue KDK00497BL"</f>
        <v>Raymond Blue KDK00497BL</v>
      </c>
      <c r="K3189" s="6">
        <v>0</v>
      </c>
      <c r="L3189" s="6">
        <v>0</v>
      </c>
      <c r="M3189" s="6">
        <v>0</v>
      </c>
      <c r="N3189" s="6" t="str">
        <f>""</f>
        <v/>
      </c>
      <c r="O3189" s="6">
        <v>23530</v>
      </c>
      <c r="P3189" s="6" t="s">
        <v>13234</v>
      </c>
      <c r="R3189" s="6" t="s">
        <v>13129</v>
      </c>
      <c r="S3189" s="6" t="s">
        <v>13235</v>
      </c>
      <c r="T3189" s="6">
        <v>0</v>
      </c>
      <c r="U3189" s="6">
        <v>0</v>
      </c>
      <c r="V3189" s="6">
        <v>0</v>
      </c>
      <c r="W3189" s="6">
        <v>0</v>
      </c>
      <c r="X3189" s="6" t="s">
        <v>169</v>
      </c>
      <c r="Z3189" s="6" t="s">
        <v>170</v>
      </c>
      <c r="AA3189" s="6" t="s">
        <v>171</v>
      </c>
      <c r="AB3189" s="6">
        <v>0</v>
      </c>
      <c r="AC3189" s="6" t="str">
        <f>""</f>
        <v/>
      </c>
      <c r="AS3189" s="6">
        <v>0</v>
      </c>
      <c r="AT3189" s="6">
        <v>0</v>
      </c>
    </row>
    <row r="3190" spans="2:46">
      <c r="B3190" s="6" t="s">
        <v>114</v>
      </c>
      <c r="D3190" s="6" t="s">
        <v>13131</v>
      </c>
      <c r="F3190" s="6" t="s">
        <v>13236</v>
      </c>
      <c r="G3190" s="6" t="str">
        <f>"2000000003313"</f>
        <v>2000000003313</v>
      </c>
      <c r="H3190" s="6">
        <v>2000000003313</v>
      </c>
      <c r="I3190" s="6" t="s">
        <v>13237</v>
      </c>
      <c r="J3190" s="6" t="str">
        <f>"Raymond Black KDK00497BK"</f>
        <v>Raymond Black KDK00497BK</v>
      </c>
      <c r="K3190" s="6">
        <v>0</v>
      </c>
      <c r="L3190" s="6">
        <v>0</v>
      </c>
      <c r="M3190" s="6">
        <v>0</v>
      </c>
      <c r="N3190" s="6" t="str">
        <f>""</f>
        <v/>
      </c>
      <c r="O3190" s="6">
        <v>23528</v>
      </c>
      <c r="P3190" s="6" t="s">
        <v>13238</v>
      </c>
      <c r="R3190" s="6" t="s">
        <v>13124</v>
      </c>
      <c r="S3190" s="6" t="s">
        <v>13239</v>
      </c>
      <c r="T3190" s="6">
        <v>0</v>
      </c>
      <c r="U3190" s="6">
        <v>0</v>
      </c>
      <c r="V3190" s="6">
        <v>0</v>
      </c>
      <c r="W3190" s="6">
        <v>0</v>
      </c>
      <c r="X3190" s="6" t="s">
        <v>169</v>
      </c>
      <c r="Z3190" s="6" t="s">
        <v>170</v>
      </c>
      <c r="AA3190" s="6" t="s">
        <v>171</v>
      </c>
      <c r="AB3190" s="6">
        <v>0</v>
      </c>
      <c r="AC3190" s="6" t="str">
        <f>""</f>
        <v/>
      </c>
      <c r="AS3190" s="6">
        <v>0</v>
      </c>
      <c r="AT3190" s="6">
        <v>0</v>
      </c>
    </row>
    <row r="3191" spans="2:46">
      <c r="B3191" s="6" t="s">
        <v>114</v>
      </c>
      <c r="D3191" s="6" t="s">
        <v>13131</v>
      </c>
      <c r="F3191" s="6" t="s">
        <v>13240</v>
      </c>
      <c r="G3191" s="6" t="str">
        <f>"2000000005317"</f>
        <v>2000000005317</v>
      </c>
      <c r="H3191" s="6">
        <v>2000000005317</v>
      </c>
      <c r="I3191" s="6" t="s">
        <v>13241</v>
      </c>
      <c r="J3191" s="6" t="str">
        <f>"Nuvo Brown JHJ00518BR"</f>
        <v>Nuvo Brown JHJ00518BR</v>
      </c>
      <c r="K3191" s="6">
        <v>0</v>
      </c>
      <c r="L3191" s="6">
        <v>0</v>
      </c>
      <c r="M3191" s="6">
        <v>0</v>
      </c>
      <c r="N3191" s="6" t="str">
        <f>""</f>
        <v/>
      </c>
      <c r="O3191" s="6">
        <v>23526</v>
      </c>
      <c r="P3191" s="6" t="s">
        <v>13242</v>
      </c>
      <c r="R3191" s="6" t="s">
        <v>13204</v>
      </c>
      <c r="S3191" s="6" t="s">
        <v>13243</v>
      </c>
      <c r="T3191" s="6">
        <v>0</v>
      </c>
      <c r="U3191" s="6">
        <v>0</v>
      </c>
      <c r="V3191" s="6">
        <v>0</v>
      </c>
      <c r="W3191" s="6">
        <v>0</v>
      </c>
      <c r="X3191" s="6" t="s">
        <v>169</v>
      </c>
      <c r="Z3191" s="6" t="s">
        <v>170</v>
      </c>
      <c r="AA3191" s="6" t="s">
        <v>171</v>
      </c>
      <c r="AB3191" s="6">
        <v>0</v>
      </c>
      <c r="AC3191" s="6" t="str">
        <f>""</f>
        <v/>
      </c>
      <c r="AS3191" s="6">
        <v>0</v>
      </c>
      <c r="AT3191" s="6">
        <v>0</v>
      </c>
    </row>
    <row r="3192" spans="2:46">
      <c r="B3192" s="6" t="s">
        <v>114</v>
      </c>
      <c r="D3192" s="6" t="s">
        <v>13131</v>
      </c>
      <c r="F3192" s="6" t="s">
        <v>13244</v>
      </c>
      <c r="G3192" s="6" t="str">
        <f>"2000000005294"</f>
        <v>2000000005294</v>
      </c>
      <c r="H3192" s="6">
        <v>2000000005294</v>
      </c>
      <c r="I3192" s="6" t="s">
        <v>13245</v>
      </c>
      <c r="J3192" s="6" t="str">
        <f>"Nuvo Burgundy JHJ00518BU"</f>
        <v>Nuvo Burgundy JHJ00518BU</v>
      </c>
      <c r="K3192" s="6">
        <v>0</v>
      </c>
      <c r="L3192" s="6">
        <v>0</v>
      </c>
      <c r="M3192" s="6">
        <v>0</v>
      </c>
      <c r="N3192" s="6" t="str">
        <f>""</f>
        <v/>
      </c>
      <c r="O3192" s="6">
        <v>23524</v>
      </c>
      <c r="P3192" s="6" t="s">
        <v>13246</v>
      </c>
      <c r="R3192" s="6" t="s">
        <v>13111</v>
      </c>
      <c r="S3192" s="6" t="s">
        <v>13247</v>
      </c>
      <c r="T3192" s="6">
        <v>0</v>
      </c>
      <c r="U3192" s="6">
        <v>0</v>
      </c>
      <c r="V3192" s="6">
        <v>0</v>
      </c>
      <c r="W3192" s="6">
        <v>0</v>
      </c>
      <c r="X3192" s="6" t="s">
        <v>169</v>
      </c>
      <c r="Z3192" s="6" t="s">
        <v>170</v>
      </c>
      <c r="AA3192" s="6" t="s">
        <v>171</v>
      </c>
      <c r="AB3192" s="6">
        <v>0</v>
      </c>
      <c r="AC3192" s="6" t="str">
        <f>""</f>
        <v/>
      </c>
      <c r="AS3192" s="6">
        <v>0</v>
      </c>
      <c r="AT3192" s="6">
        <v>0</v>
      </c>
    </row>
    <row r="3193" spans="2:46">
      <c r="B3193" s="6" t="s">
        <v>114</v>
      </c>
      <c r="D3193" s="6" t="s">
        <v>13131</v>
      </c>
      <c r="F3193" s="6" t="s">
        <v>13248</v>
      </c>
      <c r="G3193" s="6" t="str">
        <f>"2000000005300"</f>
        <v>2000000005300</v>
      </c>
      <c r="H3193" s="6">
        <v>2000000005300</v>
      </c>
      <c r="I3193" s="6" t="s">
        <v>13249</v>
      </c>
      <c r="J3193" s="6" t="str">
        <f>"Nuvo Gray JHJ00518GY"</f>
        <v>Nuvo Gray JHJ00518GY</v>
      </c>
      <c r="K3193" s="6">
        <v>0</v>
      </c>
      <c r="L3193" s="6">
        <v>0</v>
      </c>
      <c r="M3193" s="6">
        <v>0</v>
      </c>
      <c r="N3193" s="6" t="str">
        <f>""</f>
        <v/>
      </c>
      <c r="O3193" s="6">
        <v>23522</v>
      </c>
      <c r="P3193" s="6" t="s">
        <v>13250</v>
      </c>
      <c r="R3193" s="6" t="s">
        <v>10058</v>
      </c>
      <c r="S3193" s="6" t="s">
        <v>13251</v>
      </c>
      <c r="T3193" s="6">
        <v>0</v>
      </c>
      <c r="U3193" s="6">
        <v>0</v>
      </c>
      <c r="V3193" s="6">
        <v>0</v>
      </c>
      <c r="W3193" s="6">
        <v>0</v>
      </c>
      <c r="X3193" s="6" t="s">
        <v>169</v>
      </c>
      <c r="Z3193" s="6" t="s">
        <v>170</v>
      </c>
      <c r="AA3193" s="6" t="s">
        <v>171</v>
      </c>
      <c r="AB3193" s="6">
        <v>0</v>
      </c>
      <c r="AC3193" s="6" t="str">
        <f>""</f>
        <v/>
      </c>
      <c r="AS3193" s="6">
        <v>0</v>
      </c>
      <c r="AT3193" s="6">
        <v>0</v>
      </c>
    </row>
    <row r="3194" spans="2:46">
      <c r="B3194" s="6" t="s">
        <v>114</v>
      </c>
      <c r="D3194" s="6" t="s">
        <v>13131</v>
      </c>
      <c r="F3194" s="6" t="s">
        <v>13252</v>
      </c>
      <c r="G3194" s="6" t="str">
        <f>"2000000005287"</f>
        <v>2000000005287</v>
      </c>
      <c r="H3194" s="6">
        <v>2000000005287</v>
      </c>
      <c r="I3194" s="6" t="s">
        <v>13253</v>
      </c>
      <c r="J3194" s="6" t="str">
        <f>"Nuvo Black JHJ00518BK"</f>
        <v>Nuvo Black JHJ00518BK</v>
      </c>
      <c r="K3194" s="6">
        <v>0</v>
      </c>
      <c r="L3194" s="6">
        <v>0</v>
      </c>
      <c r="M3194" s="6">
        <v>0</v>
      </c>
      <c r="N3194" s="6" t="str">
        <f>""</f>
        <v/>
      </c>
      <c r="O3194" s="6">
        <v>23520</v>
      </c>
      <c r="P3194" s="6" t="s">
        <v>13254</v>
      </c>
      <c r="R3194" s="6" t="s">
        <v>13124</v>
      </c>
      <c r="S3194" s="6" t="s">
        <v>13255</v>
      </c>
      <c r="T3194" s="6">
        <v>0</v>
      </c>
      <c r="U3194" s="6">
        <v>0</v>
      </c>
      <c r="V3194" s="6">
        <v>0</v>
      </c>
      <c r="W3194" s="6">
        <v>0</v>
      </c>
      <c r="X3194" s="6" t="s">
        <v>169</v>
      </c>
      <c r="Z3194" s="6" t="s">
        <v>170</v>
      </c>
      <c r="AA3194" s="6" t="s">
        <v>171</v>
      </c>
      <c r="AB3194" s="6">
        <v>0</v>
      </c>
      <c r="AC3194" s="6" t="str">
        <f>""</f>
        <v/>
      </c>
      <c r="AS3194" s="6">
        <v>0</v>
      </c>
      <c r="AT3194" s="6">
        <v>0</v>
      </c>
    </row>
    <row r="3195" spans="2:46">
      <c r="B3195" s="6" t="s">
        <v>114</v>
      </c>
      <c r="D3195" s="6" t="s">
        <v>13131</v>
      </c>
      <c r="F3195" s="6" t="s">
        <v>13256</v>
      </c>
      <c r="G3195" s="6" t="str">
        <f>"2000000010250"</f>
        <v>2000000010250</v>
      </c>
      <c r="H3195" s="6">
        <v>2000000010250</v>
      </c>
      <c r="I3195" s="6" t="s">
        <v>13257</v>
      </c>
      <c r="J3195" s="6" t="str">
        <f>"Moris Black JIS00548BK"</f>
        <v>Moris Black JIS00548BK</v>
      </c>
      <c r="K3195" s="6">
        <v>0</v>
      </c>
      <c r="L3195" s="6">
        <v>0</v>
      </c>
      <c r="M3195" s="6">
        <v>0</v>
      </c>
      <c r="N3195" s="6" t="str">
        <f>""</f>
        <v/>
      </c>
      <c r="O3195" s="6">
        <v>23518</v>
      </c>
      <c r="P3195" s="6" t="s">
        <v>13258</v>
      </c>
      <c r="R3195" s="6" t="s">
        <v>13124</v>
      </c>
      <c r="S3195" s="6" t="s">
        <v>13259</v>
      </c>
      <c r="T3195" s="6">
        <v>0</v>
      </c>
      <c r="U3195" s="6">
        <v>0</v>
      </c>
      <c r="V3195" s="6">
        <v>0</v>
      </c>
      <c r="W3195" s="6">
        <v>0</v>
      </c>
      <c r="X3195" s="6" t="s">
        <v>169</v>
      </c>
      <c r="Z3195" s="6" t="s">
        <v>170</v>
      </c>
      <c r="AA3195" s="6" t="s">
        <v>171</v>
      </c>
      <c r="AB3195" s="6">
        <v>0</v>
      </c>
      <c r="AC3195" s="6" t="str">
        <f>""</f>
        <v/>
      </c>
      <c r="AS3195" s="6">
        <v>0</v>
      </c>
      <c r="AT3195" s="6">
        <v>0</v>
      </c>
    </row>
    <row r="3196" spans="2:46">
      <c r="B3196" s="6" t="s">
        <v>114</v>
      </c>
      <c r="D3196" s="6" t="s">
        <v>13131</v>
      </c>
      <c r="F3196" s="6" t="s">
        <v>13260</v>
      </c>
      <c r="G3196" s="6" t="str">
        <f>"2000000010298"</f>
        <v>2000000010298</v>
      </c>
      <c r="H3196" s="6">
        <v>2000000010298</v>
      </c>
      <c r="I3196" s="6" t="s">
        <v>13261</v>
      </c>
      <c r="J3196" s="6" t="str">
        <f>"Moris Beige JIS00548BG"</f>
        <v>Moris Beige JIS00548BG</v>
      </c>
      <c r="K3196" s="6">
        <v>0</v>
      </c>
      <c r="L3196" s="6">
        <v>0</v>
      </c>
      <c r="M3196" s="6">
        <v>0</v>
      </c>
      <c r="N3196" s="6" t="str">
        <f>""</f>
        <v/>
      </c>
      <c r="O3196" s="6">
        <v>23516</v>
      </c>
      <c r="P3196" s="6" t="s">
        <v>13262</v>
      </c>
      <c r="R3196" s="6" t="s">
        <v>10063</v>
      </c>
      <c r="S3196" s="6" t="s">
        <v>13263</v>
      </c>
      <c r="T3196" s="6">
        <v>0</v>
      </c>
      <c r="U3196" s="6">
        <v>0</v>
      </c>
      <c r="V3196" s="6">
        <v>0</v>
      </c>
      <c r="W3196" s="6">
        <v>0</v>
      </c>
      <c r="X3196" s="6" t="s">
        <v>169</v>
      </c>
      <c r="Z3196" s="6" t="s">
        <v>170</v>
      </c>
      <c r="AA3196" s="6" t="s">
        <v>171</v>
      </c>
      <c r="AB3196" s="6">
        <v>0</v>
      </c>
      <c r="AC3196" s="6" t="str">
        <f>""</f>
        <v/>
      </c>
      <c r="AS3196" s="6">
        <v>0</v>
      </c>
      <c r="AT3196" s="6">
        <v>0</v>
      </c>
    </row>
    <row r="3197" spans="2:46">
      <c r="B3197" s="6" t="s">
        <v>114</v>
      </c>
      <c r="D3197" s="6" t="s">
        <v>13131</v>
      </c>
      <c r="F3197" s="6" t="s">
        <v>13264</v>
      </c>
      <c r="G3197" s="6" t="str">
        <f>"2000000010274"</f>
        <v>2000000010274</v>
      </c>
      <c r="H3197" s="6">
        <v>2000000010274</v>
      </c>
      <c r="I3197" s="6" t="s">
        <v>13265</v>
      </c>
      <c r="J3197" s="6" t="str">
        <f>"Moris Brown JIS00548BR"</f>
        <v>Moris Brown JIS00548BR</v>
      </c>
      <c r="K3197" s="6">
        <v>0</v>
      </c>
      <c r="L3197" s="6">
        <v>0</v>
      </c>
      <c r="M3197" s="6">
        <v>0</v>
      </c>
      <c r="N3197" s="6" t="str">
        <f>""</f>
        <v/>
      </c>
      <c r="O3197" s="6">
        <v>23514</v>
      </c>
      <c r="P3197" s="6" t="s">
        <v>13266</v>
      </c>
      <c r="R3197" s="6" t="s">
        <v>13204</v>
      </c>
      <c r="S3197" s="6" t="s">
        <v>13267</v>
      </c>
      <c r="T3197" s="6">
        <v>0</v>
      </c>
      <c r="U3197" s="6">
        <v>0</v>
      </c>
      <c r="V3197" s="6">
        <v>0</v>
      </c>
      <c r="W3197" s="6">
        <v>0</v>
      </c>
      <c r="X3197" s="6" t="s">
        <v>169</v>
      </c>
      <c r="Z3197" s="6" t="s">
        <v>170</v>
      </c>
      <c r="AA3197" s="6" t="s">
        <v>171</v>
      </c>
      <c r="AB3197" s="6">
        <v>0</v>
      </c>
      <c r="AC3197" s="6" t="str">
        <f>""</f>
        <v/>
      </c>
      <c r="AS3197" s="6">
        <v>0</v>
      </c>
      <c r="AT3197" s="6">
        <v>0</v>
      </c>
    </row>
    <row r="3198" spans="2:46">
      <c r="B3198" s="6" t="s">
        <v>114</v>
      </c>
      <c r="D3198" s="6" t="s">
        <v>13131</v>
      </c>
      <c r="F3198" s="6" t="s">
        <v>13268</v>
      </c>
      <c r="G3198" s="6" t="str">
        <f>"2000000010267"</f>
        <v>2000000010267</v>
      </c>
      <c r="H3198" s="6">
        <v>2000000010267</v>
      </c>
      <c r="I3198" s="6" t="s">
        <v>13269</v>
      </c>
      <c r="J3198" s="6" t="str">
        <f>"Moris Burgundy JIS00548BU"</f>
        <v>Moris Burgundy JIS00548BU</v>
      </c>
      <c r="K3198" s="6">
        <v>0</v>
      </c>
      <c r="L3198" s="6">
        <v>0</v>
      </c>
      <c r="M3198" s="6">
        <v>0</v>
      </c>
      <c r="N3198" s="6" t="str">
        <f>""</f>
        <v/>
      </c>
      <c r="O3198" s="6">
        <v>23512</v>
      </c>
      <c r="P3198" s="6" t="s">
        <v>13270</v>
      </c>
      <c r="R3198" s="6" t="s">
        <v>13111</v>
      </c>
      <c r="S3198" s="6" t="s">
        <v>13271</v>
      </c>
      <c r="T3198" s="6">
        <v>0</v>
      </c>
      <c r="U3198" s="6">
        <v>0</v>
      </c>
      <c r="V3198" s="6">
        <v>0</v>
      </c>
      <c r="W3198" s="6">
        <v>0</v>
      </c>
      <c r="X3198" s="6" t="s">
        <v>169</v>
      </c>
      <c r="Z3198" s="6" t="s">
        <v>170</v>
      </c>
      <c r="AA3198" s="6" t="s">
        <v>171</v>
      </c>
      <c r="AB3198" s="6">
        <v>0</v>
      </c>
      <c r="AC3198" s="6" t="str">
        <f>""</f>
        <v/>
      </c>
      <c r="AS3198" s="6">
        <v>0</v>
      </c>
      <c r="AT3198" s="6">
        <v>0</v>
      </c>
    </row>
    <row r="3199" spans="2:46">
      <c r="B3199" s="6" t="s">
        <v>114</v>
      </c>
      <c r="D3199" s="6" t="s">
        <v>13131</v>
      </c>
      <c r="F3199" s="6" t="s">
        <v>13272</v>
      </c>
      <c r="G3199" s="6" t="str">
        <f>"2000000010281"</f>
        <v>2000000010281</v>
      </c>
      <c r="H3199" s="6">
        <v>2000000010281</v>
      </c>
      <c r="I3199" s="6" t="s">
        <v>13273</v>
      </c>
      <c r="J3199" s="6" t="str">
        <f>"Moris Indy Pink JIS00548IP"</f>
        <v>Moris Indy Pink JIS00548IP</v>
      </c>
      <c r="K3199" s="6">
        <v>0</v>
      </c>
      <c r="L3199" s="6">
        <v>0</v>
      </c>
      <c r="M3199" s="6">
        <v>0</v>
      </c>
      <c r="N3199" s="6" t="str">
        <f>""</f>
        <v/>
      </c>
      <c r="O3199" s="6">
        <v>23510</v>
      </c>
      <c r="P3199" s="6" t="s">
        <v>13274</v>
      </c>
      <c r="R3199" s="6" t="s">
        <v>13153</v>
      </c>
      <c r="S3199" s="6" t="s">
        <v>13275</v>
      </c>
      <c r="T3199" s="6">
        <v>0</v>
      </c>
      <c r="U3199" s="6">
        <v>0</v>
      </c>
      <c r="V3199" s="6">
        <v>0</v>
      </c>
      <c r="W3199" s="6">
        <v>0</v>
      </c>
      <c r="X3199" s="6" t="s">
        <v>169</v>
      </c>
      <c r="Z3199" s="6" t="s">
        <v>170</v>
      </c>
      <c r="AA3199" s="6" t="s">
        <v>171</v>
      </c>
      <c r="AB3199" s="6">
        <v>0</v>
      </c>
      <c r="AC3199" s="6" t="str">
        <f>""</f>
        <v/>
      </c>
      <c r="AS3199" s="6">
        <v>0</v>
      </c>
      <c r="AT3199" s="6">
        <v>0</v>
      </c>
    </row>
    <row r="3200" spans="2:46">
      <c r="B3200" s="6" t="s">
        <v>114</v>
      </c>
      <c r="D3200" s="6" t="s">
        <v>13131</v>
      </c>
      <c r="F3200" s="6" t="s">
        <v>13276</v>
      </c>
      <c r="G3200" s="6" t="str">
        <f>"2000000010311"</f>
        <v>2000000010311</v>
      </c>
      <c r="H3200" s="6">
        <v>2000000010311</v>
      </c>
      <c r="I3200" s="6" t="s">
        <v>13277</v>
      </c>
      <c r="J3200" s="6" t="str">
        <f>"Monaco BlackIvory KDK00550BI"</f>
        <v>Monaco BlackIvory KDK00550BI</v>
      </c>
      <c r="K3200" s="6">
        <v>0</v>
      </c>
      <c r="L3200" s="6">
        <v>0</v>
      </c>
      <c r="M3200" s="6">
        <v>0</v>
      </c>
      <c r="N3200" s="6" t="str">
        <f>""</f>
        <v/>
      </c>
      <c r="O3200" s="6">
        <v>23508</v>
      </c>
      <c r="P3200" s="6" t="s">
        <v>13278</v>
      </c>
      <c r="R3200" s="6" t="s">
        <v>13279</v>
      </c>
      <c r="S3200" s="6" t="s">
        <v>13280</v>
      </c>
      <c r="T3200" s="6">
        <v>0</v>
      </c>
      <c r="U3200" s="6">
        <v>0</v>
      </c>
      <c r="V3200" s="6">
        <v>0</v>
      </c>
      <c r="W3200" s="6">
        <v>0</v>
      </c>
      <c r="X3200" s="6" t="s">
        <v>169</v>
      </c>
      <c r="Z3200" s="6" t="s">
        <v>170</v>
      </c>
      <c r="AA3200" s="6" t="s">
        <v>171</v>
      </c>
      <c r="AB3200" s="6">
        <v>0</v>
      </c>
      <c r="AC3200" s="6" t="str">
        <f>""</f>
        <v/>
      </c>
      <c r="AS3200" s="6">
        <v>0</v>
      </c>
      <c r="AT3200" s="6">
        <v>0</v>
      </c>
    </row>
    <row r="3201" spans="2:46">
      <c r="B3201" s="6" t="s">
        <v>114</v>
      </c>
      <c r="D3201" s="6" t="s">
        <v>13131</v>
      </c>
      <c r="F3201" s="6" t="s">
        <v>13281</v>
      </c>
      <c r="G3201" s="6" t="str">
        <f>"2000000004587"</f>
        <v>2000000004587</v>
      </c>
      <c r="H3201" s="6">
        <v>2000000004587</v>
      </c>
      <c r="I3201" s="6" t="s">
        <v>13282</v>
      </c>
      <c r="J3201" s="6" t="str">
        <f>"Modi Brown YJS00510BR"</f>
        <v>Modi Brown YJS00510BR</v>
      </c>
      <c r="K3201" s="6">
        <v>0</v>
      </c>
      <c r="L3201" s="6">
        <v>0</v>
      </c>
      <c r="M3201" s="6">
        <v>0</v>
      </c>
      <c r="N3201" s="6" t="str">
        <f>""</f>
        <v/>
      </c>
      <c r="O3201" s="6">
        <v>23506</v>
      </c>
      <c r="P3201" s="6" t="s">
        <v>13283</v>
      </c>
      <c r="R3201" s="6" t="s">
        <v>13204</v>
      </c>
      <c r="S3201" s="6" t="s">
        <v>13284</v>
      </c>
      <c r="T3201" s="6">
        <v>0</v>
      </c>
      <c r="U3201" s="6">
        <v>0</v>
      </c>
      <c r="V3201" s="6">
        <v>0</v>
      </c>
      <c r="W3201" s="6">
        <v>0</v>
      </c>
      <c r="X3201" s="6" t="s">
        <v>169</v>
      </c>
      <c r="Z3201" s="6" t="s">
        <v>170</v>
      </c>
      <c r="AA3201" s="6" t="s">
        <v>171</v>
      </c>
      <c r="AB3201" s="6">
        <v>0</v>
      </c>
      <c r="AC3201" s="6" t="str">
        <f>""</f>
        <v/>
      </c>
      <c r="AS3201" s="6">
        <v>0</v>
      </c>
      <c r="AT3201" s="6">
        <v>0</v>
      </c>
    </row>
    <row r="3202" spans="2:46">
      <c r="B3202" s="6" t="s">
        <v>114</v>
      </c>
      <c r="D3202" s="6" t="s">
        <v>13131</v>
      </c>
      <c r="F3202" s="6" t="s">
        <v>13285</v>
      </c>
      <c r="G3202" s="6" t="str">
        <f>"2000000004570"</f>
        <v>2000000004570</v>
      </c>
      <c r="H3202" s="6">
        <v>2000000004570</v>
      </c>
      <c r="I3202" s="6" t="s">
        <v>13286</v>
      </c>
      <c r="J3202" s="6" t="str">
        <f>"Modi Burgundy YJS00510BU"</f>
        <v>Modi Burgundy YJS00510BU</v>
      </c>
      <c r="K3202" s="6">
        <v>0</v>
      </c>
      <c r="L3202" s="6">
        <v>0</v>
      </c>
      <c r="M3202" s="6">
        <v>0</v>
      </c>
      <c r="N3202" s="6" t="str">
        <f>""</f>
        <v/>
      </c>
      <c r="O3202" s="6">
        <v>23504</v>
      </c>
      <c r="P3202" s="6" t="s">
        <v>13287</v>
      </c>
      <c r="R3202" s="6" t="s">
        <v>13111</v>
      </c>
      <c r="S3202" s="6" t="s">
        <v>13288</v>
      </c>
      <c r="T3202" s="6">
        <v>0</v>
      </c>
      <c r="U3202" s="6">
        <v>0</v>
      </c>
      <c r="V3202" s="6">
        <v>0</v>
      </c>
      <c r="W3202" s="6">
        <v>0</v>
      </c>
      <c r="X3202" s="6" t="s">
        <v>169</v>
      </c>
      <c r="Z3202" s="6" t="s">
        <v>170</v>
      </c>
      <c r="AA3202" s="6" t="s">
        <v>171</v>
      </c>
      <c r="AB3202" s="6">
        <v>0</v>
      </c>
      <c r="AC3202" s="6" t="str">
        <f>""</f>
        <v/>
      </c>
      <c r="AS3202" s="6">
        <v>0</v>
      </c>
      <c r="AT3202" s="6">
        <v>0</v>
      </c>
    </row>
    <row r="3203" spans="2:46">
      <c r="B3203" s="6" t="s">
        <v>114</v>
      </c>
      <c r="D3203" s="6" t="s">
        <v>13131</v>
      </c>
      <c r="F3203" s="6" t="s">
        <v>13289</v>
      </c>
      <c r="G3203" s="6" t="str">
        <f>"2000000004556"</f>
        <v>2000000004556</v>
      </c>
      <c r="H3203" s="6">
        <v>2000000004556</v>
      </c>
      <c r="I3203" s="6" t="s">
        <v>13290</v>
      </c>
      <c r="J3203" s="6" t="str">
        <f>"Modi Navy YJS00510NV"</f>
        <v>Modi Navy YJS00510NV</v>
      </c>
      <c r="K3203" s="6">
        <v>0</v>
      </c>
      <c r="L3203" s="6">
        <v>0</v>
      </c>
      <c r="M3203" s="6">
        <v>0</v>
      </c>
      <c r="N3203" s="6" t="str">
        <f>""</f>
        <v/>
      </c>
      <c r="O3203" s="6">
        <v>23502</v>
      </c>
      <c r="P3203" s="6" t="s">
        <v>13291</v>
      </c>
      <c r="R3203" s="6" t="s">
        <v>2729</v>
      </c>
      <c r="S3203" s="6" t="s">
        <v>13292</v>
      </c>
      <c r="T3203" s="6">
        <v>0</v>
      </c>
      <c r="U3203" s="6">
        <v>0</v>
      </c>
      <c r="V3203" s="6">
        <v>0</v>
      </c>
      <c r="W3203" s="6">
        <v>0</v>
      </c>
      <c r="X3203" s="6" t="s">
        <v>169</v>
      </c>
      <c r="Z3203" s="6" t="s">
        <v>170</v>
      </c>
      <c r="AA3203" s="6" t="s">
        <v>171</v>
      </c>
      <c r="AB3203" s="6">
        <v>0</v>
      </c>
      <c r="AC3203" s="6" t="str">
        <f>""</f>
        <v/>
      </c>
      <c r="AS3203" s="6">
        <v>0</v>
      </c>
      <c r="AT3203" s="6">
        <v>0</v>
      </c>
    </row>
    <row r="3204" spans="2:46">
      <c r="B3204" s="6" t="s">
        <v>114</v>
      </c>
      <c r="D3204" s="6" t="s">
        <v>13131</v>
      </c>
      <c r="F3204" s="6" t="s">
        <v>13293</v>
      </c>
      <c r="G3204" s="6" t="str">
        <f>"2000000004563"</f>
        <v>2000000004563</v>
      </c>
      <c r="H3204" s="6">
        <v>2000000004563</v>
      </c>
      <c r="I3204" s="6" t="s">
        <v>13294</v>
      </c>
      <c r="J3204" s="6" t="str">
        <f>"Modi Gray YJS00510GY"</f>
        <v>Modi Gray YJS00510GY</v>
      </c>
      <c r="K3204" s="6">
        <v>0</v>
      </c>
      <c r="L3204" s="6">
        <v>0</v>
      </c>
      <c r="M3204" s="6">
        <v>0</v>
      </c>
      <c r="N3204" s="6" t="str">
        <f>""</f>
        <v/>
      </c>
      <c r="O3204" s="6">
        <v>23500</v>
      </c>
      <c r="P3204" s="6" t="s">
        <v>13295</v>
      </c>
      <c r="R3204" s="6" t="s">
        <v>10058</v>
      </c>
      <c r="S3204" s="6" t="s">
        <v>13296</v>
      </c>
      <c r="T3204" s="6">
        <v>0</v>
      </c>
      <c r="U3204" s="6">
        <v>0</v>
      </c>
      <c r="V3204" s="6">
        <v>0</v>
      </c>
      <c r="W3204" s="6">
        <v>0</v>
      </c>
      <c r="X3204" s="6" t="s">
        <v>169</v>
      </c>
      <c r="Z3204" s="6" t="s">
        <v>170</v>
      </c>
      <c r="AA3204" s="6" t="s">
        <v>171</v>
      </c>
      <c r="AB3204" s="6">
        <v>0</v>
      </c>
      <c r="AC3204" s="6" t="str">
        <f>""</f>
        <v/>
      </c>
      <c r="AS3204" s="6">
        <v>0</v>
      </c>
      <c r="AT3204" s="6">
        <v>0</v>
      </c>
    </row>
    <row r="3205" spans="2:46">
      <c r="B3205" s="6" t="s">
        <v>114</v>
      </c>
      <c r="D3205" s="6" t="s">
        <v>13131</v>
      </c>
      <c r="F3205" s="6" t="s">
        <v>13297</v>
      </c>
      <c r="G3205" s="6" t="str">
        <f>"2000000004549"</f>
        <v>2000000004549</v>
      </c>
      <c r="H3205" s="6">
        <v>2000000004549</v>
      </c>
      <c r="I3205" s="6" t="s">
        <v>13298</v>
      </c>
      <c r="J3205" s="6" t="str">
        <f>"Modi Black YJS00510BK"</f>
        <v>Modi Black YJS00510BK</v>
      </c>
      <c r="K3205" s="6">
        <v>0</v>
      </c>
      <c r="L3205" s="6">
        <v>0</v>
      </c>
      <c r="M3205" s="6">
        <v>0</v>
      </c>
      <c r="N3205" s="6" t="str">
        <f>""</f>
        <v/>
      </c>
      <c r="O3205" s="6">
        <v>23498</v>
      </c>
      <c r="P3205" s="6" t="s">
        <v>13299</v>
      </c>
      <c r="R3205" s="6" t="s">
        <v>13124</v>
      </c>
      <c r="S3205" s="6" t="s">
        <v>13300</v>
      </c>
      <c r="T3205" s="6">
        <v>0</v>
      </c>
      <c r="U3205" s="6">
        <v>0</v>
      </c>
      <c r="V3205" s="6">
        <v>0</v>
      </c>
      <c r="W3205" s="6">
        <v>0</v>
      </c>
      <c r="X3205" s="6" t="s">
        <v>169</v>
      </c>
      <c r="Z3205" s="6" t="s">
        <v>170</v>
      </c>
      <c r="AA3205" s="6" t="s">
        <v>171</v>
      </c>
      <c r="AB3205" s="6">
        <v>0</v>
      </c>
      <c r="AC3205" s="6" t="str">
        <f>""</f>
        <v/>
      </c>
      <c r="AS3205" s="6">
        <v>0</v>
      </c>
      <c r="AT3205" s="6">
        <v>0</v>
      </c>
    </row>
    <row r="3206" spans="2:46">
      <c r="B3206" s="6" t="s">
        <v>114</v>
      </c>
      <c r="D3206" s="6" t="s">
        <v>13131</v>
      </c>
      <c r="F3206" s="6" t="s">
        <v>13301</v>
      </c>
      <c r="G3206" s="6" t="str">
        <f>"2000000007489"</f>
        <v>2000000007489</v>
      </c>
      <c r="H3206" s="6">
        <v>2000000007489</v>
      </c>
      <c r="I3206" s="6" t="s">
        <v>13302</v>
      </c>
      <c r="J3206" s="6" t="str">
        <f>"Kenzi Beige KJS00522BG"</f>
        <v>Kenzi Beige KJS00522BG</v>
      </c>
      <c r="K3206" s="6">
        <v>0</v>
      </c>
      <c r="L3206" s="6">
        <v>0</v>
      </c>
      <c r="M3206" s="6">
        <v>0</v>
      </c>
      <c r="N3206" s="6" t="str">
        <f>""</f>
        <v/>
      </c>
      <c r="O3206" s="6">
        <v>23496</v>
      </c>
      <c r="P3206" s="6" t="s">
        <v>13303</v>
      </c>
      <c r="R3206" s="6" t="s">
        <v>10063</v>
      </c>
      <c r="S3206" s="6" t="s">
        <v>13304</v>
      </c>
      <c r="T3206" s="6">
        <v>0</v>
      </c>
      <c r="U3206" s="6">
        <v>0</v>
      </c>
      <c r="V3206" s="6">
        <v>0</v>
      </c>
      <c r="W3206" s="6">
        <v>0</v>
      </c>
      <c r="X3206" s="6" t="s">
        <v>169</v>
      </c>
      <c r="Z3206" s="6" t="s">
        <v>170</v>
      </c>
      <c r="AA3206" s="6" t="s">
        <v>171</v>
      </c>
      <c r="AB3206" s="6">
        <v>0</v>
      </c>
      <c r="AC3206" s="6" t="str">
        <f>""</f>
        <v/>
      </c>
      <c r="AS3206" s="6">
        <v>0</v>
      </c>
      <c r="AT3206" s="6">
        <v>0</v>
      </c>
    </row>
    <row r="3207" spans="2:46">
      <c r="B3207" s="6" t="s">
        <v>114</v>
      </c>
      <c r="D3207" s="6" t="s">
        <v>13131</v>
      </c>
      <c r="F3207" s="6" t="s">
        <v>13305</v>
      </c>
      <c r="G3207" s="6" t="str">
        <f>"2000000007472"</f>
        <v>2000000007472</v>
      </c>
      <c r="H3207" s="6">
        <v>2000000007472</v>
      </c>
      <c r="I3207" s="6" t="s">
        <v>13306</v>
      </c>
      <c r="J3207" s="6" t="str">
        <f>"Kenzi Indy Pink KJS00522IP"</f>
        <v>Kenzi Indy Pink KJS00522IP</v>
      </c>
      <c r="K3207" s="6">
        <v>0</v>
      </c>
      <c r="L3207" s="6">
        <v>0</v>
      </c>
      <c r="M3207" s="6">
        <v>0</v>
      </c>
      <c r="N3207" s="6" t="str">
        <f>""</f>
        <v/>
      </c>
      <c r="O3207" s="6">
        <v>23494</v>
      </c>
      <c r="P3207" s="6" t="s">
        <v>13307</v>
      </c>
      <c r="R3207" s="6" t="s">
        <v>13153</v>
      </c>
      <c r="S3207" s="6" t="s">
        <v>13308</v>
      </c>
      <c r="T3207" s="6">
        <v>0</v>
      </c>
      <c r="U3207" s="6">
        <v>0</v>
      </c>
      <c r="V3207" s="6">
        <v>0</v>
      </c>
      <c r="W3207" s="6">
        <v>0</v>
      </c>
      <c r="X3207" s="6" t="s">
        <v>169</v>
      </c>
      <c r="Z3207" s="6" t="s">
        <v>170</v>
      </c>
      <c r="AA3207" s="6" t="s">
        <v>171</v>
      </c>
      <c r="AB3207" s="6">
        <v>0</v>
      </c>
      <c r="AC3207" s="6" t="str">
        <f>""</f>
        <v/>
      </c>
      <c r="AS3207" s="6">
        <v>0</v>
      </c>
      <c r="AT3207" s="6">
        <v>0</v>
      </c>
    </row>
    <row r="3208" spans="2:46">
      <c r="B3208" s="6" t="s">
        <v>114</v>
      </c>
      <c r="D3208" s="6" t="s">
        <v>13131</v>
      </c>
      <c r="F3208" s="6" t="s">
        <v>13309</v>
      </c>
      <c r="G3208" s="6" t="str">
        <f>"2000000007496"</f>
        <v>2000000007496</v>
      </c>
      <c r="H3208" s="6">
        <v>2000000007496</v>
      </c>
      <c r="I3208" s="6" t="s">
        <v>13310</v>
      </c>
      <c r="J3208" s="6" t="str">
        <f>"Kenzi Light Gray KJS00522LG"</f>
        <v>Kenzi Light Gray KJS00522LG</v>
      </c>
      <c r="K3208" s="6">
        <v>0</v>
      </c>
      <c r="L3208" s="6">
        <v>0</v>
      </c>
      <c r="M3208" s="6">
        <v>0</v>
      </c>
      <c r="N3208" s="6" t="str">
        <f>""</f>
        <v/>
      </c>
      <c r="O3208" s="6">
        <v>23492</v>
      </c>
      <c r="P3208" s="6" t="s">
        <v>13311</v>
      </c>
      <c r="R3208" s="6" t="s">
        <v>13312</v>
      </c>
      <c r="S3208" s="6" t="s">
        <v>13313</v>
      </c>
      <c r="T3208" s="6">
        <v>0</v>
      </c>
      <c r="U3208" s="6">
        <v>0</v>
      </c>
      <c r="V3208" s="6">
        <v>0</v>
      </c>
      <c r="W3208" s="6">
        <v>0</v>
      </c>
      <c r="X3208" s="6" t="s">
        <v>169</v>
      </c>
      <c r="Z3208" s="6" t="s">
        <v>170</v>
      </c>
      <c r="AA3208" s="6" t="s">
        <v>171</v>
      </c>
      <c r="AB3208" s="6">
        <v>0</v>
      </c>
      <c r="AC3208" s="6" t="str">
        <f>""</f>
        <v/>
      </c>
      <c r="AS3208" s="6">
        <v>0</v>
      </c>
      <c r="AT3208" s="6">
        <v>0</v>
      </c>
    </row>
    <row r="3209" spans="2:46">
      <c r="B3209" s="6" t="s">
        <v>114</v>
      </c>
      <c r="D3209" s="6" t="s">
        <v>13131</v>
      </c>
      <c r="F3209" s="6" t="s">
        <v>13314</v>
      </c>
      <c r="G3209" s="6" t="str">
        <f>"2000000007465"</f>
        <v>2000000007465</v>
      </c>
      <c r="H3209" s="6">
        <v>2000000007465</v>
      </c>
      <c r="I3209" s="6" t="s">
        <v>13315</v>
      </c>
      <c r="J3209" s="6" t="str">
        <f>"Kenzi black KJS00522BK"</f>
        <v>Kenzi black KJS00522BK</v>
      </c>
      <c r="K3209" s="6">
        <v>0</v>
      </c>
      <c r="L3209" s="6">
        <v>0</v>
      </c>
      <c r="M3209" s="6">
        <v>0</v>
      </c>
      <c r="N3209" s="6" t="str">
        <f>""</f>
        <v/>
      </c>
      <c r="O3209" s="6">
        <v>23490</v>
      </c>
      <c r="P3209" s="6" t="s">
        <v>13316</v>
      </c>
      <c r="R3209" s="6" t="s">
        <v>13317</v>
      </c>
      <c r="S3209" s="6" t="s">
        <v>13318</v>
      </c>
      <c r="T3209" s="6">
        <v>0</v>
      </c>
      <c r="U3209" s="6">
        <v>0</v>
      </c>
      <c r="V3209" s="6">
        <v>0</v>
      </c>
      <c r="W3209" s="6">
        <v>0</v>
      </c>
      <c r="X3209" s="6" t="s">
        <v>169</v>
      </c>
      <c r="Z3209" s="6" t="s">
        <v>170</v>
      </c>
      <c r="AA3209" s="6" t="s">
        <v>171</v>
      </c>
      <c r="AB3209" s="6">
        <v>0</v>
      </c>
      <c r="AC3209" s="6" t="str">
        <f>""</f>
        <v/>
      </c>
      <c r="AS3209" s="6">
        <v>0</v>
      </c>
      <c r="AT3209" s="6">
        <v>0</v>
      </c>
    </row>
    <row r="3210" spans="2:46">
      <c r="B3210" s="6" t="s">
        <v>114</v>
      </c>
      <c r="D3210" s="6" t="s">
        <v>13131</v>
      </c>
      <c r="F3210" s="6" t="s">
        <v>13319</v>
      </c>
      <c r="G3210" s="6" t="str">
        <f>"2000000002637"</f>
        <v>2000000002637</v>
      </c>
      <c r="H3210" s="6">
        <v>2000000002637</v>
      </c>
      <c r="I3210" s="6" t="s">
        <v>13320</v>
      </c>
      <c r="J3210" s="6" t="str">
        <f>"Josh Opal PHK00487OP"</f>
        <v>Josh Opal PHK00487OP</v>
      </c>
      <c r="K3210" s="6">
        <v>0</v>
      </c>
      <c r="L3210" s="6">
        <v>0</v>
      </c>
      <c r="M3210" s="6">
        <v>0</v>
      </c>
      <c r="N3210" s="6" t="str">
        <f>""</f>
        <v/>
      </c>
      <c r="O3210" s="6">
        <v>23488</v>
      </c>
      <c r="P3210" s="6" t="s">
        <v>13321</v>
      </c>
      <c r="R3210" s="6" t="s">
        <v>13181</v>
      </c>
      <c r="S3210" s="6" t="s">
        <v>13322</v>
      </c>
      <c r="T3210" s="6">
        <v>0</v>
      </c>
      <c r="U3210" s="6">
        <v>0</v>
      </c>
      <c r="V3210" s="6">
        <v>0</v>
      </c>
      <c r="W3210" s="6">
        <v>0</v>
      </c>
      <c r="X3210" s="6" t="s">
        <v>169</v>
      </c>
      <c r="Z3210" s="6" t="s">
        <v>170</v>
      </c>
      <c r="AA3210" s="6" t="s">
        <v>171</v>
      </c>
      <c r="AB3210" s="6">
        <v>0</v>
      </c>
      <c r="AC3210" s="6" t="str">
        <f>""</f>
        <v/>
      </c>
      <c r="AS3210" s="6">
        <v>0</v>
      </c>
      <c r="AT3210" s="6">
        <v>0</v>
      </c>
    </row>
    <row r="3211" spans="2:46">
      <c r="B3211" s="6" t="s">
        <v>114</v>
      </c>
      <c r="D3211" s="6" t="s">
        <v>13131</v>
      </c>
      <c r="F3211" s="6" t="s">
        <v>13323</v>
      </c>
      <c r="G3211" s="6" t="str">
        <f>"2000000002651"</f>
        <v>2000000002651</v>
      </c>
      <c r="H3211" s="6">
        <v>2000000002651</v>
      </c>
      <c r="I3211" s="6" t="s">
        <v>13324</v>
      </c>
      <c r="J3211" s="6" t="str">
        <f>"Josh Bronze PHK00487BZ"</f>
        <v>Josh Bronze PHK00487BZ</v>
      </c>
      <c r="K3211" s="6">
        <v>0</v>
      </c>
      <c r="L3211" s="6">
        <v>0</v>
      </c>
      <c r="M3211" s="6">
        <v>0</v>
      </c>
      <c r="N3211" s="6" t="str">
        <f>""</f>
        <v/>
      </c>
      <c r="O3211" s="6">
        <v>23486</v>
      </c>
      <c r="P3211" s="6" t="s">
        <v>13325</v>
      </c>
      <c r="R3211" s="6" t="s">
        <v>13186</v>
      </c>
      <c r="S3211" s="6" t="s">
        <v>13326</v>
      </c>
      <c r="T3211" s="6">
        <v>0</v>
      </c>
      <c r="U3211" s="6">
        <v>0</v>
      </c>
      <c r="V3211" s="6">
        <v>0</v>
      </c>
      <c r="W3211" s="6">
        <v>0</v>
      </c>
      <c r="X3211" s="6" t="s">
        <v>169</v>
      </c>
      <c r="Z3211" s="6" t="s">
        <v>170</v>
      </c>
      <c r="AA3211" s="6" t="s">
        <v>171</v>
      </c>
      <c r="AB3211" s="6">
        <v>0</v>
      </c>
      <c r="AC3211" s="6" t="str">
        <f>""</f>
        <v/>
      </c>
      <c r="AS3211" s="6">
        <v>0</v>
      </c>
      <c r="AT3211" s="6">
        <v>0</v>
      </c>
    </row>
    <row r="3212" spans="2:46">
      <c r="B3212" s="6" t="s">
        <v>114</v>
      </c>
      <c r="D3212" s="6" t="s">
        <v>13131</v>
      </c>
      <c r="F3212" s="6" t="s">
        <v>13327</v>
      </c>
      <c r="G3212" s="6" t="str">
        <f>"2000000002644"</f>
        <v>2000000002644</v>
      </c>
      <c r="H3212" s="6">
        <v>2000000002644</v>
      </c>
      <c r="I3212" s="6" t="s">
        <v>13328</v>
      </c>
      <c r="J3212" s="6" t="str">
        <f>"Josh Black Silver PHK00487BS"</f>
        <v>Josh Black Silver PHK00487BS</v>
      </c>
      <c r="K3212" s="6">
        <v>0</v>
      </c>
      <c r="L3212" s="6">
        <v>0</v>
      </c>
      <c r="M3212" s="6">
        <v>0</v>
      </c>
      <c r="N3212" s="6" t="str">
        <f>""</f>
        <v/>
      </c>
      <c r="O3212" s="6">
        <v>23484</v>
      </c>
      <c r="P3212" s="6" t="s">
        <v>13329</v>
      </c>
      <c r="R3212" s="6" t="s">
        <v>13191</v>
      </c>
      <c r="S3212" s="6" t="s">
        <v>13330</v>
      </c>
      <c r="T3212" s="6">
        <v>0</v>
      </c>
      <c r="U3212" s="6">
        <v>0</v>
      </c>
      <c r="V3212" s="6">
        <v>0</v>
      </c>
      <c r="W3212" s="6">
        <v>0</v>
      </c>
      <c r="X3212" s="6" t="s">
        <v>169</v>
      </c>
      <c r="Z3212" s="6" t="s">
        <v>170</v>
      </c>
      <c r="AA3212" s="6" t="s">
        <v>171</v>
      </c>
      <c r="AB3212" s="6">
        <v>0</v>
      </c>
      <c r="AC3212" s="6" t="str">
        <f>""</f>
        <v/>
      </c>
      <c r="AS3212" s="6">
        <v>0</v>
      </c>
      <c r="AT3212" s="6">
        <v>0</v>
      </c>
    </row>
    <row r="3213" spans="2:46">
      <c r="B3213" s="6" t="s">
        <v>114</v>
      </c>
      <c r="D3213" s="6" t="s">
        <v>13131</v>
      </c>
      <c r="F3213" s="6" t="s">
        <v>13331</v>
      </c>
      <c r="G3213" s="6" t="str">
        <f>"2000000002668"</f>
        <v>2000000002668</v>
      </c>
      <c r="H3213" s="6">
        <v>2000000002668</v>
      </c>
      <c r="I3213" s="6" t="s">
        <v>13332</v>
      </c>
      <c r="J3213" s="6" t="str">
        <f>"Josh Blue PHK00487BL"</f>
        <v>Josh Blue PHK00487BL</v>
      </c>
      <c r="K3213" s="6">
        <v>0</v>
      </c>
      <c r="L3213" s="6">
        <v>0</v>
      </c>
      <c r="M3213" s="6">
        <v>0</v>
      </c>
      <c r="N3213" s="6" t="str">
        <f>""</f>
        <v/>
      </c>
      <c r="O3213" s="6">
        <v>23482</v>
      </c>
      <c r="P3213" s="6" t="s">
        <v>13333</v>
      </c>
      <c r="R3213" s="6" t="s">
        <v>13129</v>
      </c>
      <c r="S3213" s="6" t="s">
        <v>13334</v>
      </c>
      <c r="T3213" s="6">
        <v>0</v>
      </c>
      <c r="U3213" s="6">
        <v>0</v>
      </c>
      <c r="V3213" s="6">
        <v>0</v>
      </c>
      <c r="W3213" s="6">
        <v>0</v>
      </c>
      <c r="X3213" s="6" t="s">
        <v>169</v>
      </c>
      <c r="Z3213" s="6" t="s">
        <v>170</v>
      </c>
      <c r="AA3213" s="6" t="s">
        <v>171</v>
      </c>
      <c r="AB3213" s="6">
        <v>0</v>
      </c>
      <c r="AC3213" s="6" t="str">
        <f>""</f>
        <v/>
      </c>
      <c r="AS3213" s="6">
        <v>0</v>
      </c>
      <c r="AT3213" s="6">
        <v>0</v>
      </c>
    </row>
    <row r="3214" spans="2:46">
      <c r="B3214" s="6" t="s">
        <v>114</v>
      </c>
      <c r="D3214" s="6" t="s">
        <v>13131</v>
      </c>
      <c r="F3214" s="6" t="s">
        <v>13335</v>
      </c>
      <c r="G3214" s="6" t="str">
        <f>"2000000009698"</f>
        <v>2000000009698</v>
      </c>
      <c r="H3214" s="6">
        <v>2000000009698</v>
      </c>
      <c r="I3214" s="6" t="s">
        <v>13336</v>
      </c>
      <c r="J3214" s="6" t="str">
        <f>"Harry Black CMH00545BK"</f>
        <v>Harry Black CMH00545BK</v>
      </c>
      <c r="K3214" s="6">
        <v>0</v>
      </c>
      <c r="L3214" s="6">
        <v>0</v>
      </c>
      <c r="M3214" s="6">
        <v>0</v>
      </c>
      <c r="N3214" s="6" t="str">
        <f>""</f>
        <v/>
      </c>
      <c r="O3214" s="6">
        <v>23480</v>
      </c>
      <c r="P3214" s="6" t="s">
        <v>13337</v>
      </c>
      <c r="R3214" s="6" t="s">
        <v>13124</v>
      </c>
      <c r="S3214" s="6" t="s">
        <v>13338</v>
      </c>
      <c r="T3214" s="6">
        <v>0</v>
      </c>
      <c r="U3214" s="6">
        <v>0</v>
      </c>
      <c r="V3214" s="6">
        <v>0</v>
      </c>
      <c r="W3214" s="6">
        <v>0</v>
      </c>
      <c r="X3214" s="6" t="s">
        <v>169</v>
      </c>
      <c r="Z3214" s="6" t="s">
        <v>170</v>
      </c>
      <c r="AA3214" s="6" t="s">
        <v>171</v>
      </c>
      <c r="AB3214" s="6">
        <v>0</v>
      </c>
      <c r="AC3214" s="6" t="str">
        <f>""</f>
        <v/>
      </c>
      <c r="AS3214" s="6">
        <v>0</v>
      </c>
      <c r="AT3214" s="6">
        <v>0</v>
      </c>
    </row>
    <row r="3215" spans="2:46">
      <c r="B3215" s="6" t="s">
        <v>114</v>
      </c>
      <c r="D3215" s="6" t="s">
        <v>13131</v>
      </c>
      <c r="F3215" s="6" t="s">
        <v>13339</v>
      </c>
      <c r="G3215" s="6" t="str">
        <f>"2000000009728"</f>
        <v>2000000009728</v>
      </c>
      <c r="H3215" s="6">
        <v>2000000009728</v>
      </c>
      <c r="I3215" s="6" t="s">
        <v>13340</v>
      </c>
      <c r="J3215" s="6" t="str">
        <f>"Harry Beige CMH00545BG"</f>
        <v>Harry Beige CMH00545BG</v>
      </c>
      <c r="K3215" s="6">
        <v>0</v>
      </c>
      <c r="L3215" s="6">
        <v>0</v>
      </c>
      <c r="M3215" s="6">
        <v>0</v>
      </c>
      <c r="N3215" s="6" t="str">
        <f>""</f>
        <v/>
      </c>
      <c r="O3215" s="6">
        <v>23478</v>
      </c>
      <c r="P3215" s="6" t="s">
        <v>13341</v>
      </c>
      <c r="R3215" s="6" t="s">
        <v>10063</v>
      </c>
      <c r="S3215" s="6" t="s">
        <v>13342</v>
      </c>
      <c r="T3215" s="6">
        <v>0</v>
      </c>
      <c r="U3215" s="6">
        <v>0</v>
      </c>
      <c r="V3215" s="6">
        <v>0</v>
      </c>
      <c r="W3215" s="6">
        <v>0</v>
      </c>
      <c r="X3215" s="6" t="s">
        <v>169</v>
      </c>
      <c r="Z3215" s="6" t="s">
        <v>170</v>
      </c>
      <c r="AA3215" s="6" t="s">
        <v>171</v>
      </c>
      <c r="AB3215" s="6">
        <v>0</v>
      </c>
      <c r="AC3215" s="6" t="str">
        <f>""</f>
        <v/>
      </c>
      <c r="AS3215" s="6">
        <v>0</v>
      </c>
      <c r="AT3215" s="6">
        <v>0</v>
      </c>
    </row>
    <row r="3216" spans="2:46">
      <c r="B3216" s="6" t="s">
        <v>114</v>
      </c>
      <c r="D3216" s="6" t="s">
        <v>13131</v>
      </c>
      <c r="F3216" s="6" t="s">
        <v>13343</v>
      </c>
      <c r="G3216" s="6" t="str">
        <f>"2000000009704"</f>
        <v>2000000009704</v>
      </c>
      <c r="H3216" s="6">
        <v>2000000009704</v>
      </c>
      <c r="I3216" s="6" t="s">
        <v>13344</v>
      </c>
      <c r="J3216" s="6" t="str">
        <f>"Harry Indy Pink CMH00545IP"</f>
        <v>Harry Indy Pink CMH00545IP</v>
      </c>
      <c r="K3216" s="6">
        <v>0</v>
      </c>
      <c r="L3216" s="6">
        <v>0</v>
      </c>
      <c r="M3216" s="6">
        <v>0</v>
      </c>
      <c r="N3216" s="6" t="str">
        <f>""</f>
        <v/>
      </c>
      <c r="O3216" s="6">
        <v>23476</v>
      </c>
      <c r="P3216" s="6" t="s">
        <v>13345</v>
      </c>
      <c r="R3216" s="6" t="s">
        <v>13153</v>
      </c>
      <c r="S3216" s="6" t="s">
        <v>13346</v>
      </c>
      <c r="T3216" s="6">
        <v>0</v>
      </c>
      <c r="U3216" s="6">
        <v>0</v>
      </c>
      <c r="V3216" s="6">
        <v>0</v>
      </c>
      <c r="W3216" s="6">
        <v>0</v>
      </c>
      <c r="X3216" s="6" t="s">
        <v>169</v>
      </c>
      <c r="Z3216" s="6" t="s">
        <v>170</v>
      </c>
      <c r="AA3216" s="6" t="s">
        <v>171</v>
      </c>
      <c r="AB3216" s="6">
        <v>0</v>
      </c>
      <c r="AC3216" s="6" t="str">
        <f>""</f>
        <v/>
      </c>
      <c r="AS3216" s="6">
        <v>0</v>
      </c>
      <c r="AT3216" s="6">
        <v>0</v>
      </c>
    </row>
    <row r="3217" spans="2:46">
      <c r="B3217" s="6" t="s">
        <v>114</v>
      </c>
      <c r="D3217" s="6" t="s">
        <v>13131</v>
      </c>
      <c r="F3217" s="6" t="s">
        <v>13347</v>
      </c>
      <c r="G3217" s="6" t="str">
        <f>"2000000009711"</f>
        <v>2000000009711</v>
      </c>
      <c r="H3217" s="6">
        <v>2000000009711</v>
      </c>
      <c r="I3217" s="6" t="s">
        <v>13348</v>
      </c>
      <c r="J3217" s="6" t="str">
        <f>"Harry Ivory CMH00545IV"</f>
        <v>Harry Ivory CMH00545IV</v>
      </c>
      <c r="K3217" s="6">
        <v>0</v>
      </c>
      <c r="L3217" s="6">
        <v>0</v>
      </c>
      <c r="M3217" s="6">
        <v>0</v>
      </c>
      <c r="N3217" s="6" t="str">
        <f>""</f>
        <v/>
      </c>
      <c r="O3217" s="6">
        <v>23474</v>
      </c>
      <c r="P3217" s="6" t="s">
        <v>13349</v>
      </c>
      <c r="R3217" s="6" t="s">
        <v>13144</v>
      </c>
      <c r="S3217" s="6" t="s">
        <v>13350</v>
      </c>
      <c r="T3217" s="6">
        <v>0</v>
      </c>
      <c r="U3217" s="6">
        <v>0</v>
      </c>
      <c r="V3217" s="6">
        <v>0</v>
      </c>
      <c r="W3217" s="6">
        <v>0</v>
      </c>
      <c r="X3217" s="6" t="s">
        <v>169</v>
      </c>
      <c r="Z3217" s="6" t="s">
        <v>170</v>
      </c>
      <c r="AA3217" s="6" t="s">
        <v>171</v>
      </c>
      <c r="AB3217" s="6">
        <v>0</v>
      </c>
      <c r="AC3217" s="6" t="str">
        <f>""</f>
        <v/>
      </c>
      <c r="AS3217" s="6">
        <v>0</v>
      </c>
      <c r="AT3217" s="6">
        <v>0</v>
      </c>
    </row>
    <row r="3218" spans="2:46">
      <c r="B3218" s="6" t="s">
        <v>114</v>
      </c>
      <c r="D3218" s="6" t="s">
        <v>13131</v>
      </c>
      <c r="F3218" s="6" t="s">
        <v>13351</v>
      </c>
      <c r="G3218" s="6" t="str">
        <f>"2000000010304"</f>
        <v>2000000010304</v>
      </c>
      <c r="H3218" s="6">
        <v>2000000010304</v>
      </c>
      <c r="I3218" s="6" t="s">
        <v>13352</v>
      </c>
      <c r="J3218" s="6" t="str">
        <f>"Demont BlackIvory KDK00549BI"</f>
        <v>Demont BlackIvory KDK00549BI</v>
      </c>
      <c r="K3218" s="6">
        <v>0</v>
      </c>
      <c r="L3218" s="6">
        <v>0</v>
      </c>
      <c r="M3218" s="6">
        <v>0</v>
      </c>
      <c r="N3218" s="6" t="str">
        <f>""</f>
        <v/>
      </c>
      <c r="O3218" s="6">
        <v>23472</v>
      </c>
      <c r="P3218" s="6" t="s">
        <v>13353</v>
      </c>
      <c r="R3218" s="6" t="s">
        <v>13279</v>
      </c>
      <c r="S3218" s="6" t="s">
        <v>13354</v>
      </c>
      <c r="T3218" s="6">
        <v>0</v>
      </c>
      <c r="U3218" s="6">
        <v>0</v>
      </c>
      <c r="V3218" s="6">
        <v>0</v>
      </c>
      <c r="W3218" s="6">
        <v>0</v>
      </c>
      <c r="X3218" s="6" t="s">
        <v>169</v>
      </c>
      <c r="Z3218" s="6" t="s">
        <v>170</v>
      </c>
      <c r="AA3218" s="6" t="s">
        <v>171</v>
      </c>
      <c r="AB3218" s="6">
        <v>0</v>
      </c>
      <c r="AC3218" s="6" t="str">
        <f>""</f>
        <v/>
      </c>
      <c r="AS3218" s="6">
        <v>0</v>
      </c>
      <c r="AT3218" s="6">
        <v>0</v>
      </c>
    </row>
    <row r="3219" spans="2:46">
      <c r="B3219" s="6" t="s">
        <v>114</v>
      </c>
      <c r="D3219" s="6" t="s">
        <v>13131</v>
      </c>
      <c r="F3219" s="6" t="s">
        <v>13355</v>
      </c>
      <c r="G3219" s="6" t="str">
        <f>"2000000006642"</f>
        <v>2000000006642</v>
      </c>
      <c r="H3219" s="6">
        <v>2000000006642</v>
      </c>
      <c r="I3219" s="6" t="s">
        <v>13356</v>
      </c>
      <c r="J3219" s="6" t="str">
        <f>"Dean Black ACC00001BK"</f>
        <v>Dean Black ACC00001BK</v>
      </c>
      <c r="K3219" s="6">
        <v>0</v>
      </c>
      <c r="L3219" s="6">
        <v>0</v>
      </c>
      <c r="M3219" s="6">
        <v>0</v>
      </c>
      <c r="N3219" s="6" t="str">
        <f>""</f>
        <v/>
      </c>
      <c r="O3219" s="6">
        <v>23470</v>
      </c>
      <c r="P3219" s="6" t="s">
        <v>13357</v>
      </c>
      <c r="R3219" s="6" t="s">
        <v>13124</v>
      </c>
      <c r="S3219" s="6" t="s">
        <v>13358</v>
      </c>
      <c r="T3219" s="6">
        <v>0</v>
      </c>
      <c r="U3219" s="6">
        <v>0</v>
      </c>
      <c r="V3219" s="6">
        <v>0</v>
      </c>
      <c r="W3219" s="6">
        <v>0</v>
      </c>
      <c r="X3219" s="6" t="s">
        <v>169</v>
      </c>
      <c r="Z3219" s="6" t="s">
        <v>170</v>
      </c>
      <c r="AA3219" s="6" t="s">
        <v>171</v>
      </c>
      <c r="AB3219" s="6">
        <v>0</v>
      </c>
      <c r="AC3219" s="6" t="str">
        <f>""</f>
        <v/>
      </c>
      <c r="AS3219" s="6">
        <v>0</v>
      </c>
      <c r="AT3219" s="6">
        <v>0</v>
      </c>
    </row>
    <row r="3220" spans="2:46">
      <c r="B3220" s="6" t="s">
        <v>114</v>
      </c>
      <c r="D3220" s="6" t="s">
        <v>13131</v>
      </c>
      <c r="F3220" s="6" t="s">
        <v>13359</v>
      </c>
      <c r="G3220" s="6" t="str">
        <f>"2000000006703"</f>
        <v>2000000006703</v>
      </c>
      <c r="H3220" s="6">
        <v>2000000006703</v>
      </c>
      <c r="I3220" s="6" t="s">
        <v>13360</v>
      </c>
      <c r="J3220" s="6" t="str">
        <f>"Dean Navy ACC00001NV"</f>
        <v>Dean Navy ACC00001NV</v>
      </c>
      <c r="K3220" s="6">
        <v>0</v>
      </c>
      <c r="L3220" s="6">
        <v>0</v>
      </c>
      <c r="M3220" s="6">
        <v>0</v>
      </c>
      <c r="N3220" s="6" t="str">
        <f>""</f>
        <v/>
      </c>
      <c r="O3220" s="6">
        <v>23468</v>
      </c>
      <c r="P3220" s="6" t="s">
        <v>13361</v>
      </c>
      <c r="R3220" s="6" t="s">
        <v>2729</v>
      </c>
      <c r="S3220" s="6" t="s">
        <v>13362</v>
      </c>
      <c r="T3220" s="6">
        <v>0</v>
      </c>
      <c r="U3220" s="6">
        <v>0</v>
      </c>
      <c r="V3220" s="6">
        <v>0</v>
      </c>
      <c r="W3220" s="6">
        <v>0</v>
      </c>
      <c r="X3220" s="6" t="s">
        <v>169</v>
      </c>
      <c r="Z3220" s="6" t="s">
        <v>170</v>
      </c>
      <c r="AA3220" s="6" t="s">
        <v>171</v>
      </c>
      <c r="AB3220" s="6">
        <v>0</v>
      </c>
      <c r="AC3220" s="6" t="str">
        <f>""</f>
        <v/>
      </c>
      <c r="AS3220" s="6">
        <v>0</v>
      </c>
      <c r="AT3220" s="6">
        <v>0</v>
      </c>
    </row>
    <row r="3221" spans="2:46">
      <c r="B3221" s="6" t="s">
        <v>114</v>
      </c>
      <c r="D3221" s="6" t="s">
        <v>13131</v>
      </c>
      <c r="F3221" s="6" t="s">
        <v>13363</v>
      </c>
      <c r="G3221" s="6" t="str">
        <f>"2000000006697"</f>
        <v>2000000006697</v>
      </c>
      <c r="H3221" s="6">
        <v>2000000006697</v>
      </c>
      <c r="I3221" s="6" t="s">
        <v>13364</v>
      </c>
      <c r="J3221" s="6" t="str">
        <f>"Dean Red ACC00001RD"</f>
        <v>Dean Red ACC00001RD</v>
      </c>
      <c r="K3221" s="6">
        <v>0</v>
      </c>
      <c r="L3221" s="6">
        <v>0</v>
      </c>
      <c r="M3221" s="6">
        <v>0</v>
      </c>
      <c r="N3221" s="6" t="str">
        <f>""</f>
        <v/>
      </c>
      <c r="O3221" s="6">
        <v>23466</v>
      </c>
      <c r="P3221" s="6" t="s">
        <v>13365</v>
      </c>
      <c r="R3221" s="6" t="s">
        <v>13158</v>
      </c>
      <c r="S3221" s="6" t="s">
        <v>13366</v>
      </c>
      <c r="T3221" s="6">
        <v>0</v>
      </c>
      <c r="U3221" s="6">
        <v>0</v>
      </c>
      <c r="V3221" s="6">
        <v>0</v>
      </c>
      <c r="W3221" s="6">
        <v>0</v>
      </c>
      <c r="X3221" s="6" t="s">
        <v>169</v>
      </c>
      <c r="Z3221" s="6" t="s">
        <v>170</v>
      </c>
      <c r="AA3221" s="6" t="s">
        <v>171</v>
      </c>
      <c r="AB3221" s="6">
        <v>0</v>
      </c>
      <c r="AC3221" s="6" t="str">
        <f>""</f>
        <v/>
      </c>
      <c r="AS3221" s="6">
        <v>0</v>
      </c>
      <c r="AT3221" s="6">
        <v>0</v>
      </c>
    </row>
    <row r="3222" spans="2:46">
      <c r="B3222" s="6" t="s">
        <v>114</v>
      </c>
      <c r="D3222" s="6" t="s">
        <v>13131</v>
      </c>
      <c r="F3222" s="6" t="s">
        <v>13367</v>
      </c>
      <c r="G3222" s="6" t="str">
        <f>"2000000006680"</f>
        <v>2000000006680</v>
      </c>
      <c r="H3222" s="6">
        <v>2000000006680</v>
      </c>
      <c r="I3222" s="6" t="s">
        <v>13368</v>
      </c>
      <c r="J3222" s="6" t="str">
        <f>"Dean Orange ACC00001OR"</f>
        <v>Dean Orange ACC00001OR</v>
      </c>
      <c r="K3222" s="6">
        <v>0</v>
      </c>
      <c r="L3222" s="6">
        <v>0</v>
      </c>
      <c r="M3222" s="6">
        <v>0</v>
      </c>
      <c r="N3222" s="6" t="str">
        <f>""</f>
        <v/>
      </c>
      <c r="O3222" s="6">
        <v>23464</v>
      </c>
      <c r="P3222" s="6" t="s">
        <v>13369</v>
      </c>
      <c r="R3222" s="6" t="s">
        <v>13370</v>
      </c>
      <c r="S3222" s="6" t="s">
        <v>13371</v>
      </c>
      <c r="T3222" s="6">
        <v>0</v>
      </c>
      <c r="U3222" s="6">
        <v>0</v>
      </c>
      <c r="V3222" s="6">
        <v>0</v>
      </c>
      <c r="W3222" s="6">
        <v>0</v>
      </c>
      <c r="X3222" s="6" t="s">
        <v>169</v>
      </c>
      <c r="Z3222" s="6" t="s">
        <v>170</v>
      </c>
      <c r="AA3222" s="6" t="s">
        <v>171</v>
      </c>
      <c r="AB3222" s="6">
        <v>0</v>
      </c>
      <c r="AC3222" s="6" t="str">
        <f>""</f>
        <v/>
      </c>
      <c r="AS3222" s="6">
        <v>0</v>
      </c>
      <c r="AT3222" s="6">
        <v>0</v>
      </c>
    </row>
    <row r="3223" spans="2:46">
      <c r="B3223" s="6" t="s">
        <v>114</v>
      </c>
      <c r="D3223" s="6" t="s">
        <v>13131</v>
      </c>
      <c r="F3223" s="6" t="s">
        <v>13372</v>
      </c>
      <c r="G3223" s="6" t="str">
        <f>"2000000006673"</f>
        <v>2000000006673</v>
      </c>
      <c r="H3223" s="6">
        <v>2000000006673</v>
      </c>
      <c r="I3223" s="6" t="s">
        <v>13373</v>
      </c>
      <c r="J3223" s="6" t="str">
        <f>"Dean Green ACC00001GR"</f>
        <v>Dean Green ACC00001GR</v>
      </c>
      <c r="K3223" s="6">
        <v>0</v>
      </c>
      <c r="L3223" s="6">
        <v>0</v>
      </c>
      <c r="M3223" s="6">
        <v>0</v>
      </c>
      <c r="N3223" s="6" t="str">
        <f>""</f>
        <v/>
      </c>
      <c r="O3223" s="6">
        <v>23462</v>
      </c>
      <c r="P3223" s="6" t="s">
        <v>13374</v>
      </c>
      <c r="R3223" s="6" t="s">
        <v>13168</v>
      </c>
      <c r="S3223" s="6" t="s">
        <v>13375</v>
      </c>
      <c r="T3223" s="6">
        <v>0</v>
      </c>
      <c r="U3223" s="6">
        <v>0</v>
      </c>
      <c r="V3223" s="6">
        <v>0</v>
      </c>
      <c r="W3223" s="6">
        <v>0</v>
      </c>
      <c r="X3223" s="6" t="s">
        <v>169</v>
      </c>
      <c r="Z3223" s="6" t="s">
        <v>170</v>
      </c>
      <c r="AA3223" s="6" t="s">
        <v>171</v>
      </c>
      <c r="AB3223" s="6">
        <v>0</v>
      </c>
      <c r="AC3223" s="6" t="str">
        <f>""</f>
        <v/>
      </c>
      <c r="AS3223" s="6">
        <v>0</v>
      </c>
      <c r="AT3223" s="6">
        <v>0</v>
      </c>
    </row>
    <row r="3224" spans="2:46">
      <c r="B3224" s="6" t="s">
        <v>114</v>
      </c>
      <c r="D3224" s="6" t="s">
        <v>13131</v>
      </c>
      <c r="F3224" s="6" t="s">
        <v>13376</v>
      </c>
      <c r="G3224" s="6" t="str">
        <f>"2000000006666"</f>
        <v>2000000006666</v>
      </c>
      <c r="H3224" s="6">
        <v>2000000006666</v>
      </c>
      <c r="I3224" s="6" t="s">
        <v>13377</v>
      </c>
      <c r="J3224" s="6" t="str">
        <f>"Dean Gray ACC00001GY"</f>
        <v>Dean Gray ACC00001GY</v>
      </c>
      <c r="K3224" s="6">
        <v>0</v>
      </c>
      <c r="L3224" s="6">
        <v>0</v>
      </c>
      <c r="M3224" s="6">
        <v>0</v>
      </c>
      <c r="N3224" s="6" t="str">
        <f>""</f>
        <v/>
      </c>
      <c r="O3224" s="6">
        <v>23460</v>
      </c>
      <c r="P3224" s="6" t="s">
        <v>13378</v>
      </c>
      <c r="R3224" s="6" t="s">
        <v>10058</v>
      </c>
      <c r="S3224" s="6" t="s">
        <v>13379</v>
      </c>
      <c r="T3224" s="6">
        <v>0</v>
      </c>
      <c r="U3224" s="6">
        <v>0</v>
      </c>
      <c r="V3224" s="6">
        <v>0</v>
      </c>
      <c r="W3224" s="6">
        <v>0</v>
      </c>
      <c r="X3224" s="6" t="s">
        <v>169</v>
      </c>
      <c r="Z3224" s="6" t="s">
        <v>170</v>
      </c>
      <c r="AA3224" s="6" t="s">
        <v>171</v>
      </c>
      <c r="AB3224" s="6">
        <v>0</v>
      </c>
      <c r="AC3224" s="6" t="str">
        <f>""</f>
        <v/>
      </c>
      <c r="AS3224" s="6">
        <v>0</v>
      </c>
      <c r="AT3224" s="6">
        <v>0</v>
      </c>
    </row>
    <row r="3225" spans="2:46">
      <c r="B3225" s="6" t="s">
        <v>114</v>
      </c>
      <c r="D3225" s="6" t="s">
        <v>13131</v>
      </c>
      <c r="F3225" s="6" t="s">
        <v>13380</v>
      </c>
      <c r="G3225" s="6" t="str">
        <f>"2000000006710"</f>
        <v>2000000006710</v>
      </c>
      <c r="H3225" s="6">
        <v>2000000006710</v>
      </c>
      <c r="I3225" s="6" t="s">
        <v>13381</v>
      </c>
      <c r="J3225" s="6" t="str">
        <f>"Dean Ivory ACC00001IV"</f>
        <v>Dean Ivory ACC00001IV</v>
      </c>
      <c r="K3225" s="6">
        <v>0</v>
      </c>
      <c r="L3225" s="6">
        <v>0</v>
      </c>
      <c r="M3225" s="6">
        <v>0</v>
      </c>
      <c r="N3225" s="6" t="str">
        <f>""</f>
        <v/>
      </c>
      <c r="O3225" s="6">
        <v>23458</v>
      </c>
      <c r="P3225" s="6" t="s">
        <v>13382</v>
      </c>
      <c r="R3225" s="6" t="s">
        <v>13144</v>
      </c>
      <c r="S3225" s="6" t="s">
        <v>13383</v>
      </c>
      <c r="T3225" s="6">
        <v>0</v>
      </c>
      <c r="U3225" s="6">
        <v>0</v>
      </c>
      <c r="V3225" s="6">
        <v>0</v>
      </c>
      <c r="W3225" s="6">
        <v>0</v>
      </c>
      <c r="X3225" s="6" t="s">
        <v>169</v>
      </c>
      <c r="Z3225" s="6" t="s">
        <v>170</v>
      </c>
      <c r="AA3225" s="6" t="s">
        <v>171</v>
      </c>
      <c r="AB3225" s="6">
        <v>0</v>
      </c>
      <c r="AC3225" s="6" t="str">
        <f>""</f>
        <v/>
      </c>
      <c r="AS3225" s="6">
        <v>0</v>
      </c>
      <c r="AT3225" s="6">
        <v>0</v>
      </c>
    </row>
    <row r="3226" spans="2:46">
      <c r="B3226" s="6" t="s">
        <v>114</v>
      </c>
      <c r="D3226" s="6" t="s">
        <v>13131</v>
      </c>
      <c r="F3226" s="6" t="s">
        <v>13384</v>
      </c>
      <c r="G3226" s="6" t="str">
        <f>"2000000006659"</f>
        <v>2000000006659</v>
      </c>
      <c r="H3226" s="6">
        <v>2000000006659</v>
      </c>
      <c r="I3226" s="6" t="s">
        <v>13385</v>
      </c>
      <c r="J3226" s="6" t="str">
        <f>"Dean Beige ACC00001BG"</f>
        <v>Dean Beige ACC00001BG</v>
      </c>
      <c r="K3226" s="6">
        <v>0</v>
      </c>
      <c r="L3226" s="6">
        <v>0</v>
      </c>
      <c r="M3226" s="6">
        <v>0</v>
      </c>
      <c r="N3226" s="6" t="str">
        <f>""</f>
        <v/>
      </c>
      <c r="O3226" s="6">
        <v>23456</v>
      </c>
      <c r="P3226" s="6" t="s">
        <v>13386</v>
      </c>
      <c r="R3226" s="6" t="s">
        <v>10063</v>
      </c>
      <c r="S3226" s="6" t="s">
        <v>13387</v>
      </c>
      <c r="T3226" s="6">
        <v>0</v>
      </c>
      <c r="U3226" s="6">
        <v>0</v>
      </c>
      <c r="V3226" s="6">
        <v>0</v>
      </c>
      <c r="W3226" s="6">
        <v>0</v>
      </c>
      <c r="X3226" s="6" t="s">
        <v>169</v>
      </c>
      <c r="Z3226" s="6" t="s">
        <v>170</v>
      </c>
      <c r="AA3226" s="6" t="s">
        <v>171</v>
      </c>
      <c r="AB3226" s="6">
        <v>0</v>
      </c>
      <c r="AC3226" s="6" t="str">
        <f>""</f>
        <v/>
      </c>
      <c r="AS3226" s="6">
        <v>0</v>
      </c>
      <c r="AT3226" s="6">
        <v>0</v>
      </c>
    </row>
    <row r="3227" spans="2:46">
      <c r="B3227" s="6" t="s">
        <v>114</v>
      </c>
      <c r="D3227" s="6" t="s">
        <v>13131</v>
      </c>
      <c r="F3227" s="6" t="s">
        <v>13388</v>
      </c>
      <c r="G3227" s="6" t="str">
        <f>"2000000010564"</f>
        <v>2000000010564</v>
      </c>
      <c r="H3227" s="6">
        <v>2000000010564</v>
      </c>
      <c r="I3227" s="6" t="s">
        <v>13389</v>
      </c>
      <c r="J3227" s="6" t="str">
        <f>"Chouette Brown KDK00543BR"</f>
        <v>Chouette Brown KDK00543BR</v>
      </c>
      <c r="K3227" s="6">
        <v>0</v>
      </c>
      <c r="L3227" s="6">
        <v>0</v>
      </c>
      <c r="M3227" s="6">
        <v>0</v>
      </c>
      <c r="N3227" s="6" t="str">
        <f>""</f>
        <v/>
      </c>
      <c r="O3227" s="6">
        <v>23454</v>
      </c>
      <c r="P3227" s="6" t="s">
        <v>13390</v>
      </c>
      <c r="R3227" s="6" t="s">
        <v>13204</v>
      </c>
      <c r="S3227" s="6" t="s">
        <v>13391</v>
      </c>
      <c r="T3227" s="6">
        <v>0</v>
      </c>
      <c r="U3227" s="6">
        <v>0</v>
      </c>
      <c r="V3227" s="6">
        <v>0</v>
      </c>
      <c r="W3227" s="6">
        <v>0</v>
      </c>
      <c r="X3227" s="6" t="s">
        <v>169</v>
      </c>
      <c r="Z3227" s="6" t="s">
        <v>170</v>
      </c>
      <c r="AA3227" s="6" t="s">
        <v>171</v>
      </c>
      <c r="AB3227" s="6">
        <v>0</v>
      </c>
      <c r="AC3227" s="6" t="str">
        <f>""</f>
        <v/>
      </c>
      <c r="AS3227" s="6">
        <v>0</v>
      </c>
      <c r="AT3227" s="6">
        <v>0</v>
      </c>
    </row>
    <row r="3228" spans="2:46">
      <c r="B3228" s="6" t="s">
        <v>114</v>
      </c>
      <c r="D3228" s="6" t="s">
        <v>13131</v>
      </c>
      <c r="F3228" s="6" t="s">
        <v>13392</v>
      </c>
      <c r="G3228" s="6" t="str">
        <f>"2000000010601"</f>
        <v>2000000010601</v>
      </c>
      <c r="H3228" s="6">
        <v>2000000010601</v>
      </c>
      <c r="I3228" s="6" t="s">
        <v>13393</v>
      </c>
      <c r="J3228" s="6" t="str">
        <f>"Chouette Red KDK00543RD"</f>
        <v>Chouette Red KDK00543RD</v>
      </c>
      <c r="K3228" s="6">
        <v>0</v>
      </c>
      <c r="L3228" s="6">
        <v>0</v>
      </c>
      <c r="M3228" s="6">
        <v>0</v>
      </c>
      <c r="N3228" s="6" t="str">
        <f>""</f>
        <v/>
      </c>
      <c r="O3228" s="6">
        <v>23452</v>
      </c>
      <c r="P3228" s="6" t="s">
        <v>13394</v>
      </c>
      <c r="R3228" s="6" t="s">
        <v>13158</v>
      </c>
      <c r="S3228" s="6" t="s">
        <v>13395</v>
      </c>
      <c r="T3228" s="6">
        <v>0</v>
      </c>
      <c r="U3228" s="6">
        <v>0</v>
      </c>
      <c r="V3228" s="6">
        <v>0</v>
      </c>
      <c r="W3228" s="6">
        <v>0</v>
      </c>
      <c r="X3228" s="6" t="s">
        <v>169</v>
      </c>
      <c r="Z3228" s="6" t="s">
        <v>170</v>
      </c>
      <c r="AA3228" s="6" t="s">
        <v>171</v>
      </c>
      <c r="AB3228" s="6">
        <v>0</v>
      </c>
      <c r="AC3228" s="6" t="str">
        <f>""</f>
        <v/>
      </c>
      <c r="AS3228" s="6">
        <v>0</v>
      </c>
      <c r="AT3228" s="6">
        <v>0</v>
      </c>
    </row>
    <row r="3229" spans="2:46">
      <c r="B3229" s="6" t="s">
        <v>114</v>
      </c>
      <c r="D3229" s="6" t="s">
        <v>13131</v>
      </c>
      <c r="F3229" s="6" t="s">
        <v>13396</v>
      </c>
      <c r="G3229" s="6" t="str">
        <f>"2000000010830"</f>
        <v>2000000010830</v>
      </c>
      <c r="H3229" s="6">
        <v>2000000010830</v>
      </c>
      <c r="I3229" s="6" t="s">
        <v>13397</v>
      </c>
      <c r="J3229" s="6" t="str">
        <f>"Chouette Purple KDK00543PP"</f>
        <v>Chouette Purple KDK00543PP</v>
      </c>
      <c r="K3229" s="6">
        <v>0</v>
      </c>
      <c r="L3229" s="6">
        <v>0</v>
      </c>
      <c r="M3229" s="6">
        <v>0</v>
      </c>
      <c r="N3229" s="6" t="str">
        <f>""</f>
        <v/>
      </c>
      <c r="O3229" s="6">
        <v>23450</v>
      </c>
      <c r="P3229" s="6" t="s">
        <v>13398</v>
      </c>
      <c r="R3229" s="6" t="s">
        <v>13399</v>
      </c>
      <c r="S3229" s="6" t="s">
        <v>13400</v>
      </c>
      <c r="T3229" s="6">
        <v>0</v>
      </c>
      <c r="U3229" s="6">
        <v>0</v>
      </c>
      <c r="V3229" s="6">
        <v>0</v>
      </c>
      <c r="W3229" s="6">
        <v>0</v>
      </c>
      <c r="X3229" s="6" t="s">
        <v>169</v>
      </c>
      <c r="Z3229" s="6" t="s">
        <v>170</v>
      </c>
      <c r="AA3229" s="6" t="s">
        <v>171</v>
      </c>
      <c r="AB3229" s="6">
        <v>0</v>
      </c>
      <c r="AC3229" s="6" t="str">
        <f>""</f>
        <v/>
      </c>
      <c r="AS3229" s="6">
        <v>0</v>
      </c>
      <c r="AT3229" s="6">
        <v>0</v>
      </c>
    </row>
    <row r="3230" spans="2:46">
      <c r="B3230" s="6" t="s">
        <v>114</v>
      </c>
      <c r="D3230" s="6" t="s">
        <v>13131</v>
      </c>
      <c r="F3230" s="6" t="s">
        <v>13401</v>
      </c>
      <c r="G3230" s="6" t="str">
        <f>"2000000010571"</f>
        <v>2000000010571</v>
      </c>
      <c r="H3230" s="6">
        <v>2000000010571</v>
      </c>
      <c r="I3230" s="6" t="s">
        <v>13402</v>
      </c>
      <c r="J3230" s="6" t="str">
        <f>"Chouette Navy KDK00543NV"</f>
        <v>Chouette Navy KDK00543NV</v>
      </c>
      <c r="K3230" s="6">
        <v>0</v>
      </c>
      <c r="L3230" s="6">
        <v>0</v>
      </c>
      <c r="M3230" s="6">
        <v>0</v>
      </c>
      <c r="N3230" s="6" t="str">
        <f>""</f>
        <v/>
      </c>
      <c r="O3230" s="6">
        <v>23448</v>
      </c>
      <c r="P3230" s="6" t="s">
        <v>13403</v>
      </c>
      <c r="R3230" s="6" t="s">
        <v>2729</v>
      </c>
      <c r="S3230" s="6" t="s">
        <v>13404</v>
      </c>
      <c r="T3230" s="6">
        <v>0</v>
      </c>
      <c r="U3230" s="6">
        <v>0</v>
      </c>
      <c r="V3230" s="6">
        <v>0</v>
      </c>
      <c r="W3230" s="6">
        <v>0</v>
      </c>
      <c r="X3230" s="6" t="s">
        <v>169</v>
      </c>
      <c r="Z3230" s="6" t="s">
        <v>170</v>
      </c>
      <c r="AA3230" s="6" t="s">
        <v>171</v>
      </c>
      <c r="AB3230" s="6">
        <v>0</v>
      </c>
      <c r="AC3230" s="6" t="str">
        <f>""</f>
        <v/>
      </c>
      <c r="AS3230" s="6">
        <v>0</v>
      </c>
      <c r="AT3230" s="6">
        <v>0</v>
      </c>
    </row>
    <row r="3231" spans="2:46">
      <c r="B3231" s="6" t="s">
        <v>114</v>
      </c>
      <c r="D3231" s="6" t="s">
        <v>13131</v>
      </c>
      <c r="F3231" s="6" t="s">
        <v>13405</v>
      </c>
      <c r="G3231" s="6" t="str">
        <f>"2000000010595"</f>
        <v>2000000010595</v>
      </c>
      <c r="H3231" s="6">
        <v>2000000010595</v>
      </c>
      <c r="I3231" s="6" t="s">
        <v>13406</v>
      </c>
      <c r="J3231" s="6" t="str">
        <f>"Chouette Green KDK00543GR"</f>
        <v>Chouette Green KDK00543GR</v>
      </c>
      <c r="K3231" s="6">
        <v>0</v>
      </c>
      <c r="L3231" s="6">
        <v>0</v>
      </c>
      <c r="M3231" s="6">
        <v>0</v>
      </c>
      <c r="N3231" s="6" t="str">
        <f>""</f>
        <v/>
      </c>
      <c r="O3231" s="6">
        <v>23446</v>
      </c>
      <c r="P3231" s="6" t="s">
        <v>13407</v>
      </c>
      <c r="R3231" s="6" t="s">
        <v>13168</v>
      </c>
      <c r="S3231" s="6" t="s">
        <v>13408</v>
      </c>
      <c r="T3231" s="6">
        <v>0</v>
      </c>
      <c r="U3231" s="6">
        <v>0</v>
      </c>
      <c r="V3231" s="6">
        <v>0</v>
      </c>
      <c r="W3231" s="6">
        <v>0</v>
      </c>
      <c r="X3231" s="6" t="s">
        <v>169</v>
      </c>
      <c r="Z3231" s="6" t="s">
        <v>170</v>
      </c>
      <c r="AA3231" s="6" t="s">
        <v>171</v>
      </c>
      <c r="AB3231" s="6">
        <v>0</v>
      </c>
      <c r="AC3231" s="6" t="str">
        <f>""</f>
        <v/>
      </c>
      <c r="AS3231" s="6">
        <v>0</v>
      </c>
      <c r="AT3231" s="6">
        <v>0</v>
      </c>
    </row>
    <row r="3232" spans="2:46">
      <c r="B3232" s="6" t="s">
        <v>114</v>
      </c>
      <c r="D3232" s="6" t="s">
        <v>13131</v>
      </c>
      <c r="F3232" s="6" t="s">
        <v>13409</v>
      </c>
      <c r="G3232" s="6" t="str">
        <f>"2000000010588"</f>
        <v>2000000010588</v>
      </c>
      <c r="H3232" s="6">
        <v>2000000010588</v>
      </c>
      <c r="I3232" s="6" t="s">
        <v>13410</v>
      </c>
      <c r="J3232" s="6" t="str">
        <f>"Chouette Blue KDK00543BL"</f>
        <v>Chouette Blue KDK00543BL</v>
      </c>
      <c r="K3232" s="6">
        <v>0</v>
      </c>
      <c r="L3232" s="6">
        <v>0</v>
      </c>
      <c r="M3232" s="6">
        <v>0</v>
      </c>
      <c r="N3232" s="6" t="str">
        <f>""</f>
        <v/>
      </c>
      <c r="O3232" s="6">
        <v>23444</v>
      </c>
      <c r="P3232" s="6" t="s">
        <v>13411</v>
      </c>
      <c r="R3232" s="6" t="s">
        <v>13129</v>
      </c>
      <c r="S3232" s="6" t="s">
        <v>13412</v>
      </c>
      <c r="T3232" s="6">
        <v>0</v>
      </c>
      <c r="U3232" s="6">
        <v>0</v>
      </c>
      <c r="V3232" s="6">
        <v>0</v>
      </c>
      <c r="W3232" s="6">
        <v>0</v>
      </c>
      <c r="X3232" s="6" t="s">
        <v>169</v>
      </c>
      <c r="Z3232" s="6" t="s">
        <v>170</v>
      </c>
      <c r="AA3232" s="6" t="s">
        <v>171</v>
      </c>
      <c r="AB3232" s="6">
        <v>0</v>
      </c>
      <c r="AC3232" s="6" t="str">
        <f>""</f>
        <v/>
      </c>
      <c r="AS3232" s="6">
        <v>0</v>
      </c>
      <c r="AT3232" s="6">
        <v>0</v>
      </c>
    </row>
    <row r="3233" spans="2:46">
      <c r="B3233" s="6" t="s">
        <v>114</v>
      </c>
      <c r="D3233" s="6" t="s">
        <v>13131</v>
      </c>
      <c r="F3233" s="6" t="s">
        <v>13413</v>
      </c>
      <c r="G3233" s="6" t="str">
        <f>"2000000010557"</f>
        <v>2000000010557</v>
      </c>
      <c r="H3233" s="6">
        <v>2000000010557</v>
      </c>
      <c r="I3233" s="6" t="s">
        <v>13414</v>
      </c>
      <c r="J3233" s="6" t="str">
        <f>"Chouette Cocoa KDK00543CC"</f>
        <v>Chouette Cocoa KDK00543CC</v>
      </c>
      <c r="K3233" s="6">
        <v>0</v>
      </c>
      <c r="L3233" s="6">
        <v>0</v>
      </c>
      <c r="M3233" s="6">
        <v>0</v>
      </c>
      <c r="N3233" s="6" t="str">
        <f>""</f>
        <v/>
      </c>
      <c r="O3233" s="6">
        <v>23442</v>
      </c>
      <c r="P3233" s="6" t="s">
        <v>13415</v>
      </c>
      <c r="R3233" s="6" t="s">
        <v>13163</v>
      </c>
      <c r="S3233" s="6" t="s">
        <v>13416</v>
      </c>
      <c r="T3233" s="6">
        <v>0</v>
      </c>
      <c r="U3233" s="6">
        <v>0</v>
      </c>
      <c r="V3233" s="6">
        <v>0</v>
      </c>
      <c r="W3233" s="6">
        <v>0</v>
      </c>
      <c r="X3233" s="6" t="s">
        <v>169</v>
      </c>
      <c r="Z3233" s="6" t="s">
        <v>170</v>
      </c>
      <c r="AA3233" s="6" t="s">
        <v>171</v>
      </c>
      <c r="AB3233" s="6">
        <v>0</v>
      </c>
      <c r="AC3233" s="6" t="str">
        <f>""</f>
        <v/>
      </c>
      <c r="AS3233" s="6">
        <v>0</v>
      </c>
      <c r="AT3233" s="6">
        <v>0</v>
      </c>
    </row>
    <row r="3234" spans="2:46">
      <c r="B3234" s="6" t="s">
        <v>114</v>
      </c>
      <c r="D3234" s="6" t="s">
        <v>13131</v>
      </c>
      <c r="F3234" s="6" t="s">
        <v>13417</v>
      </c>
      <c r="G3234" s="6" t="str">
        <f>"2000000009599"</f>
        <v>2000000009599</v>
      </c>
      <c r="H3234" s="6">
        <v>2000000009599</v>
      </c>
      <c r="I3234" s="6" t="s">
        <v>13418</v>
      </c>
      <c r="J3234" s="6" t="str">
        <f>"Chouette Indy Pink KDK00543IP"</f>
        <v>Chouette Indy Pink KDK00543IP</v>
      </c>
      <c r="K3234" s="6">
        <v>0</v>
      </c>
      <c r="L3234" s="6">
        <v>0</v>
      </c>
      <c r="M3234" s="6">
        <v>0</v>
      </c>
      <c r="N3234" s="6" t="str">
        <f>""</f>
        <v/>
      </c>
      <c r="O3234" s="6">
        <v>23440</v>
      </c>
      <c r="P3234" s="6" t="s">
        <v>13419</v>
      </c>
      <c r="R3234" s="6" t="s">
        <v>13153</v>
      </c>
      <c r="S3234" s="6" t="s">
        <v>13420</v>
      </c>
      <c r="T3234" s="6">
        <v>0</v>
      </c>
      <c r="U3234" s="6">
        <v>0</v>
      </c>
      <c r="V3234" s="6">
        <v>0</v>
      </c>
      <c r="W3234" s="6">
        <v>0</v>
      </c>
      <c r="X3234" s="6" t="s">
        <v>169</v>
      </c>
      <c r="Z3234" s="6" t="s">
        <v>170</v>
      </c>
      <c r="AA3234" s="6" t="s">
        <v>171</v>
      </c>
      <c r="AB3234" s="6">
        <v>0</v>
      </c>
      <c r="AC3234" s="6" t="str">
        <f>""</f>
        <v/>
      </c>
      <c r="AS3234" s="6">
        <v>0</v>
      </c>
      <c r="AT3234" s="6">
        <v>0</v>
      </c>
    </row>
    <row r="3235" spans="2:46">
      <c r="B3235" s="6" t="s">
        <v>114</v>
      </c>
      <c r="D3235" s="6" t="s">
        <v>13131</v>
      </c>
      <c r="F3235" s="6" t="s">
        <v>13421</v>
      </c>
      <c r="G3235" s="6" t="str">
        <f>"2000000009605"</f>
        <v>2000000009605</v>
      </c>
      <c r="H3235" s="6">
        <v>2000000009605</v>
      </c>
      <c r="I3235" s="6" t="s">
        <v>13422</v>
      </c>
      <c r="J3235" s="6" t="str">
        <f>"Chouette Sky Blue KDK00543SB"</f>
        <v>Chouette Sky Blue KDK00543SB</v>
      </c>
      <c r="K3235" s="6">
        <v>0</v>
      </c>
      <c r="L3235" s="6">
        <v>0</v>
      </c>
      <c r="M3235" s="6">
        <v>0</v>
      </c>
      <c r="N3235" s="6" t="str">
        <f>""</f>
        <v/>
      </c>
      <c r="O3235" s="6">
        <v>23438</v>
      </c>
      <c r="P3235" s="6" t="s">
        <v>13423</v>
      </c>
      <c r="R3235" s="6" t="s">
        <v>13424</v>
      </c>
      <c r="S3235" s="6" t="s">
        <v>13425</v>
      </c>
      <c r="T3235" s="6">
        <v>0</v>
      </c>
      <c r="U3235" s="6">
        <v>0</v>
      </c>
      <c r="V3235" s="6">
        <v>0</v>
      </c>
      <c r="W3235" s="6">
        <v>0</v>
      </c>
      <c r="X3235" s="6" t="s">
        <v>169</v>
      </c>
      <c r="Z3235" s="6" t="s">
        <v>170</v>
      </c>
      <c r="AA3235" s="6" t="s">
        <v>171</v>
      </c>
      <c r="AB3235" s="6">
        <v>0</v>
      </c>
      <c r="AC3235" s="6" t="str">
        <f>""</f>
        <v/>
      </c>
      <c r="AS3235" s="6">
        <v>0</v>
      </c>
      <c r="AT3235" s="6">
        <v>0</v>
      </c>
    </row>
    <row r="3236" spans="2:46">
      <c r="B3236" s="6" t="s">
        <v>114</v>
      </c>
      <c r="D3236" s="6" t="s">
        <v>13131</v>
      </c>
      <c r="F3236" s="6" t="s">
        <v>13426</v>
      </c>
      <c r="G3236" s="6" t="str">
        <f>"2000000009582"</f>
        <v>2000000009582</v>
      </c>
      <c r="H3236" s="6">
        <v>2000000009582</v>
      </c>
      <c r="I3236" s="6" t="s">
        <v>13427</v>
      </c>
      <c r="J3236" s="6" t="str">
        <f>"Chouette Ivory KDK00543IV"</f>
        <v>Chouette Ivory KDK00543IV</v>
      </c>
      <c r="K3236" s="6">
        <v>0</v>
      </c>
      <c r="L3236" s="6">
        <v>0</v>
      </c>
      <c r="M3236" s="6">
        <v>0</v>
      </c>
      <c r="N3236" s="6" t="str">
        <f>""</f>
        <v/>
      </c>
      <c r="O3236" s="6">
        <v>23436</v>
      </c>
      <c r="P3236" s="6" t="s">
        <v>13428</v>
      </c>
      <c r="R3236" s="6" t="s">
        <v>13144</v>
      </c>
      <c r="S3236" s="6" t="s">
        <v>13429</v>
      </c>
      <c r="T3236" s="6">
        <v>0</v>
      </c>
      <c r="U3236" s="6">
        <v>0</v>
      </c>
      <c r="V3236" s="6">
        <v>0</v>
      </c>
      <c r="W3236" s="6">
        <v>0</v>
      </c>
      <c r="X3236" s="6" t="s">
        <v>169</v>
      </c>
      <c r="Z3236" s="6" t="s">
        <v>170</v>
      </c>
      <c r="AA3236" s="6" t="s">
        <v>171</v>
      </c>
      <c r="AB3236" s="6">
        <v>0</v>
      </c>
      <c r="AC3236" s="6" t="str">
        <f>""</f>
        <v/>
      </c>
      <c r="AS3236" s="6">
        <v>0</v>
      </c>
      <c r="AT3236" s="6">
        <v>0</v>
      </c>
    </row>
    <row r="3237" spans="2:46">
      <c r="B3237" s="6" t="s">
        <v>114</v>
      </c>
      <c r="D3237" s="6" t="s">
        <v>13131</v>
      </c>
      <c r="F3237" s="6" t="s">
        <v>13430</v>
      </c>
      <c r="G3237" s="6" t="str">
        <f>"2000000009575"</f>
        <v>2000000009575</v>
      </c>
      <c r="H3237" s="6">
        <v>2000000009575</v>
      </c>
      <c r="I3237" s="6" t="s">
        <v>13431</v>
      </c>
      <c r="J3237" s="6" t="str">
        <f>"Chouette Black KDK00543BK"</f>
        <v>Chouette Black KDK00543BK</v>
      </c>
      <c r="K3237" s="6">
        <v>0</v>
      </c>
      <c r="L3237" s="6">
        <v>0</v>
      </c>
      <c r="M3237" s="6">
        <v>0</v>
      </c>
      <c r="N3237" s="6" t="str">
        <f>""</f>
        <v/>
      </c>
      <c r="O3237" s="6">
        <v>23434</v>
      </c>
      <c r="P3237" s="6" t="s">
        <v>13432</v>
      </c>
      <c r="R3237" s="6" t="s">
        <v>13124</v>
      </c>
      <c r="S3237" s="6" t="s">
        <v>13433</v>
      </c>
      <c r="T3237" s="6">
        <v>0</v>
      </c>
      <c r="U3237" s="6">
        <v>0</v>
      </c>
      <c r="V3237" s="6">
        <v>0</v>
      </c>
      <c r="W3237" s="6">
        <v>0</v>
      </c>
      <c r="X3237" s="6" t="s">
        <v>169</v>
      </c>
      <c r="Z3237" s="6" t="s">
        <v>170</v>
      </c>
      <c r="AA3237" s="6" t="s">
        <v>171</v>
      </c>
      <c r="AB3237" s="6">
        <v>0</v>
      </c>
      <c r="AC3237" s="6" t="str">
        <f>""</f>
        <v/>
      </c>
      <c r="AS3237" s="6">
        <v>0</v>
      </c>
      <c r="AT3237" s="6">
        <v>0</v>
      </c>
    </row>
    <row r="3238" spans="2:46">
      <c r="B3238" s="6" t="s">
        <v>114</v>
      </c>
      <c r="D3238" s="6" t="s">
        <v>13131</v>
      </c>
      <c r="F3238" s="6" t="s">
        <v>13434</v>
      </c>
      <c r="G3238" s="6" t="str">
        <f>"2000000007892"</f>
        <v>2000000007892</v>
      </c>
      <c r="H3238" s="6">
        <v>2000000007892</v>
      </c>
      <c r="I3238" s="6" t="s">
        <v>13435</v>
      </c>
      <c r="J3238" s="6" t="str">
        <f>"SELLY INDY PINK PYS00504IP"</f>
        <v>SELLY INDY PINK PYS00504IP</v>
      </c>
      <c r="K3238" s="6">
        <v>0</v>
      </c>
      <c r="L3238" s="6">
        <v>0</v>
      </c>
      <c r="M3238" s="6">
        <v>0</v>
      </c>
      <c r="N3238" s="6" t="str">
        <f>""</f>
        <v/>
      </c>
      <c r="O3238" s="6">
        <v>23432</v>
      </c>
      <c r="P3238" s="6" t="s">
        <v>13436</v>
      </c>
      <c r="R3238" s="6" t="s">
        <v>13437</v>
      </c>
      <c r="S3238" s="6" t="s">
        <v>13438</v>
      </c>
      <c r="T3238" s="6">
        <v>0</v>
      </c>
      <c r="U3238" s="6">
        <v>0</v>
      </c>
      <c r="V3238" s="6">
        <v>0</v>
      </c>
      <c r="W3238" s="6">
        <v>0</v>
      </c>
      <c r="X3238" s="6" t="s">
        <v>169</v>
      </c>
      <c r="Z3238" s="6" t="s">
        <v>170</v>
      </c>
      <c r="AA3238" s="6" t="s">
        <v>171</v>
      </c>
      <c r="AB3238" s="6">
        <v>0</v>
      </c>
      <c r="AC3238" s="6" t="str">
        <f>""</f>
        <v/>
      </c>
      <c r="AS3238" s="6">
        <v>0</v>
      </c>
      <c r="AT3238" s="6">
        <v>0</v>
      </c>
    </row>
    <row r="3239" spans="2:46">
      <c r="B3239" s="6" t="s">
        <v>114</v>
      </c>
      <c r="D3239" s="6" t="s">
        <v>13131</v>
      </c>
      <c r="F3239" s="6" t="s">
        <v>13439</v>
      </c>
      <c r="G3239" s="6" t="str">
        <f>"2000000007885"</f>
        <v>2000000007885</v>
      </c>
      <c r="H3239" s="6">
        <v>2000000007885</v>
      </c>
      <c r="I3239" s="6" t="s">
        <v>13440</v>
      </c>
      <c r="J3239" s="6" t="str">
        <f>"SELLY IVORY PYS00504IV"</f>
        <v>SELLY IVORY PYS00504IV</v>
      </c>
      <c r="K3239" s="6">
        <v>0</v>
      </c>
      <c r="L3239" s="6">
        <v>0</v>
      </c>
      <c r="M3239" s="6">
        <v>0</v>
      </c>
      <c r="N3239" s="6" t="str">
        <f>""</f>
        <v/>
      </c>
      <c r="O3239" s="6">
        <v>23430</v>
      </c>
      <c r="P3239" s="6" t="s">
        <v>13441</v>
      </c>
      <c r="R3239" s="6" t="s">
        <v>2356</v>
      </c>
      <c r="S3239" s="6" t="s">
        <v>13442</v>
      </c>
      <c r="T3239" s="6">
        <v>0</v>
      </c>
      <c r="U3239" s="6">
        <v>0</v>
      </c>
      <c r="V3239" s="6">
        <v>0</v>
      </c>
      <c r="W3239" s="6">
        <v>0</v>
      </c>
      <c r="X3239" s="6" t="s">
        <v>169</v>
      </c>
      <c r="Z3239" s="6" t="s">
        <v>170</v>
      </c>
      <c r="AA3239" s="6" t="s">
        <v>171</v>
      </c>
      <c r="AB3239" s="6">
        <v>0</v>
      </c>
      <c r="AC3239" s="6" t="str">
        <f>""</f>
        <v/>
      </c>
      <c r="AS3239" s="6">
        <v>0</v>
      </c>
      <c r="AT3239" s="6">
        <v>0</v>
      </c>
    </row>
    <row r="3240" spans="2:46">
      <c r="B3240" s="6" t="s">
        <v>114</v>
      </c>
      <c r="D3240" s="6" t="s">
        <v>13131</v>
      </c>
      <c r="F3240" s="6" t="s">
        <v>13443</v>
      </c>
      <c r="G3240" s="6" t="str">
        <f>"2000000007908"</f>
        <v>2000000007908</v>
      </c>
      <c r="H3240" s="6">
        <v>2000000007908</v>
      </c>
      <c r="I3240" s="6" t="s">
        <v>13444</v>
      </c>
      <c r="J3240" s="6" t="str">
        <f>"SELLY RED PYS00504RD"</f>
        <v>SELLY RED PYS00504RD</v>
      </c>
      <c r="K3240" s="6">
        <v>0</v>
      </c>
      <c r="L3240" s="6">
        <v>0</v>
      </c>
      <c r="M3240" s="6">
        <v>0</v>
      </c>
      <c r="N3240" s="6" t="str">
        <f>""</f>
        <v/>
      </c>
      <c r="O3240" s="6">
        <v>23428</v>
      </c>
      <c r="P3240" s="6" t="s">
        <v>13445</v>
      </c>
      <c r="R3240" s="6" t="s">
        <v>2309</v>
      </c>
      <c r="S3240" s="6" t="s">
        <v>13446</v>
      </c>
      <c r="T3240" s="6">
        <v>0</v>
      </c>
      <c r="U3240" s="6">
        <v>0</v>
      </c>
      <c r="V3240" s="6">
        <v>0</v>
      </c>
      <c r="W3240" s="6">
        <v>0</v>
      </c>
      <c r="X3240" s="6" t="s">
        <v>169</v>
      </c>
      <c r="Z3240" s="6" t="s">
        <v>170</v>
      </c>
      <c r="AA3240" s="6" t="s">
        <v>171</v>
      </c>
      <c r="AB3240" s="6">
        <v>0</v>
      </c>
      <c r="AC3240" s="6" t="str">
        <f>""</f>
        <v/>
      </c>
      <c r="AS3240" s="6">
        <v>0</v>
      </c>
      <c r="AT3240" s="6">
        <v>0</v>
      </c>
    </row>
    <row r="3241" spans="2:46">
      <c r="B3241" s="6" t="s">
        <v>114</v>
      </c>
      <c r="D3241" s="6" t="s">
        <v>13131</v>
      </c>
      <c r="F3241" s="6" t="s">
        <v>13447</v>
      </c>
      <c r="G3241" s="6" t="str">
        <f>"2000000007953"</f>
        <v>2000000007953</v>
      </c>
      <c r="H3241" s="6">
        <v>2000000007953</v>
      </c>
      <c r="I3241" s="6" t="s">
        <v>13448</v>
      </c>
      <c r="J3241" s="6" t="str">
        <f>"VIRGINIA IVORY CMH00489IV"</f>
        <v>VIRGINIA IVORY CMH00489IV</v>
      </c>
      <c r="K3241" s="6">
        <v>0</v>
      </c>
      <c r="L3241" s="6">
        <v>0</v>
      </c>
      <c r="M3241" s="6">
        <v>0</v>
      </c>
      <c r="N3241" s="6" t="str">
        <f>""</f>
        <v/>
      </c>
      <c r="O3241" s="6">
        <v>23426</v>
      </c>
      <c r="P3241" s="6" t="s">
        <v>13449</v>
      </c>
      <c r="R3241" s="6" t="s">
        <v>2356</v>
      </c>
      <c r="S3241" s="6" t="s">
        <v>13450</v>
      </c>
      <c r="T3241" s="6">
        <v>0</v>
      </c>
      <c r="U3241" s="6">
        <v>0</v>
      </c>
      <c r="V3241" s="6">
        <v>0</v>
      </c>
      <c r="W3241" s="6">
        <v>0</v>
      </c>
      <c r="X3241" s="6" t="s">
        <v>169</v>
      </c>
      <c r="Z3241" s="6" t="s">
        <v>170</v>
      </c>
      <c r="AA3241" s="6" t="s">
        <v>171</v>
      </c>
      <c r="AB3241" s="6">
        <v>0</v>
      </c>
      <c r="AC3241" s="6" t="str">
        <f>""</f>
        <v/>
      </c>
      <c r="AS3241" s="6">
        <v>0</v>
      </c>
      <c r="AT3241" s="6">
        <v>0</v>
      </c>
    </row>
    <row r="3242" spans="2:46">
      <c r="B3242" s="6" t="s">
        <v>114</v>
      </c>
      <c r="D3242" s="6" t="s">
        <v>13131</v>
      </c>
      <c r="F3242" s="6" t="s">
        <v>13451</v>
      </c>
      <c r="G3242" s="6" t="str">
        <f>"2000000007960"</f>
        <v>2000000007960</v>
      </c>
      <c r="H3242" s="6">
        <v>2000000007960</v>
      </c>
      <c r="I3242" s="6" t="s">
        <v>13452</v>
      </c>
      <c r="J3242" s="6" t="str">
        <f>"VIRGINIA INDY PINK CMH00489IP"</f>
        <v>VIRGINIA INDY PINK CMH00489IP</v>
      </c>
      <c r="K3242" s="6">
        <v>0</v>
      </c>
      <c r="L3242" s="6">
        <v>0</v>
      </c>
      <c r="M3242" s="6">
        <v>0</v>
      </c>
      <c r="N3242" s="6" t="str">
        <f>""</f>
        <v/>
      </c>
      <c r="O3242" s="6">
        <v>23424</v>
      </c>
      <c r="P3242" s="6" t="s">
        <v>13453</v>
      </c>
      <c r="R3242" s="6" t="s">
        <v>13437</v>
      </c>
      <c r="S3242" s="6" t="s">
        <v>13454</v>
      </c>
      <c r="T3242" s="6">
        <v>0</v>
      </c>
      <c r="U3242" s="6">
        <v>0</v>
      </c>
      <c r="V3242" s="6">
        <v>0</v>
      </c>
      <c r="W3242" s="6">
        <v>0</v>
      </c>
      <c r="X3242" s="6" t="s">
        <v>169</v>
      </c>
      <c r="Z3242" s="6" t="s">
        <v>170</v>
      </c>
      <c r="AA3242" s="6" t="s">
        <v>171</v>
      </c>
      <c r="AB3242" s="6">
        <v>0</v>
      </c>
      <c r="AC3242" s="6" t="str">
        <f>""</f>
        <v/>
      </c>
      <c r="AS3242" s="6">
        <v>0</v>
      </c>
      <c r="AT3242" s="6">
        <v>0</v>
      </c>
    </row>
    <row r="3243" spans="2:46">
      <c r="B3243" s="6" t="s">
        <v>114</v>
      </c>
      <c r="D3243" s="6" t="s">
        <v>13131</v>
      </c>
      <c r="F3243" s="6" t="s">
        <v>13455</v>
      </c>
      <c r="G3243" s="6" t="str">
        <f>"2000000006598"</f>
        <v>2000000006598</v>
      </c>
      <c r="H3243" s="6">
        <v>2000000006598</v>
      </c>
      <c r="I3243" s="6" t="s">
        <v>13456</v>
      </c>
      <c r="J3243" s="6" t="str">
        <f>"KEIKO NAVY PYS00521NV"</f>
        <v>KEIKO NAVY PYS00521NV</v>
      </c>
      <c r="K3243" s="6">
        <v>0</v>
      </c>
      <c r="L3243" s="6">
        <v>0</v>
      </c>
      <c r="M3243" s="6">
        <v>0</v>
      </c>
      <c r="N3243" s="6" t="str">
        <f>""</f>
        <v/>
      </c>
      <c r="O3243" s="6">
        <v>23422</v>
      </c>
      <c r="P3243" s="6" t="s">
        <v>13457</v>
      </c>
      <c r="R3243" s="6" t="s">
        <v>2111</v>
      </c>
      <c r="S3243" s="6" t="s">
        <v>13458</v>
      </c>
      <c r="T3243" s="6">
        <v>0</v>
      </c>
      <c r="U3243" s="6">
        <v>0</v>
      </c>
      <c r="V3243" s="6">
        <v>0</v>
      </c>
      <c r="W3243" s="6">
        <v>0</v>
      </c>
      <c r="X3243" s="6" t="s">
        <v>169</v>
      </c>
      <c r="Z3243" s="6" t="s">
        <v>170</v>
      </c>
      <c r="AA3243" s="6" t="s">
        <v>171</v>
      </c>
      <c r="AB3243" s="6">
        <v>0</v>
      </c>
      <c r="AC3243" s="6" t="str">
        <f>""</f>
        <v/>
      </c>
      <c r="AS3243" s="6">
        <v>0</v>
      </c>
      <c r="AT3243" s="6">
        <v>0</v>
      </c>
    </row>
    <row r="3244" spans="2:46">
      <c r="B3244" s="6" t="s">
        <v>114</v>
      </c>
      <c r="D3244" s="6" t="s">
        <v>13131</v>
      </c>
      <c r="F3244" s="6" t="s">
        <v>13459</v>
      </c>
      <c r="G3244" s="6" t="str">
        <f>"2000000006581"</f>
        <v>2000000006581</v>
      </c>
      <c r="H3244" s="6">
        <v>2000000006581</v>
      </c>
      <c r="I3244" s="6" t="s">
        <v>13460</v>
      </c>
      <c r="J3244" s="6" t="str">
        <f>"KEIKO GRAY PYS00521GY"</f>
        <v>KEIKO GRAY PYS00521GY</v>
      </c>
      <c r="K3244" s="6">
        <v>0</v>
      </c>
      <c r="L3244" s="6">
        <v>0</v>
      </c>
      <c r="M3244" s="6">
        <v>0</v>
      </c>
      <c r="N3244" s="6" t="str">
        <f>""</f>
        <v/>
      </c>
      <c r="O3244" s="6">
        <v>23420</v>
      </c>
      <c r="P3244" s="6" t="s">
        <v>13461</v>
      </c>
      <c r="R3244" s="6" t="s">
        <v>2364</v>
      </c>
      <c r="S3244" s="6" t="s">
        <v>13462</v>
      </c>
      <c r="T3244" s="6">
        <v>0</v>
      </c>
      <c r="U3244" s="6">
        <v>0</v>
      </c>
      <c r="V3244" s="6">
        <v>0</v>
      </c>
      <c r="W3244" s="6">
        <v>0</v>
      </c>
      <c r="X3244" s="6" t="s">
        <v>169</v>
      </c>
      <c r="Z3244" s="6" t="s">
        <v>170</v>
      </c>
      <c r="AA3244" s="6" t="s">
        <v>171</v>
      </c>
      <c r="AB3244" s="6">
        <v>0</v>
      </c>
      <c r="AC3244" s="6" t="str">
        <f>""</f>
        <v/>
      </c>
      <c r="AS3244" s="6">
        <v>0</v>
      </c>
      <c r="AT3244" s="6">
        <v>0</v>
      </c>
    </row>
    <row r="3245" spans="2:46">
      <c r="B3245" s="6" t="s">
        <v>114</v>
      </c>
      <c r="D3245" s="6" t="s">
        <v>13131</v>
      </c>
      <c r="F3245" s="6" t="s">
        <v>13463</v>
      </c>
      <c r="G3245" s="6" t="str">
        <f>"2000000007373"</f>
        <v>2000000007373</v>
      </c>
      <c r="H3245" s="6">
        <v>2000000007373</v>
      </c>
      <c r="I3245" s="6" t="s">
        <v>13464</v>
      </c>
      <c r="J3245" s="6" t="str">
        <f>"KEIKO RED PYS00521RD"</f>
        <v>KEIKO RED PYS00521RD</v>
      </c>
      <c r="K3245" s="6">
        <v>0</v>
      </c>
      <c r="L3245" s="6">
        <v>0</v>
      </c>
      <c r="M3245" s="6">
        <v>0</v>
      </c>
      <c r="N3245" s="6" t="str">
        <f>""</f>
        <v/>
      </c>
      <c r="O3245" s="6">
        <v>23418</v>
      </c>
      <c r="P3245" s="6" t="s">
        <v>13465</v>
      </c>
      <c r="R3245" s="6" t="s">
        <v>2309</v>
      </c>
      <c r="S3245" s="6" t="s">
        <v>13466</v>
      </c>
      <c r="T3245" s="6">
        <v>0</v>
      </c>
      <c r="U3245" s="6">
        <v>0</v>
      </c>
      <c r="V3245" s="6">
        <v>0</v>
      </c>
      <c r="W3245" s="6">
        <v>0</v>
      </c>
      <c r="X3245" s="6" t="s">
        <v>169</v>
      </c>
      <c r="Z3245" s="6" t="s">
        <v>170</v>
      </c>
      <c r="AA3245" s="6" t="s">
        <v>171</v>
      </c>
      <c r="AB3245" s="6">
        <v>0</v>
      </c>
      <c r="AC3245" s="6" t="str">
        <f>""</f>
        <v/>
      </c>
      <c r="AS3245" s="6">
        <v>0</v>
      </c>
      <c r="AT3245" s="6">
        <v>0</v>
      </c>
    </row>
    <row r="3246" spans="2:46">
      <c r="B3246" s="6" t="s">
        <v>114</v>
      </c>
      <c r="D3246" s="6" t="s">
        <v>13131</v>
      </c>
      <c r="F3246" s="6" t="s">
        <v>13467</v>
      </c>
      <c r="G3246" s="6" t="str">
        <f>"2000000006567"</f>
        <v>2000000006567</v>
      </c>
      <c r="H3246" s="6">
        <v>2000000006567</v>
      </c>
      <c r="I3246" s="6" t="s">
        <v>13468</v>
      </c>
      <c r="J3246" s="6" t="str">
        <f>"KEIKO IVORY PYS00521IV"</f>
        <v>KEIKO IVORY PYS00521IV</v>
      </c>
      <c r="K3246" s="6">
        <v>0</v>
      </c>
      <c r="L3246" s="6">
        <v>0</v>
      </c>
      <c r="M3246" s="6">
        <v>0</v>
      </c>
      <c r="N3246" s="6" t="str">
        <f>""</f>
        <v/>
      </c>
      <c r="O3246" s="6">
        <v>23416</v>
      </c>
      <c r="P3246" s="6" t="s">
        <v>13469</v>
      </c>
      <c r="R3246" s="6" t="s">
        <v>2356</v>
      </c>
      <c r="S3246" s="6" t="s">
        <v>13470</v>
      </c>
      <c r="T3246" s="6">
        <v>0</v>
      </c>
      <c r="U3246" s="6">
        <v>0</v>
      </c>
      <c r="V3246" s="6">
        <v>0</v>
      </c>
      <c r="W3246" s="6">
        <v>0</v>
      </c>
      <c r="X3246" s="6" t="s">
        <v>169</v>
      </c>
      <c r="Z3246" s="6" t="s">
        <v>170</v>
      </c>
      <c r="AA3246" s="6" t="s">
        <v>171</v>
      </c>
      <c r="AB3246" s="6">
        <v>0</v>
      </c>
      <c r="AC3246" s="6" t="str">
        <f>""</f>
        <v/>
      </c>
      <c r="AS3246" s="6">
        <v>0</v>
      </c>
      <c r="AT3246" s="6">
        <v>0</v>
      </c>
    </row>
    <row r="3247" spans="2:46">
      <c r="B3247" s="6" t="s">
        <v>114</v>
      </c>
      <c r="D3247" s="6" t="s">
        <v>13131</v>
      </c>
      <c r="F3247" s="6" t="s">
        <v>13471</v>
      </c>
      <c r="G3247" s="6" t="str">
        <f>"2000000006574"</f>
        <v>2000000006574</v>
      </c>
      <c r="H3247" s="6">
        <v>2000000006574</v>
      </c>
      <c r="I3247" s="6" t="s">
        <v>13472</v>
      </c>
      <c r="J3247" s="6" t="str">
        <f>"KEIKO BEIGE PYS00521BG"</f>
        <v>KEIKO BEIGE PYS00521BG</v>
      </c>
      <c r="K3247" s="6">
        <v>0</v>
      </c>
      <c r="L3247" s="6">
        <v>0</v>
      </c>
      <c r="M3247" s="6">
        <v>0</v>
      </c>
      <c r="N3247" s="6" t="str">
        <f>""</f>
        <v/>
      </c>
      <c r="O3247" s="6">
        <v>23414</v>
      </c>
      <c r="P3247" s="6" t="s">
        <v>13473</v>
      </c>
      <c r="R3247" s="6" t="s">
        <v>2102</v>
      </c>
      <c r="S3247" s="6" t="s">
        <v>13474</v>
      </c>
      <c r="T3247" s="6">
        <v>0</v>
      </c>
      <c r="U3247" s="6">
        <v>0</v>
      </c>
      <c r="V3247" s="6">
        <v>0</v>
      </c>
      <c r="W3247" s="6">
        <v>0</v>
      </c>
      <c r="X3247" s="6" t="s">
        <v>169</v>
      </c>
      <c r="Z3247" s="6" t="s">
        <v>170</v>
      </c>
      <c r="AA3247" s="6" t="s">
        <v>171</v>
      </c>
      <c r="AB3247" s="6">
        <v>0</v>
      </c>
      <c r="AC3247" s="6" t="str">
        <f>""</f>
        <v/>
      </c>
      <c r="AS3247" s="6">
        <v>0</v>
      </c>
      <c r="AT3247" s="6">
        <v>0</v>
      </c>
    </row>
    <row r="3248" spans="2:46">
      <c r="B3248" s="6" t="s">
        <v>114</v>
      </c>
      <c r="D3248" s="6" t="s">
        <v>13131</v>
      </c>
      <c r="F3248" s="6" t="s">
        <v>13475</v>
      </c>
      <c r="G3248" s="6" t="str">
        <f>"2000000006611"</f>
        <v>2000000006611</v>
      </c>
      <c r="H3248" s="6">
        <v>2000000006611</v>
      </c>
      <c r="I3248" s="6" t="s">
        <v>13476</v>
      </c>
      <c r="J3248" s="6" t="str">
        <f>"KEIKO ORANGE PYS00521OR"</f>
        <v>KEIKO ORANGE PYS00521OR</v>
      </c>
      <c r="K3248" s="6">
        <v>0</v>
      </c>
      <c r="L3248" s="6">
        <v>0</v>
      </c>
      <c r="M3248" s="6">
        <v>0</v>
      </c>
      <c r="N3248" s="6" t="str">
        <f>""</f>
        <v/>
      </c>
      <c r="O3248" s="6">
        <v>23412</v>
      </c>
      <c r="P3248" s="6" t="s">
        <v>13477</v>
      </c>
      <c r="R3248" s="6" t="s">
        <v>2898</v>
      </c>
      <c r="S3248" s="6" t="s">
        <v>13478</v>
      </c>
      <c r="T3248" s="6">
        <v>0</v>
      </c>
      <c r="U3248" s="6">
        <v>0</v>
      </c>
      <c r="V3248" s="6">
        <v>0</v>
      </c>
      <c r="W3248" s="6">
        <v>0</v>
      </c>
      <c r="X3248" s="6" t="s">
        <v>169</v>
      </c>
      <c r="Z3248" s="6" t="s">
        <v>170</v>
      </c>
      <c r="AA3248" s="6" t="s">
        <v>171</v>
      </c>
      <c r="AB3248" s="6">
        <v>0</v>
      </c>
      <c r="AC3248" s="6" t="str">
        <f>""</f>
        <v/>
      </c>
      <c r="AS3248" s="6">
        <v>0</v>
      </c>
      <c r="AT3248" s="6">
        <v>0</v>
      </c>
    </row>
    <row r="3249" spans="2:46">
      <c r="B3249" s="6" t="s">
        <v>114</v>
      </c>
      <c r="D3249" s="6" t="s">
        <v>13131</v>
      </c>
      <c r="F3249" s="6" t="s">
        <v>13479</v>
      </c>
      <c r="G3249" s="6" t="str">
        <f>"2000000006628"</f>
        <v>2000000006628</v>
      </c>
      <c r="I3249" s="6" t="s">
        <v>13480</v>
      </c>
      <c r="J3249" s="6" t="str">
        <f>"KEIKO GREEN PYS00521GR"</f>
        <v>KEIKO GREEN PYS00521GR</v>
      </c>
      <c r="K3249" s="6">
        <v>0</v>
      </c>
      <c r="L3249" s="6">
        <v>0</v>
      </c>
      <c r="M3249" s="6">
        <v>0</v>
      </c>
      <c r="N3249" s="6" t="str">
        <f>""</f>
        <v/>
      </c>
      <c r="O3249" s="6">
        <v>23410</v>
      </c>
      <c r="P3249" s="6" t="s">
        <v>13481</v>
      </c>
      <c r="R3249" s="6" t="s">
        <v>2512</v>
      </c>
      <c r="S3249" s="6" t="s">
        <v>13482</v>
      </c>
      <c r="T3249" s="6">
        <v>1</v>
      </c>
      <c r="U3249" s="6">
        <v>0</v>
      </c>
      <c r="V3249" s="6">
        <v>0</v>
      </c>
      <c r="W3249" s="6">
        <v>0</v>
      </c>
      <c r="X3249" s="6" t="s">
        <v>169</v>
      </c>
      <c r="Z3249" s="6" t="s">
        <v>170</v>
      </c>
      <c r="AA3249" s="6" t="s">
        <v>171</v>
      </c>
      <c r="AB3249" s="6">
        <v>0</v>
      </c>
      <c r="AC3249" s="6" t="str">
        <f>"KEY-014"</f>
        <v>KEY-014</v>
      </c>
      <c r="AQ3249" s="6" t="str">
        <f>""</f>
        <v/>
      </c>
      <c r="AR3249" s="6" t="s">
        <v>1584</v>
      </c>
      <c r="AS3249" s="6">
        <v>0</v>
      </c>
      <c r="AT3249" s="6">
        <v>1</v>
      </c>
    </row>
    <row r="3250" spans="2:46">
      <c r="B3250" s="6" t="s">
        <v>114</v>
      </c>
      <c r="D3250" s="6" t="s">
        <v>13131</v>
      </c>
      <c r="F3250" s="6" t="s">
        <v>13483</v>
      </c>
      <c r="G3250" s="6" t="str">
        <f>"2000000006604"</f>
        <v>2000000006604</v>
      </c>
      <c r="H3250" s="6">
        <v>2000000006604</v>
      </c>
      <c r="I3250" s="6" t="s">
        <v>13484</v>
      </c>
      <c r="J3250" s="6" t="str">
        <f>"KEIKO BLUE PYS00521BL"</f>
        <v>KEIKO BLUE PYS00521BL</v>
      </c>
      <c r="K3250" s="6">
        <v>0</v>
      </c>
      <c r="L3250" s="6">
        <v>0</v>
      </c>
      <c r="M3250" s="6">
        <v>0</v>
      </c>
      <c r="N3250" s="6" t="str">
        <f>""</f>
        <v/>
      </c>
      <c r="O3250" s="6">
        <v>23408</v>
      </c>
      <c r="P3250" s="6" t="s">
        <v>13485</v>
      </c>
      <c r="R3250" s="6" t="s">
        <v>2175</v>
      </c>
      <c r="S3250" s="6" t="s">
        <v>13486</v>
      </c>
      <c r="T3250" s="6">
        <v>0</v>
      </c>
      <c r="U3250" s="6">
        <v>0</v>
      </c>
      <c r="V3250" s="6">
        <v>0</v>
      </c>
      <c r="W3250" s="6">
        <v>0</v>
      </c>
      <c r="X3250" s="6" t="s">
        <v>169</v>
      </c>
      <c r="Z3250" s="6" t="s">
        <v>170</v>
      </c>
      <c r="AA3250" s="6" t="s">
        <v>171</v>
      </c>
      <c r="AB3250" s="6">
        <v>0</v>
      </c>
      <c r="AC3250" s="6" t="str">
        <f>""</f>
        <v/>
      </c>
      <c r="AS3250" s="6">
        <v>0</v>
      </c>
      <c r="AT3250" s="6">
        <v>1</v>
      </c>
    </row>
    <row r="3251" spans="2:46">
      <c r="B3251" s="6" t="s">
        <v>114</v>
      </c>
      <c r="D3251" s="6" t="s">
        <v>13131</v>
      </c>
      <c r="F3251" s="6" t="s">
        <v>13487</v>
      </c>
      <c r="G3251" s="6" t="str">
        <f>"2000000007410"</f>
        <v>2000000007410</v>
      </c>
      <c r="I3251" s="6" t="s">
        <v>13488</v>
      </c>
      <c r="J3251" s="6" t="str">
        <f>"TEDDY PURPLE HOR00511PP"</f>
        <v>TEDDY PURPLE HOR00511PP</v>
      </c>
      <c r="K3251" s="6">
        <v>0</v>
      </c>
      <c r="L3251" s="6">
        <v>0</v>
      </c>
      <c r="M3251" s="6">
        <v>0</v>
      </c>
      <c r="N3251" s="6" t="str">
        <f>""</f>
        <v/>
      </c>
      <c r="O3251" s="6">
        <v>23406</v>
      </c>
      <c r="P3251" s="6" t="s">
        <v>13489</v>
      </c>
      <c r="R3251" s="6" t="s">
        <v>2913</v>
      </c>
      <c r="S3251" s="6" t="s">
        <v>13490</v>
      </c>
      <c r="T3251" s="6">
        <v>1</v>
      </c>
      <c r="U3251" s="6">
        <v>0</v>
      </c>
      <c r="V3251" s="6">
        <v>0</v>
      </c>
      <c r="W3251" s="6">
        <v>0</v>
      </c>
      <c r="X3251" s="6" t="s">
        <v>169</v>
      </c>
      <c r="Z3251" s="6" t="s">
        <v>170</v>
      </c>
      <c r="AA3251" s="6" t="s">
        <v>171</v>
      </c>
      <c r="AB3251" s="6">
        <v>0</v>
      </c>
      <c r="AC3251" s="6" t="str">
        <f>"KEY-064"</f>
        <v>KEY-064</v>
      </c>
      <c r="AQ3251" s="6" t="str">
        <f>""</f>
        <v/>
      </c>
      <c r="AR3251" s="6" t="s">
        <v>1567</v>
      </c>
      <c r="AS3251" s="6">
        <v>0</v>
      </c>
      <c r="AT3251" s="6">
        <v>1</v>
      </c>
    </row>
    <row r="3252" spans="2:46">
      <c r="B3252" s="6" t="s">
        <v>114</v>
      </c>
      <c r="D3252" s="6" t="s">
        <v>13131</v>
      </c>
      <c r="F3252" s="6" t="s">
        <v>13491</v>
      </c>
      <c r="G3252" s="6" t="str">
        <f>"2000000007403"</f>
        <v>2000000007403</v>
      </c>
      <c r="H3252" s="6">
        <v>2000000007403</v>
      </c>
      <c r="I3252" s="6" t="s">
        <v>13492</v>
      </c>
      <c r="J3252" s="6" t="str">
        <f>"TEDDY IVORY HOR00511IV"</f>
        <v>TEDDY IVORY HOR00511IV</v>
      </c>
      <c r="K3252" s="6">
        <v>0</v>
      </c>
      <c r="L3252" s="6">
        <v>0</v>
      </c>
      <c r="M3252" s="6">
        <v>0</v>
      </c>
      <c r="N3252" s="6" t="str">
        <f>""</f>
        <v/>
      </c>
      <c r="O3252" s="6">
        <v>23404</v>
      </c>
      <c r="P3252" s="6" t="s">
        <v>13493</v>
      </c>
      <c r="R3252" s="6" t="s">
        <v>2356</v>
      </c>
      <c r="S3252" s="6" t="s">
        <v>13494</v>
      </c>
      <c r="T3252" s="6">
        <v>0</v>
      </c>
      <c r="U3252" s="6">
        <v>0</v>
      </c>
      <c r="V3252" s="6">
        <v>0</v>
      </c>
      <c r="W3252" s="6">
        <v>0</v>
      </c>
      <c r="X3252" s="6" t="s">
        <v>169</v>
      </c>
      <c r="Z3252" s="6" t="s">
        <v>170</v>
      </c>
      <c r="AA3252" s="6" t="s">
        <v>171</v>
      </c>
      <c r="AB3252" s="6">
        <v>0</v>
      </c>
      <c r="AC3252" s="6" t="str">
        <f>""</f>
        <v/>
      </c>
      <c r="AS3252" s="6">
        <v>0</v>
      </c>
      <c r="AT3252" s="6">
        <v>0</v>
      </c>
    </row>
    <row r="3253" spans="2:46">
      <c r="B3253" s="6" t="s">
        <v>114</v>
      </c>
      <c r="D3253" s="6" t="s">
        <v>13131</v>
      </c>
      <c r="F3253" s="6" t="s">
        <v>13495</v>
      </c>
      <c r="G3253" s="6" t="str">
        <f>"2000000007380"</f>
        <v>2000000007380</v>
      </c>
      <c r="H3253" s="6">
        <v>2000000007380</v>
      </c>
      <c r="I3253" s="6" t="s">
        <v>13496</v>
      </c>
      <c r="J3253" s="6" t="str">
        <f>"TEDDY BLUE HOR00511BL"</f>
        <v>TEDDY BLUE HOR00511BL</v>
      </c>
      <c r="K3253" s="6">
        <v>0</v>
      </c>
      <c r="L3253" s="6">
        <v>0</v>
      </c>
      <c r="M3253" s="6">
        <v>0</v>
      </c>
      <c r="N3253" s="6" t="str">
        <f>""</f>
        <v/>
      </c>
      <c r="O3253" s="6">
        <v>23402</v>
      </c>
      <c r="P3253" s="6" t="s">
        <v>13497</v>
      </c>
      <c r="R3253" s="6" t="s">
        <v>2175</v>
      </c>
      <c r="S3253" s="6" t="s">
        <v>13498</v>
      </c>
      <c r="T3253" s="6">
        <v>0</v>
      </c>
      <c r="U3253" s="6">
        <v>0</v>
      </c>
      <c r="V3253" s="6">
        <v>0</v>
      </c>
      <c r="W3253" s="6">
        <v>0</v>
      </c>
      <c r="X3253" s="6" t="s">
        <v>169</v>
      </c>
      <c r="Z3253" s="6" t="s">
        <v>170</v>
      </c>
      <c r="AA3253" s="6" t="s">
        <v>171</v>
      </c>
      <c r="AB3253" s="6">
        <v>0</v>
      </c>
      <c r="AC3253" s="6" t="str">
        <f>""</f>
        <v/>
      </c>
      <c r="AS3253" s="6">
        <v>0</v>
      </c>
      <c r="AT3253" s="6">
        <v>0</v>
      </c>
    </row>
    <row r="3254" spans="2:46">
      <c r="B3254" s="6" t="s">
        <v>114</v>
      </c>
      <c r="D3254" s="6" t="s">
        <v>13131</v>
      </c>
      <c r="F3254" s="6" t="s">
        <v>13499</v>
      </c>
      <c r="G3254" s="6" t="str">
        <f>"2000000007397"</f>
        <v>2000000007397</v>
      </c>
      <c r="H3254" s="6">
        <v>2000000007397</v>
      </c>
      <c r="I3254" s="6" t="s">
        <v>13500</v>
      </c>
      <c r="J3254" s="6" t="str">
        <f>"TEDDY INDY PINK HOR00511IP"</f>
        <v>TEDDY INDY PINK HOR00511IP</v>
      </c>
      <c r="K3254" s="6">
        <v>0</v>
      </c>
      <c r="L3254" s="6">
        <v>0</v>
      </c>
      <c r="M3254" s="6">
        <v>0</v>
      </c>
      <c r="N3254" s="6" t="str">
        <f>""</f>
        <v/>
      </c>
      <c r="O3254" s="6">
        <v>23400</v>
      </c>
      <c r="P3254" s="6" t="s">
        <v>13501</v>
      </c>
      <c r="R3254" s="6" t="s">
        <v>13437</v>
      </c>
      <c r="S3254" s="6" t="s">
        <v>13502</v>
      </c>
      <c r="T3254" s="6">
        <v>0</v>
      </c>
      <c r="U3254" s="6">
        <v>0</v>
      </c>
      <c r="V3254" s="6">
        <v>0</v>
      </c>
      <c r="W3254" s="6">
        <v>0</v>
      </c>
      <c r="X3254" s="6" t="s">
        <v>169</v>
      </c>
      <c r="Z3254" s="6" t="s">
        <v>170</v>
      </c>
      <c r="AA3254" s="6" t="s">
        <v>171</v>
      </c>
      <c r="AB3254" s="6">
        <v>0</v>
      </c>
      <c r="AC3254" s="6" t="str">
        <f>""</f>
        <v/>
      </c>
      <c r="AS3254" s="6">
        <v>0</v>
      </c>
      <c r="AT3254" s="6">
        <v>0</v>
      </c>
    </row>
    <row r="3255" spans="2:46">
      <c r="B3255" s="6" t="s">
        <v>114</v>
      </c>
      <c r="D3255" s="6" t="s">
        <v>13131</v>
      </c>
      <c r="F3255" s="6" t="s">
        <v>13503</v>
      </c>
      <c r="G3255" s="6" t="str">
        <f>"2000000007595"</f>
        <v>2000000007595</v>
      </c>
      <c r="H3255" s="6">
        <v>2000000007595</v>
      </c>
      <c r="I3255" s="6" t="s">
        <v>13504</v>
      </c>
      <c r="J3255" s="6" t="str">
        <f>"HINATA INDY PINK KJK00524IP"</f>
        <v>HINATA INDY PINK KJK00524IP</v>
      </c>
      <c r="K3255" s="6">
        <v>0</v>
      </c>
      <c r="L3255" s="6">
        <v>0</v>
      </c>
      <c r="M3255" s="6">
        <v>0</v>
      </c>
      <c r="N3255" s="6" t="str">
        <f>""</f>
        <v/>
      </c>
      <c r="O3255" s="6">
        <v>23398</v>
      </c>
      <c r="P3255" s="6" t="s">
        <v>13505</v>
      </c>
      <c r="R3255" s="6" t="s">
        <v>13437</v>
      </c>
      <c r="S3255" s="6" t="s">
        <v>13506</v>
      </c>
      <c r="T3255" s="6">
        <v>0</v>
      </c>
      <c r="U3255" s="6">
        <v>0</v>
      </c>
      <c r="V3255" s="6">
        <v>0</v>
      </c>
      <c r="W3255" s="6">
        <v>0</v>
      </c>
      <c r="X3255" s="6" t="s">
        <v>169</v>
      </c>
      <c r="Z3255" s="6" t="s">
        <v>170</v>
      </c>
      <c r="AA3255" s="6" t="s">
        <v>171</v>
      </c>
      <c r="AB3255" s="6">
        <v>0</v>
      </c>
      <c r="AC3255" s="6" t="str">
        <f>""</f>
        <v/>
      </c>
      <c r="AS3255" s="6">
        <v>0</v>
      </c>
      <c r="AT3255" s="6">
        <v>0</v>
      </c>
    </row>
    <row r="3256" spans="2:46">
      <c r="B3256" s="6" t="s">
        <v>114</v>
      </c>
      <c r="D3256" s="6" t="s">
        <v>13131</v>
      </c>
      <c r="F3256" s="6" t="s">
        <v>13507</v>
      </c>
      <c r="G3256" s="6" t="str">
        <f>"2000000007588"</f>
        <v>2000000007588</v>
      </c>
      <c r="I3256" s="6" t="s">
        <v>13508</v>
      </c>
      <c r="J3256" s="6" t="str">
        <f>"HINATA BEIGE KJK00524BG"</f>
        <v>HINATA BEIGE KJK00524BG</v>
      </c>
      <c r="K3256" s="6">
        <v>0</v>
      </c>
      <c r="L3256" s="6">
        <v>0</v>
      </c>
      <c r="M3256" s="6">
        <v>0</v>
      </c>
      <c r="N3256" s="6" t="str">
        <f>""</f>
        <v/>
      </c>
      <c r="O3256" s="6">
        <v>23396</v>
      </c>
      <c r="P3256" s="6" t="s">
        <v>13509</v>
      </c>
      <c r="R3256" s="6" t="s">
        <v>2102</v>
      </c>
      <c r="S3256" s="6" t="s">
        <v>13510</v>
      </c>
      <c r="T3256" s="6">
        <v>2</v>
      </c>
      <c r="U3256" s="6">
        <v>0</v>
      </c>
      <c r="V3256" s="6">
        <v>0</v>
      </c>
      <c r="W3256" s="6">
        <v>0</v>
      </c>
      <c r="X3256" s="6" t="s">
        <v>169</v>
      </c>
      <c r="Z3256" s="6" t="s">
        <v>170</v>
      </c>
      <c r="AA3256" s="6" t="s">
        <v>171</v>
      </c>
      <c r="AB3256" s="6">
        <v>0</v>
      </c>
      <c r="AC3256" s="6" t="str">
        <f>"KEY-053"</f>
        <v>KEY-053</v>
      </c>
      <c r="AQ3256" s="6" t="str">
        <f>""</f>
        <v/>
      </c>
      <c r="AR3256" s="6" t="s">
        <v>1567</v>
      </c>
      <c r="AS3256" s="6">
        <v>0</v>
      </c>
      <c r="AT3256" s="6">
        <v>2</v>
      </c>
    </row>
    <row r="3257" spans="2:46">
      <c r="B3257" s="6" t="s">
        <v>114</v>
      </c>
      <c r="D3257" s="6" t="s">
        <v>13131</v>
      </c>
      <c r="F3257" s="6" t="s">
        <v>13511</v>
      </c>
      <c r="G3257" s="6" t="str">
        <f>"2000000007601"</f>
        <v>2000000007601</v>
      </c>
      <c r="I3257" s="6" t="s">
        <v>13512</v>
      </c>
      <c r="J3257" s="6" t="str">
        <f>"HINATA GRAY KJK00524GY"</f>
        <v>HINATA GRAY KJK00524GY</v>
      </c>
      <c r="K3257" s="6">
        <v>0</v>
      </c>
      <c r="L3257" s="6">
        <v>0</v>
      </c>
      <c r="M3257" s="6">
        <v>0</v>
      </c>
      <c r="N3257" s="6" t="str">
        <f>""</f>
        <v/>
      </c>
      <c r="O3257" s="6">
        <v>23394</v>
      </c>
      <c r="P3257" s="6" t="s">
        <v>13513</v>
      </c>
      <c r="R3257" s="6" t="s">
        <v>2364</v>
      </c>
      <c r="S3257" s="6" t="s">
        <v>13514</v>
      </c>
      <c r="T3257" s="6">
        <v>2</v>
      </c>
      <c r="U3257" s="6">
        <v>0</v>
      </c>
      <c r="V3257" s="6">
        <v>0</v>
      </c>
      <c r="W3257" s="6">
        <v>0</v>
      </c>
      <c r="X3257" s="6" t="s">
        <v>169</v>
      </c>
      <c r="Z3257" s="6" t="s">
        <v>170</v>
      </c>
      <c r="AA3257" s="6" t="s">
        <v>171</v>
      </c>
      <c r="AB3257" s="6">
        <v>0</v>
      </c>
      <c r="AC3257" s="6" t="str">
        <f>"KEY-015"</f>
        <v>KEY-015</v>
      </c>
      <c r="AQ3257" s="6" t="str">
        <f>""</f>
        <v/>
      </c>
      <c r="AR3257" s="6" t="s">
        <v>1584</v>
      </c>
      <c r="AS3257" s="6">
        <v>0</v>
      </c>
      <c r="AT3257" s="6">
        <v>2</v>
      </c>
    </row>
    <row r="3258" spans="2:46">
      <c r="B3258" s="6" t="s">
        <v>114</v>
      </c>
      <c r="D3258" s="6" t="s">
        <v>13131</v>
      </c>
      <c r="F3258" s="6" t="s">
        <v>13515</v>
      </c>
      <c r="G3258" s="6" t="str">
        <f>"2000000007632"</f>
        <v>2000000007632</v>
      </c>
      <c r="I3258" s="6" t="s">
        <v>13516</v>
      </c>
      <c r="J3258" s="6" t="str">
        <f>"HINATA Black+Red KJK00524BKRD"</f>
        <v>HINATA Black+Red KJK00524BKRD</v>
      </c>
      <c r="K3258" s="6">
        <v>0</v>
      </c>
      <c r="L3258" s="6">
        <v>0</v>
      </c>
      <c r="M3258" s="6">
        <v>0</v>
      </c>
      <c r="N3258" s="6" t="str">
        <f>""</f>
        <v/>
      </c>
      <c r="O3258" s="6">
        <v>23392</v>
      </c>
      <c r="P3258" s="6" t="s">
        <v>13517</v>
      </c>
      <c r="R3258" s="6" t="s">
        <v>13518</v>
      </c>
      <c r="S3258" s="6" t="s">
        <v>13519</v>
      </c>
      <c r="T3258" s="6">
        <v>2</v>
      </c>
      <c r="U3258" s="6">
        <v>0</v>
      </c>
      <c r="V3258" s="6">
        <v>0</v>
      </c>
      <c r="W3258" s="6">
        <v>0</v>
      </c>
      <c r="X3258" s="6" t="s">
        <v>169</v>
      </c>
      <c r="Z3258" s="6" t="s">
        <v>170</v>
      </c>
      <c r="AA3258" s="6" t="s">
        <v>171</v>
      </c>
      <c r="AB3258" s="6">
        <v>0</v>
      </c>
      <c r="AC3258" s="6" t="str">
        <f>"KEY-037"</f>
        <v>KEY-037</v>
      </c>
      <c r="AQ3258" s="6" t="str">
        <f>""</f>
        <v/>
      </c>
      <c r="AR3258" s="6" t="s">
        <v>1567</v>
      </c>
      <c r="AS3258" s="6">
        <v>0</v>
      </c>
      <c r="AT3258" s="6">
        <v>2</v>
      </c>
    </row>
    <row r="3259" spans="2:46">
      <c r="B3259" s="6" t="s">
        <v>114</v>
      </c>
      <c r="D3259" s="6" t="s">
        <v>13131</v>
      </c>
      <c r="F3259" s="6" t="s">
        <v>13520</v>
      </c>
      <c r="G3259" s="6" t="str">
        <f>"2000000007625"</f>
        <v>2000000007625</v>
      </c>
      <c r="I3259" s="6" t="s">
        <v>13521</v>
      </c>
      <c r="J3259" s="6" t="str">
        <f>"HINATA Black+Blue KJK00524BKBL"</f>
        <v>HINATA Black+Blue KJK00524BKBL</v>
      </c>
      <c r="K3259" s="6">
        <v>0</v>
      </c>
      <c r="L3259" s="6">
        <v>0</v>
      </c>
      <c r="M3259" s="6">
        <v>0</v>
      </c>
      <c r="N3259" s="6" t="str">
        <f>""</f>
        <v/>
      </c>
      <c r="O3259" s="6">
        <v>23390</v>
      </c>
      <c r="P3259" s="6" t="s">
        <v>13522</v>
      </c>
      <c r="R3259" s="6" t="s">
        <v>13523</v>
      </c>
      <c r="S3259" s="6" t="s">
        <v>13524</v>
      </c>
      <c r="T3259" s="6">
        <v>2</v>
      </c>
      <c r="U3259" s="6">
        <v>0</v>
      </c>
      <c r="V3259" s="6">
        <v>0</v>
      </c>
      <c r="W3259" s="6">
        <v>0</v>
      </c>
      <c r="X3259" s="6" t="s">
        <v>169</v>
      </c>
      <c r="Z3259" s="6" t="s">
        <v>170</v>
      </c>
      <c r="AA3259" s="6" t="s">
        <v>171</v>
      </c>
      <c r="AB3259" s="6">
        <v>0</v>
      </c>
      <c r="AC3259" s="6" t="str">
        <f>"KEY-015"</f>
        <v>KEY-015</v>
      </c>
      <c r="AQ3259" s="6" t="str">
        <f>""</f>
        <v/>
      </c>
      <c r="AR3259" s="6" t="s">
        <v>1584</v>
      </c>
      <c r="AS3259" s="6">
        <v>0</v>
      </c>
      <c r="AT3259" s="6">
        <v>2</v>
      </c>
    </row>
    <row r="3260" spans="2:46">
      <c r="B3260" s="6" t="s">
        <v>114</v>
      </c>
      <c r="D3260" s="6" t="s">
        <v>13131</v>
      </c>
      <c r="F3260" s="6" t="s">
        <v>13525</v>
      </c>
      <c r="G3260" s="6" t="str">
        <f>"2000000007618"</f>
        <v>2000000007618</v>
      </c>
      <c r="I3260" s="6" t="s">
        <v>13526</v>
      </c>
      <c r="J3260" s="6" t="str">
        <f>"HINATA Black+Yellow KJK00524BKYL"</f>
        <v>HINATA Black+Yellow KJK00524BKYL</v>
      </c>
      <c r="K3260" s="6">
        <v>0</v>
      </c>
      <c r="L3260" s="6">
        <v>0</v>
      </c>
      <c r="M3260" s="6">
        <v>0</v>
      </c>
      <c r="N3260" s="6" t="str">
        <f>""</f>
        <v/>
      </c>
      <c r="O3260" s="6">
        <v>23388</v>
      </c>
      <c r="P3260" s="6" t="s">
        <v>13527</v>
      </c>
      <c r="R3260" s="6" t="s">
        <v>13528</v>
      </c>
      <c r="S3260" s="6" t="s">
        <v>13529</v>
      </c>
      <c r="T3260" s="6">
        <v>2</v>
      </c>
      <c r="U3260" s="6">
        <v>0</v>
      </c>
      <c r="V3260" s="6">
        <v>0</v>
      </c>
      <c r="W3260" s="6">
        <v>0</v>
      </c>
      <c r="X3260" s="6" t="s">
        <v>169</v>
      </c>
      <c r="Z3260" s="6" t="s">
        <v>170</v>
      </c>
      <c r="AA3260" s="6" t="s">
        <v>171</v>
      </c>
      <c r="AB3260" s="6">
        <v>0</v>
      </c>
      <c r="AC3260" s="6" t="str">
        <f>"KEY-020"</f>
        <v>KEY-020</v>
      </c>
      <c r="AQ3260" s="6" t="str">
        <f>""</f>
        <v/>
      </c>
      <c r="AR3260" s="6" t="s">
        <v>1567</v>
      </c>
      <c r="AS3260" s="6">
        <v>0</v>
      </c>
      <c r="AT3260" s="6">
        <v>2</v>
      </c>
    </row>
    <row r="3261" spans="2:46">
      <c r="B3261" s="6" t="s">
        <v>114</v>
      </c>
      <c r="D3261" s="6" t="s">
        <v>13131</v>
      </c>
      <c r="F3261" s="6" t="s">
        <v>13530</v>
      </c>
      <c r="G3261" s="6" t="str">
        <f>"2000000007526"</f>
        <v>2000000007526</v>
      </c>
      <c r="I3261" s="6" t="s">
        <v>13531</v>
      </c>
      <c r="J3261" s="6" t="str">
        <f>"MAHO PINK KJK00523PK"</f>
        <v>MAHO PINK KJK00523PK</v>
      </c>
      <c r="K3261" s="6">
        <v>0</v>
      </c>
      <c r="L3261" s="6">
        <v>0</v>
      </c>
      <c r="M3261" s="6">
        <v>0</v>
      </c>
      <c r="N3261" s="6" t="str">
        <f>""</f>
        <v/>
      </c>
      <c r="O3261" s="6">
        <v>23386</v>
      </c>
      <c r="P3261" s="6" t="s">
        <v>13532</v>
      </c>
      <c r="R3261" s="6" t="s">
        <v>2446</v>
      </c>
      <c r="S3261" s="6" t="s">
        <v>13533</v>
      </c>
      <c r="T3261" s="6">
        <v>1</v>
      </c>
      <c r="U3261" s="6">
        <v>0</v>
      </c>
      <c r="V3261" s="6">
        <v>0</v>
      </c>
      <c r="W3261" s="6">
        <v>0</v>
      </c>
      <c r="X3261" s="6" t="s">
        <v>169</v>
      </c>
      <c r="Z3261" s="6" t="s">
        <v>170</v>
      </c>
      <c r="AA3261" s="6" t="s">
        <v>171</v>
      </c>
      <c r="AB3261" s="6">
        <v>0</v>
      </c>
      <c r="AC3261" s="6" t="str">
        <f>"KEY-013"</f>
        <v>KEY-013</v>
      </c>
      <c r="AQ3261" s="6" t="str">
        <f>""</f>
        <v/>
      </c>
      <c r="AR3261" s="6" t="s">
        <v>1584</v>
      </c>
      <c r="AS3261" s="6">
        <v>0</v>
      </c>
      <c r="AT3261" s="6">
        <v>1</v>
      </c>
    </row>
    <row r="3262" spans="2:46">
      <c r="B3262" s="6" t="s">
        <v>114</v>
      </c>
      <c r="D3262" s="6" t="s">
        <v>13131</v>
      </c>
      <c r="F3262" s="6" t="s">
        <v>13534</v>
      </c>
      <c r="G3262" s="6" t="str">
        <f>"2000000007502"</f>
        <v>2000000007502</v>
      </c>
      <c r="I3262" s="6" t="s">
        <v>13535</v>
      </c>
      <c r="J3262" s="6" t="str">
        <f>"MAHO BLACK KJK00523BK"</f>
        <v>MAHO BLACK KJK00523BK</v>
      </c>
      <c r="K3262" s="6">
        <v>0</v>
      </c>
      <c r="L3262" s="6">
        <v>0</v>
      </c>
      <c r="M3262" s="6">
        <v>0</v>
      </c>
      <c r="N3262" s="6" t="str">
        <f>""</f>
        <v/>
      </c>
      <c r="O3262" s="6">
        <v>23384</v>
      </c>
      <c r="P3262" s="6" t="s">
        <v>13536</v>
      </c>
      <c r="R3262" s="6" t="s">
        <v>2106</v>
      </c>
      <c r="S3262" s="6" t="s">
        <v>13537</v>
      </c>
      <c r="T3262" s="6">
        <v>1</v>
      </c>
      <c r="U3262" s="6">
        <v>0</v>
      </c>
      <c r="V3262" s="6">
        <v>0</v>
      </c>
      <c r="W3262" s="6">
        <v>0</v>
      </c>
      <c r="X3262" s="6" t="s">
        <v>169</v>
      </c>
      <c r="Z3262" s="6" t="s">
        <v>170</v>
      </c>
      <c r="AA3262" s="6" t="s">
        <v>171</v>
      </c>
      <c r="AB3262" s="6">
        <v>0</v>
      </c>
      <c r="AC3262" s="6" t="str">
        <f>"KEY-065"</f>
        <v>KEY-065</v>
      </c>
      <c r="AQ3262" s="6" t="str">
        <f>""</f>
        <v/>
      </c>
      <c r="AR3262" s="6" t="s">
        <v>1567</v>
      </c>
      <c r="AS3262" s="6">
        <v>0</v>
      </c>
      <c r="AT3262" s="6">
        <v>1</v>
      </c>
    </row>
    <row r="3263" spans="2:46">
      <c r="B3263" s="6" t="s">
        <v>114</v>
      </c>
      <c r="D3263" s="6" t="s">
        <v>13131</v>
      </c>
      <c r="F3263" s="6" t="s">
        <v>13538</v>
      </c>
      <c r="G3263" s="6" t="str">
        <f>"2000000007557"</f>
        <v>2000000007557</v>
      </c>
      <c r="I3263" s="6" t="s">
        <v>13539</v>
      </c>
      <c r="J3263" s="6" t="str">
        <f>"MAHO LIGHTGRAY KJK00523LG"</f>
        <v>MAHO LIGHTGRAY KJK00523LG</v>
      </c>
      <c r="K3263" s="6">
        <v>0</v>
      </c>
      <c r="L3263" s="6">
        <v>0</v>
      </c>
      <c r="M3263" s="6">
        <v>0</v>
      </c>
      <c r="N3263" s="6" t="str">
        <f>""</f>
        <v/>
      </c>
      <c r="O3263" s="6">
        <v>23382</v>
      </c>
      <c r="P3263" s="6" t="s">
        <v>13540</v>
      </c>
      <c r="R3263" s="6" t="s">
        <v>13541</v>
      </c>
      <c r="S3263" s="6" t="s">
        <v>13542</v>
      </c>
      <c r="T3263" s="6">
        <v>1</v>
      </c>
      <c r="U3263" s="6">
        <v>0</v>
      </c>
      <c r="V3263" s="6">
        <v>0</v>
      </c>
      <c r="W3263" s="6">
        <v>0</v>
      </c>
      <c r="X3263" s="6" t="s">
        <v>169</v>
      </c>
      <c r="Z3263" s="6" t="s">
        <v>170</v>
      </c>
      <c r="AA3263" s="6" t="s">
        <v>171</v>
      </c>
      <c r="AB3263" s="6">
        <v>0</v>
      </c>
      <c r="AC3263" s="6" t="str">
        <f>"KEY-072"</f>
        <v>KEY-072</v>
      </c>
      <c r="AQ3263" s="6" t="str">
        <f>""</f>
        <v/>
      </c>
      <c r="AR3263" s="6" t="s">
        <v>1567</v>
      </c>
      <c r="AS3263" s="6">
        <v>0</v>
      </c>
      <c r="AT3263" s="6">
        <v>1</v>
      </c>
    </row>
    <row r="3264" spans="2:46">
      <c r="B3264" s="6" t="s">
        <v>114</v>
      </c>
      <c r="D3264" s="6" t="s">
        <v>13131</v>
      </c>
      <c r="F3264" s="6" t="s">
        <v>13543</v>
      </c>
      <c r="G3264" s="6" t="str">
        <f>"2000000007533"</f>
        <v>2000000007533</v>
      </c>
      <c r="I3264" s="6" t="s">
        <v>13544</v>
      </c>
      <c r="J3264" s="6" t="str">
        <f>"MAHO SKYBLUE KJK00523SB"</f>
        <v>MAHO SKYBLUE KJK00523SB</v>
      </c>
      <c r="K3264" s="6">
        <v>0</v>
      </c>
      <c r="L3264" s="6">
        <v>0</v>
      </c>
      <c r="M3264" s="6">
        <v>0</v>
      </c>
      <c r="N3264" s="6" t="str">
        <f>""</f>
        <v/>
      </c>
      <c r="O3264" s="6">
        <v>23380</v>
      </c>
      <c r="P3264" s="6" t="s">
        <v>13545</v>
      </c>
      <c r="R3264" s="6" t="s">
        <v>5620</v>
      </c>
      <c r="S3264" s="6" t="s">
        <v>13546</v>
      </c>
      <c r="T3264" s="6">
        <v>2</v>
      </c>
      <c r="U3264" s="6">
        <v>0</v>
      </c>
      <c r="V3264" s="6">
        <v>0</v>
      </c>
      <c r="W3264" s="6">
        <v>0</v>
      </c>
      <c r="X3264" s="6" t="s">
        <v>169</v>
      </c>
      <c r="Z3264" s="6" t="s">
        <v>170</v>
      </c>
      <c r="AA3264" s="6" t="s">
        <v>171</v>
      </c>
      <c r="AB3264" s="6">
        <v>0</v>
      </c>
      <c r="AC3264" s="6" t="str">
        <f>"KEY-011"</f>
        <v>KEY-011</v>
      </c>
      <c r="AQ3264" s="6" t="str">
        <f>""</f>
        <v/>
      </c>
      <c r="AR3264" s="6" t="s">
        <v>1584</v>
      </c>
      <c r="AS3264" s="6">
        <v>0</v>
      </c>
      <c r="AT3264" s="6">
        <v>2</v>
      </c>
    </row>
    <row r="3265" spans="2:46">
      <c r="B3265" s="6" t="s">
        <v>114</v>
      </c>
      <c r="D3265" s="6" t="s">
        <v>13131</v>
      </c>
      <c r="F3265" s="6" t="s">
        <v>13547</v>
      </c>
      <c r="G3265" s="6" t="str">
        <f>"2000000007519"</f>
        <v>2000000007519</v>
      </c>
      <c r="H3265" s="6">
        <v>2000000007519</v>
      </c>
      <c r="I3265" s="6" t="s">
        <v>13548</v>
      </c>
      <c r="J3265" s="6" t="str">
        <f>"MAHO RED KJK00523RD"</f>
        <v>MAHO RED KJK00523RD</v>
      </c>
      <c r="K3265" s="6">
        <v>0</v>
      </c>
      <c r="L3265" s="6">
        <v>0</v>
      </c>
      <c r="M3265" s="6">
        <v>0</v>
      </c>
      <c r="N3265" s="6" t="str">
        <f>""</f>
        <v/>
      </c>
      <c r="O3265" s="6">
        <v>23378</v>
      </c>
      <c r="P3265" s="6" t="s">
        <v>13549</v>
      </c>
      <c r="R3265" s="6" t="s">
        <v>2309</v>
      </c>
      <c r="S3265" s="6" t="s">
        <v>13550</v>
      </c>
      <c r="T3265" s="6">
        <v>0</v>
      </c>
      <c r="U3265" s="6">
        <v>0</v>
      </c>
      <c r="V3265" s="6">
        <v>0</v>
      </c>
      <c r="W3265" s="6">
        <v>0</v>
      </c>
      <c r="X3265" s="6" t="s">
        <v>169</v>
      </c>
      <c r="Z3265" s="6" t="s">
        <v>170</v>
      </c>
      <c r="AA3265" s="6" t="s">
        <v>171</v>
      </c>
      <c r="AB3265" s="6">
        <v>0</v>
      </c>
      <c r="AC3265" s="6" t="str">
        <f>""</f>
        <v/>
      </c>
      <c r="AS3265" s="6">
        <v>0</v>
      </c>
      <c r="AT3265" s="6">
        <v>0</v>
      </c>
    </row>
    <row r="3266" spans="2:46">
      <c r="B3266" s="6" t="s">
        <v>114</v>
      </c>
      <c r="D3266" s="6" t="s">
        <v>13131</v>
      </c>
      <c r="F3266" s="6" t="s">
        <v>13551</v>
      </c>
      <c r="G3266" s="6" t="str">
        <f>"2000000007540"</f>
        <v>2000000007540</v>
      </c>
      <c r="I3266" s="6" t="s">
        <v>13552</v>
      </c>
      <c r="J3266" s="6" t="str">
        <f>"MAHO BEIGE KJK00523BG"</f>
        <v>MAHO BEIGE KJK00523BG</v>
      </c>
      <c r="K3266" s="6">
        <v>0</v>
      </c>
      <c r="L3266" s="6">
        <v>0</v>
      </c>
      <c r="M3266" s="6">
        <v>0</v>
      </c>
      <c r="N3266" s="6" t="str">
        <f>""</f>
        <v/>
      </c>
      <c r="O3266" s="6">
        <v>23376</v>
      </c>
      <c r="P3266" s="6" t="s">
        <v>13553</v>
      </c>
      <c r="R3266" s="6" t="s">
        <v>2102</v>
      </c>
      <c r="S3266" s="6" t="s">
        <v>13554</v>
      </c>
      <c r="T3266" s="6">
        <v>2</v>
      </c>
      <c r="U3266" s="6">
        <v>0</v>
      </c>
      <c r="V3266" s="6">
        <v>0</v>
      </c>
      <c r="W3266" s="6">
        <v>0</v>
      </c>
      <c r="X3266" s="6" t="s">
        <v>169</v>
      </c>
      <c r="Z3266" s="6" t="s">
        <v>170</v>
      </c>
      <c r="AA3266" s="6" t="s">
        <v>171</v>
      </c>
      <c r="AB3266" s="6">
        <v>0</v>
      </c>
      <c r="AC3266" s="6" t="str">
        <f>"KEY-018"</f>
        <v>KEY-018</v>
      </c>
      <c r="AQ3266" s="6" t="str">
        <f>""</f>
        <v/>
      </c>
      <c r="AR3266" s="6" t="s">
        <v>1567</v>
      </c>
      <c r="AS3266" s="6">
        <v>0</v>
      </c>
      <c r="AT3266" s="6">
        <v>2</v>
      </c>
    </row>
    <row r="3267" spans="2:46">
      <c r="B3267" s="6" t="s">
        <v>114</v>
      </c>
      <c r="D3267" s="6" t="s">
        <v>13131</v>
      </c>
      <c r="F3267" s="6" t="s">
        <v>13555</v>
      </c>
      <c r="G3267" s="6" t="str">
        <f>"2000000007564"</f>
        <v>2000000007564</v>
      </c>
      <c r="H3267" s="6">
        <v>2000000007564</v>
      </c>
      <c r="I3267" s="6" t="s">
        <v>13556</v>
      </c>
      <c r="J3267" s="6" t="str">
        <f>"MAHO YELLOW KJK00523MU"</f>
        <v>MAHO YELLOW KJK00523MU</v>
      </c>
      <c r="K3267" s="6">
        <v>0</v>
      </c>
      <c r="L3267" s="6">
        <v>0</v>
      </c>
      <c r="M3267" s="6">
        <v>0</v>
      </c>
      <c r="N3267" s="6" t="str">
        <f>""</f>
        <v/>
      </c>
      <c r="O3267" s="6">
        <v>23374</v>
      </c>
      <c r="P3267" s="6" t="s">
        <v>13557</v>
      </c>
      <c r="R3267" s="6" t="s">
        <v>2570</v>
      </c>
      <c r="S3267" s="6" t="s">
        <v>13558</v>
      </c>
      <c r="T3267" s="6">
        <v>0</v>
      </c>
      <c r="U3267" s="6">
        <v>0</v>
      </c>
      <c r="V3267" s="6">
        <v>0</v>
      </c>
      <c r="W3267" s="6">
        <v>0</v>
      </c>
      <c r="X3267" s="6" t="s">
        <v>169</v>
      </c>
      <c r="Z3267" s="6" t="s">
        <v>170</v>
      </c>
      <c r="AA3267" s="6" t="s">
        <v>171</v>
      </c>
      <c r="AB3267" s="6">
        <v>0</v>
      </c>
      <c r="AC3267" s="6" t="str">
        <f>""</f>
        <v/>
      </c>
      <c r="AS3267" s="6">
        <v>0</v>
      </c>
      <c r="AT3267" s="6">
        <v>0</v>
      </c>
    </row>
    <row r="3268" spans="2:46">
      <c r="B3268" s="6" t="s">
        <v>114</v>
      </c>
      <c r="D3268" s="6" t="s">
        <v>13131</v>
      </c>
      <c r="F3268" s="6" t="s">
        <v>13559</v>
      </c>
      <c r="G3268" s="6" t="str">
        <f>"2000000007571"</f>
        <v>2000000007571</v>
      </c>
      <c r="I3268" s="6" t="s">
        <v>13560</v>
      </c>
      <c r="J3268" s="6" t="str">
        <f>"MAHO PURPLE KJK00523PP"</f>
        <v>MAHO PURPLE KJK00523PP</v>
      </c>
      <c r="K3268" s="6">
        <v>0</v>
      </c>
      <c r="L3268" s="6">
        <v>0</v>
      </c>
      <c r="M3268" s="6">
        <v>0</v>
      </c>
      <c r="N3268" s="6" t="str">
        <f>""</f>
        <v/>
      </c>
      <c r="O3268" s="6">
        <v>23372</v>
      </c>
      <c r="P3268" s="6" t="s">
        <v>13561</v>
      </c>
      <c r="R3268" s="6" t="s">
        <v>2913</v>
      </c>
      <c r="S3268" s="6" t="s">
        <v>13562</v>
      </c>
      <c r="T3268" s="6">
        <v>2</v>
      </c>
      <c r="U3268" s="6">
        <v>0</v>
      </c>
      <c r="V3268" s="6">
        <v>0</v>
      </c>
      <c r="W3268" s="6">
        <v>0</v>
      </c>
      <c r="X3268" s="6" t="s">
        <v>169</v>
      </c>
      <c r="Z3268" s="6" t="s">
        <v>170</v>
      </c>
      <c r="AA3268" s="6" t="s">
        <v>171</v>
      </c>
      <c r="AB3268" s="6">
        <v>0</v>
      </c>
      <c r="AC3268" s="6" t="str">
        <f>"KEY-013"</f>
        <v>KEY-013</v>
      </c>
      <c r="AQ3268" s="6" t="str">
        <f>""</f>
        <v/>
      </c>
      <c r="AR3268" s="6" t="s">
        <v>1584</v>
      </c>
      <c r="AS3268" s="6">
        <v>0</v>
      </c>
      <c r="AT3268" s="6">
        <v>2</v>
      </c>
    </row>
    <row r="3269" spans="2:46">
      <c r="B3269" s="6" t="s">
        <v>114</v>
      </c>
      <c r="D3269" s="6" t="s">
        <v>13131</v>
      </c>
      <c r="F3269" s="6" t="s">
        <v>13563</v>
      </c>
      <c r="G3269" s="6" t="str">
        <f>"2000000000381"</f>
        <v>2000000000381</v>
      </c>
      <c r="H3269" s="6">
        <v>2000000000381</v>
      </c>
      <c r="I3269" s="6" t="s">
        <v>13564</v>
      </c>
      <c r="J3269" s="6" t="str">
        <f>"BELIO BLUE PHK00413BL"</f>
        <v>BELIO BLUE PHK00413BL</v>
      </c>
      <c r="K3269" s="6">
        <v>0</v>
      </c>
      <c r="L3269" s="6">
        <v>0</v>
      </c>
      <c r="M3269" s="6">
        <v>0</v>
      </c>
      <c r="N3269" s="6" t="str">
        <f>""</f>
        <v/>
      </c>
      <c r="O3269" s="6">
        <v>23370</v>
      </c>
      <c r="P3269" s="6" t="s">
        <v>13565</v>
      </c>
      <c r="R3269" s="6" t="s">
        <v>2175</v>
      </c>
      <c r="S3269" s="6" t="s">
        <v>13566</v>
      </c>
      <c r="T3269" s="6">
        <v>0</v>
      </c>
      <c r="U3269" s="6">
        <v>0</v>
      </c>
      <c r="V3269" s="6">
        <v>0</v>
      </c>
      <c r="W3269" s="6">
        <v>0</v>
      </c>
      <c r="X3269" s="6" t="s">
        <v>169</v>
      </c>
      <c r="Z3269" s="6" t="s">
        <v>170</v>
      </c>
      <c r="AA3269" s="6" t="s">
        <v>171</v>
      </c>
      <c r="AB3269" s="6">
        <v>0</v>
      </c>
      <c r="AC3269" s="6" t="str">
        <f>""</f>
        <v/>
      </c>
      <c r="AS3269" s="6">
        <v>0</v>
      </c>
      <c r="AT3269" s="6">
        <v>0</v>
      </c>
    </row>
    <row r="3270" spans="2:46">
      <c r="B3270" s="6" t="s">
        <v>114</v>
      </c>
      <c r="D3270" s="6" t="s">
        <v>13131</v>
      </c>
      <c r="F3270" s="6" t="s">
        <v>13567</v>
      </c>
      <c r="G3270" s="6" t="str">
        <f>"2000000002583"</f>
        <v>2000000002583</v>
      </c>
      <c r="H3270" s="6">
        <v>2000000002583</v>
      </c>
      <c r="I3270" s="6" t="s">
        <v>13568</v>
      </c>
      <c r="J3270" s="6" t="str">
        <f>"BELIO BRONZE PHK00413BZ"</f>
        <v>BELIO BRONZE PHK00413BZ</v>
      </c>
      <c r="K3270" s="6">
        <v>0</v>
      </c>
      <c r="L3270" s="6">
        <v>0</v>
      </c>
      <c r="M3270" s="6">
        <v>0</v>
      </c>
      <c r="N3270" s="6" t="str">
        <f>""</f>
        <v/>
      </c>
      <c r="O3270" s="6">
        <v>23368</v>
      </c>
      <c r="P3270" s="6" t="s">
        <v>13569</v>
      </c>
      <c r="R3270" s="6" t="s">
        <v>13570</v>
      </c>
      <c r="S3270" s="6" t="s">
        <v>13571</v>
      </c>
      <c r="T3270" s="6">
        <v>0</v>
      </c>
      <c r="U3270" s="6">
        <v>0</v>
      </c>
      <c r="V3270" s="6">
        <v>0</v>
      </c>
      <c r="W3270" s="6">
        <v>0</v>
      </c>
      <c r="X3270" s="6" t="s">
        <v>169</v>
      </c>
      <c r="Z3270" s="6" t="s">
        <v>170</v>
      </c>
      <c r="AA3270" s="6" t="s">
        <v>171</v>
      </c>
      <c r="AB3270" s="6">
        <v>0</v>
      </c>
      <c r="AC3270" s="6" t="str">
        <f>""</f>
        <v/>
      </c>
      <c r="AS3270" s="6">
        <v>0</v>
      </c>
      <c r="AT3270" s="6">
        <v>0</v>
      </c>
    </row>
    <row r="3271" spans="2:46">
      <c r="B3271" s="6" t="s">
        <v>114</v>
      </c>
      <c r="D3271" s="6" t="s">
        <v>13131</v>
      </c>
      <c r="F3271" s="6" t="s">
        <v>13572</v>
      </c>
      <c r="G3271" s="6" t="str">
        <f>"2000000000183"</f>
        <v>2000000000183</v>
      </c>
      <c r="H3271" s="6">
        <v>2000000000183</v>
      </c>
      <c r="I3271" s="6" t="s">
        <v>13573</v>
      </c>
      <c r="J3271" s="6" t="str">
        <f>"BELIO BLACK PHK00413BK"</f>
        <v>BELIO BLACK PHK00413BK</v>
      </c>
      <c r="K3271" s="6">
        <v>0</v>
      </c>
      <c r="L3271" s="6">
        <v>0</v>
      </c>
      <c r="M3271" s="6">
        <v>0</v>
      </c>
      <c r="N3271" s="6" t="str">
        <f>""</f>
        <v/>
      </c>
      <c r="O3271" s="6">
        <v>23366</v>
      </c>
      <c r="P3271" s="6" t="s">
        <v>13574</v>
      </c>
      <c r="R3271" s="6" t="s">
        <v>2106</v>
      </c>
      <c r="S3271" s="6" t="s">
        <v>13575</v>
      </c>
      <c r="T3271" s="6">
        <v>0</v>
      </c>
      <c r="U3271" s="6">
        <v>0</v>
      </c>
      <c r="V3271" s="6">
        <v>0</v>
      </c>
      <c r="W3271" s="6">
        <v>0</v>
      </c>
      <c r="X3271" s="6" t="s">
        <v>169</v>
      </c>
      <c r="Z3271" s="6" t="s">
        <v>170</v>
      </c>
      <c r="AA3271" s="6" t="s">
        <v>171</v>
      </c>
      <c r="AB3271" s="6">
        <v>0</v>
      </c>
      <c r="AC3271" s="6" t="str">
        <f>""</f>
        <v/>
      </c>
      <c r="AS3271" s="6">
        <v>0</v>
      </c>
      <c r="AT3271" s="6">
        <v>0</v>
      </c>
    </row>
    <row r="3272" spans="2:46">
      <c r="B3272" s="6" t="s">
        <v>114</v>
      </c>
      <c r="D3272" s="6" t="s">
        <v>13131</v>
      </c>
      <c r="F3272" s="6" t="s">
        <v>13576</v>
      </c>
      <c r="G3272" s="6" t="str">
        <f>"2000000009285"</f>
        <v>2000000009285</v>
      </c>
      <c r="H3272" s="6">
        <v>2000000009285</v>
      </c>
      <c r="I3272" s="6" t="s">
        <v>13577</v>
      </c>
      <c r="J3272" s="6" t="str">
        <f>"MIDAS EBLUE JIS00530EBL"</f>
        <v>MIDAS EBLUE JIS00530EBL</v>
      </c>
      <c r="K3272" s="6">
        <v>0</v>
      </c>
      <c r="L3272" s="6">
        <v>0</v>
      </c>
      <c r="M3272" s="6">
        <v>0</v>
      </c>
      <c r="N3272" s="6" t="str">
        <f>""</f>
        <v/>
      </c>
      <c r="O3272" s="6">
        <v>23364</v>
      </c>
      <c r="P3272" s="6" t="s">
        <v>13578</v>
      </c>
      <c r="R3272" s="6" t="s">
        <v>13579</v>
      </c>
      <c r="S3272" s="6" t="s">
        <v>13580</v>
      </c>
      <c r="T3272" s="6">
        <v>0</v>
      </c>
      <c r="U3272" s="6">
        <v>0</v>
      </c>
      <c r="V3272" s="6">
        <v>0</v>
      </c>
      <c r="W3272" s="6">
        <v>0</v>
      </c>
      <c r="X3272" s="6" t="s">
        <v>169</v>
      </c>
      <c r="Z3272" s="6" t="s">
        <v>170</v>
      </c>
      <c r="AA3272" s="6" t="s">
        <v>171</v>
      </c>
      <c r="AB3272" s="6">
        <v>0</v>
      </c>
      <c r="AC3272" s="6" t="str">
        <f>""</f>
        <v/>
      </c>
      <c r="AS3272" s="6">
        <v>0</v>
      </c>
      <c r="AT3272" s="6">
        <v>0</v>
      </c>
    </row>
    <row r="3273" spans="2:46">
      <c r="B3273" s="6" t="s">
        <v>114</v>
      </c>
      <c r="D3273" s="6" t="s">
        <v>13131</v>
      </c>
      <c r="F3273" s="6" t="s">
        <v>13581</v>
      </c>
      <c r="G3273" s="6" t="str">
        <f>"2000000007991"</f>
        <v>2000000007991</v>
      </c>
      <c r="H3273" s="6">
        <v>2000000007991</v>
      </c>
      <c r="I3273" s="6" t="s">
        <v>13582</v>
      </c>
      <c r="J3273" s="6" t="str">
        <f>"MIDAS BLACK JIS00530BK"</f>
        <v>MIDAS BLACK JIS00530BK</v>
      </c>
      <c r="K3273" s="6">
        <v>0</v>
      </c>
      <c r="L3273" s="6">
        <v>0</v>
      </c>
      <c r="M3273" s="6">
        <v>0</v>
      </c>
      <c r="N3273" s="6" t="str">
        <f>""</f>
        <v/>
      </c>
      <c r="O3273" s="6">
        <v>23362</v>
      </c>
      <c r="P3273" s="6" t="s">
        <v>13583</v>
      </c>
      <c r="R3273" s="6" t="s">
        <v>2106</v>
      </c>
      <c r="S3273" s="6" t="s">
        <v>13584</v>
      </c>
      <c r="T3273" s="6">
        <v>0</v>
      </c>
      <c r="U3273" s="6">
        <v>0</v>
      </c>
      <c r="V3273" s="6">
        <v>0</v>
      </c>
      <c r="W3273" s="6">
        <v>0</v>
      </c>
      <c r="X3273" s="6" t="s">
        <v>169</v>
      </c>
      <c r="Z3273" s="6" t="s">
        <v>170</v>
      </c>
      <c r="AA3273" s="6" t="s">
        <v>171</v>
      </c>
      <c r="AB3273" s="6">
        <v>0</v>
      </c>
      <c r="AC3273" s="6" t="str">
        <f>""</f>
        <v/>
      </c>
      <c r="AS3273" s="6">
        <v>0</v>
      </c>
      <c r="AT3273" s="6">
        <v>0</v>
      </c>
    </row>
    <row r="3274" spans="2:46">
      <c r="B3274" s="6" t="s">
        <v>114</v>
      </c>
      <c r="D3274" s="6" t="s">
        <v>13131</v>
      </c>
      <c r="F3274" s="6" t="s">
        <v>13585</v>
      </c>
      <c r="G3274" s="6" t="str">
        <f>"2000000008066"</f>
        <v>2000000008066</v>
      </c>
      <c r="H3274" s="6">
        <v>2000000008066</v>
      </c>
      <c r="I3274" s="6" t="s">
        <v>13586</v>
      </c>
      <c r="J3274" s="6" t="str">
        <f>"MIDAS BLUE JIS00530BL"</f>
        <v>MIDAS BLUE JIS00530BL</v>
      </c>
      <c r="K3274" s="6">
        <v>0</v>
      </c>
      <c r="L3274" s="6">
        <v>0</v>
      </c>
      <c r="M3274" s="6">
        <v>0</v>
      </c>
      <c r="N3274" s="6" t="str">
        <f>""</f>
        <v/>
      </c>
      <c r="O3274" s="6">
        <v>23360</v>
      </c>
      <c r="P3274" s="6" t="s">
        <v>13587</v>
      </c>
      <c r="R3274" s="6" t="s">
        <v>2175</v>
      </c>
      <c r="S3274" s="6" t="s">
        <v>13588</v>
      </c>
      <c r="T3274" s="6">
        <v>0</v>
      </c>
      <c r="U3274" s="6">
        <v>0</v>
      </c>
      <c r="V3274" s="6">
        <v>0</v>
      </c>
      <c r="W3274" s="6">
        <v>0</v>
      </c>
      <c r="X3274" s="6" t="s">
        <v>169</v>
      </c>
      <c r="Z3274" s="6" t="s">
        <v>170</v>
      </c>
      <c r="AA3274" s="6" t="s">
        <v>171</v>
      </c>
      <c r="AB3274" s="6">
        <v>0</v>
      </c>
      <c r="AC3274" s="6" t="str">
        <f>""</f>
        <v/>
      </c>
      <c r="AS3274" s="6">
        <v>0</v>
      </c>
      <c r="AT3274" s="6">
        <v>0</v>
      </c>
    </row>
    <row r="3275" spans="2:46">
      <c r="B3275" s="6" t="s">
        <v>114</v>
      </c>
      <c r="D3275" s="6" t="s">
        <v>13131</v>
      </c>
      <c r="F3275" s="6" t="s">
        <v>13589</v>
      </c>
      <c r="G3275" s="6" t="str">
        <f>"2000000008011"</f>
        <v>2000000008011</v>
      </c>
      <c r="H3275" s="6">
        <v>2000000008011</v>
      </c>
      <c r="I3275" s="6" t="s">
        <v>13590</v>
      </c>
      <c r="J3275" s="6" t="str">
        <f>"MIDAS IVORY JIS00530IV"</f>
        <v>MIDAS IVORY JIS00530IV</v>
      </c>
      <c r="K3275" s="6">
        <v>0</v>
      </c>
      <c r="L3275" s="6">
        <v>0</v>
      </c>
      <c r="M3275" s="6">
        <v>0</v>
      </c>
      <c r="N3275" s="6" t="str">
        <f>""</f>
        <v/>
      </c>
      <c r="O3275" s="6">
        <v>23358</v>
      </c>
      <c r="P3275" s="6" t="s">
        <v>13591</v>
      </c>
      <c r="R3275" s="6" t="s">
        <v>2356</v>
      </c>
      <c r="S3275" s="6" t="s">
        <v>13592</v>
      </c>
      <c r="T3275" s="6">
        <v>0</v>
      </c>
      <c r="U3275" s="6">
        <v>0</v>
      </c>
      <c r="V3275" s="6">
        <v>0</v>
      </c>
      <c r="W3275" s="6">
        <v>0</v>
      </c>
      <c r="X3275" s="6" t="s">
        <v>169</v>
      </c>
      <c r="Z3275" s="6" t="s">
        <v>170</v>
      </c>
      <c r="AA3275" s="6" t="s">
        <v>171</v>
      </c>
      <c r="AB3275" s="6">
        <v>0</v>
      </c>
      <c r="AC3275" s="6" t="str">
        <f>""</f>
        <v/>
      </c>
      <c r="AS3275" s="6">
        <v>0</v>
      </c>
      <c r="AT3275" s="6">
        <v>0</v>
      </c>
    </row>
    <row r="3276" spans="2:46">
      <c r="B3276" s="6" t="s">
        <v>114</v>
      </c>
      <c r="D3276" s="6" t="s">
        <v>13131</v>
      </c>
      <c r="F3276" s="6" t="s">
        <v>13593</v>
      </c>
      <c r="G3276" s="6" t="str">
        <f>"2000000008035"</f>
        <v>2000000008035</v>
      </c>
      <c r="I3276" s="6" t="s">
        <v>13594</v>
      </c>
      <c r="J3276" s="6" t="str">
        <f>"MIDAS GREEN JIS00530GR"</f>
        <v>MIDAS GREEN JIS00530GR</v>
      </c>
      <c r="K3276" s="6">
        <v>0</v>
      </c>
      <c r="L3276" s="6">
        <v>0</v>
      </c>
      <c r="M3276" s="6">
        <v>0</v>
      </c>
      <c r="N3276" s="6" t="str">
        <f>""</f>
        <v/>
      </c>
      <c r="O3276" s="6">
        <v>23356</v>
      </c>
      <c r="P3276" s="6" t="s">
        <v>13595</v>
      </c>
      <c r="R3276" s="6" t="s">
        <v>2512</v>
      </c>
      <c r="S3276" s="6" t="s">
        <v>13596</v>
      </c>
      <c r="T3276" s="6">
        <v>2</v>
      </c>
      <c r="U3276" s="6">
        <v>0</v>
      </c>
      <c r="V3276" s="6">
        <v>0</v>
      </c>
      <c r="W3276" s="6">
        <v>0</v>
      </c>
      <c r="X3276" s="6" t="s">
        <v>169</v>
      </c>
      <c r="Z3276" s="6" t="s">
        <v>170</v>
      </c>
      <c r="AA3276" s="6" t="s">
        <v>171</v>
      </c>
      <c r="AB3276" s="6">
        <v>0</v>
      </c>
      <c r="AC3276" s="6" t="str">
        <f>"KEY-028"</f>
        <v>KEY-028</v>
      </c>
      <c r="AQ3276" s="6" t="str">
        <f>""</f>
        <v/>
      </c>
      <c r="AR3276" s="6" t="s">
        <v>1567</v>
      </c>
      <c r="AS3276" s="6">
        <v>0</v>
      </c>
      <c r="AT3276" s="6">
        <v>2</v>
      </c>
    </row>
    <row r="3277" spans="2:46">
      <c r="B3277" s="6" t="s">
        <v>114</v>
      </c>
      <c r="D3277" s="6" t="s">
        <v>13131</v>
      </c>
      <c r="F3277" s="6" t="s">
        <v>13597</v>
      </c>
      <c r="G3277" s="6" t="str">
        <f>"2000000008004"</f>
        <v>2000000008004</v>
      </c>
      <c r="H3277" s="6">
        <v>2000000008004</v>
      </c>
      <c r="I3277" s="6" t="s">
        <v>13598</v>
      </c>
      <c r="J3277" s="6" t="str">
        <f>"MIDAS DARK BORWN JIS00530DB"</f>
        <v>MIDAS DARK BORWN JIS00530DB</v>
      </c>
      <c r="K3277" s="6">
        <v>0</v>
      </c>
      <c r="L3277" s="6">
        <v>0</v>
      </c>
      <c r="M3277" s="6">
        <v>0</v>
      </c>
      <c r="N3277" s="6" t="str">
        <f>""</f>
        <v/>
      </c>
      <c r="O3277" s="6">
        <v>23354</v>
      </c>
      <c r="P3277" s="6" t="s">
        <v>13599</v>
      </c>
      <c r="R3277" s="6" t="s">
        <v>13600</v>
      </c>
      <c r="S3277" s="6" t="s">
        <v>13601</v>
      </c>
      <c r="T3277" s="6">
        <v>0</v>
      </c>
      <c r="U3277" s="6">
        <v>0</v>
      </c>
      <c r="V3277" s="6">
        <v>0</v>
      </c>
      <c r="W3277" s="6">
        <v>0</v>
      </c>
      <c r="X3277" s="6" t="s">
        <v>169</v>
      </c>
      <c r="Z3277" s="6" t="s">
        <v>170</v>
      </c>
      <c r="AA3277" s="6" t="s">
        <v>171</v>
      </c>
      <c r="AB3277" s="6">
        <v>0</v>
      </c>
      <c r="AC3277" s="6" t="str">
        <f>""</f>
        <v/>
      </c>
      <c r="AS3277" s="6">
        <v>0</v>
      </c>
      <c r="AT3277" s="6">
        <v>0</v>
      </c>
    </row>
    <row r="3278" spans="2:46">
      <c r="B3278" s="6" t="s">
        <v>114</v>
      </c>
      <c r="D3278" s="6" t="s">
        <v>13131</v>
      </c>
      <c r="F3278" s="6" t="s">
        <v>13602</v>
      </c>
      <c r="G3278" s="6" t="str">
        <f>"2000000008028"</f>
        <v>2000000008028</v>
      </c>
      <c r="H3278" s="6">
        <v>2000000008028</v>
      </c>
      <c r="I3278" s="6" t="s">
        <v>13603</v>
      </c>
      <c r="J3278" s="6" t="str">
        <f>"MIDAS INDY PINK JIS00530IP"</f>
        <v>MIDAS INDY PINK JIS00530IP</v>
      </c>
      <c r="K3278" s="6">
        <v>0</v>
      </c>
      <c r="L3278" s="6">
        <v>0</v>
      </c>
      <c r="M3278" s="6">
        <v>0</v>
      </c>
      <c r="N3278" s="6" t="str">
        <f>""</f>
        <v/>
      </c>
      <c r="O3278" s="6">
        <v>23352</v>
      </c>
      <c r="P3278" s="6" t="s">
        <v>13604</v>
      </c>
      <c r="R3278" s="6" t="s">
        <v>13437</v>
      </c>
      <c r="S3278" s="6" t="s">
        <v>13605</v>
      </c>
      <c r="T3278" s="6">
        <v>0</v>
      </c>
      <c r="U3278" s="6">
        <v>0</v>
      </c>
      <c r="V3278" s="6">
        <v>0</v>
      </c>
      <c r="W3278" s="6">
        <v>0</v>
      </c>
      <c r="X3278" s="6" t="s">
        <v>169</v>
      </c>
      <c r="Z3278" s="6" t="s">
        <v>170</v>
      </c>
      <c r="AA3278" s="6" t="s">
        <v>171</v>
      </c>
      <c r="AB3278" s="6">
        <v>0</v>
      </c>
      <c r="AC3278" s="6" t="str">
        <f>""</f>
        <v/>
      </c>
      <c r="AS3278" s="6">
        <v>0</v>
      </c>
      <c r="AT3278" s="6">
        <v>0</v>
      </c>
    </row>
    <row r="3279" spans="2:46">
      <c r="B3279" s="6" t="s">
        <v>114</v>
      </c>
      <c r="D3279" s="6" t="s">
        <v>13131</v>
      </c>
      <c r="F3279" s="6" t="s">
        <v>13606</v>
      </c>
      <c r="G3279" s="6" t="str">
        <f>"2000000008059"</f>
        <v>2000000008059</v>
      </c>
      <c r="H3279" s="6">
        <v>2000000008059</v>
      </c>
      <c r="I3279" s="6" t="s">
        <v>13607</v>
      </c>
      <c r="J3279" s="6" t="str">
        <f>"MIDAS LIGHT GRAY JIS00530LG"</f>
        <v>MIDAS LIGHT GRAY JIS00530LG</v>
      </c>
      <c r="K3279" s="6">
        <v>0</v>
      </c>
      <c r="L3279" s="6">
        <v>0</v>
      </c>
      <c r="M3279" s="6">
        <v>0</v>
      </c>
      <c r="N3279" s="6" t="str">
        <f>""</f>
        <v/>
      </c>
      <c r="O3279" s="6">
        <v>23350</v>
      </c>
      <c r="P3279" s="6" t="s">
        <v>13608</v>
      </c>
      <c r="R3279" s="6" t="s">
        <v>13609</v>
      </c>
      <c r="S3279" s="6" t="s">
        <v>13610</v>
      </c>
      <c r="T3279" s="6">
        <v>0</v>
      </c>
      <c r="U3279" s="6">
        <v>0</v>
      </c>
      <c r="V3279" s="6">
        <v>0</v>
      </c>
      <c r="W3279" s="6">
        <v>0</v>
      </c>
      <c r="X3279" s="6" t="s">
        <v>169</v>
      </c>
      <c r="Z3279" s="6" t="s">
        <v>170</v>
      </c>
      <c r="AA3279" s="6" t="s">
        <v>171</v>
      </c>
      <c r="AB3279" s="6">
        <v>0</v>
      </c>
      <c r="AC3279" s="6" t="str">
        <f>""</f>
        <v/>
      </c>
      <c r="AS3279" s="6">
        <v>0</v>
      </c>
      <c r="AT3279" s="6">
        <v>0</v>
      </c>
    </row>
    <row r="3280" spans="2:46">
      <c r="B3280" s="6" t="s">
        <v>114</v>
      </c>
      <c r="D3280" s="6" t="s">
        <v>13131</v>
      </c>
      <c r="F3280" s="6" t="s">
        <v>13611</v>
      </c>
      <c r="G3280" s="6" t="str">
        <f>"2000000008042"</f>
        <v>2000000008042</v>
      </c>
      <c r="H3280" s="6">
        <v>2000000008042</v>
      </c>
      <c r="I3280" s="6" t="s">
        <v>13612</v>
      </c>
      <c r="J3280" s="6" t="str">
        <f>"MIDAS RED JIS00530RD"</f>
        <v>MIDAS RED JIS00530RD</v>
      </c>
      <c r="K3280" s="6">
        <v>0</v>
      </c>
      <c r="L3280" s="6">
        <v>0</v>
      </c>
      <c r="M3280" s="6">
        <v>0</v>
      </c>
      <c r="N3280" s="6" t="str">
        <f>""</f>
        <v/>
      </c>
      <c r="O3280" s="6">
        <v>23348</v>
      </c>
      <c r="P3280" s="6" t="s">
        <v>13613</v>
      </c>
      <c r="R3280" s="6" t="s">
        <v>2309</v>
      </c>
      <c r="S3280" s="6" t="s">
        <v>13614</v>
      </c>
      <c r="T3280" s="6">
        <v>0</v>
      </c>
      <c r="U3280" s="6">
        <v>0</v>
      </c>
      <c r="V3280" s="6">
        <v>0</v>
      </c>
      <c r="W3280" s="6">
        <v>0</v>
      </c>
      <c r="X3280" s="6" t="s">
        <v>169</v>
      </c>
      <c r="Z3280" s="6" t="s">
        <v>170</v>
      </c>
      <c r="AA3280" s="6" t="s">
        <v>171</v>
      </c>
      <c r="AB3280" s="6">
        <v>0</v>
      </c>
      <c r="AC3280" s="6" t="str">
        <f>""</f>
        <v/>
      </c>
      <c r="AS3280" s="6">
        <v>0</v>
      </c>
      <c r="AT3280" s="6">
        <v>0</v>
      </c>
    </row>
    <row r="3281" spans="2:46">
      <c r="B3281" s="6" t="s">
        <v>114</v>
      </c>
      <c r="D3281" s="6" t="s">
        <v>13131</v>
      </c>
      <c r="F3281" s="6" t="s">
        <v>13615</v>
      </c>
      <c r="G3281" s="6" t="str">
        <f>"2000000009292"</f>
        <v>2000000009292</v>
      </c>
      <c r="H3281" s="6">
        <v>2000000009292</v>
      </c>
      <c r="I3281" s="6" t="s">
        <v>13616</v>
      </c>
      <c r="J3281" s="6" t="str">
        <f>"MIDAS EBRONZE JIS00530BZ"</f>
        <v>MIDAS EBRONZE JIS00530BZ</v>
      </c>
      <c r="K3281" s="6">
        <v>0</v>
      </c>
      <c r="L3281" s="6">
        <v>0</v>
      </c>
      <c r="M3281" s="6">
        <v>0</v>
      </c>
      <c r="N3281" s="6" t="str">
        <f>""</f>
        <v/>
      </c>
      <c r="O3281" s="6">
        <v>23346</v>
      </c>
      <c r="P3281" s="6" t="s">
        <v>13617</v>
      </c>
      <c r="R3281" s="6" t="s">
        <v>13618</v>
      </c>
      <c r="S3281" s="6" t="s">
        <v>13619</v>
      </c>
      <c r="T3281" s="6">
        <v>0</v>
      </c>
      <c r="U3281" s="6">
        <v>0</v>
      </c>
      <c r="V3281" s="6">
        <v>0</v>
      </c>
      <c r="W3281" s="6">
        <v>0</v>
      </c>
      <c r="X3281" s="6" t="s">
        <v>169</v>
      </c>
      <c r="Z3281" s="6" t="s">
        <v>170</v>
      </c>
      <c r="AA3281" s="6" t="s">
        <v>171</v>
      </c>
      <c r="AB3281" s="6">
        <v>0</v>
      </c>
      <c r="AC3281" s="6" t="str">
        <f>""</f>
        <v/>
      </c>
      <c r="AS3281" s="6">
        <v>0</v>
      </c>
      <c r="AT3281" s="6">
        <v>0</v>
      </c>
    </row>
    <row r="3282" spans="2:46">
      <c r="B3282" s="6" t="s">
        <v>114</v>
      </c>
      <c r="D3282" s="6" t="s">
        <v>13131</v>
      </c>
      <c r="F3282" s="6" t="s">
        <v>13620</v>
      </c>
      <c r="G3282" s="6" t="str">
        <f>"2000000009278"</f>
        <v>2000000009278</v>
      </c>
      <c r="H3282" s="6">
        <v>2000000009278</v>
      </c>
      <c r="I3282" s="6" t="s">
        <v>13621</v>
      </c>
      <c r="J3282" s="6" t="str">
        <f>"MIDAS EBLACK JIS00530EBK"</f>
        <v>MIDAS EBLACK JIS00530EBK</v>
      </c>
      <c r="K3282" s="6">
        <v>0</v>
      </c>
      <c r="L3282" s="6">
        <v>0</v>
      </c>
      <c r="M3282" s="6">
        <v>0</v>
      </c>
      <c r="N3282" s="6" t="str">
        <f>""</f>
        <v/>
      </c>
      <c r="O3282" s="6">
        <v>23344</v>
      </c>
      <c r="P3282" s="6" t="s">
        <v>13622</v>
      </c>
      <c r="R3282" s="6" t="s">
        <v>13623</v>
      </c>
      <c r="S3282" s="6" t="s">
        <v>13624</v>
      </c>
      <c r="T3282" s="6">
        <v>0</v>
      </c>
      <c r="U3282" s="6">
        <v>0</v>
      </c>
      <c r="V3282" s="6">
        <v>0</v>
      </c>
      <c r="W3282" s="6">
        <v>0</v>
      </c>
      <c r="X3282" s="6" t="s">
        <v>169</v>
      </c>
      <c r="Z3282" s="6" t="s">
        <v>170</v>
      </c>
      <c r="AA3282" s="6" t="s">
        <v>171</v>
      </c>
      <c r="AB3282" s="6">
        <v>0</v>
      </c>
      <c r="AC3282" s="6" t="str">
        <f>""</f>
        <v/>
      </c>
      <c r="AS3282" s="6">
        <v>0</v>
      </c>
      <c r="AT3282" s="6">
        <v>0</v>
      </c>
    </row>
    <row r="3283" spans="2:46">
      <c r="B3283" s="6" t="s">
        <v>114</v>
      </c>
      <c r="D3283" s="6" t="s">
        <v>13131</v>
      </c>
      <c r="F3283" s="6" t="s">
        <v>13625</v>
      </c>
      <c r="G3283" s="6" t="str">
        <f>"2000000009322"</f>
        <v>2000000009322</v>
      </c>
      <c r="H3283" s="6">
        <v>2000000009322</v>
      </c>
      <c r="I3283" s="6" t="s">
        <v>13626</v>
      </c>
      <c r="J3283" s="6" t="str">
        <f>"DOROTHY BLACK KDK00539BK"</f>
        <v>DOROTHY BLACK KDK00539BK</v>
      </c>
      <c r="K3283" s="6">
        <v>0</v>
      </c>
      <c r="L3283" s="6">
        <v>0</v>
      </c>
      <c r="M3283" s="6">
        <v>0</v>
      </c>
      <c r="N3283" s="6" t="str">
        <f>""</f>
        <v/>
      </c>
      <c r="O3283" s="6">
        <v>23342</v>
      </c>
      <c r="P3283" s="6" t="s">
        <v>13627</v>
      </c>
      <c r="R3283" s="6" t="s">
        <v>2106</v>
      </c>
      <c r="S3283" s="6" t="s">
        <v>13628</v>
      </c>
      <c r="T3283" s="6">
        <v>0</v>
      </c>
      <c r="U3283" s="6">
        <v>0</v>
      </c>
      <c r="V3283" s="6">
        <v>0</v>
      </c>
      <c r="W3283" s="6">
        <v>0</v>
      </c>
      <c r="X3283" s="6" t="s">
        <v>169</v>
      </c>
      <c r="Z3283" s="6" t="s">
        <v>170</v>
      </c>
      <c r="AA3283" s="6" t="s">
        <v>171</v>
      </c>
      <c r="AB3283" s="6">
        <v>0</v>
      </c>
      <c r="AC3283" s="6" t="str">
        <f>""</f>
        <v/>
      </c>
      <c r="AS3283" s="6">
        <v>0</v>
      </c>
      <c r="AT3283" s="6">
        <v>0</v>
      </c>
    </row>
    <row r="3284" spans="2:46">
      <c r="B3284" s="6" t="s">
        <v>114</v>
      </c>
      <c r="D3284" s="6" t="s">
        <v>13131</v>
      </c>
      <c r="F3284" s="6" t="s">
        <v>13629</v>
      </c>
      <c r="G3284" s="6" t="str">
        <f>"2000000009346"</f>
        <v>2000000009346</v>
      </c>
      <c r="H3284" s="6">
        <v>2000000009346</v>
      </c>
      <c r="I3284" s="6" t="s">
        <v>13630</v>
      </c>
      <c r="J3284" s="6" t="str">
        <f>"DOROTHY WHITE KDK00539WH"</f>
        <v>DOROTHY WHITE KDK00539WH</v>
      </c>
      <c r="K3284" s="6">
        <v>0</v>
      </c>
      <c r="L3284" s="6">
        <v>0</v>
      </c>
      <c r="M3284" s="6">
        <v>0</v>
      </c>
      <c r="N3284" s="6" t="str">
        <f>""</f>
        <v/>
      </c>
      <c r="O3284" s="6">
        <v>23340</v>
      </c>
      <c r="P3284" s="6" t="s">
        <v>13631</v>
      </c>
      <c r="R3284" s="6" t="s">
        <v>2167</v>
      </c>
      <c r="S3284" s="6" t="s">
        <v>13632</v>
      </c>
      <c r="T3284" s="6">
        <v>0</v>
      </c>
      <c r="U3284" s="6">
        <v>0</v>
      </c>
      <c r="V3284" s="6">
        <v>0</v>
      </c>
      <c r="W3284" s="6">
        <v>0</v>
      </c>
      <c r="X3284" s="6" t="s">
        <v>169</v>
      </c>
      <c r="Z3284" s="6" t="s">
        <v>170</v>
      </c>
      <c r="AA3284" s="6" t="s">
        <v>171</v>
      </c>
      <c r="AB3284" s="6">
        <v>0</v>
      </c>
      <c r="AC3284" s="6" t="str">
        <f>""</f>
        <v/>
      </c>
      <c r="AS3284" s="6">
        <v>0</v>
      </c>
      <c r="AT3284" s="6">
        <v>0</v>
      </c>
    </row>
    <row r="3285" spans="2:46">
      <c r="B3285" s="6" t="s">
        <v>114</v>
      </c>
      <c r="D3285" s="6" t="s">
        <v>13131</v>
      </c>
      <c r="F3285" s="6" t="s">
        <v>13633</v>
      </c>
      <c r="G3285" s="6" t="str">
        <f>"2000000009360"</f>
        <v>2000000009360</v>
      </c>
      <c r="H3285" s="6">
        <v>2000000009360</v>
      </c>
      <c r="I3285" s="6" t="s">
        <v>13634</v>
      </c>
      <c r="J3285" s="6" t="str">
        <f>"DOROTHY BEIGE KDK00539BG"</f>
        <v>DOROTHY BEIGE KDK00539BG</v>
      </c>
      <c r="K3285" s="6">
        <v>0</v>
      </c>
      <c r="L3285" s="6">
        <v>0</v>
      </c>
      <c r="M3285" s="6">
        <v>0</v>
      </c>
      <c r="N3285" s="6" t="str">
        <f>""</f>
        <v/>
      </c>
      <c r="O3285" s="6">
        <v>23338</v>
      </c>
      <c r="P3285" s="6" t="s">
        <v>13635</v>
      </c>
      <c r="R3285" s="6" t="s">
        <v>2102</v>
      </c>
      <c r="S3285" s="6" t="s">
        <v>13636</v>
      </c>
      <c r="T3285" s="6">
        <v>0</v>
      </c>
      <c r="U3285" s="6">
        <v>0</v>
      </c>
      <c r="V3285" s="6">
        <v>0</v>
      </c>
      <c r="W3285" s="6">
        <v>0</v>
      </c>
      <c r="X3285" s="6" t="s">
        <v>169</v>
      </c>
      <c r="Z3285" s="6" t="s">
        <v>170</v>
      </c>
      <c r="AA3285" s="6" t="s">
        <v>171</v>
      </c>
      <c r="AB3285" s="6">
        <v>0</v>
      </c>
      <c r="AC3285" s="6" t="str">
        <f>""</f>
        <v/>
      </c>
      <c r="AS3285" s="6">
        <v>0</v>
      </c>
      <c r="AT3285" s="6">
        <v>0</v>
      </c>
    </row>
    <row r="3286" spans="2:46">
      <c r="B3286" s="6" t="s">
        <v>114</v>
      </c>
      <c r="D3286" s="6" t="s">
        <v>13131</v>
      </c>
      <c r="F3286" s="6" t="s">
        <v>13637</v>
      </c>
      <c r="G3286" s="6" t="str">
        <f>"2000000009353"</f>
        <v>2000000009353</v>
      </c>
      <c r="H3286" s="6">
        <v>2000000009353</v>
      </c>
      <c r="I3286" s="6" t="s">
        <v>13638</v>
      </c>
      <c r="J3286" s="6" t="str">
        <f>"DOROTHY PINK KDK00539PK"</f>
        <v>DOROTHY PINK KDK00539PK</v>
      </c>
      <c r="K3286" s="6">
        <v>0</v>
      </c>
      <c r="L3286" s="6">
        <v>0</v>
      </c>
      <c r="M3286" s="6">
        <v>0</v>
      </c>
      <c r="N3286" s="6" t="str">
        <f>""</f>
        <v/>
      </c>
      <c r="O3286" s="6">
        <v>23336</v>
      </c>
      <c r="P3286" s="6" t="s">
        <v>13639</v>
      </c>
      <c r="R3286" s="6" t="s">
        <v>2446</v>
      </c>
      <c r="S3286" s="6" t="s">
        <v>13640</v>
      </c>
      <c r="T3286" s="6">
        <v>0</v>
      </c>
      <c r="U3286" s="6">
        <v>0</v>
      </c>
      <c r="V3286" s="6">
        <v>0</v>
      </c>
      <c r="W3286" s="6">
        <v>0</v>
      </c>
      <c r="X3286" s="6" t="s">
        <v>169</v>
      </c>
      <c r="Z3286" s="6" t="s">
        <v>170</v>
      </c>
      <c r="AA3286" s="6" t="s">
        <v>171</v>
      </c>
      <c r="AB3286" s="6">
        <v>0</v>
      </c>
      <c r="AC3286" s="6" t="str">
        <f>""</f>
        <v/>
      </c>
      <c r="AS3286" s="6">
        <v>0</v>
      </c>
      <c r="AT3286" s="6">
        <v>0</v>
      </c>
    </row>
    <row r="3287" spans="2:46">
      <c r="B3287" s="6" t="s">
        <v>114</v>
      </c>
      <c r="D3287" s="6" t="s">
        <v>13131</v>
      </c>
      <c r="F3287" s="6" t="s">
        <v>13641</v>
      </c>
      <c r="G3287" s="6" t="str">
        <f>"2000000009377"</f>
        <v>2000000009377</v>
      </c>
      <c r="I3287" s="6" t="s">
        <v>13642</v>
      </c>
      <c r="J3287" s="6" t="str">
        <f>"DOROTHY BLUE KDK00539BL"</f>
        <v>DOROTHY BLUE KDK00539BL</v>
      </c>
      <c r="K3287" s="6">
        <v>0</v>
      </c>
      <c r="L3287" s="6">
        <v>0</v>
      </c>
      <c r="M3287" s="6">
        <v>0</v>
      </c>
      <c r="N3287" s="6" t="str">
        <f>""</f>
        <v/>
      </c>
      <c r="O3287" s="6">
        <v>23334</v>
      </c>
      <c r="P3287" s="6" t="s">
        <v>13643</v>
      </c>
      <c r="R3287" s="6" t="s">
        <v>2175</v>
      </c>
      <c r="S3287" s="6" t="s">
        <v>13644</v>
      </c>
      <c r="T3287" s="6">
        <v>1</v>
      </c>
      <c r="U3287" s="6">
        <v>0</v>
      </c>
      <c r="V3287" s="6">
        <v>0</v>
      </c>
      <c r="W3287" s="6">
        <v>0</v>
      </c>
      <c r="X3287" s="6" t="s">
        <v>169</v>
      </c>
      <c r="Z3287" s="6" t="s">
        <v>170</v>
      </c>
      <c r="AA3287" s="6" t="s">
        <v>171</v>
      </c>
      <c r="AB3287" s="6">
        <v>0</v>
      </c>
      <c r="AC3287" s="6" t="str">
        <f>"KEY-061"</f>
        <v>KEY-061</v>
      </c>
      <c r="AQ3287" s="6" t="str">
        <f>""</f>
        <v/>
      </c>
      <c r="AR3287" s="6" t="s">
        <v>1567</v>
      </c>
      <c r="AS3287" s="6">
        <v>0</v>
      </c>
      <c r="AT3287" s="6">
        <v>1</v>
      </c>
    </row>
    <row r="3288" spans="2:46">
      <c r="B3288" s="6" t="s">
        <v>114</v>
      </c>
      <c r="D3288" s="6" t="s">
        <v>13131</v>
      </c>
      <c r="F3288" s="6" t="s">
        <v>13645</v>
      </c>
      <c r="G3288" s="6" t="str">
        <f>"2000000009384"</f>
        <v>2000000009384</v>
      </c>
      <c r="I3288" s="6" t="s">
        <v>13646</v>
      </c>
      <c r="J3288" s="6" t="str">
        <f>"DOROTHY ROSE GOLD KDK00539RG"</f>
        <v>DOROTHY ROSE GOLD KDK00539RG</v>
      </c>
      <c r="K3288" s="6">
        <v>0</v>
      </c>
      <c r="L3288" s="6">
        <v>0</v>
      </c>
      <c r="M3288" s="6">
        <v>0</v>
      </c>
      <c r="N3288" s="6" t="str">
        <f>""</f>
        <v/>
      </c>
      <c r="O3288" s="6">
        <v>23332</v>
      </c>
      <c r="P3288" s="6" t="s">
        <v>13647</v>
      </c>
      <c r="R3288" s="6" t="s">
        <v>13648</v>
      </c>
      <c r="S3288" s="6" t="s">
        <v>13649</v>
      </c>
      <c r="T3288" s="6">
        <v>1</v>
      </c>
      <c r="U3288" s="6">
        <v>0</v>
      </c>
      <c r="V3288" s="6">
        <v>0</v>
      </c>
      <c r="W3288" s="6">
        <v>0</v>
      </c>
      <c r="X3288" s="6" t="s">
        <v>169</v>
      </c>
      <c r="Z3288" s="6" t="s">
        <v>170</v>
      </c>
      <c r="AA3288" s="6" t="s">
        <v>171</v>
      </c>
      <c r="AB3288" s="6">
        <v>0</v>
      </c>
      <c r="AC3288" s="6" t="str">
        <f>"KEY-066"</f>
        <v>KEY-066</v>
      </c>
      <c r="AQ3288" s="6" t="str">
        <f>""</f>
        <v/>
      </c>
      <c r="AR3288" s="6" t="s">
        <v>1567</v>
      </c>
      <c r="AS3288" s="6">
        <v>0</v>
      </c>
      <c r="AT3288" s="6">
        <v>1</v>
      </c>
    </row>
    <row r="3289" spans="2:46">
      <c r="B3289" s="6" t="s">
        <v>114</v>
      </c>
      <c r="D3289" s="6" t="s">
        <v>13131</v>
      </c>
      <c r="F3289" s="6" t="s">
        <v>13650</v>
      </c>
      <c r="G3289" s="6" t="str">
        <f>"2000000009391"</f>
        <v>2000000009391</v>
      </c>
      <c r="H3289" s="6">
        <v>2000000009391</v>
      </c>
      <c r="I3289" s="6" t="s">
        <v>13651</v>
      </c>
      <c r="J3289" s="6" t="str">
        <f>"DOROTHY BLACK SLIVER KDK00539BS"</f>
        <v>DOROTHY BLACK SLIVER KDK00539BS</v>
      </c>
      <c r="K3289" s="6">
        <v>0</v>
      </c>
      <c r="L3289" s="6">
        <v>0</v>
      </c>
      <c r="M3289" s="6">
        <v>0</v>
      </c>
      <c r="N3289" s="6" t="str">
        <f>""</f>
        <v/>
      </c>
      <c r="O3289" s="6">
        <v>23330</v>
      </c>
      <c r="P3289" s="6" t="s">
        <v>13652</v>
      </c>
      <c r="R3289" s="6" t="s">
        <v>13653</v>
      </c>
      <c r="S3289" s="6" t="s">
        <v>13654</v>
      </c>
      <c r="T3289" s="6">
        <v>0</v>
      </c>
      <c r="U3289" s="6">
        <v>0</v>
      </c>
      <c r="V3289" s="6">
        <v>0</v>
      </c>
      <c r="W3289" s="6">
        <v>0</v>
      </c>
      <c r="X3289" s="6" t="s">
        <v>169</v>
      </c>
      <c r="Z3289" s="6" t="s">
        <v>170</v>
      </c>
      <c r="AA3289" s="6" t="s">
        <v>171</v>
      </c>
      <c r="AB3289" s="6">
        <v>0</v>
      </c>
      <c r="AC3289" s="6" t="str">
        <f>""</f>
        <v/>
      </c>
      <c r="AS3289" s="6">
        <v>0</v>
      </c>
      <c r="AT3289" s="6">
        <v>0</v>
      </c>
    </row>
    <row r="3290" spans="2:46">
      <c r="B3290" s="6" t="s">
        <v>114</v>
      </c>
      <c r="D3290" s="6" t="s">
        <v>13131</v>
      </c>
      <c r="F3290" s="6" t="s">
        <v>13655</v>
      </c>
      <c r="G3290" s="6" t="str">
        <f>"2000000009339"</f>
        <v>2000000009339</v>
      </c>
      <c r="H3290" s="6">
        <v>2000000009339</v>
      </c>
      <c r="I3290" s="6" t="s">
        <v>13656</v>
      </c>
      <c r="J3290" s="6" t="str">
        <f>"DOROTHY BROWN KDK00539BR"</f>
        <v>DOROTHY BROWN KDK00539BR</v>
      </c>
      <c r="K3290" s="6">
        <v>0</v>
      </c>
      <c r="L3290" s="6">
        <v>0</v>
      </c>
      <c r="M3290" s="6">
        <v>0</v>
      </c>
      <c r="N3290" s="6" t="str">
        <f>""</f>
        <v/>
      </c>
      <c r="O3290" s="6">
        <v>23328</v>
      </c>
      <c r="P3290" s="6" t="s">
        <v>13657</v>
      </c>
      <c r="R3290" s="6" t="s">
        <v>2119</v>
      </c>
      <c r="S3290" s="6" t="s">
        <v>13658</v>
      </c>
      <c r="T3290" s="6">
        <v>0</v>
      </c>
      <c r="U3290" s="6">
        <v>0</v>
      </c>
      <c r="V3290" s="6">
        <v>0</v>
      </c>
      <c r="W3290" s="6">
        <v>0</v>
      </c>
      <c r="X3290" s="6" t="s">
        <v>169</v>
      </c>
      <c r="Z3290" s="6" t="s">
        <v>170</v>
      </c>
      <c r="AA3290" s="6" t="s">
        <v>171</v>
      </c>
      <c r="AB3290" s="6">
        <v>0</v>
      </c>
      <c r="AC3290" s="6" t="str">
        <f>""</f>
        <v/>
      </c>
      <c r="AS3290" s="6">
        <v>0</v>
      </c>
      <c r="AT3290" s="6">
        <v>0</v>
      </c>
    </row>
    <row r="3291" spans="2:46">
      <c r="B3291" s="6" t="s">
        <v>114</v>
      </c>
      <c r="D3291" s="6" t="s">
        <v>13131</v>
      </c>
      <c r="F3291" s="6" t="s">
        <v>13659</v>
      </c>
      <c r="G3291" s="6" t="str">
        <f>"2000000007687"</f>
        <v>2000000007687</v>
      </c>
      <c r="I3291" s="6" t="s">
        <v>13660</v>
      </c>
      <c r="J3291" s="6" t="str">
        <f>"TOBI LIGHT GRAY YJS00526"</f>
        <v>TOBI LIGHT GRAY YJS00526</v>
      </c>
      <c r="K3291" s="6">
        <v>0</v>
      </c>
      <c r="L3291" s="6">
        <v>0</v>
      </c>
      <c r="M3291" s="6">
        <v>0</v>
      </c>
      <c r="N3291" s="6" t="str">
        <f>""</f>
        <v/>
      </c>
      <c r="O3291" s="6">
        <v>23326</v>
      </c>
      <c r="P3291" s="6" t="s">
        <v>13661</v>
      </c>
      <c r="R3291" s="6" t="s">
        <v>13609</v>
      </c>
      <c r="S3291" s="6" t="s">
        <v>13662</v>
      </c>
      <c r="T3291" s="6">
        <v>2</v>
      </c>
      <c r="U3291" s="6">
        <v>0</v>
      </c>
      <c r="V3291" s="6">
        <v>0</v>
      </c>
      <c r="W3291" s="6">
        <v>0</v>
      </c>
      <c r="X3291" s="6" t="s">
        <v>169</v>
      </c>
      <c r="Z3291" s="6" t="s">
        <v>170</v>
      </c>
      <c r="AA3291" s="6" t="s">
        <v>171</v>
      </c>
      <c r="AB3291" s="6">
        <v>0</v>
      </c>
      <c r="AC3291" s="6" t="str">
        <f>"KEY-035"</f>
        <v>KEY-035</v>
      </c>
      <c r="AQ3291" s="6" t="str">
        <f>""</f>
        <v/>
      </c>
      <c r="AR3291" s="6" t="s">
        <v>1567</v>
      </c>
      <c r="AS3291" s="6">
        <v>0</v>
      </c>
      <c r="AT3291" s="6">
        <v>2</v>
      </c>
    </row>
    <row r="3292" spans="2:46">
      <c r="B3292" s="6" t="s">
        <v>114</v>
      </c>
      <c r="D3292" s="6" t="s">
        <v>13131</v>
      </c>
      <c r="F3292" s="6" t="s">
        <v>13663</v>
      </c>
      <c r="G3292" s="6" t="str">
        <f>"2000000007656"</f>
        <v>2000000007656</v>
      </c>
      <c r="I3292" s="6" t="s">
        <v>13664</v>
      </c>
      <c r="J3292" s="6" t="str">
        <f>"TOBI INDY PINK YJS00526"</f>
        <v>TOBI INDY PINK YJS00526</v>
      </c>
      <c r="K3292" s="6">
        <v>0</v>
      </c>
      <c r="L3292" s="6">
        <v>0</v>
      </c>
      <c r="M3292" s="6">
        <v>0</v>
      </c>
      <c r="N3292" s="6" t="str">
        <f>""</f>
        <v/>
      </c>
      <c r="O3292" s="6">
        <v>23324</v>
      </c>
      <c r="P3292" s="6" t="s">
        <v>13665</v>
      </c>
      <c r="R3292" s="6" t="s">
        <v>13437</v>
      </c>
      <c r="S3292" s="6" t="s">
        <v>13666</v>
      </c>
      <c r="T3292" s="6">
        <v>2</v>
      </c>
      <c r="U3292" s="6">
        <v>0</v>
      </c>
      <c r="V3292" s="6">
        <v>0</v>
      </c>
      <c r="W3292" s="6">
        <v>0</v>
      </c>
      <c r="X3292" s="6" t="s">
        <v>169</v>
      </c>
      <c r="Z3292" s="6" t="s">
        <v>170</v>
      </c>
      <c r="AA3292" s="6" t="s">
        <v>171</v>
      </c>
      <c r="AB3292" s="6">
        <v>0</v>
      </c>
      <c r="AC3292" s="6" t="str">
        <f>"KEY-009"</f>
        <v>KEY-009</v>
      </c>
      <c r="AQ3292" s="6" t="str">
        <f>""</f>
        <v/>
      </c>
      <c r="AR3292" s="6" t="s">
        <v>1584</v>
      </c>
      <c r="AS3292" s="6">
        <v>0</v>
      </c>
      <c r="AT3292" s="6">
        <v>2</v>
      </c>
    </row>
    <row r="3293" spans="2:46">
      <c r="B3293" s="6" t="s">
        <v>114</v>
      </c>
      <c r="D3293" s="6" t="s">
        <v>13131</v>
      </c>
      <c r="F3293" s="6" t="s">
        <v>13667</v>
      </c>
      <c r="G3293" s="6" t="str">
        <f>"2000000007663"</f>
        <v>2000000007663</v>
      </c>
      <c r="I3293" s="6" t="s">
        <v>13668</v>
      </c>
      <c r="J3293" s="6" t="str">
        <f>"TOBI RED YJS00526"</f>
        <v>TOBI RED YJS00526</v>
      </c>
      <c r="K3293" s="6">
        <v>0</v>
      </c>
      <c r="L3293" s="6">
        <v>0</v>
      </c>
      <c r="M3293" s="6">
        <v>0</v>
      </c>
      <c r="N3293" s="6" t="str">
        <f>""</f>
        <v/>
      </c>
      <c r="O3293" s="6">
        <v>23322</v>
      </c>
      <c r="P3293" s="6" t="s">
        <v>13669</v>
      </c>
      <c r="R3293" s="6" t="s">
        <v>2309</v>
      </c>
      <c r="S3293" s="6" t="s">
        <v>13670</v>
      </c>
      <c r="T3293" s="6">
        <v>1</v>
      </c>
      <c r="U3293" s="6">
        <v>0</v>
      </c>
      <c r="V3293" s="6">
        <v>0</v>
      </c>
      <c r="W3293" s="6">
        <v>0</v>
      </c>
      <c r="X3293" s="6" t="s">
        <v>169</v>
      </c>
      <c r="Z3293" s="6" t="s">
        <v>170</v>
      </c>
      <c r="AA3293" s="6" t="s">
        <v>171</v>
      </c>
      <c r="AB3293" s="6">
        <v>0</v>
      </c>
      <c r="AC3293" s="6" t="str">
        <f>"KEY-059"</f>
        <v>KEY-059</v>
      </c>
      <c r="AQ3293" s="6" t="str">
        <f>""</f>
        <v/>
      </c>
      <c r="AR3293" s="6" t="s">
        <v>1567</v>
      </c>
      <c r="AS3293" s="6">
        <v>0</v>
      </c>
      <c r="AT3293" s="6">
        <v>1</v>
      </c>
    </row>
    <row r="3294" spans="2:46">
      <c r="B3294" s="6" t="s">
        <v>114</v>
      </c>
      <c r="D3294" s="6" t="s">
        <v>13131</v>
      </c>
      <c r="F3294" s="6" t="s">
        <v>13671</v>
      </c>
      <c r="G3294" s="6" t="str">
        <f>"2000000007670"</f>
        <v>2000000007670</v>
      </c>
      <c r="I3294" s="6" t="s">
        <v>13672</v>
      </c>
      <c r="J3294" s="6" t="str">
        <f>"TOBI GREEN YJS00526"</f>
        <v>TOBI GREEN YJS00526</v>
      </c>
      <c r="K3294" s="6">
        <v>0</v>
      </c>
      <c r="L3294" s="6">
        <v>0</v>
      </c>
      <c r="M3294" s="6">
        <v>0</v>
      </c>
      <c r="N3294" s="6" t="str">
        <f>""</f>
        <v/>
      </c>
      <c r="O3294" s="6">
        <v>23320</v>
      </c>
      <c r="P3294" s="6" t="s">
        <v>13673</v>
      </c>
      <c r="R3294" s="6" t="s">
        <v>2512</v>
      </c>
      <c r="S3294" s="6" t="s">
        <v>13674</v>
      </c>
      <c r="T3294" s="6">
        <v>1</v>
      </c>
      <c r="U3294" s="6">
        <v>0</v>
      </c>
      <c r="V3294" s="6">
        <v>0</v>
      </c>
      <c r="W3294" s="6">
        <v>0</v>
      </c>
      <c r="X3294" s="6" t="s">
        <v>169</v>
      </c>
      <c r="Z3294" s="6" t="s">
        <v>170</v>
      </c>
      <c r="AA3294" s="6" t="s">
        <v>171</v>
      </c>
      <c r="AB3294" s="6">
        <v>0</v>
      </c>
      <c r="AC3294" s="6" t="str">
        <f>"KEY-008"</f>
        <v>KEY-008</v>
      </c>
      <c r="AQ3294" s="6" t="str">
        <f>""</f>
        <v/>
      </c>
      <c r="AR3294" s="6" t="s">
        <v>1584</v>
      </c>
      <c r="AS3294" s="6">
        <v>0</v>
      </c>
      <c r="AT3294" s="6">
        <v>1</v>
      </c>
    </row>
    <row r="3295" spans="2:46">
      <c r="B3295" s="6" t="s">
        <v>114</v>
      </c>
      <c r="D3295" s="6" t="s">
        <v>13131</v>
      </c>
      <c r="F3295" s="6" t="s">
        <v>13675</v>
      </c>
      <c r="G3295" s="6" t="str">
        <f>"2000000007649"</f>
        <v>2000000007649</v>
      </c>
      <c r="I3295" s="6" t="s">
        <v>13676</v>
      </c>
      <c r="J3295" s="6" t="str">
        <f>"TOBI BLACK YJS00526"</f>
        <v>TOBI BLACK YJS00526</v>
      </c>
      <c r="K3295" s="6">
        <v>0</v>
      </c>
      <c r="L3295" s="6">
        <v>0</v>
      </c>
      <c r="M3295" s="6">
        <v>0</v>
      </c>
      <c r="N3295" s="6" t="str">
        <f>""</f>
        <v/>
      </c>
      <c r="O3295" s="6">
        <v>23318</v>
      </c>
      <c r="P3295" s="6" t="s">
        <v>13677</v>
      </c>
      <c r="R3295" s="6" t="s">
        <v>2106</v>
      </c>
      <c r="S3295" s="6" t="s">
        <v>13678</v>
      </c>
      <c r="T3295" s="6">
        <v>1</v>
      </c>
      <c r="U3295" s="6">
        <v>0</v>
      </c>
      <c r="V3295" s="6">
        <v>0</v>
      </c>
      <c r="W3295" s="6">
        <v>0</v>
      </c>
      <c r="X3295" s="6" t="s">
        <v>169</v>
      </c>
      <c r="Z3295" s="6" t="s">
        <v>170</v>
      </c>
      <c r="AA3295" s="6" t="s">
        <v>171</v>
      </c>
      <c r="AB3295" s="6">
        <v>0</v>
      </c>
      <c r="AC3295" s="6" t="str">
        <f>"KEY-009"</f>
        <v>KEY-009</v>
      </c>
      <c r="AQ3295" s="6" t="str">
        <f>""</f>
        <v/>
      </c>
      <c r="AR3295" s="6" t="s">
        <v>1584</v>
      </c>
      <c r="AS3295" s="6">
        <v>0</v>
      </c>
      <c r="AT3295" s="6">
        <v>1</v>
      </c>
    </row>
    <row r="3296" spans="2:46">
      <c r="B3296" s="6" t="s">
        <v>114</v>
      </c>
      <c r="D3296" s="6" t="s">
        <v>13131</v>
      </c>
      <c r="F3296" s="6" t="s">
        <v>13679</v>
      </c>
      <c r="G3296" s="6" t="str">
        <f>"2000000009179"</f>
        <v>2000000009179</v>
      </c>
      <c r="H3296" s="6">
        <v>2000000009179</v>
      </c>
      <c r="I3296" s="6" t="s">
        <v>13680</v>
      </c>
      <c r="J3296" s="6" t="str">
        <f>"MEDI GOLD YJS00498"</f>
        <v>MEDI GOLD YJS00498</v>
      </c>
      <c r="K3296" s="6">
        <v>0</v>
      </c>
      <c r="L3296" s="6">
        <v>0</v>
      </c>
      <c r="M3296" s="6">
        <v>0</v>
      </c>
      <c r="N3296" s="6" t="str">
        <f>""</f>
        <v/>
      </c>
      <c r="O3296" s="6">
        <v>23316</v>
      </c>
      <c r="P3296" s="6" t="s">
        <v>13681</v>
      </c>
      <c r="R3296" s="6" t="s">
        <v>8326</v>
      </c>
      <c r="S3296" s="6" t="s">
        <v>13682</v>
      </c>
      <c r="T3296" s="6">
        <v>0</v>
      </c>
      <c r="U3296" s="6">
        <v>0</v>
      </c>
      <c r="V3296" s="6">
        <v>0</v>
      </c>
      <c r="W3296" s="6">
        <v>0</v>
      </c>
      <c r="X3296" s="6" t="s">
        <v>169</v>
      </c>
      <c r="Z3296" s="6" t="s">
        <v>170</v>
      </c>
      <c r="AA3296" s="6" t="s">
        <v>171</v>
      </c>
      <c r="AB3296" s="6">
        <v>0</v>
      </c>
      <c r="AC3296" s="6" t="str">
        <f>""</f>
        <v/>
      </c>
      <c r="AS3296" s="6">
        <v>0</v>
      </c>
      <c r="AT3296" s="6">
        <v>0</v>
      </c>
    </row>
    <row r="3297" spans="2:46">
      <c r="B3297" s="6" t="s">
        <v>114</v>
      </c>
      <c r="D3297" s="6" t="s">
        <v>13131</v>
      </c>
      <c r="F3297" s="6" t="s">
        <v>13683</v>
      </c>
      <c r="G3297" s="6" t="str">
        <f>"2000000009155"</f>
        <v>2000000009155</v>
      </c>
      <c r="H3297" s="6">
        <v>2000000009155</v>
      </c>
      <c r="I3297" s="6" t="s">
        <v>13684</v>
      </c>
      <c r="J3297" s="6" t="str">
        <f>"MEDI GREEN YJS00498"</f>
        <v>MEDI GREEN YJS00498</v>
      </c>
      <c r="K3297" s="6">
        <v>0</v>
      </c>
      <c r="L3297" s="6">
        <v>0</v>
      </c>
      <c r="M3297" s="6">
        <v>0</v>
      </c>
      <c r="N3297" s="6" t="str">
        <f>""</f>
        <v/>
      </c>
      <c r="O3297" s="6">
        <v>23314</v>
      </c>
      <c r="P3297" s="6" t="s">
        <v>13685</v>
      </c>
      <c r="R3297" s="6" t="s">
        <v>2512</v>
      </c>
      <c r="S3297" s="6" t="s">
        <v>13686</v>
      </c>
      <c r="T3297" s="6">
        <v>0</v>
      </c>
      <c r="U3297" s="6">
        <v>0</v>
      </c>
      <c r="V3297" s="6">
        <v>0</v>
      </c>
      <c r="W3297" s="6">
        <v>0</v>
      </c>
      <c r="X3297" s="6" t="s">
        <v>169</v>
      </c>
      <c r="Z3297" s="6" t="s">
        <v>170</v>
      </c>
      <c r="AA3297" s="6" t="s">
        <v>171</v>
      </c>
      <c r="AB3297" s="6">
        <v>0</v>
      </c>
      <c r="AC3297" s="6" t="str">
        <f>""</f>
        <v/>
      </c>
      <c r="AS3297" s="6">
        <v>0</v>
      </c>
      <c r="AT3297" s="6">
        <v>0</v>
      </c>
    </row>
    <row r="3298" spans="2:46">
      <c r="B3298" s="6" t="s">
        <v>114</v>
      </c>
      <c r="D3298" s="6" t="s">
        <v>13131</v>
      </c>
      <c r="F3298" s="6" t="s">
        <v>13687</v>
      </c>
      <c r="G3298" s="6" t="str">
        <f>"2000000003382"</f>
        <v>2000000003382</v>
      </c>
      <c r="I3298" s="6" t="s">
        <v>13688</v>
      </c>
      <c r="J3298" s="6" t="str">
        <f>"MEDI IVORY YJS00498"</f>
        <v>MEDI IVORY YJS00498</v>
      </c>
      <c r="K3298" s="6">
        <v>0</v>
      </c>
      <c r="L3298" s="6">
        <v>0</v>
      </c>
      <c r="M3298" s="6">
        <v>0</v>
      </c>
      <c r="N3298" s="6" t="str">
        <f>""</f>
        <v/>
      </c>
      <c r="O3298" s="6">
        <v>23312</v>
      </c>
      <c r="P3298" s="6" t="s">
        <v>13689</v>
      </c>
      <c r="R3298" s="6" t="s">
        <v>2356</v>
      </c>
      <c r="S3298" s="6" t="s">
        <v>13690</v>
      </c>
      <c r="T3298" s="6">
        <v>2</v>
      </c>
      <c r="U3298" s="6">
        <v>0</v>
      </c>
      <c r="V3298" s="6">
        <v>0</v>
      </c>
      <c r="W3298" s="6">
        <v>0</v>
      </c>
      <c r="X3298" s="6" t="s">
        <v>169</v>
      </c>
      <c r="Z3298" s="6" t="s">
        <v>170</v>
      </c>
      <c r="AA3298" s="6" t="s">
        <v>171</v>
      </c>
      <c r="AB3298" s="6">
        <v>0</v>
      </c>
      <c r="AC3298" s="6" t="str">
        <f>"KEY-028"</f>
        <v>KEY-028</v>
      </c>
      <c r="AQ3298" s="6" t="str">
        <f>""</f>
        <v/>
      </c>
      <c r="AR3298" s="6" t="s">
        <v>1567</v>
      </c>
      <c r="AS3298" s="6">
        <v>0</v>
      </c>
      <c r="AT3298" s="6">
        <v>2</v>
      </c>
    </row>
    <row r="3299" spans="2:46">
      <c r="B3299" s="6" t="s">
        <v>114</v>
      </c>
      <c r="D3299" s="6" t="s">
        <v>13131</v>
      </c>
      <c r="F3299" s="6" t="s">
        <v>13691</v>
      </c>
      <c r="G3299" s="6" t="str">
        <f>"2000000003375"</f>
        <v>2000000003375</v>
      </c>
      <c r="H3299" s="6">
        <v>2000000003375</v>
      </c>
      <c r="I3299" s="6" t="s">
        <v>13692</v>
      </c>
      <c r="J3299" s="6" t="str">
        <f>"MEDI MUSTARD YJS00498"</f>
        <v>MEDI MUSTARD YJS00498</v>
      </c>
      <c r="K3299" s="6">
        <v>0</v>
      </c>
      <c r="L3299" s="6">
        <v>0</v>
      </c>
      <c r="M3299" s="6">
        <v>0</v>
      </c>
      <c r="N3299" s="6" t="str">
        <f>""</f>
        <v/>
      </c>
      <c r="O3299" s="6">
        <v>23310</v>
      </c>
      <c r="P3299" s="6" t="s">
        <v>13693</v>
      </c>
      <c r="R3299" s="6" t="s">
        <v>2369</v>
      </c>
      <c r="S3299" s="6" t="s">
        <v>13694</v>
      </c>
      <c r="T3299" s="6">
        <v>0</v>
      </c>
      <c r="U3299" s="6">
        <v>0</v>
      </c>
      <c r="V3299" s="6">
        <v>0</v>
      </c>
      <c r="W3299" s="6">
        <v>0</v>
      </c>
      <c r="X3299" s="6" t="s">
        <v>169</v>
      </c>
      <c r="Z3299" s="6" t="s">
        <v>170</v>
      </c>
      <c r="AA3299" s="6" t="s">
        <v>171</v>
      </c>
      <c r="AB3299" s="6">
        <v>0</v>
      </c>
      <c r="AC3299" s="6" t="str">
        <f>""</f>
        <v/>
      </c>
      <c r="AS3299" s="6">
        <v>0</v>
      </c>
      <c r="AT3299" s="6">
        <v>0</v>
      </c>
    </row>
    <row r="3300" spans="2:46">
      <c r="B3300" s="6" t="s">
        <v>114</v>
      </c>
      <c r="D3300" s="6" t="s">
        <v>13131</v>
      </c>
      <c r="F3300" s="6" t="s">
        <v>13695</v>
      </c>
      <c r="G3300" s="6" t="str">
        <f>"2000000009186"</f>
        <v>2000000009186</v>
      </c>
      <c r="H3300" s="6">
        <v>2000000009186</v>
      </c>
      <c r="I3300" s="6" t="s">
        <v>13696</v>
      </c>
      <c r="J3300" s="6" t="str">
        <f>"MEDI PINK YJS00498"</f>
        <v>MEDI PINK YJS00498</v>
      </c>
      <c r="K3300" s="6">
        <v>0</v>
      </c>
      <c r="L3300" s="6">
        <v>0</v>
      </c>
      <c r="M3300" s="6">
        <v>0</v>
      </c>
      <c r="N3300" s="6" t="str">
        <f>""</f>
        <v/>
      </c>
      <c r="O3300" s="6">
        <v>23308</v>
      </c>
      <c r="P3300" s="6" t="s">
        <v>13697</v>
      </c>
      <c r="R3300" s="6" t="s">
        <v>2446</v>
      </c>
      <c r="S3300" s="6" t="s">
        <v>13698</v>
      </c>
      <c r="T3300" s="6">
        <v>0</v>
      </c>
      <c r="U3300" s="6">
        <v>0</v>
      </c>
      <c r="V3300" s="6">
        <v>0</v>
      </c>
      <c r="W3300" s="6">
        <v>0</v>
      </c>
      <c r="X3300" s="6" t="s">
        <v>169</v>
      </c>
      <c r="Z3300" s="6" t="s">
        <v>170</v>
      </c>
      <c r="AA3300" s="6" t="s">
        <v>171</v>
      </c>
      <c r="AB3300" s="6">
        <v>0</v>
      </c>
      <c r="AC3300" s="6" t="str">
        <f>""</f>
        <v/>
      </c>
      <c r="AS3300" s="6">
        <v>0</v>
      </c>
      <c r="AT3300" s="6">
        <v>0</v>
      </c>
    </row>
    <row r="3301" spans="2:46">
      <c r="B3301" s="6" t="s">
        <v>114</v>
      </c>
      <c r="D3301" s="6" t="s">
        <v>13131</v>
      </c>
      <c r="F3301" s="6" t="s">
        <v>13699</v>
      </c>
      <c r="G3301" s="6" t="str">
        <f>"2000000009148"</f>
        <v>2000000009148</v>
      </c>
      <c r="I3301" s="6" t="s">
        <v>13700</v>
      </c>
      <c r="J3301" s="6" t="str">
        <f>"MEDI RED YJS00498"</f>
        <v>MEDI RED YJS00498</v>
      </c>
      <c r="K3301" s="6">
        <v>0</v>
      </c>
      <c r="L3301" s="6">
        <v>0</v>
      </c>
      <c r="M3301" s="6">
        <v>0</v>
      </c>
      <c r="N3301" s="6" t="str">
        <f>""</f>
        <v/>
      </c>
      <c r="O3301" s="6">
        <v>23306</v>
      </c>
      <c r="P3301" s="6" t="s">
        <v>13701</v>
      </c>
      <c r="R3301" s="6" t="s">
        <v>2309</v>
      </c>
      <c r="S3301" s="6" t="s">
        <v>13702</v>
      </c>
      <c r="T3301" s="6">
        <v>1</v>
      </c>
      <c r="U3301" s="6">
        <v>0</v>
      </c>
      <c r="V3301" s="6">
        <v>0</v>
      </c>
      <c r="W3301" s="6">
        <v>0</v>
      </c>
      <c r="X3301" s="6" t="s">
        <v>169</v>
      </c>
      <c r="Z3301" s="6" t="s">
        <v>170</v>
      </c>
      <c r="AA3301" s="6" t="s">
        <v>171</v>
      </c>
      <c r="AB3301" s="6">
        <v>0</v>
      </c>
      <c r="AC3301" s="6" t="str">
        <f>"KEY-023"</f>
        <v>KEY-023</v>
      </c>
      <c r="AQ3301" s="6" t="str">
        <f>""</f>
        <v/>
      </c>
      <c r="AR3301" s="6" t="s">
        <v>1567</v>
      </c>
      <c r="AS3301" s="6">
        <v>0</v>
      </c>
      <c r="AT3301" s="6">
        <v>1</v>
      </c>
    </row>
    <row r="3302" spans="2:46">
      <c r="B3302" s="6" t="s">
        <v>114</v>
      </c>
      <c r="D3302" s="6" t="s">
        <v>13131</v>
      </c>
      <c r="F3302" s="6" t="s">
        <v>13703</v>
      </c>
      <c r="G3302" s="6" t="str">
        <f>"2000000003351"</f>
        <v>2000000003351</v>
      </c>
      <c r="I3302" s="6" t="s">
        <v>13704</v>
      </c>
      <c r="J3302" s="6" t="str">
        <f>"MEDI BLACK YJS00498"</f>
        <v>MEDI BLACK YJS00498</v>
      </c>
      <c r="K3302" s="6">
        <v>0</v>
      </c>
      <c r="L3302" s="6">
        <v>0</v>
      </c>
      <c r="M3302" s="6">
        <v>0</v>
      </c>
      <c r="N3302" s="6" t="str">
        <f>""</f>
        <v/>
      </c>
      <c r="O3302" s="6">
        <v>23304</v>
      </c>
      <c r="P3302" s="6" t="s">
        <v>13705</v>
      </c>
      <c r="R3302" s="6" t="s">
        <v>2106</v>
      </c>
      <c r="S3302" s="6" t="s">
        <v>13706</v>
      </c>
      <c r="T3302" s="6">
        <v>1</v>
      </c>
      <c r="U3302" s="6">
        <v>0</v>
      </c>
      <c r="V3302" s="6">
        <v>0</v>
      </c>
      <c r="W3302" s="6">
        <v>0</v>
      </c>
      <c r="X3302" s="6" t="s">
        <v>169</v>
      </c>
      <c r="Z3302" s="6" t="s">
        <v>170</v>
      </c>
      <c r="AA3302" s="6" t="s">
        <v>171</v>
      </c>
      <c r="AB3302" s="6">
        <v>0</v>
      </c>
      <c r="AC3302" s="6" t="str">
        <f>"KEY-039"</f>
        <v>KEY-039</v>
      </c>
      <c r="AQ3302" s="6" t="str">
        <f>""</f>
        <v/>
      </c>
      <c r="AR3302" s="6" t="s">
        <v>1567</v>
      </c>
      <c r="AS3302" s="6">
        <v>0</v>
      </c>
      <c r="AT3302" s="6">
        <v>1</v>
      </c>
    </row>
    <row r="3303" spans="2:46">
      <c r="B3303" s="6" t="s">
        <v>114</v>
      </c>
      <c r="D3303" s="6" t="s">
        <v>13131</v>
      </c>
      <c r="F3303" s="6" t="s">
        <v>13707</v>
      </c>
      <c r="G3303" s="6" t="str">
        <f>"2000000003559"</f>
        <v>2000000003559</v>
      </c>
      <c r="I3303" s="6" t="s">
        <v>13708</v>
      </c>
      <c r="J3303" s="6" t="str">
        <f>"MEDI SILVER YJS00498"</f>
        <v>MEDI SILVER YJS00498</v>
      </c>
      <c r="K3303" s="6">
        <v>0</v>
      </c>
      <c r="L3303" s="6">
        <v>0</v>
      </c>
      <c r="M3303" s="6">
        <v>0</v>
      </c>
      <c r="N3303" s="6" t="str">
        <f>""</f>
        <v/>
      </c>
      <c r="O3303" s="6">
        <v>23302</v>
      </c>
      <c r="P3303" s="6" t="s">
        <v>13709</v>
      </c>
      <c r="R3303" s="6" t="s">
        <v>8321</v>
      </c>
      <c r="S3303" s="6" t="s">
        <v>13710</v>
      </c>
      <c r="T3303" s="6">
        <v>1</v>
      </c>
      <c r="U3303" s="6">
        <v>0</v>
      </c>
      <c r="V3303" s="6">
        <v>0</v>
      </c>
      <c r="W3303" s="6">
        <v>0</v>
      </c>
      <c r="X3303" s="6" t="s">
        <v>169</v>
      </c>
      <c r="Z3303" s="6" t="s">
        <v>170</v>
      </c>
      <c r="AA3303" s="6" t="s">
        <v>171</v>
      </c>
      <c r="AB3303" s="6">
        <v>0</v>
      </c>
      <c r="AC3303" s="6" t="str">
        <f>"KEY-035"</f>
        <v>KEY-035</v>
      </c>
      <c r="AQ3303" s="6" t="str">
        <f>""</f>
        <v/>
      </c>
      <c r="AR3303" s="6" t="s">
        <v>1567</v>
      </c>
      <c r="AS3303" s="6">
        <v>0</v>
      </c>
      <c r="AT3303" s="6">
        <v>1</v>
      </c>
    </row>
    <row r="3304" spans="2:46">
      <c r="B3304" s="6" t="s">
        <v>114</v>
      </c>
      <c r="D3304" s="6" t="s">
        <v>13131</v>
      </c>
      <c r="F3304" s="6" t="s">
        <v>13711</v>
      </c>
      <c r="G3304" s="6" t="str">
        <f>"2000000003573"</f>
        <v>2000000003573</v>
      </c>
      <c r="I3304" s="6" t="s">
        <v>13712</v>
      </c>
      <c r="J3304" s="6" t="str">
        <f>"MEDI EBLUE YJS00498"</f>
        <v>MEDI EBLUE YJS00498</v>
      </c>
      <c r="K3304" s="6">
        <v>0</v>
      </c>
      <c r="L3304" s="6">
        <v>0</v>
      </c>
      <c r="M3304" s="6">
        <v>0</v>
      </c>
      <c r="N3304" s="6" t="str">
        <f>""</f>
        <v/>
      </c>
      <c r="O3304" s="6">
        <v>23300</v>
      </c>
      <c r="P3304" s="6" t="s">
        <v>13713</v>
      </c>
      <c r="R3304" s="6" t="s">
        <v>13579</v>
      </c>
      <c r="S3304" s="6" t="s">
        <v>13714</v>
      </c>
      <c r="T3304" s="6">
        <v>1</v>
      </c>
      <c r="U3304" s="6">
        <v>0</v>
      </c>
      <c r="V3304" s="6">
        <v>0</v>
      </c>
      <c r="W3304" s="6">
        <v>0</v>
      </c>
      <c r="X3304" s="6" t="s">
        <v>169</v>
      </c>
      <c r="Z3304" s="6" t="s">
        <v>170</v>
      </c>
      <c r="AA3304" s="6" t="s">
        <v>171</v>
      </c>
      <c r="AB3304" s="6">
        <v>0</v>
      </c>
      <c r="AC3304" s="6" t="str">
        <f>"KEY-011"</f>
        <v>KEY-011</v>
      </c>
      <c r="AQ3304" s="6" t="str">
        <f>""</f>
        <v/>
      </c>
      <c r="AR3304" s="6" t="s">
        <v>1584</v>
      </c>
      <c r="AS3304" s="6">
        <v>0</v>
      </c>
      <c r="AT3304" s="6">
        <v>1</v>
      </c>
    </row>
    <row r="3305" spans="2:46">
      <c r="B3305" s="6" t="s">
        <v>114</v>
      </c>
      <c r="D3305" s="6" t="s">
        <v>13131</v>
      </c>
      <c r="F3305" s="6" t="s">
        <v>13715</v>
      </c>
      <c r="G3305" s="6" t="str">
        <f>"2000000003566"</f>
        <v>2000000003566</v>
      </c>
      <c r="I3305" s="6" t="s">
        <v>13716</v>
      </c>
      <c r="J3305" s="6" t="str">
        <f>"MEDI EBLACK YJS00498"</f>
        <v>MEDI EBLACK YJS00498</v>
      </c>
      <c r="K3305" s="6">
        <v>0</v>
      </c>
      <c r="L3305" s="6">
        <v>0</v>
      </c>
      <c r="M3305" s="6">
        <v>0</v>
      </c>
      <c r="N3305" s="6" t="str">
        <f>""</f>
        <v/>
      </c>
      <c r="O3305" s="6">
        <v>23298</v>
      </c>
      <c r="P3305" s="6" t="s">
        <v>13717</v>
      </c>
      <c r="R3305" s="6" t="s">
        <v>13623</v>
      </c>
      <c r="S3305" s="6" t="s">
        <v>13718</v>
      </c>
      <c r="T3305" s="6">
        <v>2</v>
      </c>
      <c r="U3305" s="6">
        <v>0</v>
      </c>
      <c r="V3305" s="6">
        <v>0</v>
      </c>
      <c r="W3305" s="6">
        <v>0</v>
      </c>
      <c r="X3305" s="6" t="s">
        <v>169</v>
      </c>
      <c r="Z3305" s="6" t="s">
        <v>170</v>
      </c>
      <c r="AA3305" s="6" t="s">
        <v>171</v>
      </c>
      <c r="AB3305" s="6">
        <v>0</v>
      </c>
      <c r="AC3305" s="6" t="str">
        <f>"KEY-011"</f>
        <v>KEY-011</v>
      </c>
      <c r="AQ3305" s="6" t="str">
        <f>""</f>
        <v/>
      </c>
      <c r="AR3305" s="6" t="s">
        <v>1584</v>
      </c>
      <c r="AS3305" s="6">
        <v>0</v>
      </c>
      <c r="AT3305" s="6">
        <v>2</v>
      </c>
    </row>
    <row r="3306" spans="2:46">
      <c r="B3306" s="6" t="s">
        <v>114</v>
      </c>
      <c r="D3306" s="6" t="s">
        <v>13131</v>
      </c>
      <c r="F3306" s="6" t="s">
        <v>13719</v>
      </c>
      <c r="G3306" s="6" t="str">
        <f>"2000000004235"</f>
        <v>2000000004235</v>
      </c>
      <c r="H3306" s="6">
        <v>2000000004235</v>
      </c>
      <c r="I3306" s="6" t="s">
        <v>13720</v>
      </c>
      <c r="J3306" s="6" t="str">
        <f>"Bobi MUD KDK00506_5"</f>
        <v>Bobi MUD KDK00506_5</v>
      </c>
      <c r="K3306" s="6">
        <v>0</v>
      </c>
      <c r="L3306" s="6">
        <v>0</v>
      </c>
      <c r="M3306" s="6">
        <v>0</v>
      </c>
      <c r="N3306" s="6" t="str">
        <f>""</f>
        <v/>
      </c>
      <c r="O3306" s="6">
        <v>23296</v>
      </c>
      <c r="P3306" s="6" t="s">
        <v>13721</v>
      </c>
      <c r="R3306" s="6" t="s">
        <v>13722</v>
      </c>
      <c r="S3306" s="6" t="s">
        <v>13723</v>
      </c>
      <c r="T3306" s="6">
        <v>0</v>
      </c>
      <c r="U3306" s="6">
        <v>0</v>
      </c>
      <c r="V3306" s="6">
        <v>0</v>
      </c>
      <c r="W3306" s="6">
        <v>0</v>
      </c>
      <c r="X3306" s="6" t="s">
        <v>169</v>
      </c>
      <c r="Z3306" s="6" t="s">
        <v>170</v>
      </c>
      <c r="AA3306" s="6" t="s">
        <v>171</v>
      </c>
      <c r="AB3306" s="6">
        <v>0</v>
      </c>
      <c r="AC3306" s="6" t="str">
        <f>""</f>
        <v/>
      </c>
      <c r="AS3306" s="6">
        <v>0</v>
      </c>
      <c r="AT3306" s="6">
        <v>0</v>
      </c>
    </row>
    <row r="3307" spans="2:46">
      <c r="B3307" s="6" t="s">
        <v>114</v>
      </c>
      <c r="D3307" s="6" t="s">
        <v>13131</v>
      </c>
      <c r="F3307" s="6" t="s">
        <v>13724</v>
      </c>
      <c r="G3307" s="6" t="str">
        <f>"2000000004228"</f>
        <v>2000000004228</v>
      </c>
      <c r="I3307" s="6" t="s">
        <v>13725</v>
      </c>
      <c r="J3307" s="6" t="str">
        <f>"Bobi KHAKI KDK00506_4"</f>
        <v>Bobi KHAKI KDK00506_4</v>
      </c>
      <c r="K3307" s="6">
        <v>0</v>
      </c>
      <c r="L3307" s="6">
        <v>0</v>
      </c>
      <c r="M3307" s="6">
        <v>0</v>
      </c>
      <c r="N3307" s="6" t="str">
        <f>""</f>
        <v/>
      </c>
      <c r="O3307" s="6">
        <v>23294</v>
      </c>
      <c r="P3307" s="6" t="s">
        <v>13726</v>
      </c>
      <c r="R3307" s="6" t="s">
        <v>13727</v>
      </c>
      <c r="S3307" s="6" t="s">
        <v>13728</v>
      </c>
      <c r="T3307" s="6">
        <v>1</v>
      </c>
      <c r="U3307" s="6">
        <v>0</v>
      </c>
      <c r="V3307" s="6">
        <v>0</v>
      </c>
      <c r="W3307" s="6">
        <v>0</v>
      </c>
      <c r="X3307" s="6" t="s">
        <v>169</v>
      </c>
      <c r="Z3307" s="6" t="s">
        <v>170</v>
      </c>
      <c r="AA3307" s="6" t="s">
        <v>171</v>
      </c>
      <c r="AB3307" s="6">
        <v>0</v>
      </c>
      <c r="AC3307" s="6" t="str">
        <f>"KEY-063"</f>
        <v>KEY-063</v>
      </c>
      <c r="AQ3307" s="6" t="str">
        <f>""</f>
        <v/>
      </c>
      <c r="AR3307" s="6" t="s">
        <v>1567</v>
      </c>
      <c r="AS3307" s="6">
        <v>0</v>
      </c>
      <c r="AT3307" s="6">
        <v>1</v>
      </c>
    </row>
    <row r="3308" spans="2:46">
      <c r="B3308" s="6" t="s">
        <v>114</v>
      </c>
      <c r="D3308" s="6" t="s">
        <v>13131</v>
      </c>
      <c r="F3308" s="6" t="s">
        <v>13729</v>
      </c>
      <c r="G3308" s="6" t="str">
        <f>"2000000004204"</f>
        <v>2000000004204</v>
      </c>
      <c r="H3308" s="6">
        <v>2000000004204</v>
      </c>
      <c r="I3308" s="6" t="s">
        <v>13730</v>
      </c>
      <c r="J3308" s="6" t="str">
        <f>"Bobi COCOA KDK00506_3"</f>
        <v>Bobi COCOA KDK00506_3</v>
      </c>
      <c r="K3308" s="6">
        <v>0</v>
      </c>
      <c r="L3308" s="6">
        <v>0</v>
      </c>
      <c r="M3308" s="6">
        <v>0</v>
      </c>
      <c r="N3308" s="6" t="str">
        <f>""</f>
        <v/>
      </c>
      <c r="O3308" s="6">
        <v>23292</v>
      </c>
      <c r="P3308" s="6" t="s">
        <v>13731</v>
      </c>
      <c r="R3308" s="6" t="s">
        <v>13732</v>
      </c>
      <c r="S3308" s="6" t="s">
        <v>13733</v>
      </c>
      <c r="T3308" s="6">
        <v>0</v>
      </c>
      <c r="U3308" s="6">
        <v>0</v>
      </c>
      <c r="V3308" s="6">
        <v>0</v>
      </c>
      <c r="W3308" s="6">
        <v>0</v>
      </c>
      <c r="X3308" s="6" t="s">
        <v>169</v>
      </c>
      <c r="Z3308" s="6" t="s">
        <v>170</v>
      </c>
      <c r="AA3308" s="6" t="s">
        <v>171</v>
      </c>
      <c r="AB3308" s="6">
        <v>0</v>
      </c>
      <c r="AC3308" s="6" t="str">
        <f>""</f>
        <v/>
      </c>
      <c r="AS3308" s="6">
        <v>0</v>
      </c>
      <c r="AT3308" s="6">
        <v>0</v>
      </c>
    </row>
    <row r="3309" spans="2:46">
      <c r="B3309" s="6" t="s">
        <v>114</v>
      </c>
      <c r="D3309" s="6" t="s">
        <v>13131</v>
      </c>
      <c r="F3309" s="6" t="s">
        <v>13734</v>
      </c>
      <c r="G3309" s="6" t="str">
        <f>"2000000004211"</f>
        <v>2000000004211</v>
      </c>
      <c r="H3309" s="6">
        <v>2000000004211</v>
      </c>
      <c r="I3309" s="6" t="s">
        <v>13735</v>
      </c>
      <c r="J3309" s="6" t="str">
        <f>"Bobi BROWN KDK00506_2"</f>
        <v>Bobi BROWN KDK00506_2</v>
      </c>
      <c r="K3309" s="6">
        <v>0</v>
      </c>
      <c r="L3309" s="6">
        <v>0</v>
      </c>
      <c r="M3309" s="6">
        <v>0</v>
      </c>
      <c r="N3309" s="6" t="str">
        <f>""</f>
        <v/>
      </c>
      <c r="O3309" s="6">
        <v>23290</v>
      </c>
      <c r="P3309" s="6" t="s">
        <v>13736</v>
      </c>
      <c r="R3309" s="6" t="s">
        <v>13737</v>
      </c>
      <c r="S3309" s="6" t="s">
        <v>13738</v>
      </c>
      <c r="T3309" s="6">
        <v>0</v>
      </c>
      <c r="U3309" s="6">
        <v>0</v>
      </c>
      <c r="V3309" s="6">
        <v>0</v>
      </c>
      <c r="W3309" s="6">
        <v>0</v>
      </c>
      <c r="X3309" s="6" t="s">
        <v>169</v>
      </c>
      <c r="Z3309" s="6" t="s">
        <v>170</v>
      </c>
      <c r="AA3309" s="6" t="s">
        <v>171</v>
      </c>
      <c r="AB3309" s="6">
        <v>0</v>
      </c>
      <c r="AC3309" s="6" t="str">
        <f>""</f>
        <v/>
      </c>
      <c r="AS3309" s="6">
        <v>0</v>
      </c>
      <c r="AT3309" s="6">
        <v>0</v>
      </c>
    </row>
    <row r="3310" spans="2:46">
      <c r="B3310" s="6" t="s">
        <v>114</v>
      </c>
      <c r="D3310" s="6" t="s">
        <v>13131</v>
      </c>
      <c r="F3310" s="6" t="s">
        <v>13739</v>
      </c>
      <c r="G3310" s="6" t="str">
        <f>"2000000004198"</f>
        <v>2000000004198</v>
      </c>
      <c r="I3310" s="6" t="s">
        <v>13740</v>
      </c>
      <c r="J3310" s="6" t="str">
        <f>"Bobi BLACK KDK00506_1"</f>
        <v>Bobi BLACK KDK00506_1</v>
      </c>
      <c r="K3310" s="6">
        <v>0</v>
      </c>
      <c r="L3310" s="6">
        <v>0</v>
      </c>
      <c r="M3310" s="6">
        <v>0</v>
      </c>
      <c r="N3310" s="6" t="str">
        <f>""</f>
        <v/>
      </c>
      <c r="O3310" s="6">
        <v>23288</v>
      </c>
      <c r="P3310" s="6" t="s">
        <v>13741</v>
      </c>
      <c r="R3310" s="6" t="s">
        <v>581</v>
      </c>
      <c r="S3310" s="6" t="s">
        <v>13742</v>
      </c>
      <c r="T3310" s="6">
        <v>1</v>
      </c>
      <c r="U3310" s="6">
        <v>0</v>
      </c>
      <c r="V3310" s="6">
        <v>0</v>
      </c>
      <c r="W3310" s="6">
        <v>0</v>
      </c>
      <c r="X3310" s="6" t="s">
        <v>169</v>
      </c>
      <c r="Z3310" s="6" t="s">
        <v>170</v>
      </c>
      <c r="AA3310" s="6" t="s">
        <v>171</v>
      </c>
      <c r="AB3310" s="6">
        <v>0</v>
      </c>
      <c r="AC3310" s="6" t="str">
        <f>"KEY-063"</f>
        <v>KEY-063</v>
      </c>
      <c r="AQ3310" s="6" t="str">
        <f>""</f>
        <v/>
      </c>
      <c r="AR3310" s="6" t="s">
        <v>1567</v>
      </c>
      <c r="AS3310" s="6">
        <v>0</v>
      </c>
      <c r="AT3310" s="6">
        <v>1</v>
      </c>
    </row>
    <row r="3311" spans="2:46">
      <c r="B3311" s="6" t="s">
        <v>114</v>
      </c>
      <c r="D3311" s="6" t="s">
        <v>13131</v>
      </c>
      <c r="F3311" s="6" t="s">
        <v>13743</v>
      </c>
      <c r="G3311" s="6" t="str">
        <f>"2000000004419"</f>
        <v>2000000004419</v>
      </c>
      <c r="I3311" s="6" t="s">
        <v>13744</v>
      </c>
      <c r="J3311" s="6" t="str">
        <f>"Bowl KHAKI PYS00508_4"</f>
        <v>Bowl KHAKI PYS00508_4</v>
      </c>
      <c r="K3311" s="6">
        <v>0</v>
      </c>
      <c r="L3311" s="6">
        <v>0</v>
      </c>
      <c r="M3311" s="6">
        <v>0</v>
      </c>
      <c r="N3311" s="6" t="str">
        <f>""</f>
        <v/>
      </c>
      <c r="O3311" s="6">
        <v>23286</v>
      </c>
      <c r="P3311" s="6" t="s">
        <v>13745</v>
      </c>
      <c r="R3311" s="6" t="s">
        <v>13727</v>
      </c>
      <c r="S3311" s="6" t="s">
        <v>13746</v>
      </c>
      <c r="T3311" s="6">
        <v>2</v>
      </c>
      <c r="U3311" s="6">
        <v>0</v>
      </c>
      <c r="V3311" s="6">
        <v>0</v>
      </c>
      <c r="W3311" s="6">
        <v>0</v>
      </c>
      <c r="X3311" s="6" t="s">
        <v>169</v>
      </c>
      <c r="Z3311" s="6" t="s">
        <v>170</v>
      </c>
      <c r="AA3311" s="6" t="s">
        <v>171</v>
      </c>
      <c r="AB3311" s="6">
        <v>0</v>
      </c>
      <c r="AC3311" s="6" t="str">
        <f>"KEY-032"</f>
        <v>KEY-032</v>
      </c>
      <c r="AQ3311" s="6" t="str">
        <f>""</f>
        <v/>
      </c>
      <c r="AR3311" s="6" t="s">
        <v>1567</v>
      </c>
      <c r="AS3311" s="6">
        <v>0</v>
      </c>
      <c r="AT3311" s="6">
        <v>2</v>
      </c>
    </row>
    <row r="3312" spans="2:46">
      <c r="B3312" s="6" t="s">
        <v>114</v>
      </c>
      <c r="D3312" s="6" t="s">
        <v>13131</v>
      </c>
      <c r="F3312" s="6" t="s">
        <v>13747</v>
      </c>
      <c r="G3312" s="6" t="str">
        <f>"2000000004426"</f>
        <v>2000000004426</v>
      </c>
      <c r="I3312" s="6" t="s">
        <v>13748</v>
      </c>
      <c r="J3312" s="6" t="str">
        <f>"Bowl BURGUNDY PYS00508_3"</f>
        <v>Bowl BURGUNDY PYS00508_3</v>
      </c>
      <c r="K3312" s="6">
        <v>0</v>
      </c>
      <c r="L3312" s="6">
        <v>0</v>
      </c>
      <c r="M3312" s="6">
        <v>0</v>
      </c>
      <c r="N3312" s="6" t="str">
        <f>""</f>
        <v/>
      </c>
      <c r="O3312" s="6">
        <v>23284</v>
      </c>
      <c r="P3312" s="6" t="s">
        <v>13749</v>
      </c>
      <c r="R3312" s="6" t="s">
        <v>1110</v>
      </c>
      <c r="S3312" s="6" t="s">
        <v>13750</v>
      </c>
      <c r="T3312" s="6">
        <v>2</v>
      </c>
      <c r="U3312" s="6">
        <v>0</v>
      </c>
      <c r="V3312" s="6">
        <v>0</v>
      </c>
      <c r="W3312" s="6">
        <v>0</v>
      </c>
      <c r="X3312" s="6" t="s">
        <v>169</v>
      </c>
      <c r="Z3312" s="6" t="s">
        <v>170</v>
      </c>
      <c r="AA3312" s="6" t="s">
        <v>171</v>
      </c>
      <c r="AB3312" s="6">
        <v>0</v>
      </c>
      <c r="AC3312" s="6" t="str">
        <f>"KEY-011"</f>
        <v>KEY-011</v>
      </c>
      <c r="AQ3312" s="6" t="str">
        <f>""</f>
        <v/>
      </c>
      <c r="AR3312" s="6" t="s">
        <v>1584</v>
      </c>
      <c r="AS3312" s="6">
        <v>0</v>
      </c>
      <c r="AT3312" s="6">
        <v>2</v>
      </c>
    </row>
    <row r="3313" spans="2:46">
      <c r="B3313" s="6" t="s">
        <v>114</v>
      </c>
      <c r="D3313" s="6" t="s">
        <v>13131</v>
      </c>
      <c r="F3313" s="6" t="s">
        <v>13751</v>
      </c>
      <c r="G3313" s="6" t="str">
        <f>"2000000004402"</f>
        <v>2000000004402</v>
      </c>
      <c r="H3313" s="6">
        <v>2000000004402</v>
      </c>
      <c r="I3313" s="6" t="s">
        <v>13752</v>
      </c>
      <c r="J3313" s="6" t="str">
        <f>"Bowl BROWN PYS00508_2"</f>
        <v>Bowl BROWN PYS00508_2</v>
      </c>
      <c r="K3313" s="6">
        <v>0</v>
      </c>
      <c r="L3313" s="6">
        <v>0</v>
      </c>
      <c r="M3313" s="6">
        <v>0</v>
      </c>
      <c r="N3313" s="6" t="str">
        <f>""</f>
        <v/>
      </c>
      <c r="O3313" s="6">
        <v>23282</v>
      </c>
      <c r="P3313" s="6" t="s">
        <v>13753</v>
      </c>
      <c r="R3313" s="6" t="s">
        <v>13737</v>
      </c>
      <c r="S3313" s="6" t="s">
        <v>13754</v>
      </c>
      <c r="T3313" s="6">
        <v>0</v>
      </c>
      <c r="U3313" s="6">
        <v>0</v>
      </c>
      <c r="V3313" s="6">
        <v>0</v>
      </c>
      <c r="W3313" s="6">
        <v>0</v>
      </c>
      <c r="X3313" s="6" t="s">
        <v>169</v>
      </c>
      <c r="Z3313" s="6" t="s">
        <v>170</v>
      </c>
      <c r="AA3313" s="6" t="s">
        <v>171</v>
      </c>
      <c r="AB3313" s="6">
        <v>0</v>
      </c>
      <c r="AC3313" s="6" t="str">
        <f>""</f>
        <v/>
      </c>
      <c r="AS3313" s="6">
        <v>0</v>
      </c>
      <c r="AT3313" s="6">
        <v>0</v>
      </c>
    </row>
    <row r="3314" spans="2:46">
      <c r="B3314" s="6" t="s">
        <v>114</v>
      </c>
      <c r="D3314" s="6" t="s">
        <v>13131</v>
      </c>
      <c r="F3314" s="6" t="s">
        <v>13755</v>
      </c>
      <c r="G3314" s="6" t="str">
        <f>"2000000004396"</f>
        <v>2000000004396</v>
      </c>
      <c r="H3314" s="6">
        <v>2000000004396</v>
      </c>
      <c r="I3314" s="6" t="s">
        <v>13756</v>
      </c>
      <c r="J3314" s="6" t="str">
        <f>"Bowl BLACK PYS00508_1"</f>
        <v>Bowl BLACK PYS00508_1</v>
      </c>
      <c r="K3314" s="6">
        <v>0</v>
      </c>
      <c r="L3314" s="6">
        <v>0</v>
      </c>
      <c r="M3314" s="6">
        <v>0</v>
      </c>
      <c r="N3314" s="6" t="str">
        <f>""</f>
        <v/>
      </c>
      <c r="O3314" s="6">
        <v>23280</v>
      </c>
      <c r="P3314" s="6" t="s">
        <v>13757</v>
      </c>
      <c r="R3314" s="6" t="s">
        <v>581</v>
      </c>
      <c r="S3314" s="6" t="s">
        <v>13758</v>
      </c>
      <c r="T3314" s="6">
        <v>0</v>
      </c>
      <c r="U3314" s="6">
        <v>0</v>
      </c>
      <c r="V3314" s="6">
        <v>0</v>
      </c>
      <c r="W3314" s="6">
        <v>0</v>
      </c>
      <c r="X3314" s="6" t="s">
        <v>169</v>
      </c>
      <c r="Z3314" s="6" t="s">
        <v>170</v>
      </c>
      <c r="AA3314" s="6" t="s">
        <v>171</v>
      </c>
      <c r="AB3314" s="6">
        <v>0</v>
      </c>
      <c r="AC3314" s="6" t="str">
        <f>""</f>
        <v/>
      </c>
      <c r="AS3314" s="6">
        <v>0</v>
      </c>
      <c r="AT3314" s="6">
        <v>0</v>
      </c>
    </row>
    <row r="3315" spans="2:46">
      <c r="B3315" s="6" t="s">
        <v>114</v>
      </c>
      <c r="D3315" s="6" t="s">
        <v>13131</v>
      </c>
      <c r="F3315" s="6" t="s">
        <v>13759</v>
      </c>
      <c r="G3315" s="6" t="str">
        <f>"2000000003979"</f>
        <v>2000000003979</v>
      </c>
      <c r="I3315" s="6" t="s">
        <v>13760</v>
      </c>
      <c r="J3315" s="6" t="str">
        <f>"Selly TAN PYS00504_5"</f>
        <v>Selly TAN PYS00504_5</v>
      </c>
      <c r="K3315" s="6">
        <v>0</v>
      </c>
      <c r="L3315" s="6">
        <v>0</v>
      </c>
      <c r="M3315" s="6">
        <v>0</v>
      </c>
      <c r="N3315" s="6" t="str">
        <f>""</f>
        <v/>
      </c>
      <c r="O3315" s="6">
        <v>23278</v>
      </c>
      <c r="P3315" s="6" t="s">
        <v>13761</v>
      </c>
      <c r="R3315" s="6" t="s">
        <v>13762</v>
      </c>
      <c r="S3315" s="6" t="s">
        <v>13763</v>
      </c>
      <c r="T3315" s="6">
        <v>2</v>
      </c>
      <c r="U3315" s="6">
        <v>0</v>
      </c>
      <c r="V3315" s="6">
        <v>0</v>
      </c>
      <c r="W3315" s="6">
        <v>0</v>
      </c>
      <c r="X3315" s="6" t="s">
        <v>169</v>
      </c>
      <c r="Z3315" s="6" t="s">
        <v>170</v>
      </c>
      <c r="AA3315" s="6" t="s">
        <v>171</v>
      </c>
      <c r="AB3315" s="6">
        <v>0</v>
      </c>
      <c r="AC3315" s="6" t="str">
        <f>"KEY-019"</f>
        <v>KEY-019</v>
      </c>
      <c r="AQ3315" s="6" t="str">
        <f>""</f>
        <v/>
      </c>
      <c r="AR3315" s="6" t="s">
        <v>1567</v>
      </c>
      <c r="AS3315" s="6">
        <v>0</v>
      </c>
      <c r="AT3315" s="6">
        <v>2</v>
      </c>
    </row>
    <row r="3316" spans="2:46">
      <c r="B3316" s="6" t="s">
        <v>114</v>
      </c>
      <c r="D3316" s="6" t="s">
        <v>13131</v>
      </c>
      <c r="F3316" s="6" t="s">
        <v>13764</v>
      </c>
      <c r="G3316" s="6" t="str">
        <f>"2000000003962"</f>
        <v>2000000003962</v>
      </c>
      <c r="I3316" s="6" t="s">
        <v>13765</v>
      </c>
      <c r="J3316" s="6" t="str">
        <f>"Selly DARKBROWN PYS00504_4"</f>
        <v>Selly DARKBROWN PYS00504_4</v>
      </c>
      <c r="K3316" s="6">
        <v>0</v>
      </c>
      <c r="L3316" s="6">
        <v>0</v>
      </c>
      <c r="M3316" s="6">
        <v>0</v>
      </c>
      <c r="N3316" s="6" t="str">
        <f>""</f>
        <v/>
      </c>
      <c r="O3316" s="6">
        <v>23276</v>
      </c>
      <c r="P3316" s="6" t="s">
        <v>13766</v>
      </c>
      <c r="R3316" s="6" t="s">
        <v>13767</v>
      </c>
      <c r="S3316" s="6" t="s">
        <v>13768</v>
      </c>
      <c r="T3316" s="6">
        <v>2</v>
      </c>
      <c r="U3316" s="6">
        <v>0</v>
      </c>
      <c r="V3316" s="6">
        <v>0</v>
      </c>
      <c r="W3316" s="6">
        <v>0</v>
      </c>
      <c r="X3316" s="6" t="s">
        <v>169</v>
      </c>
      <c r="Z3316" s="6" t="s">
        <v>170</v>
      </c>
      <c r="AA3316" s="6" t="s">
        <v>171</v>
      </c>
      <c r="AB3316" s="6">
        <v>0</v>
      </c>
      <c r="AC3316" s="6" t="str">
        <f>"KEY-049"</f>
        <v>KEY-049</v>
      </c>
      <c r="AQ3316" s="6" t="str">
        <f>""</f>
        <v/>
      </c>
      <c r="AR3316" s="6" t="s">
        <v>1567</v>
      </c>
      <c r="AS3316" s="6">
        <v>0</v>
      </c>
      <c r="AT3316" s="6">
        <v>2</v>
      </c>
    </row>
    <row r="3317" spans="2:46">
      <c r="B3317" s="6" t="s">
        <v>114</v>
      </c>
      <c r="D3317" s="6" t="s">
        <v>13131</v>
      </c>
      <c r="F3317" s="6" t="s">
        <v>13769</v>
      </c>
      <c r="G3317" s="6" t="str">
        <f>"2000000003993"</f>
        <v>2000000003993</v>
      </c>
      <c r="I3317" s="6" t="s">
        <v>13770</v>
      </c>
      <c r="J3317" s="6" t="str">
        <f>"Selly KHAKI PYS00504_3"</f>
        <v>Selly KHAKI PYS00504_3</v>
      </c>
      <c r="K3317" s="6">
        <v>0</v>
      </c>
      <c r="L3317" s="6">
        <v>0</v>
      </c>
      <c r="M3317" s="6">
        <v>0</v>
      </c>
      <c r="N3317" s="6" t="str">
        <f>""</f>
        <v/>
      </c>
      <c r="O3317" s="6">
        <v>23274</v>
      </c>
      <c r="P3317" s="6" t="s">
        <v>13771</v>
      </c>
      <c r="R3317" s="6" t="s">
        <v>13727</v>
      </c>
      <c r="S3317" s="6" t="s">
        <v>13772</v>
      </c>
      <c r="T3317" s="6">
        <v>2</v>
      </c>
      <c r="U3317" s="6">
        <v>0</v>
      </c>
      <c r="V3317" s="6">
        <v>0</v>
      </c>
      <c r="W3317" s="6">
        <v>0</v>
      </c>
      <c r="X3317" s="6" t="s">
        <v>169</v>
      </c>
      <c r="Z3317" s="6" t="s">
        <v>170</v>
      </c>
      <c r="AA3317" s="6" t="s">
        <v>171</v>
      </c>
      <c r="AB3317" s="6">
        <v>0</v>
      </c>
      <c r="AC3317" s="6" t="str">
        <f>"KEY-019"</f>
        <v>KEY-019</v>
      </c>
      <c r="AQ3317" s="6" t="str">
        <f>""</f>
        <v/>
      </c>
      <c r="AR3317" s="6" t="s">
        <v>1567</v>
      </c>
      <c r="AS3317" s="6">
        <v>0</v>
      </c>
      <c r="AT3317" s="6">
        <v>2</v>
      </c>
    </row>
    <row r="3318" spans="2:46">
      <c r="B3318" s="6" t="s">
        <v>114</v>
      </c>
      <c r="D3318" s="6" t="s">
        <v>13131</v>
      </c>
      <c r="F3318" s="6" t="s">
        <v>13773</v>
      </c>
      <c r="G3318" s="6" t="str">
        <f>"2000000003948"</f>
        <v>2000000003948</v>
      </c>
      <c r="I3318" s="6" t="s">
        <v>13774</v>
      </c>
      <c r="J3318" s="6" t="str">
        <f>"Selly GRAY PYS00504_2"</f>
        <v>Selly GRAY PYS00504_2</v>
      </c>
      <c r="K3318" s="6">
        <v>0</v>
      </c>
      <c r="L3318" s="6">
        <v>0</v>
      </c>
      <c r="M3318" s="6">
        <v>0</v>
      </c>
      <c r="N3318" s="6" t="str">
        <f>""</f>
        <v/>
      </c>
      <c r="O3318" s="6">
        <v>23272</v>
      </c>
      <c r="P3318" s="6" t="s">
        <v>13775</v>
      </c>
      <c r="R3318" s="6" t="s">
        <v>2673</v>
      </c>
      <c r="S3318" s="6" t="s">
        <v>13776</v>
      </c>
      <c r="T3318" s="6">
        <v>2</v>
      </c>
      <c r="U3318" s="6">
        <v>0</v>
      </c>
      <c r="V3318" s="6">
        <v>0</v>
      </c>
      <c r="W3318" s="6">
        <v>0</v>
      </c>
      <c r="X3318" s="6" t="s">
        <v>169</v>
      </c>
      <c r="Z3318" s="6" t="s">
        <v>170</v>
      </c>
      <c r="AA3318" s="6" t="s">
        <v>171</v>
      </c>
      <c r="AB3318" s="6">
        <v>0</v>
      </c>
      <c r="AC3318" s="6" t="str">
        <f>"KEY-054"</f>
        <v>KEY-054</v>
      </c>
      <c r="AQ3318" s="6" t="str">
        <f>""</f>
        <v/>
      </c>
      <c r="AR3318" s="6" t="s">
        <v>1567</v>
      </c>
      <c r="AS3318" s="6">
        <v>0</v>
      </c>
      <c r="AT3318" s="6">
        <v>2</v>
      </c>
    </row>
    <row r="3319" spans="2:46">
      <c r="B3319" s="6" t="s">
        <v>114</v>
      </c>
      <c r="D3319" s="6" t="s">
        <v>13131</v>
      </c>
      <c r="F3319" s="6" t="s">
        <v>13777</v>
      </c>
      <c r="G3319" s="6" t="str">
        <f>"2000000003931"</f>
        <v>2000000003931</v>
      </c>
      <c r="I3319" s="6" t="s">
        <v>13778</v>
      </c>
      <c r="J3319" s="6" t="str">
        <f>"Selly BLACK PYS00504_1"</f>
        <v>Selly BLACK PYS00504_1</v>
      </c>
      <c r="K3319" s="6">
        <v>0</v>
      </c>
      <c r="L3319" s="6">
        <v>0</v>
      </c>
      <c r="M3319" s="6">
        <v>0</v>
      </c>
      <c r="N3319" s="6" t="str">
        <f>""</f>
        <v/>
      </c>
      <c r="O3319" s="6">
        <v>23270</v>
      </c>
      <c r="P3319" s="6" t="s">
        <v>13779</v>
      </c>
      <c r="R3319" s="6" t="s">
        <v>581</v>
      </c>
      <c r="S3319" s="6" t="s">
        <v>13780</v>
      </c>
      <c r="T3319" s="6">
        <v>1</v>
      </c>
      <c r="U3319" s="6">
        <v>0</v>
      </c>
      <c r="V3319" s="6">
        <v>0</v>
      </c>
      <c r="W3319" s="6">
        <v>0</v>
      </c>
      <c r="X3319" s="6" t="s">
        <v>169</v>
      </c>
      <c r="Z3319" s="6" t="s">
        <v>170</v>
      </c>
      <c r="AA3319" s="6" t="s">
        <v>171</v>
      </c>
      <c r="AB3319" s="6">
        <v>0</v>
      </c>
      <c r="AC3319" s="6" t="str">
        <f>"KEY-070"</f>
        <v>KEY-070</v>
      </c>
      <c r="AQ3319" s="6" t="str">
        <f>""</f>
        <v/>
      </c>
      <c r="AR3319" s="6" t="s">
        <v>1567</v>
      </c>
      <c r="AS3319" s="6">
        <v>0</v>
      </c>
      <c r="AT3319" s="6">
        <v>1</v>
      </c>
    </row>
    <row r="3320" spans="2:46">
      <c r="B3320" s="6" t="s">
        <v>114</v>
      </c>
      <c r="D3320" s="6" t="s">
        <v>13131</v>
      </c>
      <c r="F3320" s="6" t="s">
        <v>13781</v>
      </c>
      <c r="G3320" s="6" t="str">
        <f>"2000000004150"</f>
        <v>2000000004150</v>
      </c>
      <c r="H3320" s="6">
        <v>2000000004150</v>
      </c>
      <c r="I3320" s="6" t="s">
        <v>13782</v>
      </c>
      <c r="J3320" s="6" t="str">
        <f>"Canna KHAKI KDK00484_4"</f>
        <v>Canna KHAKI KDK00484_4</v>
      </c>
      <c r="K3320" s="6">
        <v>0</v>
      </c>
      <c r="L3320" s="6">
        <v>0</v>
      </c>
      <c r="M3320" s="6">
        <v>0</v>
      </c>
      <c r="N3320" s="6" t="str">
        <f>""</f>
        <v/>
      </c>
      <c r="O3320" s="6">
        <v>23268</v>
      </c>
      <c r="P3320" s="6" t="s">
        <v>13783</v>
      </c>
      <c r="R3320" s="6" t="s">
        <v>13727</v>
      </c>
      <c r="S3320" s="6" t="s">
        <v>13784</v>
      </c>
      <c r="T3320" s="6">
        <v>0</v>
      </c>
      <c r="U3320" s="6">
        <v>0</v>
      </c>
      <c r="V3320" s="6">
        <v>0</v>
      </c>
      <c r="W3320" s="6">
        <v>0</v>
      </c>
      <c r="X3320" s="6" t="s">
        <v>169</v>
      </c>
      <c r="Z3320" s="6" t="s">
        <v>170</v>
      </c>
      <c r="AA3320" s="6" t="s">
        <v>171</v>
      </c>
      <c r="AB3320" s="6">
        <v>0</v>
      </c>
      <c r="AC3320" s="6" t="str">
        <f>""</f>
        <v/>
      </c>
      <c r="AS3320" s="6">
        <v>0</v>
      </c>
      <c r="AT3320" s="6">
        <v>0</v>
      </c>
    </row>
    <row r="3321" spans="2:46">
      <c r="B3321" s="6" t="s">
        <v>114</v>
      </c>
      <c r="D3321" s="6" t="s">
        <v>13131</v>
      </c>
      <c r="F3321" s="6" t="s">
        <v>13785</v>
      </c>
      <c r="G3321" s="6" t="str">
        <f>"2000000002163"</f>
        <v>2000000002163</v>
      </c>
      <c r="H3321" s="6">
        <v>2000000002163</v>
      </c>
      <c r="I3321" s="6" t="s">
        <v>13786</v>
      </c>
      <c r="J3321" s="6" t="str">
        <f>"Canna COCOA KDK00484_3"</f>
        <v>Canna COCOA KDK00484_3</v>
      </c>
      <c r="K3321" s="6">
        <v>0</v>
      </c>
      <c r="L3321" s="6">
        <v>0</v>
      </c>
      <c r="M3321" s="6">
        <v>0</v>
      </c>
      <c r="N3321" s="6" t="str">
        <f>""</f>
        <v/>
      </c>
      <c r="O3321" s="6">
        <v>23266</v>
      </c>
      <c r="P3321" s="6" t="s">
        <v>13787</v>
      </c>
      <c r="R3321" s="6" t="s">
        <v>13732</v>
      </c>
      <c r="S3321" s="6" t="s">
        <v>13788</v>
      </c>
      <c r="T3321" s="6">
        <v>0</v>
      </c>
      <c r="U3321" s="6">
        <v>0</v>
      </c>
      <c r="V3321" s="6">
        <v>0</v>
      </c>
      <c r="W3321" s="6">
        <v>0</v>
      </c>
      <c r="X3321" s="6" t="s">
        <v>169</v>
      </c>
      <c r="Z3321" s="6" t="s">
        <v>170</v>
      </c>
      <c r="AA3321" s="6" t="s">
        <v>171</v>
      </c>
      <c r="AB3321" s="6">
        <v>0</v>
      </c>
      <c r="AC3321" s="6" t="str">
        <f>""</f>
        <v/>
      </c>
      <c r="AS3321" s="6">
        <v>0</v>
      </c>
      <c r="AT3321" s="6">
        <v>0</v>
      </c>
    </row>
    <row r="3322" spans="2:46">
      <c r="B3322" s="6" t="s">
        <v>114</v>
      </c>
      <c r="D3322" s="6" t="s">
        <v>13131</v>
      </c>
      <c r="F3322" s="6" t="s">
        <v>13789</v>
      </c>
      <c r="G3322" s="6" t="str">
        <f>"2000000002156"</f>
        <v>2000000002156</v>
      </c>
      <c r="H3322" s="6">
        <v>2000000002156</v>
      </c>
      <c r="I3322" s="6" t="s">
        <v>13790</v>
      </c>
      <c r="J3322" s="6" t="str">
        <f>"Canna BROWN KDK00484_2"</f>
        <v>Canna BROWN KDK00484_2</v>
      </c>
      <c r="K3322" s="6">
        <v>0</v>
      </c>
      <c r="L3322" s="6">
        <v>0</v>
      </c>
      <c r="M3322" s="6">
        <v>0</v>
      </c>
      <c r="N3322" s="6" t="str">
        <f>""</f>
        <v/>
      </c>
      <c r="O3322" s="6">
        <v>23264</v>
      </c>
      <c r="P3322" s="6" t="s">
        <v>13791</v>
      </c>
      <c r="R3322" s="6" t="s">
        <v>13737</v>
      </c>
      <c r="S3322" s="6" t="s">
        <v>13792</v>
      </c>
      <c r="T3322" s="6">
        <v>0</v>
      </c>
      <c r="U3322" s="6">
        <v>0</v>
      </c>
      <c r="V3322" s="6">
        <v>0</v>
      </c>
      <c r="W3322" s="6">
        <v>0</v>
      </c>
      <c r="X3322" s="6" t="s">
        <v>169</v>
      </c>
      <c r="Z3322" s="6" t="s">
        <v>170</v>
      </c>
      <c r="AA3322" s="6" t="s">
        <v>171</v>
      </c>
      <c r="AB3322" s="6">
        <v>0</v>
      </c>
      <c r="AC3322" s="6" t="str">
        <f>""</f>
        <v/>
      </c>
      <c r="AS3322" s="6">
        <v>0</v>
      </c>
      <c r="AT3322" s="6">
        <v>0</v>
      </c>
    </row>
    <row r="3323" spans="2:46">
      <c r="B3323" s="6" t="s">
        <v>114</v>
      </c>
      <c r="D3323" s="6" t="s">
        <v>13131</v>
      </c>
      <c r="F3323" s="6" t="s">
        <v>13793</v>
      </c>
      <c r="G3323" s="6" t="str">
        <f>"2000000002149"</f>
        <v>2000000002149</v>
      </c>
      <c r="H3323" s="6">
        <v>2000000002149</v>
      </c>
      <c r="I3323" s="6" t="s">
        <v>13794</v>
      </c>
      <c r="J3323" s="6" t="str">
        <f>"Canna BLACK KDK00484_1"</f>
        <v>Canna BLACK KDK00484_1</v>
      </c>
      <c r="K3323" s="6">
        <v>0</v>
      </c>
      <c r="L3323" s="6">
        <v>0</v>
      </c>
      <c r="M3323" s="6">
        <v>0</v>
      </c>
      <c r="N3323" s="6" t="str">
        <f>""</f>
        <v/>
      </c>
      <c r="O3323" s="6">
        <v>23262</v>
      </c>
      <c r="P3323" s="6" t="s">
        <v>13795</v>
      </c>
      <c r="R3323" s="6" t="s">
        <v>581</v>
      </c>
      <c r="S3323" s="6" t="s">
        <v>13796</v>
      </c>
      <c r="T3323" s="6">
        <v>0</v>
      </c>
      <c r="U3323" s="6">
        <v>0</v>
      </c>
      <c r="V3323" s="6">
        <v>0</v>
      </c>
      <c r="W3323" s="6">
        <v>0</v>
      </c>
      <c r="X3323" s="6" t="s">
        <v>169</v>
      </c>
      <c r="Z3323" s="6" t="s">
        <v>170</v>
      </c>
      <c r="AA3323" s="6" t="s">
        <v>171</v>
      </c>
      <c r="AB3323" s="6">
        <v>0</v>
      </c>
      <c r="AC3323" s="6" t="str">
        <f>""</f>
        <v/>
      </c>
      <c r="AS3323" s="6">
        <v>0</v>
      </c>
      <c r="AT3323" s="6">
        <v>0</v>
      </c>
    </row>
    <row r="3324" spans="2:46">
      <c r="B3324" s="6" t="s">
        <v>114</v>
      </c>
      <c r="D3324" s="6" t="s">
        <v>13131</v>
      </c>
      <c r="F3324" s="6" t="s">
        <v>13797</v>
      </c>
      <c r="G3324" s="6" t="str">
        <f>"2000000004167"</f>
        <v>2000000004167</v>
      </c>
      <c r="I3324" s="6" t="s">
        <v>13798</v>
      </c>
      <c r="J3324" s="6" t="str">
        <f>"Leto KHAKI ARS00485_4"</f>
        <v>Leto KHAKI ARS00485_4</v>
      </c>
      <c r="K3324" s="6">
        <v>0</v>
      </c>
      <c r="L3324" s="6">
        <v>0</v>
      </c>
      <c r="M3324" s="6">
        <v>0</v>
      </c>
      <c r="N3324" s="6" t="str">
        <f>""</f>
        <v/>
      </c>
      <c r="O3324" s="6">
        <v>23260</v>
      </c>
      <c r="P3324" s="6" t="s">
        <v>13799</v>
      </c>
      <c r="R3324" s="6" t="s">
        <v>13727</v>
      </c>
      <c r="S3324" s="6" t="s">
        <v>13800</v>
      </c>
      <c r="T3324" s="6">
        <v>1</v>
      </c>
      <c r="U3324" s="6">
        <v>0</v>
      </c>
      <c r="V3324" s="6">
        <v>0</v>
      </c>
      <c r="W3324" s="6">
        <v>0</v>
      </c>
      <c r="X3324" s="6" t="s">
        <v>169</v>
      </c>
      <c r="Z3324" s="6" t="s">
        <v>170</v>
      </c>
      <c r="AA3324" s="6" t="s">
        <v>171</v>
      </c>
      <c r="AB3324" s="6">
        <v>0</v>
      </c>
      <c r="AC3324" s="6" t="str">
        <f>"KEY-010"</f>
        <v>KEY-010</v>
      </c>
      <c r="AQ3324" s="6" t="str">
        <f>""</f>
        <v/>
      </c>
      <c r="AR3324" s="6" t="s">
        <v>1584</v>
      </c>
      <c r="AS3324" s="6">
        <v>0</v>
      </c>
      <c r="AT3324" s="6">
        <v>1</v>
      </c>
    </row>
    <row r="3325" spans="2:46">
      <c r="B3325" s="6" t="s">
        <v>114</v>
      </c>
      <c r="D3325" s="6" t="s">
        <v>13131</v>
      </c>
      <c r="F3325" s="6" t="s">
        <v>13801</v>
      </c>
      <c r="G3325" s="6" t="str">
        <f>"2000000001722"</f>
        <v>2000000001722</v>
      </c>
      <c r="I3325" s="6" t="s">
        <v>13802</v>
      </c>
      <c r="J3325" s="6" t="str">
        <f>"Leto COCOA ARS00485_3"</f>
        <v>Leto COCOA ARS00485_3</v>
      </c>
      <c r="K3325" s="6">
        <v>0</v>
      </c>
      <c r="L3325" s="6">
        <v>0</v>
      </c>
      <c r="M3325" s="6">
        <v>0</v>
      </c>
      <c r="N3325" s="6" t="str">
        <f>""</f>
        <v/>
      </c>
      <c r="O3325" s="6">
        <v>23258</v>
      </c>
      <c r="P3325" s="6" t="s">
        <v>13803</v>
      </c>
      <c r="R3325" s="6" t="s">
        <v>13732</v>
      </c>
      <c r="S3325" s="6" t="s">
        <v>13804</v>
      </c>
      <c r="T3325" s="6">
        <v>1</v>
      </c>
      <c r="U3325" s="6">
        <v>0</v>
      </c>
      <c r="V3325" s="6">
        <v>0</v>
      </c>
      <c r="W3325" s="6">
        <v>0</v>
      </c>
      <c r="X3325" s="6" t="s">
        <v>169</v>
      </c>
      <c r="Z3325" s="6" t="s">
        <v>170</v>
      </c>
      <c r="AA3325" s="6" t="s">
        <v>171</v>
      </c>
      <c r="AB3325" s="6">
        <v>0</v>
      </c>
      <c r="AC3325" s="6" t="str">
        <f>"KEY-052"</f>
        <v>KEY-052</v>
      </c>
      <c r="AQ3325" s="6" t="str">
        <f>""</f>
        <v/>
      </c>
      <c r="AR3325" s="6" t="s">
        <v>1567</v>
      </c>
      <c r="AS3325" s="6">
        <v>0</v>
      </c>
      <c r="AT3325" s="6">
        <v>1</v>
      </c>
    </row>
    <row r="3326" spans="2:46">
      <c r="B3326" s="6" t="s">
        <v>114</v>
      </c>
      <c r="D3326" s="6" t="s">
        <v>13131</v>
      </c>
      <c r="F3326" s="6" t="s">
        <v>13805</v>
      </c>
      <c r="G3326" s="6" t="str">
        <f>"2000000001715"</f>
        <v>2000000001715</v>
      </c>
      <c r="I3326" s="6" t="s">
        <v>67</v>
      </c>
      <c r="J3326" s="6" t="str">
        <f>"Leto BROWN ARS00485_2"</f>
        <v>Leto BROWN ARS00485_2</v>
      </c>
      <c r="K3326" s="6">
        <v>0</v>
      </c>
      <c r="L3326" s="6">
        <v>0</v>
      </c>
      <c r="M3326" s="6">
        <v>0</v>
      </c>
      <c r="N3326" s="6" t="str">
        <f>""</f>
        <v/>
      </c>
      <c r="O3326" s="6">
        <v>23256</v>
      </c>
      <c r="P3326" s="6" t="s">
        <v>66</v>
      </c>
      <c r="R3326" s="6" t="s">
        <v>13737</v>
      </c>
      <c r="S3326" s="6" t="s">
        <v>13806</v>
      </c>
      <c r="T3326" s="6">
        <v>0</v>
      </c>
      <c r="U3326" s="6">
        <v>0</v>
      </c>
      <c r="V3326" s="6">
        <v>0</v>
      </c>
      <c r="W3326" s="6">
        <v>0</v>
      </c>
      <c r="X3326" s="6" t="s">
        <v>169</v>
      </c>
      <c r="Z3326" s="6" t="s">
        <v>170</v>
      </c>
      <c r="AA3326" s="6" t="s">
        <v>171</v>
      </c>
      <c r="AB3326" s="6">
        <v>0</v>
      </c>
      <c r="AC3326" s="6" t="str">
        <f>"KEY-074"</f>
        <v>KEY-074</v>
      </c>
      <c r="AQ3326" s="6" t="str">
        <f>""</f>
        <v/>
      </c>
      <c r="AR3326" s="6" t="s">
        <v>1567</v>
      </c>
      <c r="AS3326" s="6">
        <v>0</v>
      </c>
      <c r="AT3326" s="6">
        <v>1</v>
      </c>
    </row>
    <row r="3327" spans="2:46">
      <c r="B3327" s="6" t="s">
        <v>114</v>
      </c>
      <c r="D3327" s="6" t="s">
        <v>13131</v>
      </c>
      <c r="F3327" s="6" t="s">
        <v>13807</v>
      </c>
      <c r="G3327" s="6" t="str">
        <f>"2000000001708"</f>
        <v>2000000001708</v>
      </c>
      <c r="I3327" s="6" t="s">
        <v>13808</v>
      </c>
      <c r="J3327" s="6" t="str">
        <f>"Leto BLACK ARS00485_1"</f>
        <v>Leto BLACK ARS00485_1</v>
      </c>
      <c r="K3327" s="6">
        <v>0</v>
      </c>
      <c r="L3327" s="6">
        <v>0</v>
      </c>
      <c r="M3327" s="6">
        <v>0</v>
      </c>
      <c r="N3327" s="6" t="str">
        <f>""</f>
        <v/>
      </c>
      <c r="O3327" s="6">
        <v>23254</v>
      </c>
      <c r="P3327" s="6" t="s">
        <v>13809</v>
      </c>
      <c r="R3327" s="6" t="s">
        <v>581</v>
      </c>
      <c r="S3327" s="6" t="s">
        <v>13810</v>
      </c>
      <c r="T3327" s="6">
        <v>1</v>
      </c>
      <c r="U3327" s="6">
        <v>0</v>
      </c>
      <c r="V3327" s="6">
        <v>0</v>
      </c>
      <c r="W3327" s="6">
        <v>0</v>
      </c>
      <c r="X3327" s="6" t="s">
        <v>169</v>
      </c>
      <c r="Z3327" s="6" t="s">
        <v>170</v>
      </c>
      <c r="AA3327" s="6" t="s">
        <v>171</v>
      </c>
      <c r="AB3327" s="6">
        <v>0</v>
      </c>
      <c r="AC3327" s="6" t="str">
        <f>"KEY-073"</f>
        <v>KEY-073</v>
      </c>
      <c r="AQ3327" s="6" t="str">
        <f>""</f>
        <v/>
      </c>
      <c r="AR3327" s="6" t="s">
        <v>1567</v>
      </c>
      <c r="AS3327" s="6">
        <v>0</v>
      </c>
      <c r="AT3327" s="6">
        <v>1</v>
      </c>
    </row>
    <row r="3328" spans="2:46">
      <c r="B3328" s="6" t="s">
        <v>114</v>
      </c>
      <c r="D3328" s="6" t="s">
        <v>13131</v>
      </c>
      <c r="F3328" s="6" t="s">
        <v>13811</v>
      </c>
      <c r="G3328" s="6" t="str">
        <f>"2000000004105"</f>
        <v>2000000004105</v>
      </c>
      <c r="H3328" s="6">
        <v>2000000004105</v>
      </c>
      <c r="I3328" s="6" t="s">
        <v>13812</v>
      </c>
      <c r="J3328" s="6" t="str">
        <f>"Edina PURPLE KJS00505_10"</f>
        <v>Edina PURPLE KJS00505_10</v>
      </c>
      <c r="K3328" s="6">
        <v>0</v>
      </c>
      <c r="L3328" s="6">
        <v>0</v>
      </c>
      <c r="M3328" s="6">
        <v>0</v>
      </c>
      <c r="N3328" s="6" t="str">
        <f>""</f>
        <v/>
      </c>
      <c r="O3328" s="6">
        <v>23252</v>
      </c>
      <c r="P3328" s="6" t="s">
        <v>13813</v>
      </c>
      <c r="R3328" s="6" t="s">
        <v>576</v>
      </c>
      <c r="S3328" s="6" t="s">
        <v>13814</v>
      </c>
      <c r="T3328" s="6">
        <v>0</v>
      </c>
      <c r="U3328" s="6">
        <v>0</v>
      </c>
      <c r="V3328" s="6">
        <v>0</v>
      </c>
      <c r="W3328" s="6">
        <v>0</v>
      </c>
      <c r="X3328" s="6" t="s">
        <v>169</v>
      </c>
      <c r="Z3328" s="6" t="s">
        <v>170</v>
      </c>
      <c r="AA3328" s="6" t="s">
        <v>171</v>
      </c>
      <c r="AB3328" s="6">
        <v>0</v>
      </c>
      <c r="AC3328" s="6" t="str">
        <f>""</f>
        <v/>
      </c>
      <c r="AS3328" s="6">
        <v>0</v>
      </c>
      <c r="AT3328" s="6">
        <v>0</v>
      </c>
    </row>
    <row r="3329" spans="2:46">
      <c r="B3329" s="6" t="s">
        <v>114</v>
      </c>
      <c r="D3329" s="6" t="s">
        <v>13131</v>
      </c>
      <c r="F3329" s="6" t="s">
        <v>13815</v>
      </c>
      <c r="G3329" s="6" t="str">
        <f>"2000000004112"</f>
        <v>2000000004112</v>
      </c>
      <c r="H3329" s="6">
        <v>2000000004112</v>
      </c>
      <c r="I3329" s="6" t="s">
        <v>13816</v>
      </c>
      <c r="J3329" s="6" t="str">
        <f>"Edina MUSTARD KJS00505_9"</f>
        <v>Edina MUSTARD KJS00505_9</v>
      </c>
      <c r="K3329" s="6">
        <v>0</v>
      </c>
      <c r="L3329" s="6">
        <v>0</v>
      </c>
      <c r="M3329" s="6">
        <v>0</v>
      </c>
      <c r="N3329" s="6" t="str">
        <f>""</f>
        <v/>
      </c>
      <c r="O3329" s="6">
        <v>23250</v>
      </c>
      <c r="P3329" s="6" t="s">
        <v>13817</v>
      </c>
      <c r="R3329" s="6" t="s">
        <v>13818</v>
      </c>
      <c r="S3329" s="6" t="s">
        <v>13819</v>
      </c>
      <c r="T3329" s="6">
        <v>0</v>
      </c>
      <c r="U3329" s="6">
        <v>0</v>
      </c>
      <c r="V3329" s="6">
        <v>0</v>
      </c>
      <c r="W3329" s="6">
        <v>0</v>
      </c>
      <c r="X3329" s="6" t="s">
        <v>169</v>
      </c>
      <c r="Z3329" s="6" t="s">
        <v>170</v>
      </c>
      <c r="AA3329" s="6" t="s">
        <v>171</v>
      </c>
      <c r="AB3329" s="6">
        <v>0</v>
      </c>
      <c r="AC3329" s="6" t="str">
        <f>""</f>
        <v/>
      </c>
      <c r="AS3329" s="6">
        <v>0</v>
      </c>
      <c r="AT3329" s="6">
        <v>0</v>
      </c>
    </row>
    <row r="3330" spans="2:46">
      <c r="B3330" s="6" t="s">
        <v>114</v>
      </c>
      <c r="D3330" s="6" t="s">
        <v>13131</v>
      </c>
      <c r="F3330" s="6" t="s">
        <v>13820</v>
      </c>
      <c r="G3330" s="6" t="str">
        <f>"2000000004044"</f>
        <v>2000000004044</v>
      </c>
      <c r="I3330" s="6" t="s">
        <v>13821</v>
      </c>
      <c r="J3330" s="6" t="str">
        <f>"Edina LIGHTGRAY KJS00505_8"</f>
        <v>Edina LIGHTGRAY KJS00505_8</v>
      </c>
      <c r="K3330" s="6">
        <v>0</v>
      </c>
      <c r="L3330" s="6">
        <v>0</v>
      </c>
      <c r="M3330" s="6">
        <v>0</v>
      </c>
      <c r="N3330" s="6" t="str">
        <f>""</f>
        <v/>
      </c>
      <c r="O3330" s="6">
        <v>23248</v>
      </c>
      <c r="P3330" s="6" t="s">
        <v>13822</v>
      </c>
      <c r="R3330" s="6" t="s">
        <v>13823</v>
      </c>
      <c r="S3330" s="6" t="s">
        <v>13824</v>
      </c>
      <c r="T3330" s="6">
        <v>1</v>
      </c>
      <c r="U3330" s="6">
        <v>0</v>
      </c>
      <c r="V3330" s="6">
        <v>0</v>
      </c>
      <c r="W3330" s="6">
        <v>0</v>
      </c>
      <c r="X3330" s="6" t="s">
        <v>169</v>
      </c>
      <c r="Z3330" s="6" t="s">
        <v>170</v>
      </c>
      <c r="AA3330" s="6" t="s">
        <v>171</v>
      </c>
      <c r="AB3330" s="6">
        <v>0</v>
      </c>
      <c r="AC3330" s="6" t="str">
        <f>"KEY-015"</f>
        <v>KEY-015</v>
      </c>
      <c r="AQ3330" s="6" t="str">
        <f>""</f>
        <v/>
      </c>
      <c r="AR3330" s="6" t="s">
        <v>1584</v>
      </c>
      <c r="AS3330" s="6">
        <v>0</v>
      </c>
      <c r="AT3330" s="6">
        <v>1</v>
      </c>
    </row>
    <row r="3331" spans="2:46">
      <c r="B3331" s="6" t="s">
        <v>114</v>
      </c>
      <c r="D3331" s="6" t="s">
        <v>13131</v>
      </c>
      <c r="F3331" s="6" t="s">
        <v>13825</v>
      </c>
      <c r="G3331" s="6" t="str">
        <f>"2000000004037"</f>
        <v>2000000004037</v>
      </c>
      <c r="H3331" s="6">
        <v>2000000004037</v>
      </c>
      <c r="I3331" s="6" t="s">
        <v>13826</v>
      </c>
      <c r="J3331" s="6" t="str">
        <f>"Edina KHAKI KJS00505_7"</f>
        <v>Edina KHAKI KJS00505_7</v>
      </c>
      <c r="K3331" s="6">
        <v>0</v>
      </c>
      <c r="L3331" s="6">
        <v>0</v>
      </c>
      <c r="M3331" s="6">
        <v>0</v>
      </c>
      <c r="N3331" s="6" t="str">
        <f>""</f>
        <v/>
      </c>
      <c r="O3331" s="6">
        <v>23246</v>
      </c>
      <c r="P3331" s="6" t="s">
        <v>13827</v>
      </c>
      <c r="R3331" s="6" t="s">
        <v>13727</v>
      </c>
      <c r="S3331" s="6" t="s">
        <v>13828</v>
      </c>
      <c r="T3331" s="6">
        <v>0</v>
      </c>
      <c r="U3331" s="6">
        <v>0</v>
      </c>
      <c r="V3331" s="6">
        <v>0</v>
      </c>
      <c r="W3331" s="6">
        <v>0</v>
      </c>
      <c r="X3331" s="6" t="s">
        <v>169</v>
      </c>
      <c r="Z3331" s="6" t="s">
        <v>170</v>
      </c>
      <c r="AA3331" s="6" t="s">
        <v>171</v>
      </c>
      <c r="AB3331" s="6">
        <v>0</v>
      </c>
      <c r="AC3331" s="6" t="str">
        <f>""</f>
        <v/>
      </c>
      <c r="AS3331" s="6">
        <v>0</v>
      </c>
      <c r="AT3331" s="6">
        <v>0</v>
      </c>
    </row>
    <row r="3332" spans="2:46">
      <c r="B3332" s="6" t="s">
        <v>114</v>
      </c>
      <c r="D3332" s="6" t="s">
        <v>13131</v>
      </c>
      <c r="F3332" s="6" t="s">
        <v>13829</v>
      </c>
      <c r="G3332" s="6" t="str">
        <f>"2000000004051"</f>
        <v>2000000004051</v>
      </c>
      <c r="H3332" s="6">
        <v>2000000004051</v>
      </c>
      <c r="I3332" s="6" t="s">
        <v>13830</v>
      </c>
      <c r="J3332" s="6" t="str">
        <f>"Edina DARKGRAY KJS00505_6"</f>
        <v>Edina DARKGRAY KJS00505_6</v>
      </c>
      <c r="K3332" s="6">
        <v>0</v>
      </c>
      <c r="L3332" s="6">
        <v>0</v>
      </c>
      <c r="M3332" s="6">
        <v>0</v>
      </c>
      <c r="N3332" s="6" t="str">
        <f>""</f>
        <v/>
      </c>
      <c r="O3332" s="6">
        <v>23244</v>
      </c>
      <c r="P3332" s="6" t="s">
        <v>13831</v>
      </c>
      <c r="R3332" s="6" t="s">
        <v>13832</v>
      </c>
      <c r="S3332" s="6" t="s">
        <v>13833</v>
      </c>
      <c r="T3332" s="6">
        <v>0</v>
      </c>
      <c r="U3332" s="6">
        <v>0</v>
      </c>
      <c r="V3332" s="6">
        <v>0</v>
      </c>
      <c r="W3332" s="6">
        <v>0</v>
      </c>
      <c r="X3332" s="6" t="s">
        <v>169</v>
      </c>
      <c r="Z3332" s="6" t="s">
        <v>170</v>
      </c>
      <c r="AA3332" s="6" t="s">
        <v>171</v>
      </c>
      <c r="AB3332" s="6">
        <v>0</v>
      </c>
      <c r="AC3332" s="6" t="str">
        <f>""</f>
        <v/>
      </c>
      <c r="AS3332" s="6">
        <v>0</v>
      </c>
      <c r="AT3332" s="6">
        <v>0</v>
      </c>
    </row>
    <row r="3333" spans="2:46">
      <c r="B3333" s="6" t="s">
        <v>114</v>
      </c>
      <c r="D3333" s="6" t="s">
        <v>13131</v>
      </c>
      <c r="F3333" s="6" t="s">
        <v>13834</v>
      </c>
      <c r="G3333" s="6" t="str">
        <f>"2000000004075"</f>
        <v>2000000004075</v>
      </c>
      <c r="H3333" s="6">
        <v>2000000004075</v>
      </c>
      <c r="I3333" s="6" t="s">
        <v>13835</v>
      </c>
      <c r="J3333" s="6" t="str">
        <f>"Edina BURGUNDY KJS00505_5"</f>
        <v>Edina BURGUNDY KJS00505_5</v>
      </c>
      <c r="K3333" s="6">
        <v>0</v>
      </c>
      <c r="L3333" s="6">
        <v>0</v>
      </c>
      <c r="M3333" s="6">
        <v>0</v>
      </c>
      <c r="N3333" s="6" t="str">
        <f>""</f>
        <v/>
      </c>
      <c r="O3333" s="6">
        <v>23242</v>
      </c>
      <c r="P3333" s="6" t="s">
        <v>13836</v>
      </c>
      <c r="R3333" s="6" t="s">
        <v>1110</v>
      </c>
      <c r="S3333" s="6" t="s">
        <v>13837</v>
      </c>
      <c r="T3333" s="6">
        <v>0</v>
      </c>
      <c r="U3333" s="6">
        <v>0</v>
      </c>
      <c r="V3333" s="6">
        <v>0</v>
      </c>
      <c r="W3333" s="6">
        <v>0</v>
      </c>
      <c r="X3333" s="6" t="s">
        <v>169</v>
      </c>
      <c r="Z3333" s="6" t="s">
        <v>170</v>
      </c>
      <c r="AA3333" s="6" t="s">
        <v>171</v>
      </c>
      <c r="AB3333" s="6">
        <v>0</v>
      </c>
      <c r="AC3333" s="6" t="str">
        <f>""</f>
        <v/>
      </c>
      <c r="AS3333" s="6">
        <v>0</v>
      </c>
      <c r="AT3333" s="6">
        <v>0</v>
      </c>
    </row>
    <row r="3334" spans="2:46">
      <c r="B3334" s="6" t="s">
        <v>114</v>
      </c>
      <c r="D3334" s="6" t="s">
        <v>13131</v>
      </c>
      <c r="F3334" s="6" t="s">
        <v>13838</v>
      </c>
      <c r="G3334" s="6" t="str">
        <f>"2000000004068"</f>
        <v>2000000004068</v>
      </c>
      <c r="H3334" s="6">
        <v>2000000004068</v>
      </c>
      <c r="I3334" s="6" t="s">
        <v>13839</v>
      </c>
      <c r="J3334" s="6" t="str">
        <f>"Edina BROWN KJS00505_4"</f>
        <v>Edina BROWN KJS00505_4</v>
      </c>
      <c r="K3334" s="6">
        <v>0</v>
      </c>
      <c r="L3334" s="6">
        <v>0</v>
      </c>
      <c r="M3334" s="6">
        <v>0</v>
      </c>
      <c r="N3334" s="6" t="str">
        <f>""</f>
        <v/>
      </c>
      <c r="O3334" s="6">
        <v>23240</v>
      </c>
      <c r="P3334" s="6" t="s">
        <v>13840</v>
      </c>
      <c r="R3334" s="6" t="s">
        <v>13737</v>
      </c>
      <c r="S3334" s="6" t="s">
        <v>13841</v>
      </c>
      <c r="T3334" s="6">
        <v>0</v>
      </c>
      <c r="U3334" s="6">
        <v>0</v>
      </c>
      <c r="V3334" s="6">
        <v>0</v>
      </c>
      <c r="W3334" s="6">
        <v>0</v>
      </c>
      <c r="X3334" s="6" t="s">
        <v>169</v>
      </c>
      <c r="Z3334" s="6" t="s">
        <v>170</v>
      </c>
      <c r="AA3334" s="6" t="s">
        <v>171</v>
      </c>
      <c r="AB3334" s="6">
        <v>0</v>
      </c>
      <c r="AC3334" s="6" t="str">
        <f>""</f>
        <v/>
      </c>
      <c r="AS3334" s="6">
        <v>0</v>
      </c>
      <c r="AT3334" s="6">
        <v>0</v>
      </c>
    </row>
    <row r="3335" spans="2:46">
      <c r="B3335" s="6" t="s">
        <v>114</v>
      </c>
      <c r="D3335" s="6" t="s">
        <v>13131</v>
      </c>
      <c r="F3335" s="6" t="s">
        <v>13842</v>
      </c>
      <c r="G3335" s="6" t="str">
        <f>"2000000004082"</f>
        <v>2000000004082</v>
      </c>
      <c r="H3335" s="6">
        <v>2000000004082</v>
      </c>
      <c r="I3335" s="6" t="s">
        <v>13843</v>
      </c>
      <c r="J3335" s="6" t="str">
        <f>"Edina BLUE KJS00505_3"</f>
        <v>Edina BLUE KJS00505_3</v>
      </c>
      <c r="K3335" s="6">
        <v>0</v>
      </c>
      <c r="L3335" s="6">
        <v>0</v>
      </c>
      <c r="M3335" s="6">
        <v>0</v>
      </c>
      <c r="N3335" s="6" t="str">
        <f>""</f>
        <v/>
      </c>
      <c r="O3335" s="6">
        <v>23238</v>
      </c>
      <c r="P3335" s="6" t="s">
        <v>13844</v>
      </c>
      <c r="R3335" s="6" t="s">
        <v>963</v>
      </c>
      <c r="S3335" s="6" t="s">
        <v>13845</v>
      </c>
      <c r="T3335" s="6">
        <v>0</v>
      </c>
      <c r="U3335" s="6">
        <v>0</v>
      </c>
      <c r="V3335" s="6">
        <v>0</v>
      </c>
      <c r="W3335" s="6">
        <v>0</v>
      </c>
      <c r="X3335" s="6" t="s">
        <v>169</v>
      </c>
      <c r="Z3335" s="6" t="s">
        <v>170</v>
      </c>
      <c r="AA3335" s="6" t="s">
        <v>171</v>
      </c>
      <c r="AB3335" s="6">
        <v>0</v>
      </c>
      <c r="AC3335" s="6" t="str">
        <f>""</f>
        <v/>
      </c>
      <c r="AS3335" s="6">
        <v>0</v>
      </c>
      <c r="AT3335" s="6">
        <v>0</v>
      </c>
    </row>
    <row r="3336" spans="2:46">
      <c r="B3336" s="6" t="s">
        <v>114</v>
      </c>
      <c r="D3336" s="6" t="s">
        <v>13131</v>
      </c>
      <c r="F3336" s="6" t="s">
        <v>13846</v>
      </c>
      <c r="G3336" s="6" t="str">
        <f>"2000000004020"</f>
        <v>2000000004020</v>
      </c>
      <c r="H3336" s="6">
        <v>2000000004020</v>
      </c>
      <c r="I3336" s="6" t="s">
        <v>13847</v>
      </c>
      <c r="J3336" s="6" t="str">
        <f>"Edina BLACK KJS00505_2"</f>
        <v>Edina BLACK KJS00505_2</v>
      </c>
      <c r="K3336" s="6">
        <v>0</v>
      </c>
      <c r="L3336" s="6">
        <v>0</v>
      </c>
      <c r="M3336" s="6">
        <v>0</v>
      </c>
      <c r="N3336" s="6" t="str">
        <f>""</f>
        <v/>
      </c>
      <c r="O3336" s="6">
        <v>23236</v>
      </c>
      <c r="P3336" s="6" t="s">
        <v>13848</v>
      </c>
      <c r="R3336" s="6" t="s">
        <v>581</v>
      </c>
      <c r="S3336" s="6" t="s">
        <v>13849</v>
      </c>
      <c r="T3336" s="6">
        <v>0</v>
      </c>
      <c r="U3336" s="6">
        <v>0</v>
      </c>
      <c r="V3336" s="6">
        <v>0</v>
      </c>
      <c r="W3336" s="6">
        <v>0</v>
      </c>
      <c r="X3336" s="6" t="s">
        <v>169</v>
      </c>
      <c r="Z3336" s="6" t="s">
        <v>170</v>
      </c>
      <c r="AA3336" s="6" t="s">
        <v>171</v>
      </c>
      <c r="AB3336" s="6">
        <v>0</v>
      </c>
      <c r="AC3336" s="6" t="str">
        <f>""</f>
        <v/>
      </c>
      <c r="AS3336" s="6">
        <v>0</v>
      </c>
      <c r="AT3336" s="6">
        <v>0</v>
      </c>
    </row>
    <row r="3337" spans="2:46">
      <c r="B3337" s="6" t="s">
        <v>114</v>
      </c>
      <c r="D3337" s="6" t="s">
        <v>13131</v>
      </c>
      <c r="F3337" s="6" t="s">
        <v>13850</v>
      </c>
      <c r="G3337" s="6" t="str">
        <f>"2000000004099"</f>
        <v>2000000004099</v>
      </c>
      <c r="H3337" s="6">
        <v>2000000004099</v>
      </c>
      <c r="I3337" s="6" t="s">
        <v>13851</v>
      </c>
      <c r="J3337" s="6" t="str">
        <f>"Edina BEIGE KJS00505_1"</f>
        <v>Edina BEIGE KJS00505_1</v>
      </c>
      <c r="K3337" s="6">
        <v>0</v>
      </c>
      <c r="L3337" s="6">
        <v>0</v>
      </c>
      <c r="M3337" s="6">
        <v>0</v>
      </c>
      <c r="N3337" s="6" t="str">
        <f>""</f>
        <v/>
      </c>
      <c r="O3337" s="6">
        <v>23234</v>
      </c>
      <c r="P3337" s="6" t="s">
        <v>13852</v>
      </c>
      <c r="R3337" s="6" t="s">
        <v>13853</v>
      </c>
      <c r="S3337" s="6" t="s">
        <v>13854</v>
      </c>
      <c r="T3337" s="6">
        <v>0</v>
      </c>
      <c r="U3337" s="6">
        <v>0</v>
      </c>
      <c r="V3337" s="6">
        <v>0</v>
      </c>
      <c r="W3337" s="6">
        <v>0</v>
      </c>
      <c r="X3337" s="6" t="s">
        <v>169</v>
      </c>
      <c r="Z3337" s="6" t="s">
        <v>170</v>
      </c>
      <c r="AA3337" s="6" t="s">
        <v>171</v>
      </c>
      <c r="AB3337" s="6">
        <v>0</v>
      </c>
      <c r="AC3337" s="6" t="str">
        <f>""</f>
        <v/>
      </c>
      <c r="AS3337" s="6">
        <v>0</v>
      </c>
      <c r="AT3337" s="6">
        <v>0</v>
      </c>
    </row>
    <row r="3338" spans="2:46">
      <c r="B3338" s="6" t="s">
        <v>114</v>
      </c>
      <c r="D3338" s="6" t="s">
        <v>13131</v>
      </c>
      <c r="F3338" s="6" t="s">
        <v>13855</v>
      </c>
      <c r="G3338" s="6" t="str">
        <f>"2000000004297"</f>
        <v>2000000004297</v>
      </c>
      <c r="I3338" s="6" t="s">
        <v>13856</v>
      </c>
      <c r="J3338" s="6" t="str">
        <f>"Jack GRAY KJS00490_5"</f>
        <v>Jack GRAY KJS00490_5</v>
      </c>
      <c r="K3338" s="6">
        <v>0</v>
      </c>
      <c r="L3338" s="6">
        <v>0</v>
      </c>
      <c r="M3338" s="6">
        <v>0</v>
      </c>
      <c r="N3338" s="6" t="str">
        <f>""</f>
        <v/>
      </c>
      <c r="O3338" s="6">
        <v>23232</v>
      </c>
      <c r="P3338" s="6" t="s">
        <v>13857</v>
      </c>
      <c r="R3338" s="6" t="s">
        <v>2673</v>
      </c>
      <c r="S3338" s="6" t="s">
        <v>13858</v>
      </c>
      <c r="T3338" s="6">
        <v>1</v>
      </c>
      <c r="U3338" s="6">
        <v>0</v>
      </c>
      <c r="V3338" s="6">
        <v>0</v>
      </c>
      <c r="W3338" s="6">
        <v>0</v>
      </c>
      <c r="X3338" s="6" t="s">
        <v>169</v>
      </c>
      <c r="Z3338" s="6" t="s">
        <v>170</v>
      </c>
      <c r="AA3338" s="6" t="s">
        <v>171</v>
      </c>
      <c r="AB3338" s="6">
        <v>0</v>
      </c>
      <c r="AC3338" s="6" t="str">
        <f>"KEY-071"</f>
        <v>KEY-071</v>
      </c>
      <c r="AQ3338" s="6" t="str">
        <f>""</f>
        <v/>
      </c>
      <c r="AR3338" s="6" t="s">
        <v>1567</v>
      </c>
      <c r="AS3338" s="6">
        <v>0</v>
      </c>
      <c r="AT3338" s="6">
        <v>1</v>
      </c>
    </row>
    <row r="3339" spans="2:46">
      <c r="B3339" s="6" t="s">
        <v>114</v>
      </c>
      <c r="D3339" s="6" t="s">
        <v>13131</v>
      </c>
      <c r="F3339" s="6" t="s">
        <v>13859</v>
      </c>
      <c r="G3339" s="6" t="str">
        <f>"KJS00490_4"</f>
        <v>KJS00490_4</v>
      </c>
      <c r="H3339" s="6" t="s">
        <v>13860</v>
      </c>
      <c r="I3339" s="6" t="s">
        <v>13861</v>
      </c>
      <c r="J3339" s="6" t="str">
        <f>"Jack BURGUNDY KJS00490_4"</f>
        <v>Jack BURGUNDY KJS00490_4</v>
      </c>
      <c r="K3339" s="6">
        <v>0</v>
      </c>
      <c r="L3339" s="6">
        <v>0</v>
      </c>
      <c r="M3339" s="6">
        <v>0</v>
      </c>
      <c r="N3339" s="6" t="str">
        <f>""</f>
        <v/>
      </c>
      <c r="O3339" s="6">
        <v>23230</v>
      </c>
      <c r="P3339" s="6" t="s">
        <v>13860</v>
      </c>
      <c r="R3339" s="6" t="s">
        <v>1110</v>
      </c>
      <c r="S3339" s="6" t="s">
        <v>13862</v>
      </c>
      <c r="T3339" s="6">
        <v>0</v>
      </c>
      <c r="U3339" s="6">
        <v>0</v>
      </c>
      <c r="V3339" s="6">
        <v>0</v>
      </c>
      <c r="W3339" s="6">
        <v>0</v>
      </c>
      <c r="X3339" s="6" t="s">
        <v>169</v>
      </c>
      <c r="Z3339" s="6" t="s">
        <v>170</v>
      </c>
      <c r="AA3339" s="6" t="s">
        <v>171</v>
      </c>
      <c r="AB3339" s="6">
        <v>0</v>
      </c>
      <c r="AC3339" s="6" t="str">
        <f>""</f>
        <v/>
      </c>
      <c r="AS3339" s="6">
        <v>0</v>
      </c>
      <c r="AT3339" s="6">
        <v>2</v>
      </c>
    </row>
    <row r="3340" spans="2:46">
      <c r="B3340" s="6" t="s">
        <v>114</v>
      </c>
      <c r="D3340" s="6" t="s">
        <v>13131</v>
      </c>
      <c r="F3340" s="6" t="s">
        <v>13863</v>
      </c>
      <c r="G3340" s="6" t="str">
        <f>"2000000002811"</f>
        <v>2000000002811</v>
      </c>
      <c r="H3340" s="6">
        <v>2000000002811</v>
      </c>
      <c r="I3340" s="6" t="s">
        <v>13864</v>
      </c>
      <c r="J3340" s="6" t="str">
        <f>"Jack BLACK KJS00490_2"</f>
        <v>Jack BLACK KJS00490_2</v>
      </c>
      <c r="K3340" s="6">
        <v>0</v>
      </c>
      <c r="L3340" s="6">
        <v>0</v>
      </c>
      <c r="M3340" s="6">
        <v>0</v>
      </c>
      <c r="N3340" s="6" t="str">
        <f>""</f>
        <v/>
      </c>
      <c r="O3340" s="6">
        <v>23228</v>
      </c>
      <c r="P3340" s="6" t="s">
        <v>13865</v>
      </c>
      <c r="R3340" s="6" t="s">
        <v>581</v>
      </c>
      <c r="S3340" s="6" t="s">
        <v>13866</v>
      </c>
      <c r="T3340" s="6">
        <v>0</v>
      </c>
      <c r="U3340" s="6">
        <v>0</v>
      </c>
      <c r="V3340" s="6">
        <v>0</v>
      </c>
      <c r="W3340" s="6">
        <v>0</v>
      </c>
      <c r="X3340" s="6" t="s">
        <v>169</v>
      </c>
      <c r="Z3340" s="6" t="s">
        <v>170</v>
      </c>
      <c r="AA3340" s="6" t="s">
        <v>171</v>
      </c>
      <c r="AB3340" s="6">
        <v>0</v>
      </c>
      <c r="AC3340" s="6" t="str">
        <f>""</f>
        <v/>
      </c>
      <c r="AS3340" s="6">
        <v>0</v>
      </c>
      <c r="AT3340" s="6">
        <v>0</v>
      </c>
    </row>
    <row r="3341" spans="2:46">
      <c r="B3341" s="6" t="s">
        <v>114</v>
      </c>
      <c r="D3341" s="6" t="s">
        <v>13131</v>
      </c>
      <c r="F3341" s="6" t="s">
        <v>13867</v>
      </c>
      <c r="G3341" s="6" t="str">
        <f>"2000000002842"</f>
        <v>2000000002842</v>
      </c>
      <c r="H3341" s="6">
        <v>2000000002842</v>
      </c>
      <c r="I3341" s="6" t="s">
        <v>13868</v>
      </c>
      <c r="J3341" s="6" t="str">
        <f>"Jack BEIGE KJS00490_1"</f>
        <v>Jack BEIGE KJS00490_1</v>
      </c>
      <c r="K3341" s="6">
        <v>0</v>
      </c>
      <c r="L3341" s="6">
        <v>0</v>
      </c>
      <c r="M3341" s="6">
        <v>0</v>
      </c>
      <c r="N3341" s="6" t="str">
        <f>""</f>
        <v/>
      </c>
      <c r="O3341" s="6">
        <v>23226</v>
      </c>
      <c r="P3341" s="6" t="s">
        <v>13869</v>
      </c>
      <c r="R3341" s="6" t="s">
        <v>13853</v>
      </c>
      <c r="S3341" s="6" t="s">
        <v>13870</v>
      </c>
      <c r="T3341" s="6">
        <v>0</v>
      </c>
      <c r="U3341" s="6">
        <v>0</v>
      </c>
      <c r="V3341" s="6">
        <v>0</v>
      </c>
      <c r="W3341" s="6">
        <v>0</v>
      </c>
      <c r="X3341" s="6" t="s">
        <v>169</v>
      </c>
      <c r="Z3341" s="6" t="s">
        <v>170</v>
      </c>
      <c r="AA3341" s="6" t="s">
        <v>171</v>
      </c>
      <c r="AB3341" s="6">
        <v>0</v>
      </c>
      <c r="AC3341" s="6" t="str">
        <f>""</f>
        <v/>
      </c>
      <c r="AS3341" s="6">
        <v>0</v>
      </c>
      <c r="AT3341" s="6">
        <v>0</v>
      </c>
    </row>
    <row r="3342" spans="2:46">
      <c r="B3342" s="6" t="s">
        <v>114</v>
      </c>
      <c r="D3342" s="6" t="s">
        <v>13131</v>
      </c>
      <c r="F3342" s="6" t="s">
        <v>13871</v>
      </c>
      <c r="G3342" s="6" t="str">
        <f>"2000000004327"</f>
        <v>2000000004327</v>
      </c>
      <c r="I3342" s="6" t="s">
        <v>13872</v>
      </c>
      <c r="J3342" s="6" t="str">
        <f>"Virginia KHAKI CMH00489_7"</f>
        <v>Virginia KHAKI CMH00489_7</v>
      </c>
      <c r="K3342" s="6">
        <v>0</v>
      </c>
      <c r="L3342" s="6">
        <v>0</v>
      </c>
      <c r="M3342" s="6">
        <v>0</v>
      </c>
      <c r="N3342" s="6" t="str">
        <f>""</f>
        <v/>
      </c>
      <c r="O3342" s="6">
        <v>23224</v>
      </c>
      <c r="P3342" s="6" t="s">
        <v>13873</v>
      </c>
      <c r="R3342" s="6" t="s">
        <v>13727</v>
      </c>
      <c r="S3342" s="6" t="s">
        <v>13874</v>
      </c>
      <c r="T3342" s="6">
        <v>2</v>
      </c>
      <c r="U3342" s="6">
        <v>0</v>
      </c>
      <c r="V3342" s="6">
        <v>0</v>
      </c>
      <c r="W3342" s="6">
        <v>0</v>
      </c>
      <c r="X3342" s="6" t="s">
        <v>169</v>
      </c>
      <c r="Z3342" s="6" t="s">
        <v>170</v>
      </c>
      <c r="AA3342" s="6" t="s">
        <v>171</v>
      </c>
      <c r="AB3342" s="6">
        <v>0</v>
      </c>
      <c r="AC3342" s="6" t="str">
        <f>"KEY-020"</f>
        <v>KEY-020</v>
      </c>
      <c r="AQ3342" s="6" t="str">
        <f>""</f>
        <v/>
      </c>
      <c r="AR3342" s="6" t="s">
        <v>1567</v>
      </c>
      <c r="AS3342" s="6">
        <v>0</v>
      </c>
      <c r="AT3342" s="6">
        <v>2</v>
      </c>
    </row>
    <row r="3343" spans="2:46">
      <c r="B3343" s="6" t="s">
        <v>114</v>
      </c>
      <c r="D3343" s="6" t="s">
        <v>13131</v>
      </c>
      <c r="F3343" s="6" t="s">
        <v>13875</v>
      </c>
      <c r="G3343" s="6" t="str">
        <f>"2000000002767"</f>
        <v>2000000002767</v>
      </c>
      <c r="I3343" s="6" t="s">
        <v>13876</v>
      </c>
      <c r="J3343" s="6" t="str">
        <f>"Virginia GRAY CMH00489_6"</f>
        <v>Virginia GRAY CMH00489_6</v>
      </c>
      <c r="K3343" s="6">
        <v>0</v>
      </c>
      <c r="L3343" s="6">
        <v>0</v>
      </c>
      <c r="M3343" s="6">
        <v>0</v>
      </c>
      <c r="N3343" s="6" t="str">
        <f>""</f>
        <v/>
      </c>
      <c r="O3343" s="6">
        <v>23222</v>
      </c>
      <c r="P3343" s="6" t="s">
        <v>13877</v>
      </c>
      <c r="R3343" s="6" t="s">
        <v>2673</v>
      </c>
      <c r="S3343" s="6" t="s">
        <v>13878</v>
      </c>
      <c r="T3343" s="6">
        <v>2</v>
      </c>
      <c r="U3343" s="6">
        <v>0</v>
      </c>
      <c r="V3343" s="6">
        <v>0</v>
      </c>
      <c r="W3343" s="6">
        <v>0</v>
      </c>
      <c r="X3343" s="6" t="s">
        <v>169</v>
      </c>
      <c r="Z3343" s="6" t="s">
        <v>170</v>
      </c>
      <c r="AA3343" s="6" t="s">
        <v>171</v>
      </c>
      <c r="AB3343" s="6">
        <v>0</v>
      </c>
      <c r="AC3343" s="6" t="str">
        <f>"KEY-005"</f>
        <v>KEY-005</v>
      </c>
      <c r="AQ3343" s="6" t="str">
        <f>""</f>
        <v/>
      </c>
      <c r="AR3343" s="6" t="s">
        <v>1584</v>
      </c>
      <c r="AS3343" s="6">
        <v>0</v>
      </c>
      <c r="AT3343" s="6">
        <v>2</v>
      </c>
    </row>
    <row r="3344" spans="2:46">
      <c r="B3344" s="6" t="s">
        <v>114</v>
      </c>
      <c r="D3344" s="6" t="s">
        <v>13131</v>
      </c>
      <c r="F3344" s="6" t="s">
        <v>13879</v>
      </c>
      <c r="G3344" s="6" t="str">
        <f>"2000000004334"</f>
        <v>2000000004334</v>
      </c>
      <c r="I3344" s="6" t="s">
        <v>13880</v>
      </c>
      <c r="J3344" s="6" t="str">
        <f>"Virginia DARKGRAY CMH00489_5"</f>
        <v>Virginia DARKGRAY CMH00489_5</v>
      </c>
      <c r="K3344" s="6">
        <v>0</v>
      </c>
      <c r="L3344" s="6">
        <v>0</v>
      </c>
      <c r="M3344" s="6">
        <v>0</v>
      </c>
      <c r="N3344" s="6" t="str">
        <f>""</f>
        <v/>
      </c>
      <c r="O3344" s="6">
        <v>23220</v>
      </c>
      <c r="P3344" s="6" t="s">
        <v>13881</v>
      </c>
      <c r="R3344" s="6" t="s">
        <v>13832</v>
      </c>
      <c r="S3344" s="6" t="s">
        <v>13882</v>
      </c>
      <c r="T3344" s="6">
        <v>2</v>
      </c>
      <c r="U3344" s="6">
        <v>0</v>
      </c>
      <c r="V3344" s="6">
        <v>0</v>
      </c>
      <c r="W3344" s="6">
        <v>0</v>
      </c>
      <c r="X3344" s="6" t="s">
        <v>169</v>
      </c>
      <c r="Z3344" s="6" t="s">
        <v>170</v>
      </c>
      <c r="AA3344" s="6" t="s">
        <v>171</v>
      </c>
      <c r="AB3344" s="6">
        <v>0</v>
      </c>
      <c r="AC3344" s="6" t="str">
        <f>"KEY-019"</f>
        <v>KEY-019</v>
      </c>
      <c r="AQ3344" s="6" t="str">
        <f>""</f>
        <v/>
      </c>
      <c r="AR3344" s="6" t="s">
        <v>1567</v>
      </c>
      <c r="AS3344" s="6">
        <v>0</v>
      </c>
      <c r="AT3344" s="6">
        <v>2</v>
      </c>
    </row>
    <row r="3345" spans="2:46">
      <c r="B3345" s="6" t="s">
        <v>114</v>
      </c>
      <c r="D3345" s="6" t="s">
        <v>13131</v>
      </c>
      <c r="F3345" s="6" t="s">
        <v>13883</v>
      </c>
      <c r="G3345" s="6" t="str">
        <f>"2000000002774"</f>
        <v>2000000002774</v>
      </c>
      <c r="I3345" s="6" t="s">
        <v>13884</v>
      </c>
      <c r="J3345" s="6" t="str">
        <f>"Virginia COCOA CMH00489_4"</f>
        <v>Virginia COCOA CMH00489_4</v>
      </c>
      <c r="K3345" s="6">
        <v>0</v>
      </c>
      <c r="L3345" s="6">
        <v>0</v>
      </c>
      <c r="M3345" s="6">
        <v>0</v>
      </c>
      <c r="N3345" s="6" t="str">
        <f>""</f>
        <v/>
      </c>
      <c r="O3345" s="6">
        <v>23218</v>
      </c>
      <c r="P3345" s="6" t="s">
        <v>13885</v>
      </c>
      <c r="R3345" s="6" t="s">
        <v>13732</v>
      </c>
      <c r="S3345" s="6" t="s">
        <v>13886</v>
      </c>
      <c r="T3345" s="6">
        <v>1</v>
      </c>
      <c r="U3345" s="6">
        <v>0</v>
      </c>
      <c r="V3345" s="6">
        <v>0</v>
      </c>
      <c r="W3345" s="6">
        <v>0</v>
      </c>
      <c r="X3345" s="6" t="s">
        <v>169</v>
      </c>
      <c r="Z3345" s="6" t="s">
        <v>170</v>
      </c>
      <c r="AA3345" s="6" t="s">
        <v>171</v>
      </c>
      <c r="AB3345" s="6">
        <v>0</v>
      </c>
      <c r="AC3345" s="6" t="str">
        <f>"KEY-005"</f>
        <v>KEY-005</v>
      </c>
      <c r="AQ3345" s="6" t="str">
        <f>""</f>
        <v/>
      </c>
      <c r="AR3345" s="6" t="s">
        <v>1584</v>
      </c>
      <c r="AS3345" s="6">
        <v>0</v>
      </c>
      <c r="AT3345" s="6">
        <v>1</v>
      </c>
    </row>
    <row r="3346" spans="2:46">
      <c r="B3346" s="6" t="s">
        <v>114</v>
      </c>
      <c r="D3346" s="6" t="s">
        <v>13131</v>
      </c>
      <c r="F3346" s="6" t="s">
        <v>13887</v>
      </c>
      <c r="G3346" s="6" t="str">
        <f>"2000000004310"</f>
        <v>2000000004310</v>
      </c>
      <c r="H3346" s="6">
        <v>2000000004310</v>
      </c>
      <c r="I3346" s="6" t="s">
        <v>13888</v>
      </c>
      <c r="J3346" s="6" t="str">
        <f>"Virginia BROWN CMH00489_3"</f>
        <v>Virginia BROWN CMH00489_3</v>
      </c>
      <c r="K3346" s="6">
        <v>0</v>
      </c>
      <c r="L3346" s="6">
        <v>0</v>
      </c>
      <c r="M3346" s="6">
        <v>0</v>
      </c>
      <c r="N3346" s="6" t="str">
        <f>""</f>
        <v/>
      </c>
      <c r="O3346" s="6">
        <v>23216</v>
      </c>
      <c r="P3346" s="6" t="s">
        <v>13889</v>
      </c>
      <c r="R3346" s="6" t="s">
        <v>13737</v>
      </c>
      <c r="S3346" s="6" t="s">
        <v>13890</v>
      </c>
      <c r="T3346" s="6">
        <v>0</v>
      </c>
      <c r="U3346" s="6">
        <v>0</v>
      </c>
      <c r="V3346" s="6">
        <v>0</v>
      </c>
      <c r="W3346" s="6">
        <v>0</v>
      </c>
      <c r="X3346" s="6" t="s">
        <v>169</v>
      </c>
      <c r="Z3346" s="6" t="s">
        <v>170</v>
      </c>
      <c r="AA3346" s="6" t="s">
        <v>171</v>
      </c>
      <c r="AB3346" s="6">
        <v>0</v>
      </c>
      <c r="AC3346" s="6" t="str">
        <f>""</f>
        <v/>
      </c>
      <c r="AS3346" s="6">
        <v>0</v>
      </c>
      <c r="AT3346" s="6">
        <v>0</v>
      </c>
    </row>
    <row r="3347" spans="2:46">
      <c r="B3347" s="6" t="s">
        <v>114</v>
      </c>
      <c r="D3347" s="6" t="s">
        <v>13131</v>
      </c>
      <c r="F3347" s="6" t="s">
        <v>13891</v>
      </c>
      <c r="G3347" s="6" t="str">
        <f>"2000000002781"</f>
        <v>2000000002781</v>
      </c>
      <c r="H3347" s="6">
        <v>2000000002781</v>
      </c>
      <c r="I3347" s="6" t="s">
        <v>13892</v>
      </c>
      <c r="J3347" s="6" t="str">
        <f>"Virginia BLACK CMH00489_2"</f>
        <v>Virginia BLACK CMH00489_2</v>
      </c>
      <c r="K3347" s="6">
        <v>0</v>
      </c>
      <c r="L3347" s="6">
        <v>0</v>
      </c>
      <c r="M3347" s="6">
        <v>0</v>
      </c>
      <c r="N3347" s="6" t="str">
        <f>""</f>
        <v/>
      </c>
      <c r="O3347" s="6">
        <v>23214</v>
      </c>
      <c r="P3347" s="6" t="s">
        <v>13893</v>
      </c>
      <c r="R3347" s="6" t="s">
        <v>581</v>
      </c>
      <c r="S3347" s="6" t="s">
        <v>13894</v>
      </c>
      <c r="T3347" s="6">
        <v>0</v>
      </c>
      <c r="U3347" s="6">
        <v>0</v>
      </c>
      <c r="V3347" s="6">
        <v>0</v>
      </c>
      <c r="W3347" s="6">
        <v>0</v>
      </c>
      <c r="X3347" s="6" t="s">
        <v>169</v>
      </c>
      <c r="Z3347" s="6" t="s">
        <v>170</v>
      </c>
      <c r="AA3347" s="6" t="s">
        <v>171</v>
      </c>
      <c r="AB3347" s="6">
        <v>0</v>
      </c>
      <c r="AC3347" s="6" t="str">
        <f>""</f>
        <v/>
      </c>
      <c r="AS3347" s="6">
        <v>0</v>
      </c>
      <c r="AT3347" s="6">
        <v>0</v>
      </c>
    </row>
    <row r="3348" spans="2:46">
      <c r="B3348" s="6" t="s">
        <v>114</v>
      </c>
      <c r="D3348" s="6" t="s">
        <v>13131</v>
      </c>
      <c r="F3348" s="6" t="s">
        <v>13895</v>
      </c>
      <c r="G3348" s="6" t="str">
        <f>"2000000002750"</f>
        <v>2000000002750</v>
      </c>
      <c r="I3348" s="6" t="s">
        <v>13896</v>
      </c>
      <c r="J3348" s="6" t="str">
        <f>"Virginia BEIGE CMH00489_1"</f>
        <v>Virginia BEIGE CMH00489_1</v>
      </c>
      <c r="K3348" s="6">
        <v>0</v>
      </c>
      <c r="L3348" s="6">
        <v>0</v>
      </c>
      <c r="M3348" s="6">
        <v>0</v>
      </c>
      <c r="N3348" s="6" t="str">
        <f>""</f>
        <v/>
      </c>
      <c r="O3348" s="6">
        <v>23212</v>
      </c>
      <c r="P3348" s="6" t="s">
        <v>13897</v>
      </c>
      <c r="R3348" s="6" t="s">
        <v>13853</v>
      </c>
      <c r="S3348" s="6" t="s">
        <v>13898</v>
      </c>
      <c r="T3348" s="6">
        <v>2</v>
      </c>
      <c r="U3348" s="6">
        <v>0</v>
      </c>
      <c r="V3348" s="6">
        <v>0</v>
      </c>
      <c r="W3348" s="6">
        <v>0</v>
      </c>
      <c r="X3348" s="6" t="s">
        <v>169</v>
      </c>
      <c r="Z3348" s="6" t="s">
        <v>170</v>
      </c>
      <c r="AA3348" s="6" t="s">
        <v>171</v>
      </c>
      <c r="AB3348" s="6">
        <v>0</v>
      </c>
      <c r="AC3348" s="6" t="str">
        <f>"KEY-022"</f>
        <v>KEY-022</v>
      </c>
      <c r="AQ3348" s="6" t="str">
        <f>""</f>
        <v/>
      </c>
      <c r="AR3348" s="6" t="s">
        <v>1567</v>
      </c>
      <c r="AS3348" s="6">
        <v>0</v>
      </c>
      <c r="AT3348" s="6">
        <v>2</v>
      </c>
    </row>
    <row r="3349" spans="2:46">
      <c r="B3349" s="6" t="s">
        <v>13899</v>
      </c>
      <c r="D3349" s="6" t="s">
        <v>13131</v>
      </c>
      <c r="F3349" s="6" t="s">
        <v>13900</v>
      </c>
      <c r="G3349" s="6" t="str">
        <f>"13MAGAC405BRF"</f>
        <v>13MAGAC405BRF</v>
      </c>
      <c r="H3349" s="6" t="s">
        <v>13901</v>
      </c>
      <c r="I3349" s="6" t="s">
        <v>13902</v>
      </c>
      <c r="J3349" s="6" t="str">
        <f>"PADDING MUFFLER(BROWN)"</f>
        <v>PADDING MUFFLER(BROWN)</v>
      </c>
      <c r="K3349" s="6">
        <v>0</v>
      </c>
      <c r="L3349" s="6">
        <v>0</v>
      </c>
      <c r="M3349" s="6">
        <v>0</v>
      </c>
      <c r="N3349" s="6" t="str">
        <f>""</f>
        <v/>
      </c>
      <c r="O3349" s="6">
        <v>23210</v>
      </c>
      <c r="P3349" s="6" t="s">
        <v>13901</v>
      </c>
      <c r="R3349" s="6" t="s">
        <v>2119</v>
      </c>
      <c r="S3349" s="6" t="s">
        <v>13903</v>
      </c>
      <c r="T3349" s="6">
        <v>0</v>
      </c>
      <c r="U3349" s="6">
        <v>0</v>
      </c>
      <c r="V3349" s="6">
        <v>0</v>
      </c>
      <c r="W3349" s="6">
        <v>0</v>
      </c>
      <c r="X3349" s="6" t="s">
        <v>169</v>
      </c>
      <c r="Z3349" s="6" t="s">
        <v>170</v>
      </c>
      <c r="AA3349" s="6" t="s">
        <v>171</v>
      </c>
      <c r="AB3349" s="6">
        <v>0</v>
      </c>
      <c r="AC3349" s="6" t="str">
        <f>""</f>
        <v/>
      </c>
      <c r="AS3349" s="6">
        <v>0</v>
      </c>
      <c r="AT3349" s="6">
        <v>0</v>
      </c>
    </row>
    <row r="3350" spans="2:46">
      <c r="B3350" s="6" t="s">
        <v>13899</v>
      </c>
      <c r="D3350" s="6" t="s">
        <v>13131</v>
      </c>
      <c r="F3350" s="6" t="s">
        <v>13904</v>
      </c>
      <c r="G3350" s="6" t="str">
        <f>"13MAGAC405BKF"</f>
        <v>13MAGAC405BKF</v>
      </c>
      <c r="H3350" s="6" t="s">
        <v>13905</v>
      </c>
      <c r="I3350" s="6" t="s">
        <v>13906</v>
      </c>
      <c r="J3350" s="6" t="str">
        <f>"PADDING MUFFLER(BLACK)"</f>
        <v>PADDING MUFFLER(BLACK)</v>
      </c>
      <c r="K3350" s="6">
        <v>0</v>
      </c>
      <c r="L3350" s="6">
        <v>0</v>
      </c>
      <c r="M3350" s="6">
        <v>0</v>
      </c>
      <c r="N3350" s="6" t="str">
        <f>""</f>
        <v/>
      </c>
      <c r="O3350" s="6">
        <v>23208</v>
      </c>
      <c r="P3350" s="6" t="s">
        <v>13905</v>
      </c>
      <c r="R3350" s="6" t="s">
        <v>2106</v>
      </c>
      <c r="S3350" s="6" t="s">
        <v>13907</v>
      </c>
      <c r="T3350" s="6">
        <v>0</v>
      </c>
      <c r="U3350" s="6">
        <v>0</v>
      </c>
      <c r="V3350" s="6">
        <v>0</v>
      </c>
      <c r="W3350" s="6">
        <v>0</v>
      </c>
      <c r="X3350" s="6" t="s">
        <v>169</v>
      </c>
      <c r="Z3350" s="6" t="s">
        <v>170</v>
      </c>
      <c r="AA3350" s="6" t="s">
        <v>171</v>
      </c>
      <c r="AB3350" s="6">
        <v>0</v>
      </c>
      <c r="AC3350" s="6" t="str">
        <f>""</f>
        <v/>
      </c>
      <c r="AS3350" s="6">
        <v>0</v>
      </c>
      <c r="AT3350" s="6">
        <v>0</v>
      </c>
    </row>
    <row r="3351" spans="2:46">
      <c r="B3351" s="6" t="s">
        <v>13899</v>
      </c>
      <c r="D3351" s="6" t="s">
        <v>13131</v>
      </c>
      <c r="F3351" s="6" t="s">
        <v>13908</v>
      </c>
      <c r="G3351" s="6" t="str">
        <f>"13MAGAC402PPF"</f>
        <v>13MAGAC402PPF</v>
      </c>
      <c r="H3351" s="6" t="s">
        <v>13909</v>
      </c>
      <c r="I3351" s="6" t="s">
        <v>13910</v>
      </c>
      <c r="J3351" s="6" t="str">
        <f>"VIVID WATCH CAP(PURPLE)"</f>
        <v>VIVID WATCH CAP(PURPLE)</v>
      </c>
      <c r="K3351" s="6">
        <v>0</v>
      </c>
      <c r="L3351" s="6">
        <v>0</v>
      </c>
      <c r="M3351" s="6">
        <v>0</v>
      </c>
      <c r="N3351" s="6" t="str">
        <f>""</f>
        <v/>
      </c>
      <c r="O3351" s="6">
        <v>23206</v>
      </c>
      <c r="P3351" s="6" t="s">
        <v>13909</v>
      </c>
      <c r="R3351" s="6" t="s">
        <v>2913</v>
      </c>
      <c r="S3351" s="6" t="s">
        <v>13911</v>
      </c>
      <c r="T3351" s="6">
        <v>0</v>
      </c>
      <c r="U3351" s="6">
        <v>0</v>
      </c>
      <c r="V3351" s="6">
        <v>0</v>
      </c>
      <c r="W3351" s="6">
        <v>0</v>
      </c>
      <c r="X3351" s="6" t="s">
        <v>169</v>
      </c>
      <c r="Z3351" s="6" t="s">
        <v>170</v>
      </c>
      <c r="AA3351" s="6" t="s">
        <v>171</v>
      </c>
      <c r="AB3351" s="6">
        <v>0</v>
      </c>
      <c r="AC3351" s="6" t="str">
        <f>""</f>
        <v/>
      </c>
      <c r="AS3351" s="6">
        <v>0</v>
      </c>
      <c r="AT3351" s="6">
        <v>0</v>
      </c>
    </row>
    <row r="3352" spans="2:46">
      <c r="B3352" s="6" t="s">
        <v>13899</v>
      </c>
      <c r="D3352" s="6" t="s">
        <v>13131</v>
      </c>
      <c r="F3352" s="6" t="s">
        <v>13912</v>
      </c>
      <c r="G3352" s="6" t="str">
        <f>"13MAGAC402RDF"</f>
        <v>13MAGAC402RDF</v>
      </c>
      <c r="H3352" s="6" t="s">
        <v>13913</v>
      </c>
      <c r="I3352" s="6" t="s">
        <v>13914</v>
      </c>
      <c r="J3352" s="6" t="str">
        <f>"VIVID WATCH CAP(RED)"</f>
        <v>VIVID WATCH CAP(RED)</v>
      </c>
      <c r="K3352" s="6">
        <v>0</v>
      </c>
      <c r="L3352" s="6">
        <v>0</v>
      </c>
      <c r="M3352" s="6">
        <v>0</v>
      </c>
      <c r="N3352" s="6" t="str">
        <f>""</f>
        <v/>
      </c>
      <c r="O3352" s="6">
        <v>23204</v>
      </c>
      <c r="P3352" s="6" t="s">
        <v>13913</v>
      </c>
      <c r="R3352" s="6" t="s">
        <v>2309</v>
      </c>
      <c r="S3352" s="6" t="s">
        <v>13915</v>
      </c>
      <c r="T3352" s="6">
        <v>0</v>
      </c>
      <c r="U3352" s="6">
        <v>0</v>
      </c>
      <c r="V3352" s="6">
        <v>0</v>
      </c>
      <c r="W3352" s="6">
        <v>0</v>
      </c>
      <c r="X3352" s="6" t="s">
        <v>169</v>
      </c>
      <c r="Z3352" s="6" t="s">
        <v>170</v>
      </c>
      <c r="AA3352" s="6" t="s">
        <v>171</v>
      </c>
      <c r="AB3352" s="6">
        <v>0</v>
      </c>
      <c r="AC3352" s="6" t="str">
        <f>""</f>
        <v/>
      </c>
      <c r="AS3352" s="6">
        <v>0</v>
      </c>
      <c r="AT3352" s="6">
        <v>0</v>
      </c>
    </row>
    <row r="3353" spans="2:46">
      <c r="B3353" s="6" t="s">
        <v>13899</v>
      </c>
      <c r="D3353" s="6" t="s">
        <v>13131</v>
      </c>
      <c r="F3353" s="6" t="s">
        <v>13916</v>
      </c>
      <c r="G3353" s="6" t="str">
        <f>"13MAGAC402BLF"</f>
        <v>13MAGAC402BLF</v>
      </c>
      <c r="H3353" s="6" t="s">
        <v>13917</v>
      </c>
      <c r="I3353" s="6" t="s">
        <v>13918</v>
      </c>
      <c r="J3353" s="6" t="str">
        <f>"VIVID WATCH CAP(BLUE)"</f>
        <v>VIVID WATCH CAP(BLUE)</v>
      </c>
      <c r="K3353" s="6">
        <v>0</v>
      </c>
      <c r="L3353" s="6">
        <v>0</v>
      </c>
      <c r="M3353" s="6">
        <v>0</v>
      </c>
      <c r="N3353" s="6" t="str">
        <f>""</f>
        <v/>
      </c>
      <c r="O3353" s="6">
        <v>23202</v>
      </c>
      <c r="P3353" s="6" t="s">
        <v>13917</v>
      </c>
      <c r="R3353" s="6" t="s">
        <v>2175</v>
      </c>
      <c r="S3353" s="6" t="s">
        <v>13919</v>
      </c>
      <c r="T3353" s="6">
        <v>0</v>
      </c>
      <c r="U3353" s="6">
        <v>0</v>
      </c>
      <c r="V3353" s="6">
        <v>0</v>
      </c>
      <c r="W3353" s="6">
        <v>0</v>
      </c>
      <c r="X3353" s="6" t="s">
        <v>169</v>
      </c>
      <c r="Z3353" s="6" t="s">
        <v>170</v>
      </c>
      <c r="AA3353" s="6" t="s">
        <v>171</v>
      </c>
      <c r="AB3353" s="6">
        <v>0</v>
      </c>
      <c r="AC3353" s="6" t="str">
        <f>""</f>
        <v/>
      </c>
      <c r="AS3353" s="6">
        <v>0</v>
      </c>
      <c r="AT3353" s="6">
        <v>0</v>
      </c>
    </row>
    <row r="3354" spans="2:46">
      <c r="B3354" s="6" t="s">
        <v>13899</v>
      </c>
      <c r="D3354" s="6" t="s">
        <v>13131</v>
      </c>
      <c r="F3354" s="6" t="s">
        <v>13920</v>
      </c>
      <c r="G3354" s="6" t="str">
        <f>"13MAGAC402LMF"</f>
        <v>13MAGAC402LMF</v>
      </c>
      <c r="H3354" s="6" t="s">
        <v>13921</v>
      </c>
      <c r="I3354" s="6" t="s">
        <v>13922</v>
      </c>
      <c r="J3354" s="6" t="str">
        <f>"VIVID WATCH CAP(LIME)"</f>
        <v>VIVID WATCH CAP(LIME)</v>
      </c>
      <c r="K3354" s="6">
        <v>0</v>
      </c>
      <c r="L3354" s="6">
        <v>0</v>
      </c>
      <c r="M3354" s="6">
        <v>0</v>
      </c>
      <c r="N3354" s="6" t="str">
        <f>""</f>
        <v/>
      </c>
      <c r="O3354" s="6">
        <v>23200</v>
      </c>
      <c r="P3354" s="6" t="s">
        <v>13921</v>
      </c>
      <c r="R3354" s="6" t="s">
        <v>13923</v>
      </c>
      <c r="S3354" s="6" t="s">
        <v>13924</v>
      </c>
      <c r="T3354" s="6">
        <v>0</v>
      </c>
      <c r="U3354" s="6">
        <v>0</v>
      </c>
      <c r="V3354" s="6">
        <v>0</v>
      </c>
      <c r="W3354" s="6">
        <v>0</v>
      </c>
      <c r="X3354" s="6" t="s">
        <v>169</v>
      </c>
      <c r="Z3354" s="6" t="s">
        <v>170</v>
      </c>
      <c r="AA3354" s="6" t="s">
        <v>171</v>
      </c>
      <c r="AB3354" s="6">
        <v>0</v>
      </c>
      <c r="AC3354" s="6" t="str">
        <f>""</f>
        <v/>
      </c>
      <c r="AS3354" s="6">
        <v>0</v>
      </c>
      <c r="AT3354" s="6">
        <v>0</v>
      </c>
    </row>
    <row r="3355" spans="2:46">
      <c r="B3355" s="6" t="s">
        <v>13899</v>
      </c>
      <c r="D3355" s="6" t="s">
        <v>13131</v>
      </c>
      <c r="F3355" s="6" t="s">
        <v>13925</v>
      </c>
      <c r="G3355" s="6" t="str">
        <f>"13MAGAC402NVF"</f>
        <v>13MAGAC402NVF</v>
      </c>
      <c r="H3355" s="6" t="s">
        <v>13926</v>
      </c>
      <c r="I3355" s="6" t="s">
        <v>13927</v>
      </c>
      <c r="J3355" s="6" t="str">
        <f>"VIVID WATCH CAP(NAVY)"</f>
        <v>VIVID WATCH CAP(NAVY)</v>
      </c>
      <c r="K3355" s="6">
        <v>0</v>
      </c>
      <c r="L3355" s="6">
        <v>0</v>
      </c>
      <c r="M3355" s="6">
        <v>0</v>
      </c>
      <c r="N3355" s="6" t="str">
        <f>""</f>
        <v/>
      </c>
      <c r="O3355" s="6">
        <v>23198</v>
      </c>
      <c r="P3355" s="6" t="s">
        <v>13926</v>
      </c>
      <c r="R3355" s="6" t="s">
        <v>2111</v>
      </c>
      <c r="S3355" s="6" t="s">
        <v>13928</v>
      </c>
      <c r="T3355" s="6">
        <v>0</v>
      </c>
      <c r="U3355" s="6">
        <v>0</v>
      </c>
      <c r="V3355" s="6">
        <v>0</v>
      </c>
      <c r="W3355" s="6">
        <v>0</v>
      </c>
      <c r="X3355" s="6" t="s">
        <v>169</v>
      </c>
      <c r="Z3355" s="6" t="s">
        <v>170</v>
      </c>
      <c r="AA3355" s="6" t="s">
        <v>171</v>
      </c>
      <c r="AB3355" s="6">
        <v>0</v>
      </c>
      <c r="AC3355" s="6" t="str">
        <f>""</f>
        <v/>
      </c>
      <c r="AS3355" s="6">
        <v>0</v>
      </c>
      <c r="AT3355" s="6">
        <v>0</v>
      </c>
    </row>
    <row r="3356" spans="2:46">
      <c r="B3356" s="6" t="s">
        <v>13899</v>
      </c>
      <c r="D3356" s="6" t="s">
        <v>13131</v>
      </c>
      <c r="F3356" s="6" t="s">
        <v>13929</v>
      </c>
      <c r="G3356" s="6" t="str">
        <f>"13MAGAC402BKF"</f>
        <v>13MAGAC402BKF</v>
      </c>
      <c r="H3356" s="6" t="s">
        <v>13930</v>
      </c>
      <c r="I3356" s="6" t="s">
        <v>13931</v>
      </c>
      <c r="J3356" s="6" t="str">
        <f>"VIVID WATCH CAP(BLACK)"</f>
        <v>VIVID WATCH CAP(BLACK)</v>
      </c>
      <c r="K3356" s="6">
        <v>0</v>
      </c>
      <c r="L3356" s="6">
        <v>0</v>
      </c>
      <c r="M3356" s="6">
        <v>0</v>
      </c>
      <c r="N3356" s="6" t="str">
        <f>""</f>
        <v/>
      </c>
      <c r="O3356" s="6">
        <v>23196</v>
      </c>
      <c r="P3356" s="6" t="s">
        <v>13930</v>
      </c>
      <c r="R3356" s="6" t="s">
        <v>2106</v>
      </c>
      <c r="S3356" s="6" t="s">
        <v>13932</v>
      </c>
      <c r="T3356" s="6">
        <v>0</v>
      </c>
      <c r="U3356" s="6">
        <v>0</v>
      </c>
      <c r="V3356" s="6">
        <v>0</v>
      </c>
      <c r="W3356" s="6">
        <v>0</v>
      </c>
      <c r="X3356" s="6" t="s">
        <v>169</v>
      </c>
      <c r="Z3356" s="6" t="s">
        <v>170</v>
      </c>
      <c r="AA3356" s="6" t="s">
        <v>171</v>
      </c>
      <c r="AB3356" s="6">
        <v>0</v>
      </c>
      <c r="AC3356" s="6" t="str">
        <f>""</f>
        <v/>
      </c>
      <c r="AS3356" s="6">
        <v>0</v>
      </c>
      <c r="AT3356" s="6">
        <v>0</v>
      </c>
    </row>
    <row r="3357" spans="2:46">
      <c r="B3357" s="6" t="s">
        <v>13899</v>
      </c>
      <c r="D3357" s="6" t="s">
        <v>13131</v>
      </c>
      <c r="F3357" s="6" t="s">
        <v>13933</v>
      </c>
      <c r="G3357" s="6" t="str">
        <f>"13MAGDSK201DEM"</f>
        <v>13MAGDSK201DEM</v>
      </c>
      <c r="H3357" s="6" t="s">
        <v>13934</v>
      </c>
      <c r="I3357" s="6" t="s">
        <v>13935</v>
      </c>
      <c r="J3357" s="6" t="str">
        <f>"DENIM MIDI SKIRT(DENIM)"</f>
        <v>DENIM MIDI SKIRT(DENIM)</v>
      </c>
      <c r="K3357" s="6">
        <v>0</v>
      </c>
      <c r="L3357" s="6">
        <v>0</v>
      </c>
      <c r="M3357" s="6">
        <v>0</v>
      </c>
      <c r="N3357" s="6" t="str">
        <f>""</f>
        <v/>
      </c>
      <c r="O3357" s="6">
        <v>23194</v>
      </c>
      <c r="P3357" s="6" t="s">
        <v>13934</v>
      </c>
      <c r="R3357" s="6" t="s">
        <v>3692</v>
      </c>
      <c r="S3357" s="6" t="s">
        <v>13936</v>
      </c>
      <c r="T3357" s="6">
        <v>0</v>
      </c>
      <c r="U3357" s="6">
        <v>0</v>
      </c>
      <c r="V3357" s="6">
        <v>0</v>
      </c>
      <c r="W3357" s="6">
        <v>0</v>
      </c>
      <c r="X3357" s="6" t="s">
        <v>169</v>
      </c>
      <c r="Z3357" s="6" t="s">
        <v>170</v>
      </c>
      <c r="AA3357" s="6" t="s">
        <v>171</v>
      </c>
      <c r="AB3357" s="6">
        <v>0</v>
      </c>
      <c r="AC3357" s="6" t="str">
        <f>""</f>
        <v/>
      </c>
      <c r="AS3357" s="6">
        <v>0</v>
      </c>
      <c r="AT3357" s="6">
        <v>0</v>
      </c>
    </row>
    <row r="3358" spans="2:46">
      <c r="B3358" s="6" t="s">
        <v>13899</v>
      </c>
      <c r="D3358" s="6" t="s">
        <v>13131</v>
      </c>
      <c r="F3358" s="6" t="s">
        <v>13937</v>
      </c>
      <c r="G3358" s="6" t="str">
        <f>"13MAGDSK201DES"</f>
        <v>13MAGDSK201DES</v>
      </c>
      <c r="H3358" s="6" t="s">
        <v>13938</v>
      </c>
      <c r="I3358" s="6" t="s">
        <v>13935</v>
      </c>
      <c r="J3358" s="6" t="str">
        <f>"DENIM MIDI SKIRT(DENIM)"</f>
        <v>DENIM MIDI SKIRT(DENIM)</v>
      </c>
      <c r="K3358" s="6">
        <v>0</v>
      </c>
      <c r="L3358" s="6">
        <v>0</v>
      </c>
      <c r="M3358" s="6">
        <v>0</v>
      </c>
      <c r="N3358" s="6" t="str">
        <f>""</f>
        <v/>
      </c>
      <c r="O3358" s="6">
        <v>23193</v>
      </c>
      <c r="P3358" s="6" t="s">
        <v>13938</v>
      </c>
      <c r="R3358" s="6" t="s">
        <v>3696</v>
      </c>
      <c r="S3358" s="6" t="s">
        <v>13939</v>
      </c>
      <c r="T3358" s="6">
        <v>0</v>
      </c>
      <c r="U3358" s="6">
        <v>0</v>
      </c>
      <c r="V3358" s="6">
        <v>0</v>
      </c>
      <c r="W3358" s="6">
        <v>0</v>
      </c>
      <c r="X3358" s="6" t="s">
        <v>169</v>
      </c>
      <c r="Z3358" s="6" t="s">
        <v>170</v>
      </c>
      <c r="AA3358" s="6" t="s">
        <v>171</v>
      </c>
      <c r="AB3358" s="6">
        <v>0</v>
      </c>
      <c r="AC3358" s="6" t="str">
        <f>""</f>
        <v/>
      </c>
      <c r="AS3358" s="6">
        <v>0</v>
      </c>
      <c r="AT3358" s="6">
        <v>0</v>
      </c>
    </row>
    <row r="3359" spans="2:46">
      <c r="B3359" s="6" t="s">
        <v>13899</v>
      </c>
      <c r="D3359" s="6" t="s">
        <v>13131</v>
      </c>
      <c r="F3359" s="6" t="s">
        <v>13940</v>
      </c>
      <c r="G3359" s="6" t="str">
        <f>"13MAGSK201BRM"</f>
        <v>13MAGSK201BRM</v>
      </c>
      <c r="H3359" s="6" t="s">
        <v>13941</v>
      </c>
      <c r="I3359" s="6" t="s">
        <v>13942</v>
      </c>
      <c r="J3359" s="6" t="str">
        <f>"RIBBON WRAP SKIRT(BROWN)"</f>
        <v>RIBBON WRAP SKIRT(BROWN)</v>
      </c>
      <c r="K3359" s="6">
        <v>0</v>
      </c>
      <c r="L3359" s="6">
        <v>0</v>
      </c>
      <c r="M3359" s="6">
        <v>0</v>
      </c>
      <c r="N3359" s="6" t="str">
        <f>""</f>
        <v/>
      </c>
      <c r="O3359" s="6">
        <v>23191</v>
      </c>
      <c r="P3359" s="6" t="s">
        <v>13941</v>
      </c>
      <c r="R3359" s="6" t="s">
        <v>5363</v>
      </c>
      <c r="S3359" s="6" t="s">
        <v>13943</v>
      </c>
      <c r="T3359" s="6">
        <v>0</v>
      </c>
      <c r="U3359" s="6">
        <v>0</v>
      </c>
      <c r="V3359" s="6">
        <v>0</v>
      </c>
      <c r="W3359" s="6">
        <v>0</v>
      </c>
      <c r="X3359" s="6" t="s">
        <v>169</v>
      </c>
      <c r="Z3359" s="6" t="s">
        <v>170</v>
      </c>
      <c r="AA3359" s="6" t="s">
        <v>171</v>
      </c>
      <c r="AB3359" s="6">
        <v>0</v>
      </c>
      <c r="AC3359" s="6" t="str">
        <f>""</f>
        <v/>
      </c>
      <c r="AS3359" s="6">
        <v>0</v>
      </c>
      <c r="AT3359" s="6">
        <v>0</v>
      </c>
    </row>
    <row r="3360" spans="2:46">
      <c r="B3360" s="6" t="s">
        <v>13899</v>
      </c>
      <c r="D3360" s="6" t="s">
        <v>13131</v>
      </c>
      <c r="F3360" s="6" t="s">
        <v>13944</v>
      </c>
      <c r="G3360" s="6" t="str">
        <f>"13MAGSK201BRS"</f>
        <v>13MAGSK201BRS</v>
      </c>
      <c r="H3360" s="6" t="s">
        <v>13945</v>
      </c>
      <c r="I3360" s="6" t="s">
        <v>13942</v>
      </c>
      <c r="J3360" s="6" t="str">
        <f>"RIBBON WRAP SKIRT(BROWN)"</f>
        <v>RIBBON WRAP SKIRT(BROWN)</v>
      </c>
      <c r="K3360" s="6">
        <v>0</v>
      </c>
      <c r="L3360" s="6">
        <v>0</v>
      </c>
      <c r="M3360" s="6">
        <v>0</v>
      </c>
      <c r="N3360" s="6" t="str">
        <f>""</f>
        <v/>
      </c>
      <c r="O3360" s="6">
        <v>23190</v>
      </c>
      <c r="P3360" s="6" t="s">
        <v>13945</v>
      </c>
      <c r="R3360" s="6" t="s">
        <v>13946</v>
      </c>
      <c r="S3360" s="6" t="s">
        <v>13947</v>
      </c>
      <c r="T3360" s="6">
        <v>0</v>
      </c>
      <c r="U3360" s="6">
        <v>0</v>
      </c>
      <c r="V3360" s="6">
        <v>0</v>
      </c>
      <c r="W3360" s="6">
        <v>0</v>
      </c>
      <c r="X3360" s="6" t="s">
        <v>169</v>
      </c>
      <c r="Z3360" s="6" t="s">
        <v>170</v>
      </c>
      <c r="AA3360" s="6" t="s">
        <v>171</v>
      </c>
      <c r="AB3360" s="6">
        <v>0</v>
      </c>
      <c r="AC3360" s="6" t="str">
        <f>""</f>
        <v/>
      </c>
      <c r="AS3360" s="6">
        <v>0</v>
      </c>
      <c r="AT3360" s="6">
        <v>0</v>
      </c>
    </row>
    <row r="3361" spans="2:46">
      <c r="B3361" s="6" t="s">
        <v>13899</v>
      </c>
      <c r="D3361" s="6" t="s">
        <v>13131</v>
      </c>
      <c r="F3361" s="6" t="s">
        <v>13948</v>
      </c>
      <c r="G3361" s="6" t="str">
        <f>"13MAGSK201BKM"</f>
        <v>13MAGSK201BKM</v>
      </c>
      <c r="H3361" s="6" t="s">
        <v>13949</v>
      </c>
      <c r="I3361" s="6" t="s">
        <v>13950</v>
      </c>
      <c r="J3361" s="6" t="str">
        <f>"RIBBON WRAP SKIRT(BLACK)"</f>
        <v>RIBBON WRAP SKIRT(BLACK)</v>
      </c>
      <c r="K3361" s="6">
        <v>0</v>
      </c>
      <c r="L3361" s="6">
        <v>0</v>
      </c>
      <c r="M3361" s="6">
        <v>0</v>
      </c>
      <c r="N3361" s="6" t="str">
        <f>""</f>
        <v/>
      </c>
      <c r="O3361" s="6">
        <v>23188</v>
      </c>
      <c r="P3361" s="6" t="s">
        <v>13949</v>
      </c>
      <c r="R3361" s="6" t="s">
        <v>601</v>
      </c>
      <c r="S3361" s="6" t="s">
        <v>13951</v>
      </c>
      <c r="T3361" s="6">
        <v>0</v>
      </c>
      <c r="U3361" s="6">
        <v>0</v>
      </c>
      <c r="V3361" s="6">
        <v>0</v>
      </c>
      <c r="W3361" s="6">
        <v>0</v>
      </c>
      <c r="X3361" s="6" t="s">
        <v>169</v>
      </c>
      <c r="Z3361" s="6" t="s">
        <v>170</v>
      </c>
      <c r="AA3361" s="6" t="s">
        <v>171</v>
      </c>
      <c r="AB3361" s="6">
        <v>0</v>
      </c>
      <c r="AC3361" s="6" t="str">
        <f>""</f>
        <v/>
      </c>
      <c r="AS3361" s="6">
        <v>0</v>
      </c>
      <c r="AT3361" s="6">
        <v>0</v>
      </c>
    </row>
    <row r="3362" spans="2:46">
      <c r="B3362" s="6" t="s">
        <v>13899</v>
      </c>
      <c r="D3362" s="6" t="s">
        <v>13131</v>
      </c>
      <c r="F3362" s="6" t="s">
        <v>13952</v>
      </c>
      <c r="G3362" s="6" t="str">
        <f>"13MAGSK201BKS"</f>
        <v>13MAGSK201BKS</v>
      </c>
      <c r="H3362" s="6" t="s">
        <v>13953</v>
      </c>
      <c r="I3362" s="6" t="s">
        <v>13950</v>
      </c>
      <c r="J3362" s="6" t="str">
        <f>"RIBBON WRAP SKIRT(BLACK)"</f>
        <v>RIBBON WRAP SKIRT(BLACK)</v>
      </c>
      <c r="K3362" s="6">
        <v>0</v>
      </c>
      <c r="L3362" s="6">
        <v>0</v>
      </c>
      <c r="M3362" s="6">
        <v>0</v>
      </c>
      <c r="N3362" s="6" t="str">
        <f>""</f>
        <v/>
      </c>
      <c r="O3362" s="6">
        <v>23187</v>
      </c>
      <c r="P3362" s="6" t="s">
        <v>13953</v>
      </c>
      <c r="R3362" s="6" t="s">
        <v>606</v>
      </c>
      <c r="S3362" s="6" t="s">
        <v>13954</v>
      </c>
      <c r="T3362" s="6">
        <v>0</v>
      </c>
      <c r="U3362" s="6">
        <v>0</v>
      </c>
      <c r="V3362" s="6">
        <v>0</v>
      </c>
      <c r="W3362" s="6">
        <v>0</v>
      </c>
      <c r="X3362" s="6" t="s">
        <v>169</v>
      </c>
      <c r="Z3362" s="6" t="s">
        <v>170</v>
      </c>
      <c r="AA3362" s="6" t="s">
        <v>171</v>
      </c>
      <c r="AB3362" s="6">
        <v>0</v>
      </c>
      <c r="AC3362" s="6" t="str">
        <f>""</f>
        <v/>
      </c>
      <c r="AS3362" s="6">
        <v>0</v>
      </c>
      <c r="AT3362" s="6">
        <v>0</v>
      </c>
    </row>
    <row r="3363" spans="2:46">
      <c r="B3363" s="6" t="s">
        <v>13899</v>
      </c>
      <c r="D3363" s="6" t="s">
        <v>13131</v>
      </c>
      <c r="F3363" s="6" t="s">
        <v>13955</v>
      </c>
      <c r="G3363" s="6" t="str">
        <f>"13MAGDP202BKM"</f>
        <v>13MAGDP202BKM</v>
      </c>
      <c r="H3363" s="6" t="s">
        <v>13956</v>
      </c>
      <c r="I3363" s="6" t="s">
        <v>13957</v>
      </c>
      <c r="J3363" s="6" t="str">
        <f>"SILM COATED JEANS(BLACK)"</f>
        <v>SILM COATED JEANS(BLACK)</v>
      </c>
      <c r="K3363" s="6">
        <v>0</v>
      </c>
      <c r="L3363" s="6">
        <v>0</v>
      </c>
      <c r="M3363" s="6">
        <v>0</v>
      </c>
      <c r="N3363" s="6" t="str">
        <f>""</f>
        <v/>
      </c>
      <c r="O3363" s="6">
        <v>23185</v>
      </c>
      <c r="P3363" s="6" t="s">
        <v>13956</v>
      </c>
      <c r="R3363" s="6" t="s">
        <v>601</v>
      </c>
      <c r="S3363" s="6" t="s">
        <v>13958</v>
      </c>
      <c r="T3363" s="6">
        <v>0</v>
      </c>
      <c r="U3363" s="6">
        <v>0</v>
      </c>
      <c r="V3363" s="6">
        <v>0</v>
      </c>
      <c r="W3363" s="6">
        <v>0</v>
      </c>
      <c r="X3363" s="6" t="s">
        <v>169</v>
      </c>
      <c r="Z3363" s="6" t="s">
        <v>170</v>
      </c>
      <c r="AA3363" s="6" t="s">
        <v>171</v>
      </c>
      <c r="AB3363" s="6">
        <v>0</v>
      </c>
      <c r="AC3363" s="6" t="str">
        <f>""</f>
        <v/>
      </c>
      <c r="AS3363" s="6">
        <v>0</v>
      </c>
      <c r="AT3363" s="6">
        <v>0</v>
      </c>
    </row>
    <row r="3364" spans="2:46">
      <c r="B3364" s="6" t="s">
        <v>13899</v>
      </c>
      <c r="D3364" s="6" t="s">
        <v>13131</v>
      </c>
      <c r="F3364" s="6" t="s">
        <v>13959</v>
      </c>
      <c r="G3364" s="6" t="str">
        <f>"13MAGDP202BKS"</f>
        <v>13MAGDP202BKS</v>
      </c>
      <c r="H3364" s="6" t="s">
        <v>13960</v>
      </c>
      <c r="I3364" s="6" t="s">
        <v>13957</v>
      </c>
      <c r="J3364" s="6" t="str">
        <f>"SILM COATED JEANS(BLACK)"</f>
        <v>SILM COATED JEANS(BLACK)</v>
      </c>
      <c r="K3364" s="6">
        <v>0</v>
      </c>
      <c r="L3364" s="6">
        <v>0</v>
      </c>
      <c r="M3364" s="6">
        <v>0</v>
      </c>
      <c r="N3364" s="6" t="str">
        <f>""</f>
        <v/>
      </c>
      <c r="O3364" s="6">
        <v>23184</v>
      </c>
      <c r="P3364" s="6" t="s">
        <v>13960</v>
      </c>
      <c r="R3364" s="6" t="s">
        <v>606</v>
      </c>
      <c r="S3364" s="6" t="s">
        <v>13961</v>
      </c>
      <c r="T3364" s="6">
        <v>0</v>
      </c>
      <c r="U3364" s="6">
        <v>0</v>
      </c>
      <c r="V3364" s="6">
        <v>0</v>
      </c>
      <c r="W3364" s="6">
        <v>0</v>
      </c>
      <c r="X3364" s="6" t="s">
        <v>169</v>
      </c>
      <c r="Z3364" s="6" t="s">
        <v>170</v>
      </c>
      <c r="AA3364" s="6" t="s">
        <v>171</v>
      </c>
      <c r="AB3364" s="6">
        <v>0</v>
      </c>
      <c r="AC3364" s="6" t="str">
        <f>""</f>
        <v/>
      </c>
      <c r="AS3364" s="6">
        <v>0</v>
      </c>
      <c r="AT3364" s="6">
        <v>0</v>
      </c>
    </row>
    <row r="3365" spans="2:46">
      <c r="B3365" s="6" t="s">
        <v>13899</v>
      </c>
      <c r="D3365" s="6" t="s">
        <v>13131</v>
      </c>
      <c r="F3365" s="6" t="s">
        <v>13962</v>
      </c>
      <c r="G3365" s="6" t="str">
        <f>"13MAGDP201DEXL"</f>
        <v>13MAGDP201DEXL</v>
      </c>
      <c r="H3365" s="6" t="s">
        <v>13963</v>
      </c>
      <c r="I3365" s="6" t="s">
        <v>13964</v>
      </c>
      <c r="J3365" s="6" t="str">
        <f>"WASHING DENIM PANTS(DENIM)"</f>
        <v>WASHING DENIM PANTS(DENIM)</v>
      </c>
      <c r="K3365" s="6">
        <v>0</v>
      </c>
      <c r="L3365" s="6">
        <v>0</v>
      </c>
      <c r="M3365" s="6">
        <v>0</v>
      </c>
      <c r="N3365" s="6" t="str">
        <f>""</f>
        <v/>
      </c>
      <c r="O3365" s="6">
        <v>23182</v>
      </c>
      <c r="P3365" s="6" t="s">
        <v>13963</v>
      </c>
      <c r="R3365" s="6" t="s">
        <v>13965</v>
      </c>
      <c r="S3365" s="6" t="s">
        <v>13966</v>
      </c>
      <c r="T3365" s="6">
        <v>0</v>
      </c>
      <c r="U3365" s="6">
        <v>0</v>
      </c>
      <c r="V3365" s="6">
        <v>0</v>
      </c>
      <c r="W3365" s="6">
        <v>0</v>
      </c>
      <c r="X3365" s="6" t="s">
        <v>169</v>
      </c>
      <c r="Z3365" s="6" t="s">
        <v>170</v>
      </c>
      <c r="AA3365" s="6" t="s">
        <v>171</v>
      </c>
      <c r="AB3365" s="6">
        <v>0</v>
      </c>
      <c r="AC3365" s="6" t="str">
        <f>""</f>
        <v/>
      </c>
      <c r="AS3365" s="6">
        <v>0</v>
      </c>
      <c r="AT3365" s="6">
        <v>0</v>
      </c>
    </row>
    <row r="3366" spans="2:46">
      <c r="B3366" s="6" t="s">
        <v>13899</v>
      </c>
      <c r="D3366" s="6" t="s">
        <v>13131</v>
      </c>
      <c r="F3366" s="6" t="s">
        <v>13967</v>
      </c>
      <c r="G3366" s="6" t="str">
        <f>"13MAGDP201DEL"</f>
        <v>13MAGDP201DEL</v>
      </c>
      <c r="H3366" s="6" t="s">
        <v>13968</v>
      </c>
      <c r="I3366" s="6" t="s">
        <v>13964</v>
      </c>
      <c r="J3366" s="6" t="str">
        <f>"WASHING DENIM PANTS(DENIM)"</f>
        <v>WASHING DENIM PANTS(DENIM)</v>
      </c>
      <c r="K3366" s="6">
        <v>0</v>
      </c>
      <c r="L3366" s="6">
        <v>0</v>
      </c>
      <c r="M3366" s="6">
        <v>0</v>
      </c>
      <c r="N3366" s="6" t="str">
        <f>""</f>
        <v/>
      </c>
      <c r="O3366" s="6">
        <v>23181</v>
      </c>
      <c r="P3366" s="6" t="s">
        <v>13968</v>
      </c>
      <c r="R3366" s="6" t="s">
        <v>13969</v>
      </c>
      <c r="S3366" s="6" t="s">
        <v>13970</v>
      </c>
      <c r="T3366" s="6">
        <v>0</v>
      </c>
      <c r="U3366" s="6">
        <v>0</v>
      </c>
      <c r="V3366" s="6">
        <v>0</v>
      </c>
      <c r="W3366" s="6">
        <v>0</v>
      </c>
      <c r="X3366" s="6" t="s">
        <v>169</v>
      </c>
      <c r="Z3366" s="6" t="s">
        <v>170</v>
      </c>
      <c r="AA3366" s="6" t="s">
        <v>171</v>
      </c>
      <c r="AB3366" s="6">
        <v>0</v>
      </c>
      <c r="AC3366" s="6" t="str">
        <f>""</f>
        <v/>
      </c>
      <c r="AS3366" s="6">
        <v>0</v>
      </c>
      <c r="AT3366" s="6">
        <v>0</v>
      </c>
    </row>
    <row r="3367" spans="2:46">
      <c r="B3367" s="6" t="s">
        <v>13899</v>
      </c>
      <c r="D3367" s="6" t="s">
        <v>13131</v>
      </c>
      <c r="F3367" s="6" t="s">
        <v>13971</v>
      </c>
      <c r="G3367" s="6" t="str">
        <f>"13MAGDP201DEM"</f>
        <v>13MAGDP201DEM</v>
      </c>
      <c r="H3367" s="6" t="s">
        <v>13972</v>
      </c>
      <c r="I3367" s="6" t="s">
        <v>13964</v>
      </c>
      <c r="J3367" s="6" t="str">
        <f>"WASHING DENIM PANTS(DENIM)"</f>
        <v>WASHING DENIM PANTS(DENIM)</v>
      </c>
      <c r="K3367" s="6">
        <v>0</v>
      </c>
      <c r="L3367" s="6">
        <v>0</v>
      </c>
      <c r="M3367" s="6">
        <v>0</v>
      </c>
      <c r="N3367" s="6" t="str">
        <f>""</f>
        <v/>
      </c>
      <c r="O3367" s="6">
        <v>23180</v>
      </c>
      <c r="P3367" s="6" t="s">
        <v>13972</v>
      </c>
      <c r="R3367" s="6" t="s">
        <v>3692</v>
      </c>
      <c r="S3367" s="6" t="s">
        <v>13973</v>
      </c>
      <c r="T3367" s="6">
        <v>0</v>
      </c>
      <c r="U3367" s="6">
        <v>0</v>
      </c>
      <c r="V3367" s="6">
        <v>0</v>
      </c>
      <c r="W3367" s="6">
        <v>0</v>
      </c>
      <c r="X3367" s="6" t="s">
        <v>169</v>
      </c>
      <c r="Z3367" s="6" t="s">
        <v>170</v>
      </c>
      <c r="AA3367" s="6" t="s">
        <v>171</v>
      </c>
      <c r="AB3367" s="6">
        <v>0</v>
      </c>
      <c r="AC3367" s="6" t="str">
        <f>""</f>
        <v/>
      </c>
      <c r="AS3367" s="6">
        <v>0</v>
      </c>
      <c r="AT3367" s="6">
        <v>0</v>
      </c>
    </row>
    <row r="3368" spans="2:46">
      <c r="B3368" s="6" t="s">
        <v>13899</v>
      </c>
      <c r="D3368" s="6" t="s">
        <v>13131</v>
      </c>
      <c r="F3368" s="6" t="s">
        <v>13974</v>
      </c>
      <c r="G3368" s="6" t="str">
        <f>"13MAGDP201DES"</f>
        <v>13MAGDP201DES</v>
      </c>
      <c r="H3368" s="6" t="s">
        <v>13975</v>
      </c>
      <c r="I3368" s="6" t="s">
        <v>13964</v>
      </c>
      <c r="J3368" s="6" t="str">
        <f>"WASHING DENIM PANTS(DENIM)"</f>
        <v>WASHING DENIM PANTS(DENIM)</v>
      </c>
      <c r="K3368" s="6">
        <v>0</v>
      </c>
      <c r="L3368" s="6">
        <v>0</v>
      </c>
      <c r="M3368" s="6">
        <v>0</v>
      </c>
      <c r="N3368" s="6" t="str">
        <f>""</f>
        <v/>
      </c>
      <c r="O3368" s="6">
        <v>23179</v>
      </c>
      <c r="P3368" s="6" t="s">
        <v>13975</v>
      </c>
      <c r="R3368" s="6" t="s">
        <v>3696</v>
      </c>
      <c r="S3368" s="6" t="s">
        <v>13976</v>
      </c>
      <c r="T3368" s="6">
        <v>0</v>
      </c>
      <c r="U3368" s="6">
        <v>0</v>
      </c>
      <c r="V3368" s="6">
        <v>0</v>
      </c>
      <c r="W3368" s="6">
        <v>0</v>
      </c>
      <c r="X3368" s="6" t="s">
        <v>169</v>
      </c>
      <c r="Z3368" s="6" t="s">
        <v>170</v>
      </c>
      <c r="AA3368" s="6" t="s">
        <v>171</v>
      </c>
      <c r="AB3368" s="6">
        <v>0</v>
      </c>
      <c r="AC3368" s="6" t="str">
        <f>""</f>
        <v/>
      </c>
      <c r="AS3368" s="6">
        <v>0</v>
      </c>
      <c r="AT3368" s="6">
        <v>0</v>
      </c>
    </row>
    <row r="3369" spans="2:46">
      <c r="B3369" s="6" t="s">
        <v>13899</v>
      </c>
      <c r="D3369" s="6" t="s">
        <v>13131</v>
      </c>
      <c r="F3369" s="6" t="s">
        <v>13977</v>
      </c>
      <c r="G3369" s="6" t="str">
        <f>"13MAGPT201BKL"</f>
        <v>13MAGPT201BKL</v>
      </c>
      <c r="H3369" s="6" t="s">
        <v>13978</v>
      </c>
      <c r="I3369" s="6" t="s">
        <v>13979</v>
      </c>
      <c r="J3369" s="6" t="str">
        <f>"WIDE BANDING PANTS(BLACK)"</f>
        <v>WIDE BANDING PANTS(BLACK)</v>
      </c>
      <c r="K3369" s="6">
        <v>0</v>
      </c>
      <c r="L3369" s="6">
        <v>0</v>
      </c>
      <c r="M3369" s="6">
        <v>0</v>
      </c>
      <c r="N3369" s="6" t="str">
        <f>""</f>
        <v/>
      </c>
      <c r="O3369" s="6">
        <v>23177</v>
      </c>
      <c r="P3369" s="6" t="s">
        <v>13978</v>
      </c>
      <c r="R3369" s="6" t="s">
        <v>5106</v>
      </c>
      <c r="S3369" s="6" t="s">
        <v>13980</v>
      </c>
      <c r="T3369" s="6">
        <v>0</v>
      </c>
      <c r="U3369" s="6">
        <v>0</v>
      </c>
      <c r="V3369" s="6">
        <v>0</v>
      </c>
      <c r="W3369" s="6">
        <v>0</v>
      </c>
      <c r="X3369" s="6" t="s">
        <v>169</v>
      </c>
      <c r="Z3369" s="6" t="s">
        <v>170</v>
      </c>
      <c r="AA3369" s="6" t="s">
        <v>171</v>
      </c>
      <c r="AB3369" s="6">
        <v>0</v>
      </c>
      <c r="AC3369" s="6" t="str">
        <f>""</f>
        <v/>
      </c>
      <c r="AS3369" s="6">
        <v>0</v>
      </c>
      <c r="AT3369" s="6">
        <v>0</v>
      </c>
    </row>
    <row r="3370" spans="2:46">
      <c r="B3370" s="6" t="s">
        <v>13899</v>
      </c>
      <c r="D3370" s="6" t="s">
        <v>13131</v>
      </c>
      <c r="F3370" s="6" t="s">
        <v>13981</v>
      </c>
      <c r="G3370" s="6" t="str">
        <f>"13MAGPT201BKM"</f>
        <v>13MAGPT201BKM</v>
      </c>
      <c r="H3370" s="6" t="s">
        <v>13982</v>
      </c>
      <c r="I3370" s="6" t="s">
        <v>13979</v>
      </c>
      <c r="J3370" s="6" t="str">
        <f>"WIDE BANDING PANTS(BLACK)"</f>
        <v>WIDE BANDING PANTS(BLACK)</v>
      </c>
      <c r="K3370" s="6">
        <v>0</v>
      </c>
      <c r="L3370" s="6">
        <v>0</v>
      </c>
      <c r="M3370" s="6">
        <v>0</v>
      </c>
      <c r="N3370" s="6" t="str">
        <f>""</f>
        <v/>
      </c>
      <c r="O3370" s="6">
        <v>23176</v>
      </c>
      <c r="P3370" s="6" t="s">
        <v>13982</v>
      </c>
      <c r="R3370" s="6" t="s">
        <v>601</v>
      </c>
      <c r="S3370" s="6" t="s">
        <v>13983</v>
      </c>
      <c r="T3370" s="6">
        <v>0</v>
      </c>
      <c r="U3370" s="6">
        <v>0</v>
      </c>
      <c r="V3370" s="6">
        <v>0</v>
      </c>
      <c r="W3370" s="6">
        <v>0</v>
      </c>
      <c r="X3370" s="6" t="s">
        <v>169</v>
      </c>
      <c r="Z3370" s="6" t="s">
        <v>170</v>
      </c>
      <c r="AA3370" s="6" t="s">
        <v>171</v>
      </c>
      <c r="AB3370" s="6">
        <v>0</v>
      </c>
      <c r="AC3370" s="6" t="str">
        <f>""</f>
        <v/>
      </c>
      <c r="AS3370" s="6">
        <v>0</v>
      </c>
      <c r="AT3370" s="6">
        <v>0</v>
      </c>
    </row>
    <row r="3371" spans="2:46">
      <c r="B3371" s="6" t="s">
        <v>13899</v>
      </c>
      <c r="D3371" s="6" t="s">
        <v>13131</v>
      </c>
      <c r="F3371" s="6" t="s">
        <v>13984</v>
      </c>
      <c r="G3371" s="6" t="str">
        <f>"13MAGNT301IVL"</f>
        <v>13MAGNT301IVL</v>
      </c>
      <c r="H3371" s="6" t="s">
        <v>13985</v>
      </c>
      <c r="I3371" s="6" t="s">
        <v>13986</v>
      </c>
      <c r="J3371" s="6" t="str">
        <f>"ADOLE SCENCE LONG SLEEVED KINT(IVORY)"</f>
        <v>ADOLE SCENCE LONG SLEEVED KINT(IVORY)</v>
      </c>
      <c r="K3371" s="6">
        <v>0</v>
      </c>
      <c r="L3371" s="6">
        <v>0</v>
      </c>
      <c r="M3371" s="6">
        <v>0</v>
      </c>
      <c r="N3371" s="6" t="str">
        <f>""</f>
        <v/>
      </c>
      <c r="O3371" s="6">
        <v>23174</v>
      </c>
      <c r="P3371" s="6" t="s">
        <v>13985</v>
      </c>
      <c r="R3371" s="6" t="s">
        <v>5224</v>
      </c>
      <c r="S3371" s="6" t="s">
        <v>13987</v>
      </c>
      <c r="T3371" s="6">
        <v>0</v>
      </c>
      <c r="U3371" s="6">
        <v>0</v>
      </c>
      <c r="V3371" s="6">
        <v>0</v>
      </c>
      <c r="W3371" s="6">
        <v>0</v>
      </c>
      <c r="X3371" s="6" t="s">
        <v>169</v>
      </c>
      <c r="Z3371" s="6" t="s">
        <v>170</v>
      </c>
      <c r="AA3371" s="6" t="s">
        <v>171</v>
      </c>
      <c r="AB3371" s="6">
        <v>0</v>
      </c>
      <c r="AC3371" s="6" t="str">
        <f>""</f>
        <v/>
      </c>
      <c r="AS3371" s="6">
        <v>0</v>
      </c>
      <c r="AT3371" s="6">
        <v>0</v>
      </c>
    </row>
    <row r="3372" spans="2:46">
      <c r="B3372" s="6" t="s">
        <v>13899</v>
      </c>
      <c r="D3372" s="6" t="s">
        <v>13131</v>
      </c>
      <c r="F3372" s="6" t="s">
        <v>13988</v>
      </c>
      <c r="G3372" s="6" t="str">
        <f>"13MAGNT301IVM"</f>
        <v>13MAGNT301IVM</v>
      </c>
      <c r="H3372" s="6" t="s">
        <v>13989</v>
      </c>
      <c r="I3372" s="6" t="s">
        <v>13986</v>
      </c>
      <c r="J3372" s="6" t="str">
        <f>"ADOLE SCENCE LONG SLEEVED KINT(IVORY)"</f>
        <v>ADOLE SCENCE LONG SLEEVED KINT(IVORY)</v>
      </c>
      <c r="K3372" s="6">
        <v>0</v>
      </c>
      <c r="L3372" s="6">
        <v>0</v>
      </c>
      <c r="M3372" s="6">
        <v>0</v>
      </c>
      <c r="N3372" s="6" t="str">
        <f>""</f>
        <v/>
      </c>
      <c r="O3372" s="6">
        <v>23173</v>
      </c>
      <c r="P3372" s="6" t="s">
        <v>13989</v>
      </c>
      <c r="R3372" s="6" t="s">
        <v>639</v>
      </c>
      <c r="S3372" s="6" t="s">
        <v>13990</v>
      </c>
      <c r="T3372" s="6">
        <v>0</v>
      </c>
      <c r="U3372" s="6">
        <v>0</v>
      </c>
      <c r="V3372" s="6">
        <v>0</v>
      </c>
      <c r="W3372" s="6">
        <v>0</v>
      </c>
      <c r="X3372" s="6" t="s">
        <v>169</v>
      </c>
      <c r="Z3372" s="6" t="s">
        <v>170</v>
      </c>
      <c r="AA3372" s="6" t="s">
        <v>171</v>
      </c>
      <c r="AB3372" s="6">
        <v>0</v>
      </c>
      <c r="AC3372" s="6" t="str">
        <f>""</f>
        <v/>
      </c>
      <c r="AS3372" s="6">
        <v>0</v>
      </c>
      <c r="AT3372" s="6">
        <v>0</v>
      </c>
    </row>
    <row r="3373" spans="2:46">
      <c r="B3373" s="6" t="s">
        <v>13899</v>
      </c>
      <c r="D3373" s="6" t="s">
        <v>13131</v>
      </c>
      <c r="F3373" s="6" t="s">
        <v>13991</v>
      </c>
      <c r="G3373" s="6" t="str">
        <f>"13MAGNT301BKL"</f>
        <v>13MAGNT301BKL</v>
      </c>
      <c r="H3373" s="6" t="s">
        <v>13992</v>
      </c>
      <c r="I3373" s="6" t="s">
        <v>13993</v>
      </c>
      <c r="J3373" s="6" t="str">
        <f>"ADOLE SCENCE LONG SLEEVED KINT(BLACK)"</f>
        <v>ADOLE SCENCE LONG SLEEVED KINT(BLACK)</v>
      </c>
      <c r="K3373" s="6">
        <v>0</v>
      </c>
      <c r="L3373" s="6">
        <v>0</v>
      </c>
      <c r="M3373" s="6">
        <v>0</v>
      </c>
      <c r="N3373" s="6" t="str">
        <f>""</f>
        <v/>
      </c>
      <c r="O3373" s="6">
        <v>23171</v>
      </c>
      <c r="P3373" s="6" t="s">
        <v>13992</v>
      </c>
      <c r="R3373" s="6" t="s">
        <v>5106</v>
      </c>
      <c r="S3373" s="6" t="s">
        <v>13994</v>
      </c>
      <c r="T3373" s="6">
        <v>0</v>
      </c>
      <c r="U3373" s="6">
        <v>0</v>
      </c>
      <c r="V3373" s="6">
        <v>0</v>
      </c>
      <c r="W3373" s="6">
        <v>0</v>
      </c>
      <c r="X3373" s="6" t="s">
        <v>169</v>
      </c>
      <c r="Z3373" s="6" t="s">
        <v>170</v>
      </c>
      <c r="AA3373" s="6" t="s">
        <v>171</v>
      </c>
      <c r="AB3373" s="6">
        <v>0</v>
      </c>
      <c r="AC3373" s="6" t="str">
        <f>""</f>
        <v/>
      </c>
      <c r="AS3373" s="6">
        <v>0</v>
      </c>
      <c r="AT3373" s="6">
        <v>0</v>
      </c>
    </row>
    <row r="3374" spans="2:46">
      <c r="B3374" s="6" t="s">
        <v>13899</v>
      </c>
      <c r="D3374" s="6" t="s">
        <v>13131</v>
      </c>
      <c r="F3374" s="6" t="s">
        <v>13995</v>
      </c>
      <c r="G3374" s="6" t="str">
        <f>"13MAGNT301BKM"</f>
        <v>13MAGNT301BKM</v>
      </c>
      <c r="H3374" s="6" t="s">
        <v>13996</v>
      </c>
      <c r="I3374" s="6" t="s">
        <v>13993</v>
      </c>
      <c r="J3374" s="6" t="str">
        <f>"ADOLE SCENCE LONG SLEEVED KINT(BLACK)"</f>
        <v>ADOLE SCENCE LONG SLEEVED KINT(BLACK)</v>
      </c>
      <c r="K3374" s="6">
        <v>0</v>
      </c>
      <c r="L3374" s="6">
        <v>0</v>
      </c>
      <c r="M3374" s="6">
        <v>0</v>
      </c>
      <c r="N3374" s="6" t="str">
        <f>""</f>
        <v/>
      </c>
      <c r="O3374" s="6">
        <v>23170</v>
      </c>
      <c r="P3374" s="6" t="s">
        <v>13996</v>
      </c>
      <c r="R3374" s="6" t="s">
        <v>601</v>
      </c>
      <c r="S3374" s="6" t="s">
        <v>13997</v>
      </c>
      <c r="T3374" s="6">
        <v>0</v>
      </c>
      <c r="U3374" s="6">
        <v>0</v>
      </c>
      <c r="V3374" s="6">
        <v>0</v>
      </c>
      <c r="W3374" s="6">
        <v>0</v>
      </c>
      <c r="X3374" s="6" t="s">
        <v>169</v>
      </c>
      <c r="Z3374" s="6" t="s">
        <v>170</v>
      </c>
      <c r="AA3374" s="6" t="s">
        <v>171</v>
      </c>
      <c r="AB3374" s="6">
        <v>0</v>
      </c>
      <c r="AC3374" s="6" t="str">
        <f>""</f>
        <v/>
      </c>
      <c r="AS3374" s="6">
        <v>0</v>
      </c>
      <c r="AT3374" s="6">
        <v>0</v>
      </c>
    </row>
    <row r="3375" spans="2:46">
      <c r="B3375" s="6" t="s">
        <v>13899</v>
      </c>
      <c r="D3375" s="6" t="s">
        <v>13131</v>
      </c>
      <c r="F3375" s="6" t="s">
        <v>13998</v>
      </c>
      <c r="G3375" s="6" t="str">
        <f>"13MAGBU201BLF"</f>
        <v>13MAGBU201BLF</v>
      </c>
      <c r="H3375" s="6" t="s">
        <v>13999</v>
      </c>
      <c r="I3375" s="6" t="s">
        <v>14000</v>
      </c>
      <c r="J3375" s="6" t="str">
        <f>"RIBBON DETAIL BLOUSE(BLUE)"</f>
        <v>RIBBON DETAIL BLOUSE(BLUE)</v>
      </c>
      <c r="K3375" s="6">
        <v>0</v>
      </c>
      <c r="L3375" s="6">
        <v>0</v>
      </c>
      <c r="M3375" s="6">
        <v>0</v>
      </c>
      <c r="N3375" s="6" t="str">
        <f>""</f>
        <v/>
      </c>
      <c r="O3375" s="6">
        <v>23168</v>
      </c>
      <c r="P3375" s="6" t="s">
        <v>13999</v>
      </c>
      <c r="R3375" s="6" t="s">
        <v>2175</v>
      </c>
      <c r="S3375" s="6" t="s">
        <v>14001</v>
      </c>
      <c r="T3375" s="6">
        <v>0</v>
      </c>
      <c r="U3375" s="6">
        <v>0</v>
      </c>
      <c r="V3375" s="6">
        <v>0</v>
      </c>
      <c r="W3375" s="6">
        <v>0</v>
      </c>
      <c r="X3375" s="6" t="s">
        <v>169</v>
      </c>
      <c r="Z3375" s="6" t="s">
        <v>170</v>
      </c>
      <c r="AA3375" s="6" t="s">
        <v>171</v>
      </c>
      <c r="AB3375" s="6">
        <v>0</v>
      </c>
      <c r="AC3375" s="6" t="str">
        <f>""</f>
        <v/>
      </c>
      <c r="AS3375" s="6">
        <v>0</v>
      </c>
      <c r="AT3375" s="6">
        <v>0</v>
      </c>
    </row>
    <row r="3376" spans="2:46">
      <c r="B3376" s="6" t="s">
        <v>13899</v>
      </c>
      <c r="D3376" s="6" t="s">
        <v>13131</v>
      </c>
      <c r="F3376" s="6" t="s">
        <v>14002</v>
      </c>
      <c r="G3376" s="6" t="str">
        <f>"13MAGBU201WTF"</f>
        <v>13MAGBU201WTF</v>
      </c>
      <c r="H3376" s="6" t="s">
        <v>14003</v>
      </c>
      <c r="I3376" s="6" t="s">
        <v>14004</v>
      </c>
      <c r="J3376" s="6" t="str">
        <f>"RIBBON DETAIL BLOUSE(WHITE)"</f>
        <v>RIBBON DETAIL BLOUSE(WHITE)</v>
      </c>
      <c r="K3376" s="6">
        <v>0</v>
      </c>
      <c r="L3376" s="6">
        <v>0</v>
      </c>
      <c r="M3376" s="6">
        <v>0</v>
      </c>
      <c r="N3376" s="6" t="str">
        <f>""</f>
        <v/>
      </c>
      <c r="O3376" s="6">
        <v>23166</v>
      </c>
      <c r="P3376" s="6" t="s">
        <v>14003</v>
      </c>
      <c r="R3376" s="6" t="s">
        <v>2167</v>
      </c>
      <c r="S3376" s="6" t="s">
        <v>14005</v>
      </c>
      <c r="T3376" s="6">
        <v>0</v>
      </c>
      <c r="U3376" s="6">
        <v>0</v>
      </c>
      <c r="V3376" s="6">
        <v>0</v>
      </c>
      <c r="W3376" s="6">
        <v>0</v>
      </c>
      <c r="X3376" s="6" t="s">
        <v>169</v>
      </c>
      <c r="Z3376" s="6" t="s">
        <v>170</v>
      </c>
      <c r="AA3376" s="6" t="s">
        <v>171</v>
      </c>
      <c r="AB3376" s="6">
        <v>0</v>
      </c>
      <c r="AC3376" s="6" t="str">
        <f>""</f>
        <v/>
      </c>
      <c r="AS3376" s="6">
        <v>0</v>
      </c>
      <c r="AT3376" s="6">
        <v>0</v>
      </c>
    </row>
    <row r="3377" spans="2:46">
      <c r="B3377" s="6" t="s">
        <v>13899</v>
      </c>
      <c r="D3377" s="6" t="s">
        <v>13131</v>
      </c>
      <c r="F3377" s="6" t="s">
        <v>14006</v>
      </c>
      <c r="G3377" s="6" t="str">
        <f>"13MAGJK201PPL"</f>
        <v>13MAGJK201PPL</v>
      </c>
      <c r="H3377" s="6" t="s">
        <v>14007</v>
      </c>
      <c r="I3377" s="6" t="s">
        <v>14008</v>
      </c>
      <c r="J3377" s="6" t="str">
        <f>"ADOLE SCENCE RAIN COACH JAKET(PURPLE)"</f>
        <v>ADOLE SCENCE RAIN COACH JAKET(PURPLE)</v>
      </c>
      <c r="K3377" s="6">
        <v>0</v>
      </c>
      <c r="L3377" s="6">
        <v>0</v>
      </c>
      <c r="M3377" s="6">
        <v>0</v>
      </c>
      <c r="N3377" s="6" t="str">
        <f>""</f>
        <v/>
      </c>
      <c r="O3377" s="6">
        <v>23164</v>
      </c>
      <c r="P3377" s="6" t="s">
        <v>14007</v>
      </c>
      <c r="R3377" s="6" t="s">
        <v>9665</v>
      </c>
      <c r="S3377" s="6" t="s">
        <v>14009</v>
      </c>
      <c r="T3377" s="6">
        <v>0</v>
      </c>
      <c r="U3377" s="6">
        <v>0</v>
      </c>
      <c r="V3377" s="6">
        <v>0</v>
      </c>
      <c r="W3377" s="6">
        <v>0</v>
      </c>
      <c r="X3377" s="6" t="s">
        <v>169</v>
      </c>
      <c r="Z3377" s="6" t="s">
        <v>170</v>
      </c>
      <c r="AA3377" s="6" t="s">
        <v>171</v>
      </c>
      <c r="AB3377" s="6">
        <v>0</v>
      </c>
      <c r="AC3377" s="6" t="str">
        <f>""</f>
        <v/>
      </c>
      <c r="AS3377" s="6">
        <v>0</v>
      </c>
      <c r="AT3377" s="6">
        <v>0</v>
      </c>
    </row>
    <row r="3378" spans="2:46">
      <c r="B3378" s="6" t="s">
        <v>13899</v>
      </c>
      <c r="D3378" s="6" t="s">
        <v>13131</v>
      </c>
      <c r="F3378" s="6" t="s">
        <v>14010</v>
      </c>
      <c r="G3378" s="6" t="str">
        <f>"13MAGJK201PPM"</f>
        <v>13MAGJK201PPM</v>
      </c>
      <c r="H3378" s="6" t="s">
        <v>14011</v>
      </c>
      <c r="I3378" s="6" t="s">
        <v>14008</v>
      </c>
      <c r="J3378" s="6" t="str">
        <f>"ADOLE SCENCE RAIN COACH JAKET(PURPLE)"</f>
        <v>ADOLE SCENCE RAIN COACH JAKET(PURPLE)</v>
      </c>
      <c r="K3378" s="6">
        <v>0</v>
      </c>
      <c r="L3378" s="6">
        <v>0</v>
      </c>
      <c r="M3378" s="6">
        <v>0</v>
      </c>
      <c r="N3378" s="6" t="str">
        <f>""</f>
        <v/>
      </c>
      <c r="O3378" s="6">
        <v>23163</v>
      </c>
      <c r="P3378" s="6" t="s">
        <v>14011</v>
      </c>
      <c r="R3378" s="6" t="s">
        <v>9670</v>
      </c>
      <c r="S3378" s="6" t="s">
        <v>14012</v>
      </c>
      <c r="T3378" s="6">
        <v>0</v>
      </c>
      <c r="U3378" s="6">
        <v>0</v>
      </c>
      <c r="V3378" s="6">
        <v>0</v>
      </c>
      <c r="W3378" s="6">
        <v>0</v>
      </c>
      <c r="X3378" s="6" t="s">
        <v>169</v>
      </c>
      <c r="Z3378" s="6" t="s">
        <v>170</v>
      </c>
      <c r="AA3378" s="6" t="s">
        <v>171</v>
      </c>
      <c r="AB3378" s="6">
        <v>0</v>
      </c>
      <c r="AC3378" s="6" t="str">
        <f>""</f>
        <v/>
      </c>
      <c r="AS3378" s="6">
        <v>0</v>
      </c>
      <c r="AT3378" s="6">
        <v>0</v>
      </c>
    </row>
    <row r="3379" spans="2:46">
      <c r="B3379" s="6" t="s">
        <v>13899</v>
      </c>
      <c r="D3379" s="6" t="s">
        <v>13131</v>
      </c>
      <c r="F3379" s="6" t="s">
        <v>14013</v>
      </c>
      <c r="G3379" s="6" t="str">
        <f>"13MAGJK201BKL"</f>
        <v>13MAGJK201BKL</v>
      </c>
      <c r="H3379" s="6" t="s">
        <v>14014</v>
      </c>
      <c r="I3379" s="6" t="s">
        <v>14015</v>
      </c>
      <c r="J3379" s="6" t="str">
        <f>"ADOLE SCENCE RAIN COACH JAKET(BLACK)"</f>
        <v>ADOLE SCENCE RAIN COACH JAKET(BLACK)</v>
      </c>
      <c r="K3379" s="6">
        <v>0</v>
      </c>
      <c r="L3379" s="6">
        <v>0</v>
      </c>
      <c r="M3379" s="6">
        <v>0</v>
      </c>
      <c r="N3379" s="6" t="str">
        <f>""</f>
        <v/>
      </c>
      <c r="O3379" s="6">
        <v>23161</v>
      </c>
      <c r="P3379" s="6" t="s">
        <v>14014</v>
      </c>
      <c r="R3379" s="6" t="s">
        <v>5106</v>
      </c>
      <c r="S3379" s="6" t="s">
        <v>14016</v>
      </c>
      <c r="T3379" s="6">
        <v>0</v>
      </c>
      <c r="U3379" s="6">
        <v>0</v>
      </c>
      <c r="V3379" s="6">
        <v>0</v>
      </c>
      <c r="W3379" s="6">
        <v>0</v>
      </c>
      <c r="X3379" s="6" t="s">
        <v>169</v>
      </c>
      <c r="Z3379" s="6" t="s">
        <v>170</v>
      </c>
      <c r="AA3379" s="6" t="s">
        <v>171</v>
      </c>
      <c r="AB3379" s="6">
        <v>0</v>
      </c>
      <c r="AC3379" s="6" t="str">
        <f>""</f>
        <v/>
      </c>
      <c r="AS3379" s="6">
        <v>0</v>
      </c>
      <c r="AT3379" s="6">
        <v>0</v>
      </c>
    </row>
    <row r="3380" spans="2:46">
      <c r="B3380" s="6" t="s">
        <v>13899</v>
      </c>
      <c r="D3380" s="6" t="s">
        <v>13131</v>
      </c>
      <c r="F3380" s="6" t="s">
        <v>14017</v>
      </c>
      <c r="G3380" s="6" t="str">
        <f>"13MAGJK201BKM"</f>
        <v>13MAGJK201BKM</v>
      </c>
      <c r="H3380" s="6" t="s">
        <v>14018</v>
      </c>
      <c r="I3380" s="6" t="s">
        <v>14015</v>
      </c>
      <c r="J3380" s="6" t="str">
        <f>"ADOLE SCENCE RAIN COACH JAKET(BLACK)"</f>
        <v>ADOLE SCENCE RAIN COACH JAKET(BLACK)</v>
      </c>
      <c r="K3380" s="6">
        <v>0</v>
      </c>
      <c r="L3380" s="6">
        <v>0</v>
      </c>
      <c r="M3380" s="6">
        <v>0</v>
      </c>
      <c r="N3380" s="6" t="str">
        <f>""</f>
        <v/>
      </c>
      <c r="O3380" s="6">
        <v>23160</v>
      </c>
      <c r="P3380" s="6" t="s">
        <v>14018</v>
      </c>
      <c r="R3380" s="6" t="s">
        <v>601</v>
      </c>
      <c r="S3380" s="6" t="s">
        <v>14019</v>
      </c>
      <c r="T3380" s="6">
        <v>0</v>
      </c>
      <c r="U3380" s="6">
        <v>0</v>
      </c>
      <c r="V3380" s="6">
        <v>0</v>
      </c>
      <c r="W3380" s="6">
        <v>0</v>
      </c>
      <c r="X3380" s="6" t="s">
        <v>169</v>
      </c>
      <c r="Z3380" s="6" t="s">
        <v>170</v>
      </c>
      <c r="AA3380" s="6" t="s">
        <v>171</v>
      </c>
      <c r="AB3380" s="6">
        <v>0</v>
      </c>
      <c r="AC3380" s="6" t="str">
        <f>""</f>
        <v/>
      </c>
      <c r="AS3380" s="6">
        <v>0</v>
      </c>
      <c r="AT3380" s="6">
        <v>0</v>
      </c>
    </row>
    <row r="3381" spans="2:46">
      <c r="B3381" s="6" t="s">
        <v>13899</v>
      </c>
      <c r="D3381" s="6" t="s">
        <v>13131</v>
      </c>
      <c r="F3381" s="6" t="s">
        <v>14020</v>
      </c>
      <c r="G3381" s="6" t="str">
        <f>"13MAGCT301BRL"</f>
        <v>13MAGCT301BRL</v>
      </c>
      <c r="H3381" s="6" t="s">
        <v>14021</v>
      </c>
      <c r="I3381" s="6" t="s">
        <v>14022</v>
      </c>
      <c r="J3381" s="6" t="str">
        <f>"OVER DOUBL LONG COAT (BROWN)"</f>
        <v>OVER DOUBL LONG COAT (BROWN)</v>
      </c>
      <c r="K3381" s="6">
        <v>0</v>
      </c>
      <c r="L3381" s="6">
        <v>0</v>
      </c>
      <c r="M3381" s="6">
        <v>0</v>
      </c>
      <c r="N3381" s="6" t="str">
        <f>""</f>
        <v/>
      </c>
      <c r="O3381" s="6">
        <v>23158</v>
      </c>
      <c r="P3381" s="6" t="s">
        <v>14021</v>
      </c>
      <c r="R3381" s="6" t="s">
        <v>5359</v>
      </c>
      <c r="S3381" s="6" t="s">
        <v>14023</v>
      </c>
      <c r="T3381" s="6">
        <v>0</v>
      </c>
      <c r="U3381" s="6">
        <v>0</v>
      </c>
      <c r="V3381" s="6">
        <v>0</v>
      </c>
      <c r="W3381" s="6">
        <v>0</v>
      </c>
      <c r="X3381" s="6" t="s">
        <v>169</v>
      </c>
      <c r="Z3381" s="6" t="s">
        <v>170</v>
      </c>
      <c r="AA3381" s="6" t="s">
        <v>171</v>
      </c>
      <c r="AB3381" s="6">
        <v>0</v>
      </c>
      <c r="AC3381" s="6" t="str">
        <f>""</f>
        <v/>
      </c>
      <c r="AS3381" s="6">
        <v>0</v>
      </c>
      <c r="AT3381" s="6">
        <v>0</v>
      </c>
    </row>
    <row r="3382" spans="2:46">
      <c r="B3382" s="6" t="s">
        <v>13899</v>
      </c>
      <c r="D3382" s="6" t="s">
        <v>13131</v>
      </c>
      <c r="F3382" s="6" t="s">
        <v>14024</v>
      </c>
      <c r="G3382" s="6" t="str">
        <f>"13MAGCT301BRM"</f>
        <v>13MAGCT301BRM</v>
      </c>
      <c r="H3382" s="6" t="s">
        <v>14025</v>
      </c>
      <c r="I3382" s="6" t="s">
        <v>14022</v>
      </c>
      <c r="J3382" s="6" t="str">
        <f>"OVER DOUBL LONG COAT (BROWN)"</f>
        <v>OVER DOUBL LONG COAT (BROWN)</v>
      </c>
      <c r="K3382" s="6">
        <v>0</v>
      </c>
      <c r="L3382" s="6">
        <v>0</v>
      </c>
      <c r="M3382" s="6">
        <v>0</v>
      </c>
      <c r="N3382" s="6" t="str">
        <f>""</f>
        <v/>
      </c>
      <c r="O3382" s="6">
        <v>23157</v>
      </c>
      <c r="P3382" s="6" t="s">
        <v>14025</v>
      </c>
      <c r="R3382" s="6" t="s">
        <v>5363</v>
      </c>
      <c r="S3382" s="6" t="s">
        <v>14026</v>
      </c>
      <c r="T3382" s="6">
        <v>0</v>
      </c>
      <c r="U3382" s="6">
        <v>0</v>
      </c>
      <c r="V3382" s="6">
        <v>0</v>
      </c>
      <c r="W3382" s="6">
        <v>0</v>
      </c>
      <c r="X3382" s="6" t="s">
        <v>169</v>
      </c>
      <c r="Z3382" s="6" t="s">
        <v>170</v>
      </c>
      <c r="AA3382" s="6" t="s">
        <v>171</v>
      </c>
      <c r="AB3382" s="6">
        <v>0</v>
      </c>
      <c r="AC3382" s="6" t="str">
        <f>""</f>
        <v/>
      </c>
      <c r="AS3382" s="6">
        <v>0</v>
      </c>
      <c r="AT3382" s="6">
        <v>0</v>
      </c>
    </row>
    <row r="3383" spans="2:46">
      <c r="B3383" s="6" t="s">
        <v>13899</v>
      </c>
      <c r="D3383" s="6" t="s">
        <v>13131</v>
      </c>
      <c r="F3383" s="6" t="s">
        <v>14027</v>
      </c>
      <c r="G3383" s="6" t="str">
        <f>"13MAGCT301BKL"</f>
        <v>13MAGCT301BKL</v>
      </c>
      <c r="H3383" s="6" t="s">
        <v>14028</v>
      </c>
      <c r="I3383" s="6" t="s">
        <v>14029</v>
      </c>
      <c r="J3383" s="6" t="str">
        <f>"OVER DOUBL LONG COAT (BLACK)"</f>
        <v>OVER DOUBL LONG COAT (BLACK)</v>
      </c>
      <c r="K3383" s="6">
        <v>0</v>
      </c>
      <c r="L3383" s="6">
        <v>0</v>
      </c>
      <c r="M3383" s="6">
        <v>0</v>
      </c>
      <c r="N3383" s="6" t="str">
        <f>""</f>
        <v/>
      </c>
      <c r="O3383" s="6">
        <v>23155</v>
      </c>
      <c r="P3383" s="6" t="s">
        <v>14028</v>
      </c>
      <c r="R3383" s="6" t="s">
        <v>5106</v>
      </c>
      <c r="S3383" s="6" t="s">
        <v>14030</v>
      </c>
      <c r="T3383" s="6">
        <v>0</v>
      </c>
      <c r="U3383" s="6">
        <v>0</v>
      </c>
      <c r="V3383" s="6">
        <v>0</v>
      </c>
      <c r="W3383" s="6">
        <v>0</v>
      </c>
      <c r="X3383" s="6" t="s">
        <v>169</v>
      </c>
      <c r="Z3383" s="6" t="s">
        <v>170</v>
      </c>
      <c r="AA3383" s="6" t="s">
        <v>171</v>
      </c>
      <c r="AB3383" s="6">
        <v>0</v>
      </c>
      <c r="AC3383" s="6" t="str">
        <f>""</f>
        <v/>
      </c>
      <c r="AS3383" s="6">
        <v>0</v>
      </c>
      <c r="AT3383" s="6">
        <v>0</v>
      </c>
    </row>
    <row r="3384" spans="2:46">
      <c r="B3384" s="6" t="s">
        <v>13899</v>
      </c>
      <c r="D3384" s="6" t="s">
        <v>13131</v>
      </c>
      <c r="F3384" s="6" t="s">
        <v>14031</v>
      </c>
      <c r="G3384" s="6" t="str">
        <f>"13MAGCT301BKM"</f>
        <v>13MAGCT301BKM</v>
      </c>
      <c r="H3384" s="6" t="s">
        <v>14032</v>
      </c>
      <c r="I3384" s="6" t="s">
        <v>14029</v>
      </c>
      <c r="J3384" s="6" t="str">
        <f>"OVER DOUBL LONG COAT (BLACK)"</f>
        <v>OVER DOUBL LONG COAT (BLACK)</v>
      </c>
      <c r="K3384" s="6">
        <v>0</v>
      </c>
      <c r="L3384" s="6">
        <v>0</v>
      </c>
      <c r="M3384" s="6">
        <v>0</v>
      </c>
      <c r="N3384" s="6" t="str">
        <f>""</f>
        <v/>
      </c>
      <c r="O3384" s="6">
        <v>23154</v>
      </c>
      <c r="P3384" s="6" t="s">
        <v>14032</v>
      </c>
      <c r="R3384" s="6" t="s">
        <v>601</v>
      </c>
      <c r="S3384" s="6" t="s">
        <v>14033</v>
      </c>
      <c r="T3384" s="6">
        <v>0</v>
      </c>
      <c r="U3384" s="6">
        <v>0</v>
      </c>
      <c r="V3384" s="6">
        <v>0</v>
      </c>
      <c r="W3384" s="6">
        <v>0</v>
      </c>
      <c r="X3384" s="6" t="s">
        <v>169</v>
      </c>
      <c r="Z3384" s="6" t="s">
        <v>170</v>
      </c>
      <c r="AA3384" s="6" t="s">
        <v>171</v>
      </c>
      <c r="AB3384" s="6">
        <v>0</v>
      </c>
      <c r="AC3384" s="6" t="str">
        <f>""</f>
        <v/>
      </c>
      <c r="AS3384" s="6">
        <v>0</v>
      </c>
      <c r="AT3384" s="6">
        <v>0</v>
      </c>
    </row>
    <row r="3385" spans="2:46">
      <c r="B3385" s="6" t="s">
        <v>13899</v>
      </c>
      <c r="D3385" s="6" t="s">
        <v>13131</v>
      </c>
      <c r="F3385" s="6" t="s">
        <v>14034</v>
      </c>
      <c r="G3385" s="6" t="str">
        <f>"13MAGJK301BRL"</f>
        <v>13MAGJK301BRL</v>
      </c>
      <c r="H3385" s="6" t="s">
        <v>14035</v>
      </c>
      <c r="I3385" s="6" t="s">
        <v>14036</v>
      </c>
      <c r="J3385" s="6" t="str">
        <f>"LEDER POINT PUR JACKET(BROWN)"</f>
        <v>LEDER POINT PUR JACKET(BROWN)</v>
      </c>
      <c r="K3385" s="6">
        <v>0</v>
      </c>
      <c r="L3385" s="6">
        <v>0</v>
      </c>
      <c r="M3385" s="6">
        <v>0</v>
      </c>
      <c r="N3385" s="6" t="str">
        <f>""</f>
        <v/>
      </c>
      <c r="O3385" s="6">
        <v>23152</v>
      </c>
      <c r="P3385" s="6" t="s">
        <v>14035</v>
      </c>
      <c r="R3385" s="6" t="s">
        <v>5359</v>
      </c>
      <c r="S3385" s="6" t="s">
        <v>14037</v>
      </c>
      <c r="T3385" s="6">
        <v>0</v>
      </c>
      <c r="U3385" s="6">
        <v>0</v>
      </c>
      <c r="V3385" s="6">
        <v>0</v>
      </c>
      <c r="W3385" s="6">
        <v>0</v>
      </c>
      <c r="X3385" s="6" t="s">
        <v>169</v>
      </c>
      <c r="Z3385" s="6" t="s">
        <v>170</v>
      </c>
      <c r="AA3385" s="6" t="s">
        <v>171</v>
      </c>
      <c r="AB3385" s="6">
        <v>0</v>
      </c>
      <c r="AC3385" s="6" t="str">
        <f>""</f>
        <v/>
      </c>
      <c r="AS3385" s="6">
        <v>0</v>
      </c>
      <c r="AT3385" s="6">
        <v>0</v>
      </c>
    </row>
    <row r="3386" spans="2:46">
      <c r="B3386" s="6" t="s">
        <v>13899</v>
      </c>
      <c r="D3386" s="6" t="s">
        <v>13131</v>
      </c>
      <c r="F3386" s="6" t="s">
        <v>14038</v>
      </c>
      <c r="G3386" s="6" t="str">
        <f>"13MAGJK301BRM"</f>
        <v>13MAGJK301BRM</v>
      </c>
      <c r="H3386" s="6" t="s">
        <v>14039</v>
      </c>
      <c r="I3386" s="6" t="s">
        <v>14036</v>
      </c>
      <c r="J3386" s="6" t="str">
        <f>"LEDER POINT PUR JACKET(BROWN)"</f>
        <v>LEDER POINT PUR JACKET(BROWN)</v>
      </c>
      <c r="K3386" s="6">
        <v>0</v>
      </c>
      <c r="L3386" s="6">
        <v>0</v>
      </c>
      <c r="M3386" s="6">
        <v>0</v>
      </c>
      <c r="N3386" s="6" t="str">
        <f>""</f>
        <v/>
      </c>
      <c r="O3386" s="6">
        <v>23151</v>
      </c>
      <c r="P3386" s="6" t="s">
        <v>14039</v>
      </c>
      <c r="R3386" s="6" t="s">
        <v>5363</v>
      </c>
      <c r="S3386" s="6" t="s">
        <v>14040</v>
      </c>
      <c r="T3386" s="6">
        <v>0</v>
      </c>
      <c r="U3386" s="6">
        <v>0</v>
      </c>
      <c r="V3386" s="6">
        <v>0</v>
      </c>
      <c r="W3386" s="6">
        <v>0</v>
      </c>
      <c r="X3386" s="6" t="s">
        <v>169</v>
      </c>
      <c r="Z3386" s="6" t="s">
        <v>170</v>
      </c>
      <c r="AA3386" s="6" t="s">
        <v>171</v>
      </c>
      <c r="AB3386" s="6">
        <v>0</v>
      </c>
      <c r="AC3386" s="6" t="str">
        <f>""</f>
        <v/>
      </c>
      <c r="AS3386" s="6">
        <v>0</v>
      </c>
      <c r="AT3386" s="6">
        <v>0</v>
      </c>
    </row>
    <row r="3387" spans="2:46">
      <c r="B3387" s="6" t="s">
        <v>13899</v>
      </c>
      <c r="D3387" s="6" t="s">
        <v>13131</v>
      </c>
      <c r="F3387" s="6" t="s">
        <v>14041</v>
      </c>
      <c r="G3387" s="6" t="str">
        <f>"13MAGJP302PPL"</f>
        <v>13MAGJP302PPL</v>
      </c>
      <c r="H3387" s="6" t="s">
        <v>14042</v>
      </c>
      <c r="I3387" s="6" t="s">
        <v>14043</v>
      </c>
      <c r="J3387" s="6" t="str">
        <f>"RETURN AND YOUTH MA-1 JUMPER(PURPLE)"</f>
        <v>RETURN AND YOUTH MA-1 JUMPER(PURPLE)</v>
      </c>
      <c r="K3387" s="6">
        <v>0</v>
      </c>
      <c r="L3387" s="6">
        <v>0</v>
      </c>
      <c r="M3387" s="6">
        <v>0</v>
      </c>
      <c r="N3387" s="6" t="str">
        <f>""</f>
        <v/>
      </c>
      <c r="O3387" s="6">
        <v>23149</v>
      </c>
      <c r="P3387" s="6" t="s">
        <v>14042</v>
      </c>
      <c r="R3387" s="6" t="s">
        <v>9665</v>
      </c>
      <c r="S3387" s="6" t="s">
        <v>14044</v>
      </c>
      <c r="T3387" s="6">
        <v>0</v>
      </c>
      <c r="U3387" s="6">
        <v>0</v>
      </c>
      <c r="V3387" s="6">
        <v>0</v>
      </c>
      <c r="W3387" s="6">
        <v>0</v>
      </c>
      <c r="X3387" s="6" t="s">
        <v>169</v>
      </c>
      <c r="Z3387" s="6" t="s">
        <v>170</v>
      </c>
      <c r="AA3387" s="6" t="s">
        <v>171</v>
      </c>
      <c r="AB3387" s="6">
        <v>0</v>
      </c>
      <c r="AC3387" s="6" t="str">
        <f>""</f>
        <v/>
      </c>
      <c r="AS3387" s="6">
        <v>0</v>
      </c>
      <c r="AT3387" s="6">
        <v>0</v>
      </c>
    </row>
    <row r="3388" spans="2:46">
      <c r="B3388" s="6" t="s">
        <v>13899</v>
      </c>
      <c r="D3388" s="6" t="s">
        <v>13131</v>
      </c>
      <c r="F3388" s="6" t="s">
        <v>14045</v>
      </c>
      <c r="G3388" s="6" t="str">
        <f>"13MAGJP302PPM"</f>
        <v>13MAGJP302PPM</v>
      </c>
      <c r="H3388" s="6" t="s">
        <v>14046</v>
      </c>
      <c r="I3388" s="6" t="s">
        <v>14043</v>
      </c>
      <c r="J3388" s="6" t="str">
        <f>"RETURN AND YOUTH MA-1 JUMPER(PURPLE)"</f>
        <v>RETURN AND YOUTH MA-1 JUMPER(PURPLE)</v>
      </c>
      <c r="K3388" s="6">
        <v>0</v>
      </c>
      <c r="L3388" s="6">
        <v>0</v>
      </c>
      <c r="M3388" s="6">
        <v>0</v>
      </c>
      <c r="N3388" s="6" t="str">
        <f>""</f>
        <v/>
      </c>
      <c r="O3388" s="6">
        <v>23148</v>
      </c>
      <c r="P3388" s="6" t="s">
        <v>14046</v>
      </c>
      <c r="R3388" s="6" t="s">
        <v>9670</v>
      </c>
      <c r="S3388" s="6" t="s">
        <v>14047</v>
      </c>
      <c r="T3388" s="6">
        <v>0</v>
      </c>
      <c r="U3388" s="6">
        <v>0</v>
      </c>
      <c r="V3388" s="6">
        <v>0</v>
      </c>
      <c r="W3388" s="6">
        <v>0</v>
      </c>
      <c r="X3388" s="6" t="s">
        <v>169</v>
      </c>
      <c r="Z3388" s="6" t="s">
        <v>170</v>
      </c>
      <c r="AA3388" s="6" t="s">
        <v>171</v>
      </c>
      <c r="AB3388" s="6">
        <v>0</v>
      </c>
      <c r="AC3388" s="6" t="str">
        <f>""</f>
        <v/>
      </c>
      <c r="AS3388" s="6">
        <v>0</v>
      </c>
      <c r="AT3388" s="6">
        <v>0</v>
      </c>
    </row>
    <row r="3389" spans="2:46">
      <c r="B3389" s="6" t="s">
        <v>13899</v>
      </c>
      <c r="D3389" s="6" t="s">
        <v>13131</v>
      </c>
      <c r="F3389" s="6" t="s">
        <v>14048</v>
      </c>
      <c r="G3389" s="6" t="str">
        <f>"13MAGJP302KKL"</f>
        <v>13MAGJP302KKL</v>
      </c>
      <c r="H3389" s="6" t="s">
        <v>14049</v>
      </c>
      <c r="I3389" s="6" t="s">
        <v>14050</v>
      </c>
      <c r="J3389" s="6" t="str">
        <f>"RETURN AND YOUTH MA-1 JUMPER(KHAKI)"</f>
        <v>RETURN AND YOUTH MA-1 JUMPER(KHAKI)</v>
      </c>
      <c r="K3389" s="6">
        <v>0</v>
      </c>
      <c r="L3389" s="6">
        <v>0</v>
      </c>
      <c r="M3389" s="6">
        <v>0</v>
      </c>
      <c r="N3389" s="6" t="str">
        <f>""</f>
        <v/>
      </c>
      <c r="O3389" s="6">
        <v>23146</v>
      </c>
      <c r="P3389" s="6" t="s">
        <v>14049</v>
      </c>
      <c r="R3389" s="6" t="s">
        <v>5080</v>
      </c>
      <c r="S3389" s="6" t="s">
        <v>14051</v>
      </c>
      <c r="T3389" s="6">
        <v>0</v>
      </c>
      <c r="U3389" s="6">
        <v>0</v>
      </c>
      <c r="V3389" s="6">
        <v>0</v>
      </c>
      <c r="W3389" s="6">
        <v>0</v>
      </c>
      <c r="X3389" s="6" t="s">
        <v>169</v>
      </c>
      <c r="Z3389" s="6" t="s">
        <v>170</v>
      </c>
      <c r="AA3389" s="6" t="s">
        <v>171</v>
      </c>
      <c r="AB3389" s="6">
        <v>0</v>
      </c>
      <c r="AC3389" s="6" t="str">
        <f>""</f>
        <v/>
      </c>
      <c r="AS3389" s="6">
        <v>0</v>
      </c>
      <c r="AT3389" s="6">
        <v>0</v>
      </c>
    </row>
    <row r="3390" spans="2:46">
      <c r="B3390" s="6" t="s">
        <v>13899</v>
      </c>
      <c r="D3390" s="6" t="s">
        <v>13131</v>
      </c>
      <c r="F3390" s="6" t="s">
        <v>14052</v>
      </c>
      <c r="G3390" s="6" t="str">
        <f>"13MAGJP302KKM"</f>
        <v>13MAGJP302KKM</v>
      </c>
      <c r="H3390" s="6" t="s">
        <v>14053</v>
      </c>
      <c r="I3390" s="6" t="s">
        <v>14050</v>
      </c>
      <c r="J3390" s="6" t="str">
        <f>"RETURN AND YOUTH MA-1 JUMPER(KHAKI)"</f>
        <v>RETURN AND YOUTH MA-1 JUMPER(KHAKI)</v>
      </c>
      <c r="K3390" s="6">
        <v>0</v>
      </c>
      <c r="L3390" s="6">
        <v>0</v>
      </c>
      <c r="M3390" s="6">
        <v>0</v>
      </c>
      <c r="N3390" s="6" t="str">
        <f>""</f>
        <v/>
      </c>
      <c r="O3390" s="6">
        <v>23145</v>
      </c>
      <c r="P3390" s="6" t="s">
        <v>14053</v>
      </c>
      <c r="R3390" s="6" t="s">
        <v>5084</v>
      </c>
      <c r="S3390" s="6" t="s">
        <v>14054</v>
      </c>
      <c r="T3390" s="6">
        <v>0</v>
      </c>
      <c r="U3390" s="6">
        <v>0</v>
      </c>
      <c r="V3390" s="6">
        <v>0</v>
      </c>
      <c r="W3390" s="6">
        <v>0</v>
      </c>
      <c r="X3390" s="6" t="s">
        <v>169</v>
      </c>
      <c r="Z3390" s="6" t="s">
        <v>170</v>
      </c>
      <c r="AA3390" s="6" t="s">
        <v>171</v>
      </c>
      <c r="AB3390" s="6">
        <v>0</v>
      </c>
      <c r="AC3390" s="6" t="str">
        <f>""</f>
        <v/>
      </c>
      <c r="AS3390" s="6">
        <v>0</v>
      </c>
      <c r="AT3390" s="6">
        <v>0</v>
      </c>
    </row>
    <row r="3391" spans="2:46">
      <c r="B3391" s="6" t="s">
        <v>13899</v>
      </c>
      <c r="D3391" s="6" t="s">
        <v>13131</v>
      </c>
      <c r="F3391" s="6" t="s">
        <v>14055</v>
      </c>
      <c r="G3391" s="6" t="str">
        <f>"13MAGJP302BKL"</f>
        <v>13MAGJP302BKL</v>
      </c>
      <c r="H3391" s="6" t="s">
        <v>14056</v>
      </c>
      <c r="I3391" s="6" t="s">
        <v>14057</v>
      </c>
      <c r="J3391" s="6" t="str">
        <f>"RETURN AND YOUTH MA-1 JUMPER(BLACK)"</f>
        <v>RETURN AND YOUTH MA-1 JUMPER(BLACK)</v>
      </c>
      <c r="K3391" s="6">
        <v>0</v>
      </c>
      <c r="L3391" s="6">
        <v>0</v>
      </c>
      <c r="M3391" s="6">
        <v>0</v>
      </c>
      <c r="N3391" s="6" t="str">
        <f>""</f>
        <v/>
      </c>
      <c r="O3391" s="6">
        <v>23143</v>
      </c>
      <c r="P3391" s="6" t="s">
        <v>14056</v>
      </c>
      <c r="R3391" s="6" t="s">
        <v>5106</v>
      </c>
      <c r="S3391" s="6" t="s">
        <v>14058</v>
      </c>
      <c r="T3391" s="6">
        <v>0</v>
      </c>
      <c r="U3391" s="6">
        <v>0</v>
      </c>
      <c r="V3391" s="6">
        <v>0</v>
      </c>
      <c r="W3391" s="6">
        <v>0</v>
      </c>
      <c r="X3391" s="6" t="s">
        <v>169</v>
      </c>
      <c r="Z3391" s="6" t="s">
        <v>170</v>
      </c>
      <c r="AA3391" s="6" t="s">
        <v>171</v>
      </c>
      <c r="AB3391" s="6">
        <v>0</v>
      </c>
      <c r="AC3391" s="6" t="str">
        <f>""</f>
        <v/>
      </c>
      <c r="AS3391" s="6">
        <v>0</v>
      </c>
      <c r="AT3391" s="6">
        <v>0</v>
      </c>
    </row>
    <row r="3392" spans="2:46">
      <c r="B3392" s="6" t="s">
        <v>13899</v>
      </c>
      <c r="D3392" s="6" t="s">
        <v>13131</v>
      </c>
      <c r="F3392" s="6" t="s">
        <v>14059</v>
      </c>
      <c r="G3392" s="6" t="str">
        <f>"13MAGJP302BKM"</f>
        <v>13MAGJP302BKM</v>
      </c>
      <c r="H3392" s="6" t="s">
        <v>14060</v>
      </c>
      <c r="I3392" s="6" t="s">
        <v>14057</v>
      </c>
      <c r="J3392" s="6" t="str">
        <f>"RETURN AND YOUTH MA-1 JUMPER(BLACK)"</f>
        <v>RETURN AND YOUTH MA-1 JUMPER(BLACK)</v>
      </c>
      <c r="K3392" s="6">
        <v>0</v>
      </c>
      <c r="L3392" s="6">
        <v>0</v>
      </c>
      <c r="M3392" s="6">
        <v>0</v>
      </c>
      <c r="N3392" s="6" t="str">
        <f>""</f>
        <v/>
      </c>
      <c r="O3392" s="6">
        <v>23142</v>
      </c>
      <c r="P3392" s="6" t="s">
        <v>14060</v>
      </c>
      <c r="R3392" s="6" t="s">
        <v>601</v>
      </c>
      <c r="S3392" s="6" t="s">
        <v>14061</v>
      </c>
      <c r="T3392" s="6">
        <v>0</v>
      </c>
      <c r="U3392" s="6">
        <v>0</v>
      </c>
      <c r="V3392" s="6">
        <v>0</v>
      </c>
      <c r="W3392" s="6">
        <v>0</v>
      </c>
      <c r="X3392" s="6" t="s">
        <v>169</v>
      </c>
      <c r="Z3392" s="6" t="s">
        <v>170</v>
      </c>
      <c r="AA3392" s="6" t="s">
        <v>171</v>
      </c>
      <c r="AB3392" s="6">
        <v>0</v>
      </c>
      <c r="AC3392" s="6" t="str">
        <f>""</f>
        <v/>
      </c>
      <c r="AS3392" s="6">
        <v>0</v>
      </c>
      <c r="AT3392" s="6">
        <v>0</v>
      </c>
    </row>
    <row r="3393" spans="2:46">
      <c r="B3393" s="6" t="s">
        <v>13899</v>
      </c>
      <c r="D3393" s="6" t="s">
        <v>13131</v>
      </c>
      <c r="F3393" s="6" t="s">
        <v>14062</v>
      </c>
      <c r="G3393" s="6" t="str">
        <f>"13MAGJP301BRL"</f>
        <v>13MAGJP301BRL</v>
      </c>
      <c r="H3393" s="6" t="s">
        <v>14063</v>
      </c>
      <c r="I3393" s="6" t="s">
        <v>14064</v>
      </c>
      <c r="J3393" s="6" t="str">
        <f>"DUCK DOWN LONG PADDING(BROWN)"</f>
        <v>DUCK DOWN LONG PADDING(BROWN)</v>
      </c>
      <c r="K3393" s="6">
        <v>0</v>
      </c>
      <c r="L3393" s="6">
        <v>0</v>
      </c>
      <c r="M3393" s="6">
        <v>0</v>
      </c>
      <c r="N3393" s="6" t="str">
        <f>""</f>
        <v/>
      </c>
      <c r="O3393" s="6">
        <v>23140</v>
      </c>
      <c r="P3393" s="6" t="s">
        <v>14063</v>
      </c>
      <c r="R3393" s="6" t="s">
        <v>5359</v>
      </c>
      <c r="S3393" s="6" t="s">
        <v>14065</v>
      </c>
      <c r="T3393" s="6">
        <v>0</v>
      </c>
      <c r="U3393" s="6">
        <v>0</v>
      </c>
      <c r="V3393" s="6">
        <v>0</v>
      </c>
      <c r="W3393" s="6">
        <v>0</v>
      </c>
      <c r="X3393" s="6" t="s">
        <v>169</v>
      </c>
      <c r="Z3393" s="6" t="s">
        <v>170</v>
      </c>
      <c r="AA3393" s="6" t="s">
        <v>171</v>
      </c>
      <c r="AB3393" s="6">
        <v>0</v>
      </c>
      <c r="AC3393" s="6" t="str">
        <f>""</f>
        <v/>
      </c>
      <c r="AS3393" s="6">
        <v>0</v>
      </c>
      <c r="AT3393" s="6">
        <v>0</v>
      </c>
    </row>
    <row r="3394" spans="2:46">
      <c r="B3394" s="6" t="s">
        <v>13899</v>
      </c>
      <c r="D3394" s="6" t="s">
        <v>13131</v>
      </c>
      <c r="F3394" s="6" t="s">
        <v>14066</v>
      </c>
      <c r="G3394" s="6" t="str">
        <f>"13MAGJP301BRM"</f>
        <v>13MAGJP301BRM</v>
      </c>
      <c r="H3394" s="6" t="s">
        <v>14067</v>
      </c>
      <c r="I3394" s="6" t="s">
        <v>14064</v>
      </c>
      <c r="J3394" s="6" t="str">
        <f>"DUCK DOWN LONG PADDING(BROWN)"</f>
        <v>DUCK DOWN LONG PADDING(BROWN)</v>
      </c>
      <c r="K3394" s="6">
        <v>0</v>
      </c>
      <c r="L3394" s="6">
        <v>0</v>
      </c>
      <c r="M3394" s="6">
        <v>0</v>
      </c>
      <c r="N3394" s="6" t="str">
        <f>""</f>
        <v/>
      </c>
      <c r="O3394" s="6">
        <v>23139</v>
      </c>
      <c r="P3394" s="6" t="s">
        <v>14067</v>
      </c>
      <c r="R3394" s="6" t="s">
        <v>5363</v>
      </c>
      <c r="S3394" s="6" t="s">
        <v>14068</v>
      </c>
      <c r="T3394" s="6">
        <v>0</v>
      </c>
      <c r="U3394" s="6">
        <v>0</v>
      </c>
      <c r="V3394" s="6">
        <v>0</v>
      </c>
      <c r="W3394" s="6">
        <v>0</v>
      </c>
      <c r="X3394" s="6" t="s">
        <v>169</v>
      </c>
      <c r="Z3394" s="6" t="s">
        <v>170</v>
      </c>
      <c r="AA3394" s="6" t="s">
        <v>171</v>
      </c>
      <c r="AB3394" s="6">
        <v>0</v>
      </c>
      <c r="AC3394" s="6" t="str">
        <f>""</f>
        <v/>
      </c>
      <c r="AS3394" s="6">
        <v>0</v>
      </c>
      <c r="AT3394" s="6">
        <v>0</v>
      </c>
    </row>
    <row r="3395" spans="2:46">
      <c r="B3395" s="6" t="s">
        <v>13899</v>
      </c>
      <c r="D3395" s="6" t="s">
        <v>13131</v>
      </c>
      <c r="F3395" s="6" t="s">
        <v>14069</v>
      </c>
      <c r="G3395" s="6" t="str">
        <f>"13MAGJP301BKL"</f>
        <v>13MAGJP301BKL</v>
      </c>
      <c r="H3395" s="6" t="s">
        <v>14070</v>
      </c>
      <c r="I3395" s="6" t="s">
        <v>14071</v>
      </c>
      <c r="J3395" s="6" t="str">
        <f>"DUCK DOWN LONG PADDING(BLACK)"</f>
        <v>DUCK DOWN LONG PADDING(BLACK)</v>
      </c>
      <c r="K3395" s="6">
        <v>0</v>
      </c>
      <c r="L3395" s="6">
        <v>0</v>
      </c>
      <c r="M3395" s="6">
        <v>0</v>
      </c>
      <c r="N3395" s="6" t="str">
        <f>""</f>
        <v/>
      </c>
      <c r="O3395" s="6">
        <v>23137</v>
      </c>
      <c r="P3395" s="6" t="s">
        <v>14070</v>
      </c>
      <c r="R3395" s="6" t="s">
        <v>5106</v>
      </c>
      <c r="S3395" s="6" t="s">
        <v>14072</v>
      </c>
      <c r="T3395" s="6">
        <v>0</v>
      </c>
      <c r="U3395" s="6">
        <v>0</v>
      </c>
      <c r="V3395" s="6">
        <v>0</v>
      </c>
      <c r="W3395" s="6">
        <v>0</v>
      </c>
      <c r="X3395" s="6" t="s">
        <v>169</v>
      </c>
      <c r="Z3395" s="6" t="s">
        <v>170</v>
      </c>
      <c r="AA3395" s="6" t="s">
        <v>171</v>
      </c>
      <c r="AB3395" s="6">
        <v>0</v>
      </c>
      <c r="AC3395" s="6" t="str">
        <f>""</f>
        <v/>
      </c>
      <c r="AS3395" s="6">
        <v>0</v>
      </c>
      <c r="AT3395" s="6">
        <v>0</v>
      </c>
    </row>
    <row r="3396" spans="2:46">
      <c r="B3396" s="6" t="s">
        <v>13899</v>
      </c>
      <c r="D3396" s="6" t="s">
        <v>13131</v>
      </c>
      <c r="F3396" s="6" t="s">
        <v>14073</v>
      </c>
      <c r="G3396" s="6" t="str">
        <f>"13MAGJP301BKM"</f>
        <v>13MAGJP301BKM</v>
      </c>
      <c r="H3396" s="6" t="s">
        <v>14074</v>
      </c>
      <c r="I3396" s="6" t="s">
        <v>14071</v>
      </c>
      <c r="J3396" s="6" t="str">
        <f>"DUCK DOWN LONG PADDING(BLACK)"</f>
        <v>DUCK DOWN LONG PADDING(BLACK)</v>
      </c>
      <c r="K3396" s="6">
        <v>0</v>
      </c>
      <c r="L3396" s="6">
        <v>0</v>
      </c>
      <c r="M3396" s="6">
        <v>0</v>
      </c>
      <c r="N3396" s="6" t="str">
        <f>""</f>
        <v/>
      </c>
      <c r="O3396" s="6">
        <v>23136</v>
      </c>
      <c r="P3396" s="6" t="s">
        <v>14074</v>
      </c>
      <c r="R3396" s="6" t="s">
        <v>601</v>
      </c>
      <c r="S3396" s="6" t="s">
        <v>14075</v>
      </c>
      <c r="T3396" s="6">
        <v>0</v>
      </c>
      <c r="U3396" s="6">
        <v>0</v>
      </c>
      <c r="V3396" s="6">
        <v>0</v>
      </c>
      <c r="W3396" s="6">
        <v>0</v>
      </c>
      <c r="X3396" s="6" t="s">
        <v>169</v>
      </c>
      <c r="Z3396" s="6" t="s">
        <v>170</v>
      </c>
      <c r="AA3396" s="6" t="s">
        <v>171</v>
      </c>
      <c r="AB3396" s="6">
        <v>0</v>
      </c>
      <c r="AC3396" s="6" t="str">
        <f>""</f>
        <v/>
      </c>
      <c r="AS3396" s="6">
        <v>0</v>
      </c>
      <c r="AT3396" s="6">
        <v>0</v>
      </c>
    </row>
    <row r="3397" spans="2:46">
      <c r="B3397" s="6" t="s">
        <v>13899</v>
      </c>
      <c r="D3397" s="6" t="s">
        <v>13131</v>
      </c>
      <c r="F3397" s="6" t="s">
        <v>14076</v>
      </c>
      <c r="G3397" s="6" t="str">
        <f>"13MAGSK202BKM"</f>
        <v>13MAGSK202BKM</v>
      </c>
      <c r="H3397" s="6" t="s">
        <v>14077</v>
      </c>
      <c r="I3397" s="6" t="s">
        <v>14078</v>
      </c>
      <c r="J3397" s="6" t="str">
        <f>"HIGH VIEW MIDI SKIRT(BLACK)"</f>
        <v>HIGH VIEW MIDI SKIRT(BLACK)</v>
      </c>
      <c r="K3397" s="6">
        <v>0</v>
      </c>
      <c r="L3397" s="6">
        <v>0</v>
      </c>
      <c r="M3397" s="6">
        <v>0</v>
      </c>
      <c r="N3397" s="6" t="str">
        <f>""</f>
        <v/>
      </c>
      <c r="O3397" s="6">
        <v>23134</v>
      </c>
      <c r="P3397" s="6" t="s">
        <v>14077</v>
      </c>
      <c r="R3397" s="6" t="s">
        <v>601</v>
      </c>
      <c r="S3397" s="6" t="s">
        <v>14079</v>
      </c>
      <c r="T3397" s="6">
        <v>0</v>
      </c>
      <c r="U3397" s="6">
        <v>0</v>
      </c>
      <c r="V3397" s="6">
        <v>0</v>
      </c>
      <c r="W3397" s="6">
        <v>0</v>
      </c>
      <c r="X3397" s="6" t="s">
        <v>169</v>
      </c>
      <c r="Z3397" s="6" t="s">
        <v>170</v>
      </c>
      <c r="AA3397" s="6" t="s">
        <v>171</v>
      </c>
      <c r="AB3397" s="6">
        <v>0</v>
      </c>
      <c r="AC3397" s="6" t="str">
        <f>""</f>
        <v/>
      </c>
      <c r="AS3397" s="6">
        <v>0</v>
      </c>
      <c r="AT3397" s="6">
        <v>0</v>
      </c>
    </row>
    <row r="3398" spans="2:46">
      <c r="B3398" s="6" t="s">
        <v>13899</v>
      </c>
      <c r="D3398" s="6" t="s">
        <v>13131</v>
      </c>
      <c r="F3398" s="6" t="s">
        <v>14080</v>
      </c>
      <c r="G3398" s="6" t="str">
        <f>"13MAGSK202BKS"</f>
        <v>13MAGSK202BKS</v>
      </c>
      <c r="H3398" s="6" t="s">
        <v>14081</v>
      </c>
      <c r="I3398" s="6" t="s">
        <v>14078</v>
      </c>
      <c r="J3398" s="6" t="str">
        <f>"HIGH VIEW MIDI SKIRT(BLACK)"</f>
        <v>HIGH VIEW MIDI SKIRT(BLACK)</v>
      </c>
      <c r="K3398" s="6">
        <v>0</v>
      </c>
      <c r="L3398" s="6">
        <v>0</v>
      </c>
      <c r="M3398" s="6">
        <v>0</v>
      </c>
      <c r="N3398" s="6" t="str">
        <f>""</f>
        <v/>
      </c>
      <c r="O3398" s="6">
        <v>23133</v>
      </c>
      <c r="P3398" s="6" t="s">
        <v>14081</v>
      </c>
      <c r="R3398" s="6" t="s">
        <v>606</v>
      </c>
      <c r="S3398" s="6" t="s">
        <v>14082</v>
      </c>
      <c r="T3398" s="6">
        <v>0</v>
      </c>
      <c r="U3398" s="6">
        <v>0</v>
      </c>
      <c r="V3398" s="6">
        <v>0</v>
      </c>
      <c r="W3398" s="6">
        <v>0</v>
      </c>
      <c r="X3398" s="6" t="s">
        <v>169</v>
      </c>
      <c r="Z3398" s="6" t="s">
        <v>170</v>
      </c>
      <c r="AA3398" s="6" t="s">
        <v>171</v>
      </c>
      <c r="AB3398" s="6">
        <v>0</v>
      </c>
      <c r="AC3398" s="6" t="str">
        <f>""</f>
        <v/>
      </c>
      <c r="AS3398" s="6">
        <v>0</v>
      </c>
      <c r="AT3398" s="6">
        <v>0</v>
      </c>
    </row>
    <row r="3399" spans="2:46">
      <c r="B3399" s="6" t="s">
        <v>13899</v>
      </c>
      <c r="D3399" s="6" t="s">
        <v>13131</v>
      </c>
      <c r="F3399" s="6" t="s">
        <v>14083</v>
      </c>
      <c r="G3399" s="6" t="str">
        <f>"13MAGPT202GRL"</f>
        <v>13MAGPT202GRL</v>
      </c>
      <c r="H3399" s="6" t="s">
        <v>14084</v>
      </c>
      <c r="I3399" s="6" t="s">
        <v>14085</v>
      </c>
      <c r="J3399" s="6" t="str">
        <f>"RETURN AND YOUTH JOGGER PANTS(GREY)"</f>
        <v>RETURN AND YOUTH JOGGER PANTS(GREY)</v>
      </c>
      <c r="K3399" s="6">
        <v>0</v>
      </c>
      <c r="L3399" s="6">
        <v>0</v>
      </c>
      <c r="M3399" s="6">
        <v>0</v>
      </c>
      <c r="N3399" s="6" t="str">
        <f>""</f>
        <v/>
      </c>
      <c r="O3399" s="6">
        <v>23131</v>
      </c>
      <c r="P3399" s="6" t="s">
        <v>14084</v>
      </c>
      <c r="R3399" s="6" t="s">
        <v>9547</v>
      </c>
      <c r="S3399" s="6" t="s">
        <v>14086</v>
      </c>
      <c r="T3399" s="6">
        <v>0</v>
      </c>
      <c r="U3399" s="6">
        <v>0</v>
      </c>
      <c r="V3399" s="6">
        <v>0</v>
      </c>
      <c r="W3399" s="6">
        <v>0</v>
      </c>
      <c r="X3399" s="6" t="s">
        <v>169</v>
      </c>
      <c r="Z3399" s="6" t="s">
        <v>170</v>
      </c>
      <c r="AA3399" s="6" t="s">
        <v>171</v>
      </c>
      <c r="AB3399" s="6">
        <v>0</v>
      </c>
      <c r="AC3399" s="6" t="str">
        <f>""</f>
        <v/>
      </c>
      <c r="AS3399" s="6">
        <v>0</v>
      </c>
      <c r="AT3399" s="6">
        <v>0</v>
      </c>
    </row>
    <row r="3400" spans="2:46">
      <c r="B3400" s="6" t="s">
        <v>13899</v>
      </c>
      <c r="D3400" s="6" t="s">
        <v>13131</v>
      </c>
      <c r="F3400" s="6" t="s">
        <v>14087</v>
      </c>
      <c r="G3400" s="6" t="str">
        <f>"13MAGPT202GRM"</f>
        <v>13MAGPT202GRM</v>
      </c>
      <c r="H3400" s="6" t="s">
        <v>14088</v>
      </c>
      <c r="I3400" s="6" t="s">
        <v>14085</v>
      </c>
      <c r="J3400" s="6" t="str">
        <f>"RETURN AND YOUTH JOGGER PANTS(GREY)"</f>
        <v>RETURN AND YOUTH JOGGER PANTS(GREY)</v>
      </c>
      <c r="K3400" s="6">
        <v>0</v>
      </c>
      <c r="L3400" s="6">
        <v>0</v>
      </c>
      <c r="M3400" s="6">
        <v>0</v>
      </c>
      <c r="N3400" s="6" t="str">
        <f>""</f>
        <v/>
      </c>
      <c r="O3400" s="6">
        <v>23130</v>
      </c>
      <c r="P3400" s="6" t="s">
        <v>14088</v>
      </c>
      <c r="R3400" s="6" t="s">
        <v>9551</v>
      </c>
      <c r="S3400" s="6" t="s">
        <v>14089</v>
      </c>
      <c r="T3400" s="6">
        <v>0</v>
      </c>
      <c r="U3400" s="6">
        <v>0</v>
      </c>
      <c r="V3400" s="6">
        <v>0</v>
      </c>
      <c r="W3400" s="6">
        <v>0</v>
      </c>
      <c r="X3400" s="6" t="s">
        <v>169</v>
      </c>
      <c r="Z3400" s="6" t="s">
        <v>170</v>
      </c>
      <c r="AA3400" s="6" t="s">
        <v>171</v>
      </c>
      <c r="AB3400" s="6">
        <v>0</v>
      </c>
      <c r="AC3400" s="6" t="str">
        <f>""</f>
        <v/>
      </c>
      <c r="AS3400" s="6">
        <v>0</v>
      </c>
      <c r="AT3400" s="6">
        <v>0</v>
      </c>
    </row>
    <row r="3401" spans="2:46">
      <c r="B3401" s="6" t="s">
        <v>13899</v>
      </c>
      <c r="D3401" s="6" t="s">
        <v>13131</v>
      </c>
      <c r="F3401" s="6" t="s">
        <v>14090</v>
      </c>
      <c r="G3401" s="6" t="str">
        <f>"13MAGPT202BKL"</f>
        <v>13MAGPT202BKL</v>
      </c>
      <c r="H3401" s="6" t="s">
        <v>14091</v>
      </c>
      <c r="I3401" s="6" t="s">
        <v>14092</v>
      </c>
      <c r="J3401" s="6" t="str">
        <f>"RETURN AND YOUTH JOGGER PANTS(BLACK)"</f>
        <v>RETURN AND YOUTH JOGGER PANTS(BLACK)</v>
      </c>
      <c r="K3401" s="6">
        <v>0</v>
      </c>
      <c r="L3401" s="6">
        <v>0</v>
      </c>
      <c r="M3401" s="6">
        <v>0</v>
      </c>
      <c r="N3401" s="6" t="str">
        <f>""</f>
        <v/>
      </c>
      <c r="O3401" s="6">
        <v>23128</v>
      </c>
      <c r="P3401" s="6" t="s">
        <v>14091</v>
      </c>
      <c r="R3401" s="6" t="s">
        <v>5106</v>
      </c>
      <c r="S3401" s="6" t="s">
        <v>14093</v>
      </c>
      <c r="T3401" s="6">
        <v>0</v>
      </c>
      <c r="U3401" s="6">
        <v>0</v>
      </c>
      <c r="V3401" s="6">
        <v>0</v>
      </c>
      <c r="W3401" s="6">
        <v>0</v>
      </c>
      <c r="X3401" s="6" t="s">
        <v>169</v>
      </c>
      <c r="Z3401" s="6" t="s">
        <v>170</v>
      </c>
      <c r="AA3401" s="6" t="s">
        <v>171</v>
      </c>
      <c r="AB3401" s="6">
        <v>0</v>
      </c>
      <c r="AC3401" s="6" t="str">
        <f>""</f>
        <v/>
      </c>
      <c r="AS3401" s="6">
        <v>0</v>
      </c>
      <c r="AT3401" s="6">
        <v>0</v>
      </c>
    </row>
    <row r="3402" spans="2:46">
      <c r="B3402" s="6" t="s">
        <v>13899</v>
      </c>
      <c r="D3402" s="6" t="s">
        <v>13131</v>
      </c>
      <c r="F3402" s="6" t="s">
        <v>14094</v>
      </c>
      <c r="G3402" s="6" t="str">
        <f>"13MAGPT202BKM"</f>
        <v>13MAGPT202BKM</v>
      </c>
      <c r="H3402" s="6" t="s">
        <v>14095</v>
      </c>
      <c r="I3402" s="6" t="s">
        <v>14092</v>
      </c>
      <c r="J3402" s="6" t="str">
        <f>"RETURN AND YOUTH JOGGER PANTS(BLACK)"</f>
        <v>RETURN AND YOUTH JOGGER PANTS(BLACK)</v>
      </c>
      <c r="K3402" s="6">
        <v>0</v>
      </c>
      <c r="L3402" s="6">
        <v>0</v>
      </c>
      <c r="M3402" s="6">
        <v>0</v>
      </c>
      <c r="N3402" s="6" t="str">
        <f>""</f>
        <v/>
      </c>
      <c r="O3402" s="6">
        <v>23127</v>
      </c>
      <c r="P3402" s="6" t="s">
        <v>14095</v>
      </c>
      <c r="R3402" s="6" t="s">
        <v>601</v>
      </c>
      <c r="S3402" s="6" t="s">
        <v>14096</v>
      </c>
      <c r="T3402" s="6">
        <v>0</v>
      </c>
      <c r="U3402" s="6">
        <v>0</v>
      </c>
      <c r="V3402" s="6">
        <v>0</v>
      </c>
      <c r="W3402" s="6">
        <v>0</v>
      </c>
      <c r="X3402" s="6" t="s">
        <v>169</v>
      </c>
      <c r="Z3402" s="6" t="s">
        <v>170</v>
      </c>
      <c r="AA3402" s="6" t="s">
        <v>171</v>
      </c>
      <c r="AB3402" s="6">
        <v>0</v>
      </c>
      <c r="AC3402" s="6" t="str">
        <f>""</f>
        <v/>
      </c>
      <c r="AS3402" s="6">
        <v>0</v>
      </c>
      <c r="AT3402" s="6">
        <v>0</v>
      </c>
    </row>
    <row r="3403" spans="2:46">
      <c r="B3403" s="6" t="s">
        <v>13899</v>
      </c>
      <c r="D3403" s="6" t="s">
        <v>13131</v>
      </c>
      <c r="F3403" s="6" t="s">
        <v>14097</v>
      </c>
      <c r="G3403" s="6" t="str">
        <f>"13MAGTS202LML"</f>
        <v>13MAGTS202LML</v>
      </c>
      <c r="H3403" s="6" t="s">
        <v>14098</v>
      </c>
      <c r="I3403" s="6" t="s">
        <v>14099</v>
      </c>
      <c r="J3403" s="6" t="str">
        <f>"TURTLENECK  LONG SLEEVED TEE(LIME)"</f>
        <v>TURTLENECK  LONG SLEEVED TEE(LIME)</v>
      </c>
      <c r="K3403" s="6">
        <v>0</v>
      </c>
      <c r="L3403" s="6">
        <v>0</v>
      </c>
      <c r="M3403" s="6">
        <v>0</v>
      </c>
      <c r="N3403" s="6" t="str">
        <f>""</f>
        <v/>
      </c>
      <c r="O3403" s="6">
        <v>23125</v>
      </c>
      <c r="P3403" s="6" t="s">
        <v>14098</v>
      </c>
      <c r="R3403" s="6" t="s">
        <v>14100</v>
      </c>
      <c r="S3403" s="6" t="s">
        <v>14101</v>
      </c>
      <c r="T3403" s="6">
        <v>0</v>
      </c>
      <c r="U3403" s="6">
        <v>0</v>
      </c>
      <c r="V3403" s="6">
        <v>0</v>
      </c>
      <c r="W3403" s="6">
        <v>0</v>
      </c>
      <c r="X3403" s="6" t="s">
        <v>169</v>
      </c>
      <c r="Z3403" s="6" t="s">
        <v>170</v>
      </c>
      <c r="AA3403" s="6" t="s">
        <v>171</v>
      </c>
      <c r="AB3403" s="6">
        <v>0</v>
      </c>
      <c r="AC3403" s="6" t="str">
        <f>""</f>
        <v/>
      </c>
      <c r="AS3403" s="6">
        <v>0</v>
      </c>
      <c r="AT3403" s="6">
        <v>0</v>
      </c>
    </row>
    <row r="3404" spans="2:46">
      <c r="B3404" s="6" t="s">
        <v>13899</v>
      </c>
      <c r="D3404" s="6" t="s">
        <v>13131</v>
      </c>
      <c r="F3404" s="6" t="s">
        <v>14102</v>
      </c>
      <c r="G3404" s="6" t="str">
        <f>"13MAGTS202LMM"</f>
        <v>13MAGTS202LMM</v>
      </c>
      <c r="H3404" s="6" t="s">
        <v>14103</v>
      </c>
      <c r="I3404" s="6" t="s">
        <v>14099</v>
      </c>
      <c r="J3404" s="6" t="str">
        <f>"TURTLENECK  LONG SLEEVED TEE(LIME)"</f>
        <v>TURTLENECK  LONG SLEEVED TEE(LIME)</v>
      </c>
      <c r="K3404" s="6">
        <v>0</v>
      </c>
      <c r="L3404" s="6">
        <v>0</v>
      </c>
      <c r="M3404" s="6">
        <v>0</v>
      </c>
      <c r="N3404" s="6" t="str">
        <f>""</f>
        <v/>
      </c>
      <c r="O3404" s="6">
        <v>23124</v>
      </c>
      <c r="P3404" s="6" t="s">
        <v>14103</v>
      </c>
      <c r="R3404" s="6" t="s">
        <v>14104</v>
      </c>
      <c r="S3404" s="6" t="s">
        <v>14105</v>
      </c>
      <c r="T3404" s="6">
        <v>0</v>
      </c>
      <c r="U3404" s="6">
        <v>0</v>
      </c>
      <c r="V3404" s="6">
        <v>0</v>
      </c>
      <c r="W3404" s="6">
        <v>0</v>
      </c>
      <c r="X3404" s="6" t="s">
        <v>169</v>
      </c>
      <c r="Z3404" s="6" t="s">
        <v>170</v>
      </c>
      <c r="AA3404" s="6" t="s">
        <v>171</v>
      </c>
      <c r="AB3404" s="6">
        <v>0</v>
      </c>
      <c r="AC3404" s="6" t="str">
        <f>""</f>
        <v/>
      </c>
      <c r="AS3404" s="6">
        <v>0</v>
      </c>
      <c r="AT3404" s="6">
        <v>0</v>
      </c>
    </row>
    <row r="3405" spans="2:46">
      <c r="B3405" s="6" t="s">
        <v>13899</v>
      </c>
      <c r="D3405" s="6" t="s">
        <v>13131</v>
      </c>
      <c r="F3405" s="6" t="s">
        <v>14106</v>
      </c>
      <c r="G3405" s="6" t="str">
        <f>"13MAGTS202WTL"</f>
        <v>13MAGTS202WTL</v>
      </c>
      <c r="H3405" s="6" t="s">
        <v>14107</v>
      </c>
      <c r="I3405" s="6" t="s">
        <v>14108</v>
      </c>
      <c r="J3405" s="6" t="str">
        <f>"TURTLENECK  LONG SLEEVED TEE(WHITE)"</f>
        <v>TURTLENECK  LONG SLEEVED TEE(WHITE)</v>
      </c>
      <c r="K3405" s="6">
        <v>0</v>
      </c>
      <c r="L3405" s="6">
        <v>0</v>
      </c>
      <c r="M3405" s="6">
        <v>0</v>
      </c>
      <c r="N3405" s="6" t="str">
        <f>""</f>
        <v/>
      </c>
      <c r="O3405" s="6">
        <v>23122</v>
      </c>
      <c r="P3405" s="6" t="s">
        <v>14107</v>
      </c>
      <c r="R3405" s="6" t="s">
        <v>5193</v>
      </c>
      <c r="S3405" s="6" t="s">
        <v>14109</v>
      </c>
      <c r="T3405" s="6">
        <v>0</v>
      </c>
      <c r="U3405" s="6">
        <v>0</v>
      </c>
      <c r="V3405" s="6">
        <v>0</v>
      </c>
      <c r="W3405" s="6">
        <v>0</v>
      </c>
      <c r="X3405" s="6" t="s">
        <v>169</v>
      </c>
      <c r="Z3405" s="6" t="s">
        <v>170</v>
      </c>
      <c r="AA3405" s="6" t="s">
        <v>171</v>
      </c>
      <c r="AB3405" s="6">
        <v>0</v>
      </c>
      <c r="AC3405" s="6" t="str">
        <f>""</f>
        <v/>
      </c>
      <c r="AS3405" s="6">
        <v>0</v>
      </c>
      <c r="AT3405" s="6">
        <v>0</v>
      </c>
    </row>
    <row r="3406" spans="2:46">
      <c r="B3406" s="6" t="s">
        <v>13899</v>
      </c>
      <c r="D3406" s="6" t="s">
        <v>13131</v>
      </c>
      <c r="F3406" s="6" t="s">
        <v>14110</v>
      </c>
      <c r="G3406" s="6" t="str">
        <f>"13MAGTS202WTM"</f>
        <v>13MAGTS202WTM</v>
      </c>
      <c r="H3406" s="6" t="s">
        <v>14111</v>
      </c>
      <c r="I3406" s="6" t="s">
        <v>14108</v>
      </c>
      <c r="J3406" s="6" t="str">
        <f>"TURTLENECK  LONG SLEEVED TEE(WHITE)"</f>
        <v>TURTLENECK  LONG SLEEVED TEE(WHITE)</v>
      </c>
      <c r="K3406" s="6">
        <v>0</v>
      </c>
      <c r="L3406" s="6">
        <v>0</v>
      </c>
      <c r="M3406" s="6">
        <v>0</v>
      </c>
      <c r="N3406" s="6" t="str">
        <f>""</f>
        <v/>
      </c>
      <c r="O3406" s="6">
        <v>23121</v>
      </c>
      <c r="P3406" s="6" t="s">
        <v>14111</v>
      </c>
      <c r="R3406" s="6" t="s">
        <v>5197</v>
      </c>
      <c r="S3406" s="6" t="s">
        <v>14112</v>
      </c>
      <c r="T3406" s="6">
        <v>0</v>
      </c>
      <c r="U3406" s="6">
        <v>0</v>
      </c>
      <c r="V3406" s="6">
        <v>0</v>
      </c>
      <c r="W3406" s="6">
        <v>0</v>
      </c>
      <c r="X3406" s="6" t="s">
        <v>169</v>
      </c>
      <c r="Z3406" s="6" t="s">
        <v>170</v>
      </c>
      <c r="AA3406" s="6" t="s">
        <v>171</v>
      </c>
      <c r="AB3406" s="6">
        <v>0</v>
      </c>
      <c r="AC3406" s="6" t="str">
        <f>""</f>
        <v/>
      </c>
      <c r="AS3406" s="6">
        <v>0</v>
      </c>
      <c r="AT3406" s="6">
        <v>0</v>
      </c>
    </row>
    <row r="3407" spans="2:46">
      <c r="B3407" s="6" t="s">
        <v>13899</v>
      </c>
      <c r="D3407" s="6" t="s">
        <v>13131</v>
      </c>
      <c r="F3407" s="6" t="s">
        <v>14113</v>
      </c>
      <c r="G3407" s="6" t="str">
        <f>"13MAGTS202BKL"</f>
        <v>13MAGTS202BKL</v>
      </c>
      <c r="H3407" s="6" t="s">
        <v>14114</v>
      </c>
      <c r="I3407" s="6" t="s">
        <v>14115</v>
      </c>
      <c r="J3407" s="6" t="str">
        <f>"TURTLENECK  LONG SLEEVED TEE(BLACK)"</f>
        <v>TURTLENECK  LONG SLEEVED TEE(BLACK)</v>
      </c>
      <c r="K3407" s="6">
        <v>0</v>
      </c>
      <c r="L3407" s="6">
        <v>0</v>
      </c>
      <c r="M3407" s="6">
        <v>0</v>
      </c>
      <c r="N3407" s="6" t="str">
        <f>""</f>
        <v/>
      </c>
      <c r="O3407" s="6">
        <v>23119</v>
      </c>
      <c r="P3407" s="6" t="s">
        <v>14114</v>
      </c>
      <c r="R3407" s="6" t="s">
        <v>5106</v>
      </c>
      <c r="S3407" s="6" t="s">
        <v>14116</v>
      </c>
      <c r="T3407" s="6">
        <v>0</v>
      </c>
      <c r="U3407" s="6">
        <v>0</v>
      </c>
      <c r="V3407" s="6">
        <v>0</v>
      </c>
      <c r="W3407" s="6">
        <v>0</v>
      </c>
      <c r="X3407" s="6" t="s">
        <v>169</v>
      </c>
      <c r="Z3407" s="6" t="s">
        <v>170</v>
      </c>
      <c r="AA3407" s="6" t="s">
        <v>171</v>
      </c>
      <c r="AB3407" s="6">
        <v>0</v>
      </c>
      <c r="AC3407" s="6" t="str">
        <f>""</f>
        <v/>
      </c>
      <c r="AS3407" s="6">
        <v>0</v>
      </c>
      <c r="AT3407" s="6">
        <v>0</v>
      </c>
    </row>
    <row r="3408" spans="2:46">
      <c r="B3408" s="6" t="s">
        <v>13899</v>
      </c>
      <c r="D3408" s="6" t="s">
        <v>13131</v>
      </c>
      <c r="F3408" s="6" t="s">
        <v>14117</v>
      </c>
      <c r="G3408" s="6" t="str">
        <f>"13MAGTS202BKM"</f>
        <v>13MAGTS202BKM</v>
      </c>
      <c r="H3408" s="6" t="s">
        <v>14118</v>
      </c>
      <c r="I3408" s="6" t="s">
        <v>14115</v>
      </c>
      <c r="J3408" s="6" t="str">
        <f>"TURTLENECK  LONG SLEEVED TEE(BLACK)"</f>
        <v>TURTLENECK  LONG SLEEVED TEE(BLACK)</v>
      </c>
      <c r="K3408" s="6">
        <v>0</v>
      </c>
      <c r="L3408" s="6">
        <v>0</v>
      </c>
      <c r="M3408" s="6">
        <v>0</v>
      </c>
      <c r="N3408" s="6" t="str">
        <f>""</f>
        <v/>
      </c>
      <c r="O3408" s="6">
        <v>23118</v>
      </c>
      <c r="P3408" s="6" t="s">
        <v>14118</v>
      </c>
      <c r="R3408" s="6" t="s">
        <v>601</v>
      </c>
      <c r="S3408" s="6" t="s">
        <v>14119</v>
      </c>
      <c r="T3408" s="6">
        <v>0</v>
      </c>
      <c r="U3408" s="6">
        <v>0</v>
      </c>
      <c r="V3408" s="6">
        <v>0</v>
      </c>
      <c r="W3408" s="6">
        <v>0</v>
      </c>
      <c r="X3408" s="6" t="s">
        <v>169</v>
      </c>
      <c r="Z3408" s="6" t="s">
        <v>170</v>
      </c>
      <c r="AA3408" s="6" t="s">
        <v>171</v>
      </c>
      <c r="AB3408" s="6">
        <v>0</v>
      </c>
      <c r="AC3408" s="6" t="str">
        <f>""</f>
        <v/>
      </c>
      <c r="AS3408" s="6">
        <v>0</v>
      </c>
      <c r="AT3408" s="6">
        <v>0</v>
      </c>
    </row>
    <row r="3409" spans="2:46">
      <c r="B3409" s="6" t="s">
        <v>13899</v>
      </c>
      <c r="D3409" s="6" t="s">
        <v>13131</v>
      </c>
      <c r="F3409" s="6" t="s">
        <v>14120</v>
      </c>
      <c r="G3409" s="6" t="str">
        <f>"13MAGTS201WTL"</f>
        <v>13MAGTS201WTL</v>
      </c>
      <c r="H3409" s="6" t="s">
        <v>14121</v>
      </c>
      <c r="I3409" s="6" t="s">
        <v>14122</v>
      </c>
      <c r="J3409" s="6" t="str">
        <f>"RUN AND RUN CREW NECK T-SHIRT(WHITE)"</f>
        <v>RUN AND RUN CREW NECK T-SHIRT(WHITE)</v>
      </c>
      <c r="K3409" s="6">
        <v>0</v>
      </c>
      <c r="L3409" s="6">
        <v>0</v>
      </c>
      <c r="M3409" s="6">
        <v>0</v>
      </c>
      <c r="N3409" s="6" t="str">
        <f>""</f>
        <v/>
      </c>
      <c r="O3409" s="6">
        <v>23116</v>
      </c>
      <c r="P3409" s="6" t="s">
        <v>14121</v>
      </c>
      <c r="R3409" s="6" t="s">
        <v>5193</v>
      </c>
      <c r="S3409" s="6" t="s">
        <v>14123</v>
      </c>
      <c r="T3409" s="6">
        <v>0</v>
      </c>
      <c r="U3409" s="6">
        <v>0</v>
      </c>
      <c r="V3409" s="6">
        <v>0</v>
      </c>
      <c r="W3409" s="6">
        <v>0</v>
      </c>
      <c r="X3409" s="6" t="s">
        <v>169</v>
      </c>
      <c r="Z3409" s="6" t="s">
        <v>170</v>
      </c>
      <c r="AA3409" s="6" t="s">
        <v>171</v>
      </c>
      <c r="AB3409" s="6">
        <v>0</v>
      </c>
      <c r="AC3409" s="6" t="str">
        <f>""</f>
        <v/>
      </c>
      <c r="AS3409" s="6">
        <v>0</v>
      </c>
      <c r="AT3409" s="6">
        <v>0</v>
      </c>
    </row>
    <row r="3410" spans="2:46">
      <c r="B3410" s="6" t="s">
        <v>13899</v>
      </c>
      <c r="D3410" s="6" t="s">
        <v>13131</v>
      </c>
      <c r="F3410" s="6" t="s">
        <v>14124</v>
      </c>
      <c r="G3410" s="6" t="str">
        <f>"13MAGTS201WTM"</f>
        <v>13MAGTS201WTM</v>
      </c>
      <c r="H3410" s="6" t="s">
        <v>14125</v>
      </c>
      <c r="I3410" s="6" t="s">
        <v>14122</v>
      </c>
      <c r="J3410" s="6" t="str">
        <f>"RUN AND RUN CREW NECK T-SHIRT(WHITE)"</f>
        <v>RUN AND RUN CREW NECK T-SHIRT(WHITE)</v>
      </c>
      <c r="K3410" s="6">
        <v>0</v>
      </c>
      <c r="L3410" s="6">
        <v>0</v>
      </c>
      <c r="M3410" s="6">
        <v>0</v>
      </c>
      <c r="N3410" s="6" t="str">
        <f>""</f>
        <v/>
      </c>
      <c r="O3410" s="6">
        <v>23115</v>
      </c>
      <c r="P3410" s="6" t="s">
        <v>14125</v>
      </c>
      <c r="R3410" s="6" t="s">
        <v>5197</v>
      </c>
      <c r="S3410" s="6" t="s">
        <v>14126</v>
      </c>
      <c r="T3410" s="6">
        <v>0</v>
      </c>
      <c r="U3410" s="6">
        <v>0</v>
      </c>
      <c r="V3410" s="6">
        <v>0</v>
      </c>
      <c r="W3410" s="6">
        <v>0</v>
      </c>
      <c r="X3410" s="6" t="s">
        <v>169</v>
      </c>
      <c r="Z3410" s="6" t="s">
        <v>170</v>
      </c>
      <c r="AA3410" s="6" t="s">
        <v>171</v>
      </c>
      <c r="AB3410" s="6">
        <v>0</v>
      </c>
      <c r="AC3410" s="6" t="str">
        <f>""</f>
        <v/>
      </c>
      <c r="AS3410" s="6">
        <v>0</v>
      </c>
      <c r="AT3410" s="6">
        <v>0</v>
      </c>
    </row>
    <row r="3411" spans="2:46">
      <c r="B3411" s="6" t="s">
        <v>13899</v>
      </c>
      <c r="D3411" s="6" t="s">
        <v>13131</v>
      </c>
      <c r="F3411" s="6" t="s">
        <v>14127</v>
      </c>
      <c r="G3411" s="6" t="str">
        <f>"13MAGTS201BKL"</f>
        <v>13MAGTS201BKL</v>
      </c>
      <c r="H3411" s="6" t="s">
        <v>14128</v>
      </c>
      <c r="I3411" s="6" t="s">
        <v>14129</v>
      </c>
      <c r="J3411" s="6" t="str">
        <f>"RUN AND RUN CREW NECK T-SHIRT(BLACK)"</f>
        <v>RUN AND RUN CREW NECK T-SHIRT(BLACK)</v>
      </c>
      <c r="K3411" s="6">
        <v>0</v>
      </c>
      <c r="L3411" s="6">
        <v>0</v>
      </c>
      <c r="M3411" s="6">
        <v>0</v>
      </c>
      <c r="N3411" s="6" t="str">
        <f>""</f>
        <v/>
      </c>
      <c r="O3411" s="6">
        <v>23113</v>
      </c>
      <c r="P3411" s="6" t="s">
        <v>14128</v>
      </c>
      <c r="R3411" s="6" t="s">
        <v>5106</v>
      </c>
      <c r="S3411" s="6" t="s">
        <v>14130</v>
      </c>
      <c r="T3411" s="6">
        <v>0</v>
      </c>
      <c r="U3411" s="6">
        <v>0</v>
      </c>
      <c r="V3411" s="6">
        <v>0</v>
      </c>
      <c r="W3411" s="6">
        <v>0</v>
      </c>
      <c r="X3411" s="6" t="s">
        <v>169</v>
      </c>
      <c r="Z3411" s="6" t="s">
        <v>170</v>
      </c>
      <c r="AA3411" s="6" t="s">
        <v>171</v>
      </c>
      <c r="AB3411" s="6">
        <v>0</v>
      </c>
      <c r="AC3411" s="6" t="str">
        <f>""</f>
        <v/>
      </c>
      <c r="AS3411" s="6">
        <v>0</v>
      </c>
      <c r="AT3411" s="6">
        <v>0</v>
      </c>
    </row>
    <row r="3412" spans="2:46">
      <c r="B3412" s="6" t="s">
        <v>13899</v>
      </c>
      <c r="D3412" s="6" t="s">
        <v>13131</v>
      </c>
      <c r="F3412" s="6" t="s">
        <v>14131</v>
      </c>
      <c r="G3412" s="6" t="str">
        <f>"13MAGTS201BKM"</f>
        <v>13MAGTS201BKM</v>
      </c>
      <c r="H3412" s="6" t="s">
        <v>14132</v>
      </c>
      <c r="I3412" s="6" t="s">
        <v>14129</v>
      </c>
      <c r="J3412" s="6" t="str">
        <f>"RUN AND RUN CREW NECK T-SHIRT(BLACK)"</f>
        <v>RUN AND RUN CREW NECK T-SHIRT(BLACK)</v>
      </c>
      <c r="K3412" s="6">
        <v>0</v>
      </c>
      <c r="L3412" s="6">
        <v>0</v>
      </c>
      <c r="M3412" s="6">
        <v>0</v>
      </c>
      <c r="N3412" s="6" t="str">
        <f>""</f>
        <v/>
      </c>
      <c r="O3412" s="6">
        <v>23112</v>
      </c>
      <c r="P3412" s="6" t="s">
        <v>14132</v>
      </c>
      <c r="R3412" s="6" t="s">
        <v>601</v>
      </c>
      <c r="S3412" s="6" t="s">
        <v>14133</v>
      </c>
      <c r="T3412" s="6">
        <v>0</v>
      </c>
      <c r="U3412" s="6">
        <v>0</v>
      </c>
      <c r="V3412" s="6">
        <v>0</v>
      </c>
      <c r="W3412" s="6">
        <v>0</v>
      </c>
      <c r="X3412" s="6" t="s">
        <v>169</v>
      </c>
      <c r="Z3412" s="6" t="s">
        <v>170</v>
      </c>
      <c r="AA3412" s="6" t="s">
        <v>171</v>
      </c>
      <c r="AB3412" s="6">
        <v>0</v>
      </c>
      <c r="AC3412" s="6" t="str">
        <f>""</f>
        <v/>
      </c>
      <c r="AS3412" s="6">
        <v>0</v>
      </c>
      <c r="AT3412" s="6">
        <v>0</v>
      </c>
    </row>
    <row r="3413" spans="2:46">
      <c r="B3413" s="6" t="s">
        <v>13899</v>
      </c>
      <c r="D3413" s="6" t="s">
        <v>13131</v>
      </c>
      <c r="F3413" s="6" t="s">
        <v>14134</v>
      </c>
      <c r="G3413" s="6" t="str">
        <f>"13MAGHT202ORF"</f>
        <v>13MAGHT202ORF</v>
      </c>
      <c r="H3413" s="6" t="s">
        <v>14135</v>
      </c>
      <c r="I3413" s="6" t="s">
        <v>14136</v>
      </c>
      <c r="J3413" s="6" t="str">
        <f>"TIMETRAVEL CROP HOOD T-SHIRT(ORANGE)"</f>
        <v>TIMETRAVEL CROP HOOD T-SHIRT(ORANGE)</v>
      </c>
      <c r="K3413" s="6">
        <v>0</v>
      </c>
      <c r="L3413" s="6">
        <v>0</v>
      </c>
      <c r="M3413" s="6">
        <v>0</v>
      </c>
      <c r="N3413" s="6" t="str">
        <f>""</f>
        <v/>
      </c>
      <c r="O3413" s="6">
        <v>23110</v>
      </c>
      <c r="P3413" s="6" t="s">
        <v>14135</v>
      </c>
      <c r="R3413" s="6" t="s">
        <v>2898</v>
      </c>
      <c r="S3413" s="6" t="s">
        <v>14137</v>
      </c>
      <c r="T3413" s="6">
        <v>0</v>
      </c>
      <c r="U3413" s="6">
        <v>0</v>
      </c>
      <c r="V3413" s="6">
        <v>0</v>
      </c>
      <c r="W3413" s="6">
        <v>0</v>
      </c>
      <c r="X3413" s="6" t="s">
        <v>169</v>
      </c>
      <c r="Z3413" s="6" t="s">
        <v>170</v>
      </c>
      <c r="AA3413" s="6" t="s">
        <v>171</v>
      </c>
      <c r="AB3413" s="6">
        <v>0</v>
      </c>
      <c r="AC3413" s="6" t="str">
        <f>""</f>
        <v/>
      </c>
      <c r="AS3413" s="6">
        <v>0</v>
      </c>
      <c r="AT3413" s="6">
        <v>0</v>
      </c>
    </row>
    <row r="3414" spans="2:46">
      <c r="B3414" s="6" t="s">
        <v>13899</v>
      </c>
      <c r="D3414" s="6" t="s">
        <v>13131</v>
      </c>
      <c r="F3414" s="6" t="s">
        <v>14138</v>
      </c>
      <c r="G3414" s="6" t="str">
        <f>"13MAGHT202NVF"</f>
        <v>13MAGHT202NVF</v>
      </c>
      <c r="H3414" s="6" t="s">
        <v>14139</v>
      </c>
      <c r="I3414" s="6" t="s">
        <v>14140</v>
      </c>
      <c r="J3414" s="6" t="str">
        <f>"TIMETRAVEL CROP HOOD T-SHIRT(NAVY)"</f>
        <v>TIMETRAVEL CROP HOOD T-SHIRT(NAVY)</v>
      </c>
      <c r="K3414" s="6">
        <v>0</v>
      </c>
      <c r="L3414" s="6">
        <v>0</v>
      </c>
      <c r="M3414" s="6">
        <v>0</v>
      </c>
      <c r="N3414" s="6" t="str">
        <f>""</f>
        <v/>
      </c>
      <c r="O3414" s="6">
        <v>23108</v>
      </c>
      <c r="P3414" s="6" t="s">
        <v>14139</v>
      </c>
      <c r="R3414" s="6" t="s">
        <v>2111</v>
      </c>
      <c r="S3414" s="6" t="s">
        <v>14141</v>
      </c>
      <c r="T3414" s="6">
        <v>0</v>
      </c>
      <c r="U3414" s="6">
        <v>0</v>
      </c>
      <c r="V3414" s="6">
        <v>0</v>
      </c>
      <c r="W3414" s="6">
        <v>0</v>
      </c>
      <c r="X3414" s="6" t="s">
        <v>169</v>
      </c>
      <c r="Z3414" s="6" t="s">
        <v>170</v>
      </c>
      <c r="AA3414" s="6" t="s">
        <v>171</v>
      </c>
      <c r="AB3414" s="6">
        <v>0</v>
      </c>
      <c r="AC3414" s="6" t="str">
        <f>""</f>
        <v/>
      </c>
      <c r="AS3414" s="6">
        <v>0</v>
      </c>
      <c r="AT3414" s="6">
        <v>0</v>
      </c>
    </row>
    <row r="3415" spans="2:46">
      <c r="B3415" s="6" t="s">
        <v>13899</v>
      </c>
      <c r="D3415" s="6" t="s">
        <v>13131</v>
      </c>
      <c r="F3415" s="6" t="s">
        <v>14142</v>
      </c>
      <c r="G3415" s="6" t="str">
        <f>"13MAGHT201LML"</f>
        <v>13MAGHT201LML</v>
      </c>
      <c r="H3415" s="6" t="s">
        <v>14143</v>
      </c>
      <c r="I3415" s="6" t="s">
        <v>14144</v>
      </c>
      <c r="J3415" s="6" t="str">
        <f>"BACK TO THE HEAVY HOOD T-SHIRT(LIME)"</f>
        <v>BACK TO THE HEAVY HOOD T-SHIRT(LIME)</v>
      </c>
      <c r="K3415" s="6">
        <v>0</v>
      </c>
      <c r="L3415" s="6">
        <v>0</v>
      </c>
      <c r="M3415" s="6">
        <v>0</v>
      </c>
      <c r="N3415" s="6" t="str">
        <f>""</f>
        <v/>
      </c>
      <c r="O3415" s="6">
        <v>23106</v>
      </c>
      <c r="P3415" s="6" t="s">
        <v>14143</v>
      </c>
      <c r="R3415" s="6" t="s">
        <v>14100</v>
      </c>
      <c r="S3415" s="6" t="s">
        <v>14145</v>
      </c>
      <c r="T3415" s="6">
        <v>0</v>
      </c>
      <c r="U3415" s="6">
        <v>0</v>
      </c>
      <c r="V3415" s="6">
        <v>0</v>
      </c>
      <c r="W3415" s="6">
        <v>0</v>
      </c>
      <c r="X3415" s="6" t="s">
        <v>169</v>
      </c>
      <c r="Z3415" s="6" t="s">
        <v>170</v>
      </c>
      <c r="AA3415" s="6" t="s">
        <v>171</v>
      </c>
      <c r="AB3415" s="6">
        <v>0</v>
      </c>
      <c r="AC3415" s="6" t="str">
        <f>""</f>
        <v/>
      </c>
      <c r="AS3415" s="6">
        <v>0</v>
      </c>
      <c r="AT3415" s="6">
        <v>0</v>
      </c>
    </row>
    <row r="3416" spans="2:46">
      <c r="B3416" s="6" t="s">
        <v>13899</v>
      </c>
      <c r="D3416" s="6" t="s">
        <v>13131</v>
      </c>
      <c r="F3416" s="6" t="s">
        <v>14146</v>
      </c>
      <c r="G3416" s="6" t="str">
        <f>"13MAGHT201LMM"</f>
        <v>13MAGHT201LMM</v>
      </c>
      <c r="H3416" s="6" t="s">
        <v>14147</v>
      </c>
      <c r="I3416" s="6" t="s">
        <v>14144</v>
      </c>
      <c r="J3416" s="6" t="str">
        <f>"BACK TO THE HEAVY HOOD T-SHIRT(LIME)"</f>
        <v>BACK TO THE HEAVY HOOD T-SHIRT(LIME)</v>
      </c>
      <c r="K3416" s="6">
        <v>0</v>
      </c>
      <c r="L3416" s="6">
        <v>0</v>
      </c>
      <c r="M3416" s="6">
        <v>0</v>
      </c>
      <c r="N3416" s="6" t="str">
        <f>""</f>
        <v/>
      </c>
      <c r="O3416" s="6">
        <v>23105</v>
      </c>
      <c r="P3416" s="6" t="s">
        <v>14147</v>
      </c>
      <c r="R3416" s="6" t="s">
        <v>14104</v>
      </c>
      <c r="S3416" s="6" t="s">
        <v>14148</v>
      </c>
      <c r="T3416" s="6">
        <v>0</v>
      </c>
      <c r="U3416" s="6">
        <v>0</v>
      </c>
      <c r="V3416" s="6">
        <v>0</v>
      </c>
      <c r="W3416" s="6">
        <v>0</v>
      </c>
      <c r="X3416" s="6" t="s">
        <v>169</v>
      </c>
      <c r="Z3416" s="6" t="s">
        <v>170</v>
      </c>
      <c r="AA3416" s="6" t="s">
        <v>171</v>
      </c>
      <c r="AB3416" s="6">
        <v>0</v>
      </c>
      <c r="AC3416" s="6" t="str">
        <f>""</f>
        <v/>
      </c>
      <c r="AS3416" s="6">
        <v>0</v>
      </c>
      <c r="AT3416" s="6">
        <v>0</v>
      </c>
    </row>
    <row r="3417" spans="2:46">
      <c r="B3417" s="6" t="s">
        <v>13899</v>
      </c>
      <c r="D3417" s="6" t="s">
        <v>13131</v>
      </c>
      <c r="F3417" s="6" t="s">
        <v>14149</v>
      </c>
      <c r="G3417" s="6" t="str">
        <f>"13MAGHT201RDL"</f>
        <v>13MAGHT201RDL</v>
      </c>
      <c r="H3417" s="6" t="s">
        <v>14150</v>
      </c>
      <c r="I3417" s="6" t="s">
        <v>14151</v>
      </c>
      <c r="J3417" s="6" t="str">
        <f>"BACK TO THE HEAVY HOOD T-SHIRT(RED)"</f>
        <v>BACK TO THE HEAVY HOOD T-SHIRT(RED)</v>
      </c>
      <c r="K3417" s="6">
        <v>0</v>
      </c>
      <c r="L3417" s="6">
        <v>0</v>
      </c>
      <c r="M3417" s="6">
        <v>0</v>
      </c>
      <c r="N3417" s="6" t="str">
        <f>""</f>
        <v/>
      </c>
      <c r="O3417" s="6">
        <v>23103</v>
      </c>
      <c r="P3417" s="6" t="s">
        <v>14150</v>
      </c>
      <c r="R3417" s="6" t="s">
        <v>5398</v>
      </c>
      <c r="S3417" s="6" t="s">
        <v>14152</v>
      </c>
      <c r="T3417" s="6">
        <v>0</v>
      </c>
      <c r="U3417" s="6">
        <v>0</v>
      </c>
      <c r="V3417" s="6">
        <v>0</v>
      </c>
      <c r="W3417" s="6">
        <v>0</v>
      </c>
      <c r="X3417" s="6" t="s">
        <v>169</v>
      </c>
      <c r="Z3417" s="6" t="s">
        <v>170</v>
      </c>
      <c r="AA3417" s="6" t="s">
        <v>171</v>
      </c>
      <c r="AB3417" s="6">
        <v>0</v>
      </c>
      <c r="AC3417" s="6" t="str">
        <f>""</f>
        <v/>
      </c>
      <c r="AS3417" s="6">
        <v>0</v>
      </c>
      <c r="AT3417" s="6">
        <v>0</v>
      </c>
    </row>
    <row r="3418" spans="2:46">
      <c r="B3418" s="6" t="s">
        <v>13899</v>
      </c>
      <c r="D3418" s="6" t="s">
        <v>13131</v>
      </c>
      <c r="F3418" s="6" t="s">
        <v>14153</v>
      </c>
      <c r="G3418" s="6" t="str">
        <f>"13MAGHT201RDM"</f>
        <v>13MAGHT201RDM</v>
      </c>
      <c r="H3418" s="6" t="s">
        <v>14154</v>
      </c>
      <c r="I3418" s="6" t="s">
        <v>14151</v>
      </c>
      <c r="J3418" s="6" t="str">
        <f>"BACK TO THE HEAVY HOOD T-SHIRT(RED)"</f>
        <v>BACK TO THE HEAVY HOOD T-SHIRT(RED)</v>
      </c>
      <c r="K3418" s="6">
        <v>0</v>
      </c>
      <c r="L3418" s="6">
        <v>0</v>
      </c>
      <c r="M3418" s="6">
        <v>0</v>
      </c>
      <c r="N3418" s="6" t="str">
        <f>""</f>
        <v/>
      </c>
      <c r="O3418" s="6">
        <v>23102</v>
      </c>
      <c r="P3418" s="6" t="s">
        <v>14154</v>
      </c>
      <c r="R3418" s="6" t="s">
        <v>561</v>
      </c>
      <c r="S3418" s="6" t="s">
        <v>14155</v>
      </c>
      <c r="T3418" s="6">
        <v>0</v>
      </c>
      <c r="U3418" s="6">
        <v>0</v>
      </c>
      <c r="V3418" s="6">
        <v>0</v>
      </c>
      <c r="W3418" s="6">
        <v>0</v>
      </c>
      <c r="X3418" s="6" t="s">
        <v>169</v>
      </c>
      <c r="Z3418" s="6" t="s">
        <v>170</v>
      </c>
      <c r="AA3418" s="6" t="s">
        <v>171</v>
      </c>
      <c r="AB3418" s="6">
        <v>0</v>
      </c>
      <c r="AC3418" s="6" t="str">
        <f>""</f>
        <v/>
      </c>
      <c r="AS3418" s="6">
        <v>0</v>
      </c>
      <c r="AT3418" s="6">
        <v>0</v>
      </c>
    </row>
    <row r="3419" spans="2:46">
      <c r="B3419" s="6" t="s">
        <v>13899</v>
      </c>
      <c r="D3419" s="6" t="s">
        <v>13131</v>
      </c>
      <c r="F3419" s="6" t="s">
        <v>14156</v>
      </c>
      <c r="G3419" s="6" t="str">
        <f>"13MAGHT201GRL"</f>
        <v>13MAGHT201GRL</v>
      </c>
      <c r="H3419" s="6" t="s">
        <v>14157</v>
      </c>
      <c r="I3419" s="6" t="s">
        <v>14158</v>
      </c>
      <c r="J3419" s="6" t="str">
        <f>"BACK TO THE HEAVY HOOD T-SHIRT(GREY)"</f>
        <v>BACK TO THE HEAVY HOOD T-SHIRT(GREY)</v>
      </c>
      <c r="K3419" s="6">
        <v>0</v>
      </c>
      <c r="L3419" s="6">
        <v>0</v>
      </c>
      <c r="M3419" s="6">
        <v>0</v>
      </c>
      <c r="N3419" s="6" t="str">
        <f>""</f>
        <v/>
      </c>
      <c r="O3419" s="6">
        <v>23100</v>
      </c>
      <c r="P3419" s="6" t="s">
        <v>14157</v>
      </c>
      <c r="R3419" s="6" t="s">
        <v>9547</v>
      </c>
      <c r="S3419" s="6" t="s">
        <v>14159</v>
      </c>
      <c r="T3419" s="6">
        <v>0</v>
      </c>
      <c r="U3419" s="6">
        <v>0</v>
      </c>
      <c r="V3419" s="6">
        <v>0</v>
      </c>
      <c r="W3419" s="6">
        <v>0</v>
      </c>
      <c r="X3419" s="6" t="s">
        <v>169</v>
      </c>
      <c r="Z3419" s="6" t="s">
        <v>170</v>
      </c>
      <c r="AA3419" s="6" t="s">
        <v>171</v>
      </c>
      <c r="AB3419" s="6">
        <v>0</v>
      </c>
      <c r="AC3419" s="6" t="str">
        <f>""</f>
        <v/>
      </c>
      <c r="AS3419" s="6">
        <v>0</v>
      </c>
      <c r="AT3419" s="6">
        <v>0</v>
      </c>
    </row>
    <row r="3420" spans="2:46">
      <c r="B3420" s="6" t="s">
        <v>13899</v>
      </c>
      <c r="D3420" s="6" t="s">
        <v>13131</v>
      </c>
      <c r="F3420" s="6" t="s">
        <v>14160</v>
      </c>
      <c r="G3420" s="6" t="str">
        <f>"13MAGHT201GRM"</f>
        <v>13MAGHT201GRM</v>
      </c>
      <c r="H3420" s="6" t="s">
        <v>14161</v>
      </c>
      <c r="I3420" s="6" t="s">
        <v>14158</v>
      </c>
      <c r="J3420" s="6" t="str">
        <f>"BACK TO THE HEAVY HOOD T-SHIRT(GREY)"</f>
        <v>BACK TO THE HEAVY HOOD T-SHIRT(GREY)</v>
      </c>
      <c r="K3420" s="6">
        <v>0</v>
      </c>
      <c r="L3420" s="6">
        <v>0</v>
      </c>
      <c r="M3420" s="6">
        <v>0</v>
      </c>
      <c r="N3420" s="6" t="str">
        <f>""</f>
        <v/>
      </c>
      <c r="O3420" s="6">
        <v>23099</v>
      </c>
      <c r="P3420" s="6" t="s">
        <v>14161</v>
      </c>
      <c r="R3420" s="6" t="s">
        <v>9551</v>
      </c>
      <c r="S3420" s="6" t="s">
        <v>14162</v>
      </c>
      <c r="T3420" s="6">
        <v>0</v>
      </c>
      <c r="U3420" s="6">
        <v>0</v>
      </c>
      <c r="V3420" s="6">
        <v>0</v>
      </c>
      <c r="W3420" s="6">
        <v>0</v>
      </c>
      <c r="X3420" s="6" t="s">
        <v>169</v>
      </c>
      <c r="Z3420" s="6" t="s">
        <v>170</v>
      </c>
      <c r="AA3420" s="6" t="s">
        <v>171</v>
      </c>
      <c r="AB3420" s="6">
        <v>0</v>
      </c>
      <c r="AC3420" s="6" t="str">
        <f>""</f>
        <v/>
      </c>
      <c r="AS3420" s="6">
        <v>0</v>
      </c>
      <c r="AT3420" s="6">
        <v>0</v>
      </c>
    </row>
    <row r="3421" spans="2:46">
      <c r="B3421" s="6" t="s">
        <v>13899</v>
      </c>
      <c r="D3421" s="6" t="s">
        <v>13131</v>
      </c>
      <c r="F3421" s="6" t="s">
        <v>14163</v>
      </c>
      <c r="G3421" s="6" t="str">
        <f>"13MAGHT201BKL"</f>
        <v>13MAGHT201BKL</v>
      </c>
      <c r="H3421" s="6" t="s">
        <v>14164</v>
      </c>
      <c r="I3421" s="6" t="s">
        <v>14165</v>
      </c>
      <c r="J3421" s="6" t="str">
        <f>"BACK TO THE HEAVY HOOD T-SHIRT(BLACK)"</f>
        <v>BACK TO THE HEAVY HOOD T-SHIRT(BLACK)</v>
      </c>
      <c r="K3421" s="6">
        <v>0</v>
      </c>
      <c r="L3421" s="6">
        <v>0</v>
      </c>
      <c r="M3421" s="6">
        <v>0</v>
      </c>
      <c r="N3421" s="6" t="str">
        <f>""</f>
        <v/>
      </c>
      <c r="O3421" s="6">
        <v>23097</v>
      </c>
      <c r="P3421" s="6" t="s">
        <v>14164</v>
      </c>
      <c r="R3421" s="6" t="s">
        <v>5106</v>
      </c>
      <c r="S3421" s="6" t="s">
        <v>14166</v>
      </c>
      <c r="T3421" s="6">
        <v>0</v>
      </c>
      <c r="U3421" s="6">
        <v>0</v>
      </c>
      <c r="V3421" s="6">
        <v>0</v>
      </c>
      <c r="W3421" s="6">
        <v>0</v>
      </c>
      <c r="X3421" s="6" t="s">
        <v>169</v>
      </c>
      <c r="Z3421" s="6" t="s">
        <v>170</v>
      </c>
      <c r="AA3421" s="6" t="s">
        <v>171</v>
      </c>
      <c r="AB3421" s="6">
        <v>0</v>
      </c>
      <c r="AC3421" s="6" t="str">
        <f>""</f>
        <v/>
      </c>
      <c r="AS3421" s="6">
        <v>0</v>
      </c>
      <c r="AT3421" s="6">
        <v>0</v>
      </c>
    </row>
    <row r="3422" spans="2:46">
      <c r="B3422" s="6" t="s">
        <v>13899</v>
      </c>
      <c r="D3422" s="6" t="s">
        <v>13131</v>
      </c>
      <c r="F3422" s="6" t="s">
        <v>14167</v>
      </c>
      <c r="G3422" s="6" t="str">
        <f>"13MAGHT201BKM"</f>
        <v>13MAGHT201BKM</v>
      </c>
      <c r="H3422" s="6" t="s">
        <v>14168</v>
      </c>
      <c r="I3422" s="6" t="s">
        <v>14165</v>
      </c>
      <c r="J3422" s="6" t="str">
        <f>"BACK TO THE HEAVY HOOD T-SHIRT(BLACK)"</f>
        <v>BACK TO THE HEAVY HOOD T-SHIRT(BLACK)</v>
      </c>
      <c r="K3422" s="6">
        <v>0</v>
      </c>
      <c r="L3422" s="6">
        <v>0</v>
      </c>
      <c r="M3422" s="6">
        <v>0</v>
      </c>
      <c r="N3422" s="6" t="str">
        <f>""</f>
        <v/>
      </c>
      <c r="O3422" s="6">
        <v>23096</v>
      </c>
      <c r="P3422" s="6" t="s">
        <v>14168</v>
      </c>
      <c r="R3422" s="6" t="s">
        <v>601</v>
      </c>
      <c r="S3422" s="6" t="s">
        <v>14169</v>
      </c>
      <c r="T3422" s="6">
        <v>0</v>
      </c>
      <c r="U3422" s="6">
        <v>0</v>
      </c>
      <c r="V3422" s="6">
        <v>0</v>
      </c>
      <c r="W3422" s="6">
        <v>0</v>
      </c>
      <c r="X3422" s="6" t="s">
        <v>169</v>
      </c>
      <c r="Z3422" s="6" t="s">
        <v>170</v>
      </c>
      <c r="AA3422" s="6" t="s">
        <v>171</v>
      </c>
      <c r="AB3422" s="6">
        <v>0</v>
      </c>
      <c r="AC3422" s="6" t="str">
        <f>""</f>
        <v/>
      </c>
      <c r="AS3422" s="6">
        <v>0</v>
      </c>
      <c r="AT3422" s="6">
        <v>0</v>
      </c>
    </row>
    <row r="3423" spans="2:46">
      <c r="B3423" s="6" t="s">
        <v>13899</v>
      </c>
      <c r="D3423" s="6" t="s">
        <v>13131</v>
      </c>
      <c r="F3423" s="6" t="s">
        <v>14170</v>
      </c>
      <c r="G3423" s="6" t="str">
        <f>"13MAGMT201LAVL"</f>
        <v>13MAGMT201LAVL</v>
      </c>
      <c r="H3423" s="6" t="s">
        <v>14171</v>
      </c>
      <c r="I3423" s="6" t="s">
        <v>14172</v>
      </c>
      <c r="J3423" s="6" t="str">
        <f>"RETURN AND YOUTH SWEATSHIRT(LAVENDER)"</f>
        <v>RETURN AND YOUTH SWEATSHIRT(LAVENDER)</v>
      </c>
      <c r="K3423" s="6">
        <v>0</v>
      </c>
      <c r="L3423" s="6">
        <v>0</v>
      </c>
      <c r="M3423" s="6">
        <v>0</v>
      </c>
      <c r="N3423" s="6" t="str">
        <f>""</f>
        <v/>
      </c>
      <c r="O3423" s="6">
        <v>23094</v>
      </c>
      <c r="P3423" s="6" t="s">
        <v>14171</v>
      </c>
      <c r="R3423" s="6" t="s">
        <v>14173</v>
      </c>
      <c r="S3423" s="6" t="s">
        <v>14174</v>
      </c>
      <c r="T3423" s="6">
        <v>0</v>
      </c>
      <c r="U3423" s="6">
        <v>0</v>
      </c>
      <c r="V3423" s="6">
        <v>0</v>
      </c>
      <c r="W3423" s="6">
        <v>0</v>
      </c>
      <c r="X3423" s="6" t="s">
        <v>169</v>
      </c>
      <c r="Z3423" s="6" t="s">
        <v>170</v>
      </c>
      <c r="AA3423" s="6" t="s">
        <v>171</v>
      </c>
      <c r="AB3423" s="6">
        <v>0</v>
      </c>
      <c r="AC3423" s="6" t="str">
        <f>""</f>
        <v/>
      </c>
      <c r="AS3423" s="6">
        <v>0</v>
      </c>
      <c r="AT3423" s="6">
        <v>0</v>
      </c>
    </row>
    <row r="3424" spans="2:46">
      <c r="B3424" s="6" t="s">
        <v>13899</v>
      </c>
      <c r="D3424" s="6" t="s">
        <v>13131</v>
      </c>
      <c r="F3424" s="6" t="s">
        <v>14175</v>
      </c>
      <c r="G3424" s="6" t="str">
        <f>"13MAGMT201LAVM"</f>
        <v>13MAGMT201LAVM</v>
      </c>
      <c r="H3424" s="6" t="s">
        <v>14176</v>
      </c>
      <c r="I3424" s="6" t="s">
        <v>14172</v>
      </c>
      <c r="J3424" s="6" t="str">
        <f>"RETURN AND YOUTH SWEATSHIRT(LAVENDER)"</f>
        <v>RETURN AND YOUTH SWEATSHIRT(LAVENDER)</v>
      </c>
      <c r="K3424" s="6">
        <v>0</v>
      </c>
      <c r="L3424" s="6">
        <v>0</v>
      </c>
      <c r="M3424" s="6">
        <v>0</v>
      </c>
      <c r="N3424" s="6" t="str">
        <f>""</f>
        <v/>
      </c>
      <c r="O3424" s="6">
        <v>23093</v>
      </c>
      <c r="P3424" s="6" t="s">
        <v>14176</v>
      </c>
      <c r="R3424" s="6" t="s">
        <v>14177</v>
      </c>
      <c r="S3424" s="6" t="s">
        <v>14178</v>
      </c>
      <c r="T3424" s="6">
        <v>0</v>
      </c>
      <c r="U3424" s="6">
        <v>0</v>
      </c>
      <c r="V3424" s="6">
        <v>0</v>
      </c>
      <c r="W3424" s="6">
        <v>0</v>
      </c>
      <c r="X3424" s="6" t="s">
        <v>169</v>
      </c>
      <c r="Z3424" s="6" t="s">
        <v>170</v>
      </c>
      <c r="AA3424" s="6" t="s">
        <v>171</v>
      </c>
      <c r="AB3424" s="6">
        <v>0</v>
      </c>
      <c r="AC3424" s="6" t="str">
        <f>""</f>
        <v/>
      </c>
      <c r="AS3424" s="6">
        <v>0</v>
      </c>
      <c r="AT3424" s="6">
        <v>0</v>
      </c>
    </row>
    <row r="3425" spans="2:46">
      <c r="B3425" s="6" t="s">
        <v>13899</v>
      </c>
      <c r="D3425" s="6" t="s">
        <v>13131</v>
      </c>
      <c r="F3425" s="6" t="s">
        <v>14179</v>
      </c>
      <c r="G3425" s="6" t="str">
        <f>"13MAGMT201BLL"</f>
        <v>13MAGMT201BLL</v>
      </c>
      <c r="H3425" s="6" t="s">
        <v>14180</v>
      </c>
      <c r="I3425" s="6" t="s">
        <v>14181</v>
      </c>
      <c r="J3425" s="6" t="str">
        <f>"RETURN AND YOUTH SWEATSHIRT(BLUE)"</f>
        <v>RETURN AND YOUTH SWEATSHIRT(BLUE)</v>
      </c>
      <c r="K3425" s="6">
        <v>0</v>
      </c>
      <c r="L3425" s="6">
        <v>0</v>
      </c>
      <c r="M3425" s="6">
        <v>0</v>
      </c>
      <c r="N3425" s="6" t="str">
        <f>""</f>
        <v/>
      </c>
      <c r="O3425" s="6">
        <v>23091</v>
      </c>
      <c r="P3425" s="6" t="s">
        <v>14180</v>
      </c>
      <c r="R3425" s="6" t="s">
        <v>5275</v>
      </c>
      <c r="S3425" s="6" t="s">
        <v>14182</v>
      </c>
      <c r="T3425" s="6">
        <v>0</v>
      </c>
      <c r="U3425" s="6">
        <v>0</v>
      </c>
      <c r="V3425" s="6">
        <v>0</v>
      </c>
      <c r="W3425" s="6">
        <v>0</v>
      </c>
      <c r="X3425" s="6" t="s">
        <v>169</v>
      </c>
      <c r="Z3425" s="6" t="s">
        <v>170</v>
      </c>
      <c r="AA3425" s="6" t="s">
        <v>171</v>
      </c>
      <c r="AB3425" s="6">
        <v>0</v>
      </c>
      <c r="AC3425" s="6" t="str">
        <f>""</f>
        <v/>
      </c>
      <c r="AS3425" s="6">
        <v>0</v>
      </c>
      <c r="AT3425" s="6">
        <v>0</v>
      </c>
    </row>
    <row r="3426" spans="2:46">
      <c r="B3426" s="6" t="s">
        <v>13899</v>
      </c>
      <c r="D3426" s="6" t="s">
        <v>13131</v>
      </c>
      <c r="F3426" s="6" t="s">
        <v>14183</v>
      </c>
      <c r="G3426" s="6" t="str">
        <f>"13MAGMT201BLM"</f>
        <v>13MAGMT201BLM</v>
      </c>
      <c r="H3426" s="6" t="s">
        <v>14184</v>
      </c>
      <c r="I3426" s="6" t="s">
        <v>14181</v>
      </c>
      <c r="J3426" s="6" t="str">
        <f>"RETURN AND YOUTH SWEATSHIRT(BLUE)"</f>
        <v>RETURN AND YOUTH SWEATSHIRT(BLUE)</v>
      </c>
      <c r="K3426" s="6">
        <v>0</v>
      </c>
      <c r="L3426" s="6">
        <v>0</v>
      </c>
      <c r="M3426" s="6">
        <v>0</v>
      </c>
      <c r="N3426" s="6" t="str">
        <f>""</f>
        <v/>
      </c>
      <c r="O3426" s="6">
        <v>23090</v>
      </c>
      <c r="P3426" s="6" t="s">
        <v>14184</v>
      </c>
      <c r="R3426" s="6" t="s">
        <v>5340</v>
      </c>
      <c r="S3426" s="6" t="s">
        <v>14185</v>
      </c>
      <c r="T3426" s="6">
        <v>0</v>
      </c>
      <c r="U3426" s="6">
        <v>0</v>
      </c>
      <c r="V3426" s="6">
        <v>0</v>
      </c>
      <c r="W3426" s="6">
        <v>0</v>
      </c>
      <c r="X3426" s="6" t="s">
        <v>169</v>
      </c>
      <c r="Z3426" s="6" t="s">
        <v>170</v>
      </c>
      <c r="AA3426" s="6" t="s">
        <v>171</v>
      </c>
      <c r="AB3426" s="6">
        <v>0</v>
      </c>
      <c r="AC3426" s="6" t="str">
        <f>""</f>
        <v/>
      </c>
      <c r="AS3426" s="6">
        <v>0</v>
      </c>
      <c r="AT3426" s="6">
        <v>0</v>
      </c>
    </row>
    <row r="3427" spans="2:46">
      <c r="B3427" s="6" t="s">
        <v>13899</v>
      </c>
      <c r="D3427" s="6" t="s">
        <v>13131</v>
      </c>
      <c r="F3427" s="6" t="s">
        <v>14186</v>
      </c>
      <c r="G3427" s="6" t="str">
        <f>"13MAGMT201ORL"</f>
        <v>13MAGMT201ORL</v>
      </c>
      <c r="H3427" s="6" t="s">
        <v>14187</v>
      </c>
      <c r="I3427" s="6" t="s">
        <v>14188</v>
      </c>
      <c r="J3427" s="6" t="str">
        <f>"RETURN AND YOUTH SWEATSHIRT(ORANGE)"</f>
        <v>RETURN AND YOUTH SWEATSHIRT(ORANGE)</v>
      </c>
      <c r="K3427" s="6">
        <v>0</v>
      </c>
      <c r="L3427" s="6">
        <v>0</v>
      </c>
      <c r="M3427" s="6">
        <v>0</v>
      </c>
      <c r="N3427" s="6" t="str">
        <f>""</f>
        <v/>
      </c>
      <c r="O3427" s="6">
        <v>23088</v>
      </c>
      <c r="P3427" s="6" t="s">
        <v>14187</v>
      </c>
      <c r="R3427" s="6" t="s">
        <v>5071</v>
      </c>
      <c r="S3427" s="6" t="s">
        <v>14189</v>
      </c>
      <c r="T3427" s="6">
        <v>0</v>
      </c>
      <c r="U3427" s="6">
        <v>0</v>
      </c>
      <c r="V3427" s="6">
        <v>0</v>
      </c>
      <c r="W3427" s="6">
        <v>0</v>
      </c>
      <c r="X3427" s="6" t="s">
        <v>169</v>
      </c>
      <c r="Z3427" s="6" t="s">
        <v>170</v>
      </c>
      <c r="AA3427" s="6" t="s">
        <v>171</v>
      </c>
      <c r="AB3427" s="6">
        <v>0</v>
      </c>
      <c r="AC3427" s="6" t="str">
        <f>""</f>
        <v/>
      </c>
      <c r="AS3427" s="6">
        <v>0</v>
      </c>
      <c r="AT3427" s="6">
        <v>0</v>
      </c>
    </row>
    <row r="3428" spans="2:46">
      <c r="B3428" s="6" t="s">
        <v>13899</v>
      </c>
      <c r="D3428" s="6" t="s">
        <v>13131</v>
      </c>
      <c r="F3428" s="6" t="s">
        <v>14190</v>
      </c>
      <c r="G3428" s="6" t="str">
        <f>"13MAGMT201ORM"</f>
        <v>13MAGMT201ORM</v>
      </c>
      <c r="H3428" s="6" t="s">
        <v>14191</v>
      </c>
      <c r="I3428" s="6" t="s">
        <v>14188</v>
      </c>
      <c r="J3428" s="6" t="str">
        <f>"RETURN AND YOUTH SWEATSHIRT(ORANGE)"</f>
        <v>RETURN AND YOUTH SWEATSHIRT(ORANGE)</v>
      </c>
      <c r="K3428" s="6">
        <v>0</v>
      </c>
      <c r="L3428" s="6">
        <v>0</v>
      </c>
      <c r="M3428" s="6">
        <v>0</v>
      </c>
      <c r="N3428" s="6" t="str">
        <f>""</f>
        <v/>
      </c>
      <c r="O3428" s="6">
        <v>23087</v>
      </c>
      <c r="P3428" s="6" t="s">
        <v>14191</v>
      </c>
      <c r="R3428" s="6" t="s">
        <v>5075</v>
      </c>
      <c r="S3428" s="6" t="s">
        <v>14192</v>
      </c>
      <c r="T3428" s="6">
        <v>0</v>
      </c>
      <c r="U3428" s="6">
        <v>0</v>
      </c>
      <c r="V3428" s="6">
        <v>0</v>
      </c>
      <c r="W3428" s="6">
        <v>0</v>
      </c>
      <c r="X3428" s="6" t="s">
        <v>169</v>
      </c>
      <c r="Z3428" s="6" t="s">
        <v>170</v>
      </c>
      <c r="AA3428" s="6" t="s">
        <v>171</v>
      </c>
      <c r="AB3428" s="6">
        <v>0</v>
      </c>
      <c r="AC3428" s="6" t="str">
        <f>""</f>
        <v/>
      </c>
      <c r="AS3428" s="6">
        <v>0</v>
      </c>
      <c r="AT3428" s="6">
        <v>0</v>
      </c>
    </row>
    <row r="3429" spans="2:46">
      <c r="B3429" s="6" t="s">
        <v>13899</v>
      </c>
      <c r="D3429" s="6" t="s">
        <v>13131</v>
      </c>
      <c r="F3429" s="6" t="s">
        <v>14193</v>
      </c>
      <c r="G3429" s="6" t="str">
        <f>"13MAGMT201BKL"</f>
        <v>13MAGMT201BKL</v>
      </c>
      <c r="H3429" s="6" t="s">
        <v>14194</v>
      </c>
      <c r="I3429" s="6" t="s">
        <v>14195</v>
      </c>
      <c r="J3429" s="6" t="str">
        <f>"RETURN AND YOUTH SWEATSHIRT(BLACK)"</f>
        <v>RETURN AND YOUTH SWEATSHIRT(BLACK)</v>
      </c>
      <c r="K3429" s="6">
        <v>0</v>
      </c>
      <c r="L3429" s="6">
        <v>0</v>
      </c>
      <c r="M3429" s="6">
        <v>0</v>
      </c>
      <c r="N3429" s="6" t="str">
        <f>""</f>
        <v/>
      </c>
      <c r="O3429" s="6">
        <v>23085</v>
      </c>
      <c r="P3429" s="6" t="s">
        <v>14194</v>
      </c>
      <c r="R3429" s="6" t="s">
        <v>5106</v>
      </c>
      <c r="S3429" s="6" t="s">
        <v>14196</v>
      </c>
      <c r="T3429" s="6">
        <v>0</v>
      </c>
      <c r="U3429" s="6">
        <v>0</v>
      </c>
      <c r="V3429" s="6">
        <v>0</v>
      </c>
      <c r="W3429" s="6">
        <v>0</v>
      </c>
      <c r="X3429" s="6" t="s">
        <v>169</v>
      </c>
      <c r="Z3429" s="6" t="s">
        <v>170</v>
      </c>
      <c r="AA3429" s="6" t="s">
        <v>171</v>
      </c>
      <c r="AB3429" s="6">
        <v>0</v>
      </c>
      <c r="AC3429" s="6" t="str">
        <f>""</f>
        <v/>
      </c>
      <c r="AS3429" s="6">
        <v>0</v>
      </c>
      <c r="AT3429" s="6">
        <v>0</v>
      </c>
    </row>
    <row r="3430" spans="2:46">
      <c r="B3430" s="6" t="s">
        <v>13899</v>
      </c>
      <c r="D3430" s="6" t="s">
        <v>13131</v>
      </c>
      <c r="F3430" s="6" t="s">
        <v>14197</v>
      </c>
      <c r="G3430" s="6" t="str">
        <f>"13MAGMT201BKM"</f>
        <v>13MAGMT201BKM</v>
      </c>
      <c r="H3430" s="6" t="s">
        <v>14198</v>
      </c>
      <c r="I3430" s="6" t="s">
        <v>14195</v>
      </c>
      <c r="J3430" s="6" t="str">
        <f>"RETURN AND YOUTH SWEATSHIRT(BLACK)"</f>
        <v>RETURN AND YOUTH SWEATSHIRT(BLACK)</v>
      </c>
      <c r="K3430" s="6">
        <v>0</v>
      </c>
      <c r="L3430" s="6">
        <v>0</v>
      </c>
      <c r="M3430" s="6">
        <v>0</v>
      </c>
      <c r="N3430" s="6" t="str">
        <f>""</f>
        <v/>
      </c>
      <c r="O3430" s="6">
        <v>23084</v>
      </c>
      <c r="P3430" s="6" t="s">
        <v>14198</v>
      </c>
      <c r="R3430" s="6" t="s">
        <v>601</v>
      </c>
      <c r="S3430" s="6" t="s">
        <v>14199</v>
      </c>
      <c r="T3430" s="6">
        <v>0</v>
      </c>
      <c r="U3430" s="6">
        <v>0</v>
      </c>
      <c r="V3430" s="6">
        <v>0</v>
      </c>
      <c r="W3430" s="6">
        <v>0</v>
      </c>
      <c r="X3430" s="6" t="s">
        <v>169</v>
      </c>
      <c r="Z3430" s="6" t="s">
        <v>170</v>
      </c>
      <c r="AA3430" s="6" t="s">
        <v>171</v>
      </c>
      <c r="AB3430" s="6">
        <v>0</v>
      </c>
      <c r="AC3430" s="6" t="str">
        <f>""</f>
        <v/>
      </c>
      <c r="AS3430" s="6">
        <v>0</v>
      </c>
      <c r="AT3430" s="6">
        <v>0</v>
      </c>
    </row>
    <row r="3431" spans="2:46">
      <c r="B3431" s="6" t="s">
        <v>13899</v>
      </c>
      <c r="D3431" s="6" t="s">
        <v>13131</v>
      </c>
      <c r="F3431" s="6" t="s">
        <v>14200</v>
      </c>
      <c r="G3431" s="6" t="str">
        <f>"13MAGSH203DEL"</f>
        <v>13MAGSH203DEL</v>
      </c>
      <c r="H3431" s="6" t="s">
        <v>14201</v>
      </c>
      <c r="I3431" s="6" t="s">
        <v>14202</v>
      </c>
      <c r="J3431" s="6" t="str">
        <f>"RETURN AND YOUTH DENIM SHIRT(DENIM)"</f>
        <v>RETURN AND YOUTH DENIM SHIRT(DENIM)</v>
      </c>
      <c r="K3431" s="6">
        <v>0</v>
      </c>
      <c r="L3431" s="6">
        <v>0</v>
      </c>
      <c r="M3431" s="6">
        <v>0</v>
      </c>
      <c r="N3431" s="6" t="str">
        <f>""</f>
        <v/>
      </c>
      <c r="O3431" s="6">
        <v>23082</v>
      </c>
      <c r="P3431" s="6" t="s">
        <v>14201</v>
      </c>
      <c r="R3431" s="6" t="s">
        <v>13969</v>
      </c>
      <c r="S3431" s="6" t="s">
        <v>14203</v>
      </c>
      <c r="T3431" s="6">
        <v>0</v>
      </c>
      <c r="U3431" s="6">
        <v>0</v>
      </c>
      <c r="V3431" s="6">
        <v>0</v>
      </c>
      <c r="W3431" s="6">
        <v>0</v>
      </c>
      <c r="X3431" s="6" t="s">
        <v>169</v>
      </c>
      <c r="Z3431" s="6" t="s">
        <v>170</v>
      </c>
      <c r="AA3431" s="6" t="s">
        <v>171</v>
      </c>
      <c r="AB3431" s="6">
        <v>0</v>
      </c>
      <c r="AC3431" s="6" t="str">
        <f>""</f>
        <v/>
      </c>
      <c r="AS3431" s="6">
        <v>0</v>
      </c>
      <c r="AT3431" s="6">
        <v>0</v>
      </c>
    </row>
    <row r="3432" spans="2:46">
      <c r="B3432" s="6" t="s">
        <v>13899</v>
      </c>
      <c r="D3432" s="6" t="s">
        <v>13131</v>
      </c>
      <c r="F3432" s="6" t="s">
        <v>14204</v>
      </c>
      <c r="G3432" s="6" t="str">
        <f>"13MAGSH203DEM"</f>
        <v>13MAGSH203DEM</v>
      </c>
      <c r="H3432" s="6" t="s">
        <v>14205</v>
      </c>
      <c r="I3432" s="6" t="s">
        <v>14202</v>
      </c>
      <c r="J3432" s="6" t="str">
        <f>"RETURN AND YOUTH DENIM SHIRT(DENIM)"</f>
        <v>RETURN AND YOUTH DENIM SHIRT(DENIM)</v>
      </c>
      <c r="K3432" s="6">
        <v>0</v>
      </c>
      <c r="L3432" s="6">
        <v>0</v>
      </c>
      <c r="M3432" s="6">
        <v>0</v>
      </c>
      <c r="N3432" s="6" t="str">
        <f>""</f>
        <v/>
      </c>
      <c r="O3432" s="6">
        <v>23081</v>
      </c>
      <c r="P3432" s="6" t="s">
        <v>14205</v>
      </c>
      <c r="R3432" s="6" t="s">
        <v>3692</v>
      </c>
      <c r="S3432" s="6" t="s">
        <v>14206</v>
      </c>
      <c r="T3432" s="6">
        <v>0</v>
      </c>
      <c r="U3432" s="6">
        <v>0</v>
      </c>
      <c r="V3432" s="6">
        <v>0</v>
      </c>
      <c r="W3432" s="6">
        <v>0</v>
      </c>
      <c r="X3432" s="6" t="s">
        <v>169</v>
      </c>
      <c r="Z3432" s="6" t="s">
        <v>170</v>
      </c>
      <c r="AA3432" s="6" t="s">
        <v>171</v>
      </c>
      <c r="AB3432" s="6">
        <v>0</v>
      </c>
      <c r="AC3432" s="6" t="str">
        <f>""</f>
        <v/>
      </c>
      <c r="AS3432" s="6">
        <v>0</v>
      </c>
      <c r="AT3432" s="6">
        <v>0</v>
      </c>
    </row>
    <row r="3433" spans="2:46">
      <c r="B3433" s="6" t="s">
        <v>13899</v>
      </c>
      <c r="D3433" s="6" t="s">
        <v>13131</v>
      </c>
      <c r="F3433" s="6" t="s">
        <v>14207</v>
      </c>
      <c r="G3433" s="6" t="str">
        <f>"13MAGSH202LML"</f>
        <v>13MAGSH202LML</v>
      </c>
      <c r="H3433" s="6" t="s">
        <v>14208</v>
      </c>
      <c r="I3433" s="6" t="s">
        <v>14209</v>
      </c>
      <c r="J3433" s="6" t="str">
        <f>"OVERSIZE HOOD SHIRT(LIME)"</f>
        <v>OVERSIZE HOOD SHIRT(LIME)</v>
      </c>
      <c r="K3433" s="6">
        <v>0</v>
      </c>
      <c r="L3433" s="6">
        <v>0</v>
      </c>
      <c r="M3433" s="6">
        <v>0</v>
      </c>
      <c r="N3433" s="6" t="str">
        <f>""</f>
        <v/>
      </c>
      <c r="O3433" s="6">
        <v>23079</v>
      </c>
      <c r="P3433" s="6" t="s">
        <v>14208</v>
      </c>
      <c r="R3433" s="6" t="s">
        <v>14100</v>
      </c>
      <c r="S3433" s="6" t="s">
        <v>14210</v>
      </c>
      <c r="T3433" s="6">
        <v>0</v>
      </c>
      <c r="U3433" s="6">
        <v>0</v>
      </c>
      <c r="V3433" s="6">
        <v>0</v>
      </c>
      <c r="W3433" s="6">
        <v>0</v>
      </c>
      <c r="X3433" s="6" t="s">
        <v>169</v>
      </c>
      <c r="Z3433" s="6" t="s">
        <v>170</v>
      </c>
      <c r="AA3433" s="6" t="s">
        <v>171</v>
      </c>
      <c r="AB3433" s="6">
        <v>0</v>
      </c>
      <c r="AC3433" s="6" t="str">
        <f>""</f>
        <v/>
      </c>
      <c r="AS3433" s="6">
        <v>0</v>
      </c>
      <c r="AT3433" s="6">
        <v>0</v>
      </c>
    </row>
    <row r="3434" spans="2:46">
      <c r="B3434" s="6" t="s">
        <v>13899</v>
      </c>
      <c r="D3434" s="6" t="s">
        <v>13131</v>
      </c>
      <c r="F3434" s="6" t="s">
        <v>14211</v>
      </c>
      <c r="G3434" s="6" t="str">
        <f>"13MAGSH202LMM"</f>
        <v>13MAGSH202LMM</v>
      </c>
      <c r="H3434" s="6" t="s">
        <v>14212</v>
      </c>
      <c r="I3434" s="6" t="s">
        <v>14209</v>
      </c>
      <c r="J3434" s="6" t="str">
        <f>"OVERSIZE HOOD SHIRT(LIME)"</f>
        <v>OVERSIZE HOOD SHIRT(LIME)</v>
      </c>
      <c r="K3434" s="6">
        <v>0</v>
      </c>
      <c r="L3434" s="6">
        <v>0</v>
      </c>
      <c r="M3434" s="6">
        <v>0</v>
      </c>
      <c r="N3434" s="6" t="str">
        <f>""</f>
        <v/>
      </c>
      <c r="O3434" s="6">
        <v>23078</v>
      </c>
      <c r="P3434" s="6" t="s">
        <v>14212</v>
      </c>
      <c r="R3434" s="6" t="s">
        <v>14104</v>
      </c>
      <c r="S3434" s="6" t="s">
        <v>14213</v>
      </c>
      <c r="T3434" s="6">
        <v>0</v>
      </c>
      <c r="U3434" s="6">
        <v>0</v>
      </c>
      <c r="V3434" s="6">
        <v>0</v>
      </c>
      <c r="W3434" s="6">
        <v>0</v>
      </c>
      <c r="X3434" s="6" t="s">
        <v>169</v>
      </c>
      <c r="Z3434" s="6" t="s">
        <v>170</v>
      </c>
      <c r="AA3434" s="6" t="s">
        <v>171</v>
      </c>
      <c r="AB3434" s="6">
        <v>0</v>
      </c>
      <c r="AC3434" s="6" t="str">
        <f>""</f>
        <v/>
      </c>
      <c r="AS3434" s="6">
        <v>0</v>
      </c>
      <c r="AT3434" s="6">
        <v>0</v>
      </c>
    </row>
    <row r="3435" spans="2:46">
      <c r="B3435" s="6" t="s">
        <v>13899</v>
      </c>
      <c r="D3435" s="6" t="s">
        <v>13131</v>
      </c>
      <c r="F3435" s="6" t="s">
        <v>14214</v>
      </c>
      <c r="G3435" s="6" t="str">
        <f>"13MAGSH202YEL"</f>
        <v>13MAGSH202YEL</v>
      </c>
      <c r="H3435" s="6" t="s">
        <v>14215</v>
      </c>
      <c r="I3435" s="6" t="s">
        <v>14216</v>
      </c>
      <c r="J3435" s="6" t="str">
        <f>"OVERSIZE HOOD SHIRT(YELLOW)"</f>
        <v>OVERSIZE HOOD SHIRT(YELLOW)</v>
      </c>
      <c r="K3435" s="6">
        <v>0</v>
      </c>
      <c r="L3435" s="6">
        <v>0</v>
      </c>
      <c r="M3435" s="6">
        <v>0</v>
      </c>
      <c r="N3435" s="6" t="str">
        <f>""</f>
        <v/>
      </c>
      <c r="O3435" s="6">
        <v>23076</v>
      </c>
      <c r="P3435" s="6" t="s">
        <v>14215</v>
      </c>
      <c r="R3435" s="6" t="s">
        <v>5329</v>
      </c>
      <c r="S3435" s="6" t="s">
        <v>14217</v>
      </c>
      <c r="T3435" s="6">
        <v>0</v>
      </c>
      <c r="U3435" s="6">
        <v>0</v>
      </c>
      <c r="V3435" s="6">
        <v>0</v>
      </c>
      <c r="W3435" s="6">
        <v>0</v>
      </c>
      <c r="X3435" s="6" t="s">
        <v>169</v>
      </c>
      <c r="Z3435" s="6" t="s">
        <v>170</v>
      </c>
      <c r="AA3435" s="6" t="s">
        <v>171</v>
      </c>
      <c r="AB3435" s="6">
        <v>0</v>
      </c>
      <c r="AC3435" s="6" t="str">
        <f>""</f>
        <v/>
      </c>
      <c r="AS3435" s="6">
        <v>0</v>
      </c>
      <c r="AT3435" s="6">
        <v>0</v>
      </c>
    </row>
    <row r="3436" spans="2:46">
      <c r="B3436" s="6" t="s">
        <v>13899</v>
      </c>
      <c r="D3436" s="6" t="s">
        <v>13131</v>
      </c>
      <c r="F3436" s="6" t="s">
        <v>14218</v>
      </c>
      <c r="G3436" s="6" t="str">
        <f>"13MAGSH202YEM"</f>
        <v>13MAGSH202YEM</v>
      </c>
      <c r="H3436" s="6" t="s">
        <v>14219</v>
      </c>
      <c r="I3436" s="6" t="s">
        <v>14216</v>
      </c>
      <c r="J3436" s="6" t="str">
        <f>"OVERSIZE HOOD SHIRT(YELLOW)"</f>
        <v>OVERSIZE HOOD SHIRT(YELLOW)</v>
      </c>
      <c r="K3436" s="6">
        <v>0</v>
      </c>
      <c r="L3436" s="6">
        <v>0</v>
      </c>
      <c r="M3436" s="6">
        <v>0</v>
      </c>
      <c r="N3436" s="6" t="str">
        <f>""</f>
        <v/>
      </c>
      <c r="O3436" s="6">
        <v>23075</v>
      </c>
      <c r="P3436" s="6" t="s">
        <v>14219</v>
      </c>
      <c r="R3436" s="6" t="s">
        <v>3653</v>
      </c>
      <c r="S3436" s="6" t="s">
        <v>14220</v>
      </c>
      <c r="T3436" s="6">
        <v>0</v>
      </c>
      <c r="U3436" s="6">
        <v>0</v>
      </c>
      <c r="V3436" s="6">
        <v>0</v>
      </c>
      <c r="W3436" s="6">
        <v>0</v>
      </c>
      <c r="X3436" s="6" t="s">
        <v>169</v>
      </c>
      <c r="Z3436" s="6" t="s">
        <v>170</v>
      </c>
      <c r="AA3436" s="6" t="s">
        <v>171</v>
      </c>
      <c r="AB3436" s="6">
        <v>0</v>
      </c>
      <c r="AC3436" s="6" t="str">
        <f>""</f>
        <v/>
      </c>
      <c r="AS3436" s="6">
        <v>0</v>
      </c>
      <c r="AT3436" s="6">
        <v>0</v>
      </c>
    </row>
    <row r="3437" spans="2:46">
      <c r="B3437" s="6" t="s">
        <v>14221</v>
      </c>
      <c r="D3437" s="6" t="s">
        <v>13131</v>
      </c>
      <c r="F3437" s="6" t="s">
        <v>14222</v>
      </c>
      <c r="G3437" s="6" t="str">
        <f>"8809276018847"</f>
        <v>8809276018847</v>
      </c>
      <c r="H3437" s="6">
        <v>8809276018847</v>
      </c>
      <c r="I3437" s="6" t="s">
        <v>14223</v>
      </c>
      <c r="J3437" s="6" t="str">
        <f>"써틴먼스 에어쿠션 블러셔 러블리 베이비핑크(13MONTH Air Cushion Blusher)"</f>
        <v>써틴먼스 에어쿠션 블러셔 러블리 베이비핑크(13MONTH Air Cushion Blusher)</v>
      </c>
      <c r="K3437" s="6">
        <v>0</v>
      </c>
      <c r="L3437" s="6">
        <v>0</v>
      </c>
      <c r="M3437" s="6">
        <v>0</v>
      </c>
      <c r="N3437" s="6" t="str">
        <f>""</f>
        <v/>
      </c>
      <c r="O3437" s="6">
        <v>23073</v>
      </c>
      <c r="P3437" s="6" t="s">
        <v>14224</v>
      </c>
      <c r="R3437" s="6" t="s">
        <v>14225</v>
      </c>
      <c r="S3437" s="6" t="s">
        <v>14226</v>
      </c>
      <c r="T3437" s="6">
        <v>0</v>
      </c>
      <c r="U3437" s="6">
        <v>0</v>
      </c>
      <c r="V3437" s="6">
        <v>0</v>
      </c>
      <c r="W3437" s="6">
        <v>0</v>
      </c>
      <c r="X3437" s="6" t="s">
        <v>169</v>
      </c>
      <c r="Z3437" s="6" t="s">
        <v>170</v>
      </c>
      <c r="AA3437" s="6" t="s">
        <v>171</v>
      </c>
      <c r="AB3437" s="6">
        <v>0</v>
      </c>
      <c r="AC3437" s="6" t="str">
        <f>""</f>
        <v/>
      </c>
      <c r="AS3437" s="6">
        <v>0</v>
      </c>
      <c r="AT3437" s="6">
        <v>0</v>
      </c>
    </row>
    <row r="3438" spans="2:46">
      <c r="B3438" s="6" t="s">
        <v>14221</v>
      </c>
      <c r="D3438" s="6" t="s">
        <v>13131</v>
      </c>
      <c r="F3438" s="6" t="s">
        <v>14227</v>
      </c>
      <c r="G3438" s="6" t="str">
        <f>"8809276018830"</f>
        <v>8809276018830</v>
      </c>
      <c r="H3438" s="6">
        <v>8809276018830</v>
      </c>
      <c r="I3438" s="6" t="s">
        <v>14228</v>
      </c>
      <c r="J3438" s="6" t="str">
        <f>"써틴먼스 스킨쉽 스팀 쿠션 SPF50+ PA+++ 15g (13MONTH Skinship Steam Cushion)"</f>
        <v>써틴먼스 스킨쉽 스팀 쿠션 SPF50+ PA+++ 15g (13MONTH Skinship Steam Cushion)</v>
      </c>
      <c r="K3438" s="6">
        <v>0</v>
      </c>
      <c r="L3438" s="6">
        <v>0</v>
      </c>
      <c r="M3438" s="6">
        <v>0</v>
      </c>
      <c r="N3438" s="6" t="str">
        <f>""</f>
        <v/>
      </c>
      <c r="O3438" s="6">
        <v>23071</v>
      </c>
      <c r="P3438" s="6" t="s">
        <v>14229</v>
      </c>
      <c r="R3438" s="6" t="s">
        <v>14230</v>
      </c>
      <c r="S3438" s="6" t="s">
        <v>14231</v>
      </c>
      <c r="T3438" s="6">
        <v>0</v>
      </c>
      <c r="U3438" s="6">
        <v>0</v>
      </c>
      <c r="V3438" s="6">
        <v>0</v>
      </c>
      <c r="W3438" s="6">
        <v>0</v>
      </c>
      <c r="X3438" s="6" t="s">
        <v>169</v>
      </c>
      <c r="Z3438" s="6" t="s">
        <v>170</v>
      </c>
      <c r="AA3438" s="6" t="s">
        <v>171</v>
      </c>
      <c r="AB3438" s="6">
        <v>0</v>
      </c>
      <c r="AC3438" s="6" t="str">
        <f>""</f>
        <v/>
      </c>
      <c r="AS3438" s="6">
        <v>0</v>
      </c>
      <c r="AT3438" s="6">
        <v>0</v>
      </c>
    </row>
    <row r="3439" spans="2:46">
      <c r="B3439" s="6" t="s">
        <v>14221</v>
      </c>
      <c r="D3439" s="6" t="s">
        <v>13131</v>
      </c>
      <c r="F3439" s="6" t="s">
        <v>14232</v>
      </c>
      <c r="G3439" s="6" t="str">
        <f>"8809276018823"</f>
        <v>8809276018823</v>
      </c>
      <c r="H3439" s="6">
        <v>8809276018823</v>
      </c>
      <c r="I3439" s="6" t="s">
        <v>14228</v>
      </c>
      <c r="J3439" s="6" t="str">
        <f>"써틴먼스 스킨쉽 스팀 쿠션 SPF50+ PA+++ 15g (13MONTH Skinship Steam Cushion)"</f>
        <v>써틴먼스 스킨쉽 스팀 쿠션 SPF50+ PA+++ 15g (13MONTH Skinship Steam Cushion)</v>
      </c>
      <c r="K3439" s="6">
        <v>0</v>
      </c>
      <c r="L3439" s="6">
        <v>0</v>
      </c>
      <c r="M3439" s="6">
        <v>0</v>
      </c>
      <c r="N3439" s="6" t="str">
        <f>""</f>
        <v/>
      </c>
      <c r="O3439" s="6">
        <v>23070</v>
      </c>
      <c r="P3439" s="6" t="s">
        <v>14233</v>
      </c>
      <c r="R3439" s="6" t="s">
        <v>14234</v>
      </c>
      <c r="S3439" s="6" t="s">
        <v>14235</v>
      </c>
      <c r="T3439" s="6">
        <v>0</v>
      </c>
      <c r="U3439" s="6">
        <v>0</v>
      </c>
      <c r="V3439" s="6">
        <v>0</v>
      </c>
      <c r="W3439" s="6">
        <v>0</v>
      </c>
      <c r="X3439" s="6" t="s">
        <v>169</v>
      </c>
      <c r="Z3439" s="6" t="s">
        <v>170</v>
      </c>
      <c r="AA3439" s="6" t="s">
        <v>171</v>
      </c>
      <c r="AB3439" s="6">
        <v>0</v>
      </c>
      <c r="AC3439" s="6" t="str">
        <f>""</f>
        <v/>
      </c>
      <c r="AS3439" s="6">
        <v>0</v>
      </c>
      <c r="AT3439" s="6">
        <v>0</v>
      </c>
    </row>
    <row r="3440" spans="2:46">
      <c r="B3440" s="6" t="s">
        <v>14221</v>
      </c>
      <c r="D3440" s="6" t="s">
        <v>13131</v>
      </c>
      <c r="F3440" s="6" t="s">
        <v>14236</v>
      </c>
      <c r="G3440" s="6" t="str">
        <f>"8809526840051"</f>
        <v>8809526840051</v>
      </c>
      <c r="H3440" s="6">
        <v>8809526840051</v>
      </c>
      <c r="I3440" s="6" t="s">
        <v>14237</v>
      </c>
      <c r="J3440" s="6" t="str">
        <f>"써틴먼스 아이섀도우 아몬드 느와르 5g 음영섀도우 팔레트(13MONTH Daily Contouring Eye Shadow)"</f>
        <v>써틴먼스 아이섀도우 아몬드 느와르 5g 음영섀도우 팔레트(13MONTH Daily Contouring Eye Shadow)</v>
      </c>
      <c r="K3440" s="6">
        <v>0</v>
      </c>
      <c r="L3440" s="6">
        <v>0</v>
      </c>
      <c r="M3440" s="6">
        <v>0</v>
      </c>
      <c r="N3440" s="6" t="str">
        <f>""</f>
        <v/>
      </c>
      <c r="O3440" s="6">
        <v>23068</v>
      </c>
      <c r="P3440" s="6" t="s">
        <v>14238</v>
      </c>
      <c r="R3440" s="6" t="s">
        <v>14239</v>
      </c>
      <c r="S3440" s="6" t="s">
        <v>14240</v>
      </c>
      <c r="T3440" s="6">
        <v>0</v>
      </c>
      <c r="U3440" s="6">
        <v>0</v>
      </c>
      <c r="V3440" s="6">
        <v>0</v>
      </c>
      <c r="W3440" s="6">
        <v>0</v>
      </c>
      <c r="X3440" s="6" t="s">
        <v>169</v>
      </c>
      <c r="Z3440" s="6" t="s">
        <v>170</v>
      </c>
      <c r="AA3440" s="6" t="s">
        <v>171</v>
      </c>
      <c r="AB3440" s="6">
        <v>0</v>
      </c>
      <c r="AC3440" s="6" t="str">
        <f>""</f>
        <v/>
      </c>
      <c r="AS3440" s="6">
        <v>0</v>
      </c>
      <c r="AT3440" s="6">
        <v>0</v>
      </c>
    </row>
    <row r="3441" spans="2:46">
      <c r="B3441" s="6" t="s">
        <v>14221</v>
      </c>
      <c r="D3441" s="6" t="s">
        <v>13131</v>
      </c>
      <c r="F3441" s="6" t="s">
        <v>14241</v>
      </c>
      <c r="G3441" s="6" t="str">
        <f>"8809526840068"</f>
        <v>8809526840068</v>
      </c>
      <c r="H3441" s="6">
        <v>8809526840068</v>
      </c>
      <c r="I3441" s="6" t="s">
        <v>14242</v>
      </c>
      <c r="J3441" s="6" t="str">
        <f>"써틴먼스 아이섀도우 핑크 윙크 투나잇 5g 펄섀도우 팔레트(13MONTH Daily Contouring Pearl Eye Shadow)"</f>
        <v>써틴먼스 아이섀도우 핑크 윙크 투나잇 5g 펄섀도우 팔레트(13MONTH Daily Contouring Pearl Eye Shadow)</v>
      </c>
      <c r="K3441" s="6">
        <v>0</v>
      </c>
      <c r="L3441" s="6">
        <v>0</v>
      </c>
      <c r="M3441" s="6">
        <v>0</v>
      </c>
      <c r="N3441" s="6" t="str">
        <f>""</f>
        <v/>
      </c>
      <c r="O3441" s="6">
        <v>23066</v>
      </c>
      <c r="P3441" s="6" t="s">
        <v>14243</v>
      </c>
      <c r="R3441" s="6" t="s">
        <v>14239</v>
      </c>
      <c r="S3441" s="6" t="s">
        <v>14244</v>
      </c>
      <c r="T3441" s="6">
        <v>0</v>
      </c>
      <c r="U3441" s="6">
        <v>0</v>
      </c>
      <c r="V3441" s="6">
        <v>0</v>
      </c>
      <c r="W3441" s="6">
        <v>0</v>
      </c>
      <c r="X3441" s="6" t="s">
        <v>169</v>
      </c>
      <c r="Z3441" s="6" t="s">
        <v>170</v>
      </c>
      <c r="AA3441" s="6" t="s">
        <v>171</v>
      </c>
      <c r="AB3441" s="6">
        <v>0</v>
      </c>
      <c r="AC3441" s="6" t="str">
        <f>""</f>
        <v/>
      </c>
      <c r="AS3441" s="6">
        <v>0</v>
      </c>
      <c r="AT3441" s="6">
        <v>0</v>
      </c>
    </row>
    <row r="3442" spans="2:46">
      <c r="B3442" s="6" t="s">
        <v>14221</v>
      </c>
      <c r="D3442" s="6" t="s">
        <v>13131</v>
      </c>
      <c r="F3442" s="6" t="s">
        <v>14245</v>
      </c>
      <c r="G3442" s="6" t="str">
        <f>"8809526840037"</f>
        <v>8809526840037</v>
      </c>
      <c r="H3442" s="6">
        <v>8809526840037</v>
      </c>
      <c r="I3442" s="6" t="s">
        <v>14246</v>
      </c>
      <c r="J3442" s="6" t="str">
        <f>"써틴먼스 매트립스틱 매트 드라이 로즈 3.5g (13MONTH Matt Lipstick)"</f>
        <v>써틴먼스 매트립스틱 매트 드라이 로즈 3.5g (13MONTH Matt Lipstick)</v>
      </c>
      <c r="K3442" s="6">
        <v>0</v>
      </c>
      <c r="L3442" s="6">
        <v>0</v>
      </c>
      <c r="M3442" s="6">
        <v>0</v>
      </c>
      <c r="N3442" s="6" t="str">
        <f>""</f>
        <v/>
      </c>
      <c r="O3442" s="6">
        <v>23064</v>
      </c>
      <c r="P3442" s="6" t="s">
        <v>14247</v>
      </c>
      <c r="R3442" s="6" t="s">
        <v>14248</v>
      </c>
      <c r="S3442" s="6" t="s">
        <v>14249</v>
      </c>
      <c r="T3442" s="6">
        <v>0</v>
      </c>
      <c r="U3442" s="6">
        <v>0</v>
      </c>
      <c r="V3442" s="6">
        <v>0</v>
      </c>
      <c r="W3442" s="6">
        <v>0</v>
      </c>
      <c r="X3442" s="6" t="s">
        <v>169</v>
      </c>
      <c r="Z3442" s="6" t="s">
        <v>170</v>
      </c>
      <c r="AA3442" s="6" t="s">
        <v>171</v>
      </c>
      <c r="AB3442" s="6">
        <v>0</v>
      </c>
      <c r="AC3442" s="6" t="str">
        <f>""</f>
        <v/>
      </c>
      <c r="AS3442" s="6">
        <v>0</v>
      </c>
      <c r="AT3442" s="6">
        <v>0</v>
      </c>
    </row>
    <row r="3443" spans="2:46">
      <c r="B3443" s="6" t="s">
        <v>14221</v>
      </c>
      <c r="D3443" s="6" t="s">
        <v>13131</v>
      </c>
      <c r="F3443" s="6" t="s">
        <v>14250</v>
      </c>
      <c r="G3443" s="6" t="str">
        <f>"8809526840044"</f>
        <v>8809526840044</v>
      </c>
      <c r="H3443" s="6">
        <v>8809526840044</v>
      </c>
      <c r="I3443" s="6" t="s">
        <v>14251</v>
      </c>
      <c r="J3443" s="6" t="str">
        <f>"써틴먼스 글로시립스틱 시스루 누드 핑크 3.5g (13MONTH Glossy Lipstick)"</f>
        <v>써틴먼스 글로시립스틱 시스루 누드 핑크 3.5g (13MONTH Glossy Lipstick)</v>
      </c>
      <c r="K3443" s="6">
        <v>0</v>
      </c>
      <c r="L3443" s="6">
        <v>0</v>
      </c>
      <c r="M3443" s="6">
        <v>0</v>
      </c>
      <c r="N3443" s="6" t="str">
        <f>""</f>
        <v/>
      </c>
      <c r="O3443" s="6">
        <v>23062</v>
      </c>
      <c r="P3443" s="6" t="s">
        <v>14252</v>
      </c>
      <c r="R3443" s="6" t="s">
        <v>14253</v>
      </c>
      <c r="S3443" s="6" t="s">
        <v>14254</v>
      </c>
      <c r="T3443" s="6">
        <v>0</v>
      </c>
      <c r="U3443" s="6">
        <v>0</v>
      </c>
      <c r="V3443" s="6">
        <v>0</v>
      </c>
      <c r="W3443" s="6">
        <v>0</v>
      </c>
      <c r="X3443" s="6" t="s">
        <v>169</v>
      </c>
      <c r="Z3443" s="6" t="s">
        <v>170</v>
      </c>
      <c r="AA3443" s="6" t="s">
        <v>171</v>
      </c>
      <c r="AB3443" s="6">
        <v>0</v>
      </c>
      <c r="AC3443" s="6" t="str">
        <f>""</f>
        <v/>
      </c>
      <c r="AS3443" s="6">
        <v>0</v>
      </c>
      <c r="AT3443" s="6">
        <v>0</v>
      </c>
    </row>
    <row r="3444" spans="2:46">
      <c r="B3444" s="6" t="s">
        <v>14221</v>
      </c>
      <c r="D3444" s="6" t="s">
        <v>13131</v>
      </c>
      <c r="F3444" s="6" t="s">
        <v>14255</v>
      </c>
      <c r="G3444" s="6" t="str">
        <f>"8809526840020"</f>
        <v>8809526840020</v>
      </c>
      <c r="H3444" s="6">
        <v>8809526840020</v>
      </c>
      <c r="I3444" s="6" t="s">
        <v>14256</v>
      </c>
      <c r="J3444" s="6" t="str">
        <f>"써틴먼스 오리지널립스틱 레트로 플럼 바이올렛 3.5g (13MONTH Original Lipstick)"</f>
        <v>써틴먼스 오리지널립스틱 레트로 플럼 바이올렛 3.5g (13MONTH Original Lipstick)</v>
      </c>
      <c r="K3444" s="6">
        <v>0</v>
      </c>
      <c r="L3444" s="6">
        <v>0</v>
      </c>
      <c r="M3444" s="6">
        <v>0</v>
      </c>
      <c r="N3444" s="6" t="str">
        <f>""</f>
        <v/>
      </c>
      <c r="O3444" s="6">
        <v>23060</v>
      </c>
      <c r="P3444" s="6" t="s">
        <v>14257</v>
      </c>
      <c r="R3444" s="6" t="s">
        <v>14258</v>
      </c>
      <c r="S3444" s="6" t="s">
        <v>14259</v>
      </c>
      <c r="T3444" s="6">
        <v>0</v>
      </c>
      <c r="U3444" s="6">
        <v>0</v>
      </c>
      <c r="V3444" s="6">
        <v>0</v>
      </c>
      <c r="W3444" s="6">
        <v>0</v>
      </c>
      <c r="X3444" s="6" t="s">
        <v>169</v>
      </c>
      <c r="Z3444" s="6" t="s">
        <v>170</v>
      </c>
      <c r="AA3444" s="6" t="s">
        <v>171</v>
      </c>
      <c r="AB3444" s="6">
        <v>0</v>
      </c>
      <c r="AC3444" s="6" t="str">
        <f>""</f>
        <v/>
      </c>
      <c r="AS3444" s="6">
        <v>0</v>
      </c>
      <c r="AT3444" s="6">
        <v>0</v>
      </c>
    </row>
    <row r="3445" spans="2:46">
      <c r="B3445" s="6" t="s">
        <v>14221</v>
      </c>
      <c r="D3445" s="6" t="s">
        <v>13131</v>
      </c>
      <c r="F3445" s="6" t="s">
        <v>14260</v>
      </c>
      <c r="G3445" s="6" t="str">
        <f>"8809526840082"</f>
        <v>8809526840082</v>
      </c>
      <c r="H3445" s="6">
        <v>8809526840082</v>
      </c>
      <c r="I3445" s="6" t="s">
        <v>14261</v>
      </c>
      <c r="J3445" s="6" t="str">
        <f>"써틴먼스 벨벳 립락커 벨벳 베이비 핑크 5g (13MONTH Lip Laquer No.3)"</f>
        <v>써틴먼스 벨벳 립락커 벨벳 베이비 핑크 5g (13MONTH Lip Laquer No.3)</v>
      </c>
      <c r="K3445" s="6">
        <v>0</v>
      </c>
      <c r="L3445" s="6">
        <v>0</v>
      </c>
      <c r="M3445" s="6">
        <v>0</v>
      </c>
      <c r="N3445" s="6" t="str">
        <f>""</f>
        <v/>
      </c>
      <c r="O3445" s="6">
        <v>23058</v>
      </c>
      <c r="P3445" s="6" t="s">
        <v>14262</v>
      </c>
      <c r="R3445" s="6" t="s">
        <v>14225</v>
      </c>
      <c r="S3445" s="6" t="s">
        <v>14263</v>
      </c>
      <c r="T3445" s="6">
        <v>0</v>
      </c>
      <c r="U3445" s="6">
        <v>0</v>
      </c>
      <c r="V3445" s="6">
        <v>0</v>
      </c>
      <c r="W3445" s="6">
        <v>0</v>
      </c>
      <c r="X3445" s="6" t="s">
        <v>169</v>
      </c>
      <c r="Z3445" s="6" t="s">
        <v>170</v>
      </c>
      <c r="AA3445" s="6" t="s">
        <v>171</v>
      </c>
      <c r="AB3445" s="6">
        <v>0</v>
      </c>
      <c r="AC3445" s="6" t="str">
        <f>""</f>
        <v/>
      </c>
      <c r="AS3445" s="6">
        <v>0</v>
      </c>
      <c r="AT3445" s="6">
        <v>0</v>
      </c>
    </row>
    <row r="3446" spans="2:46">
      <c r="B3446" s="6" t="s">
        <v>14221</v>
      </c>
      <c r="D3446" s="6" t="s">
        <v>13131</v>
      </c>
      <c r="F3446" s="6" t="s">
        <v>14264</v>
      </c>
      <c r="G3446" s="6" t="str">
        <f>"8809526840075"</f>
        <v>8809526840075</v>
      </c>
      <c r="H3446" s="6">
        <v>8809526840075</v>
      </c>
      <c r="I3446" s="6" t="s">
        <v>14265</v>
      </c>
      <c r="J3446" s="6" t="str">
        <f>"써틴먼스 벨벳 립락커 벨벳 로즈 블러드 5g (13MONTH Lip Laquer No.2)"</f>
        <v>써틴먼스 벨벳 립락커 벨벳 로즈 블러드 5g (13MONTH Lip Laquer No.2)</v>
      </c>
      <c r="K3446" s="6">
        <v>0</v>
      </c>
      <c r="L3446" s="6">
        <v>0</v>
      </c>
      <c r="M3446" s="6">
        <v>0</v>
      </c>
      <c r="N3446" s="6" t="str">
        <f>""</f>
        <v/>
      </c>
      <c r="O3446" s="6">
        <v>23056</v>
      </c>
      <c r="P3446" s="6" t="s">
        <v>14266</v>
      </c>
      <c r="R3446" s="6" t="s">
        <v>14267</v>
      </c>
      <c r="S3446" s="6" t="s">
        <v>14268</v>
      </c>
      <c r="T3446" s="6">
        <v>0</v>
      </c>
      <c r="U3446" s="6">
        <v>0</v>
      </c>
      <c r="V3446" s="6">
        <v>0</v>
      </c>
      <c r="W3446" s="6">
        <v>0</v>
      </c>
      <c r="X3446" s="6" t="s">
        <v>169</v>
      </c>
      <c r="Z3446" s="6" t="s">
        <v>170</v>
      </c>
      <c r="AA3446" s="6" t="s">
        <v>171</v>
      </c>
      <c r="AB3446" s="6">
        <v>0</v>
      </c>
      <c r="AC3446" s="6" t="str">
        <f>""</f>
        <v/>
      </c>
      <c r="AS3446" s="6">
        <v>0</v>
      </c>
      <c r="AT3446" s="6">
        <v>0</v>
      </c>
    </row>
    <row r="3447" spans="2:46">
      <c r="B3447" s="6" t="s">
        <v>14221</v>
      </c>
      <c r="D3447" s="6" t="s">
        <v>13131</v>
      </c>
      <c r="F3447" s="6" t="s">
        <v>14269</v>
      </c>
      <c r="G3447" s="6" t="str">
        <f>"8809526840006"</f>
        <v>8809526840006</v>
      </c>
      <c r="H3447" s="6">
        <v>8809526840006</v>
      </c>
      <c r="I3447" s="6" t="s">
        <v>14270</v>
      </c>
      <c r="J3447" s="6" t="str">
        <f>"써틴먼스 벨벳 립락커 벨벳 밀크 마르살라 5g (13MONTH Lip Laquer No.1)"</f>
        <v>써틴먼스 벨벳 립락커 벨벳 밀크 마르살라 5g (13MONTH Lip Laquer No.1)</v>
      </c>
      <c r="K3447" s="6">
        <v>0</v>
      </c>
      <c r="L3447" s="6">
        <v>0</v>
      </c>
      <c r="M3447" s="6">
        <v>0</v>
      </c>
      <c r="N3447" s="6" t="str">
        <f>""</f>
        <v/>
      </c>
      <c r="O3447" s="6">
        <v>23054</v>
      </c>
      <c r="P3447" s="6" t="s">
        <v>14271</v>
      </c>
      <c r="R3447" s="6" t="s">
        <v>14272</v>
      </c>
      <c r="S3447" s="6" t="s">
        <v>14273</v>
      </c>
      <c r="T3447" s="6">
        <v>0</v>
      </c>
      <c r="U3447" s="6">
        <v>0</v>
      </c>
      <c r="V3447" s="6">
        <v>0</v>
      </c>
      <c r="W3447" s="6">
        <v>0</v>
      </c>
      <c r="X3447" s="6" t="s">
        <v>169</v>
      </c>
      <c r="Z3447" s="6" t="s">
        <v>170</v>
      </c>
      <c r="AA3447" s="6" t="s">
        <v>171</v>
      </c>
      <c r="AB3447" s="6">
        <v>0</v>
      </c>
      <c r="AC3447" s="6" t="str">
        <f>""</f>
        <v/>
      </c>
      <c r="AS3447" s="6">
        <v>0</v>
      </c>
      <c r="AT3447" s="6">
        <v>0</v>
      </c>
    </row>
    <row r="3448" spans="2:46" ht="198">
      <c r="B3448" s="6" t="s">
        <v>14221</v>
      </c>
      <c r="D3448" s="6" t="s">
        <v>13131</v>
      </c>
      <c r="F3448" s="6" t="s">
        <v>14274</v>
      </c>
      <c r="G3448" s="6" t="str">
        <f>"8809526840099"</f>
        <v>8809526840099</v>
      </c>
      <c r="H3448" s="6">
        <v>8809526840099</v>
      </c>
      <c r="I3448" s="7" t="s">
        <v>14275</v>
      </c>
      <c r="J3448" s="6" t="str">
        <f>"써틴먼스 글램 썸 라이팅 펄 네일 컬렉션
(13MONTH Glam Some Lighting Pearl Nail Collection)"</f>
        <v>써틴먼스 글램 썸 라이팅 펄 네일 컬렉션
(13MONTH Glam Some Lighting Pearl Nail Collection)</v>
      </c>
      <c r="K3448" s="6">
        <v>0</v>
      </c>
      <c r="L3448" s="6">
        <v>0</v>
      </c>
      <c r="M3448" s="6">
        <v>0</v>
      </c>
      <c r="N3448" s="6" t="str">
        <f>""</f>
        <v/>
      </c>
      <c r="O3448" s="6">
        <v>23052</v>
      </c>
      <c r="P3448" s="6" t="s">
        <v>14276</v>
      </c>
      <c r="R3448" s="6" t="s">
        <v>14277</v>
      </c>
      <c r="S3448" s="7" t="s">
        <v>14278</v>
      </c>
      <c r="T3448" s="6">
        <v>0</v>
      </c>
      <c r="U3448" s="6">
        <v>0</v>
      </c>
      <c r="V3448" s="6">
        <v>0</v>
      </c>
      <c r="W3448" s="6">
        <v>0</v>
      </c>
      <c r="X3448" s="6" t="s">
        <v>169</v>
      </c>
      <c r="Z3448" s="6" t="s">
        <v>170</v>
      </c>
      <c r="AA3448" s="6" t="s">
        <v>171</v>
      </c>
      <c r="AB3448" s="6">
        <v>0</v>
      </c>
      <c r="AC3448" s="6" t="str">
        <f>""</f>
        <v/>
      </c>
      <c r="AS3448" s="6">
        <v>0</v>
      </c>
      <c r="AT3448" s="6">
        <v>0</v>
      </c>
    </row>
    <row r="3449" spans="2:46" ht="198">
      <c r="B3449" s="6" t="s">
        <v>14221</v>
      </c>
      <c r="D3449" s="6" t="s">
        <v>13131</v>
      </c>
      <c r="F3449" s="6" t="s">
        <v>14279</v>
      </c>
      <c r="G3449" s="6" t="str">
        <f>"8809526840013"</f>
        <v>8809526840013</v>
      </c>
      <c r="H3449" s="6">
        <v>8809526840013</v>
      </c>
      <c r="I3449" s="7" t="s">
        <v>14280</v>
      </c>
      <c r="J3449" s="6" t="str">
        <f>"써틴먼스 글램 썸 라이팅 베이스 네일 컬렉션
(13MONTH Glam Some Lighting Base Nail Collection)"</f>
        <v>써틴먼스 글램 썸 라이팅 베이스 네일 컬렉션
(13MONTH Glam Some Lighting Base Nail Collection)</v>
      </c>
      <c r="K3449" s="6">
        <v>0</v>
      </c>
      <c r="L3449" s="6">
        <v>0</v>
      </c>
      <c r="M3449" s="6">
        <v>0</v>
      </c>
      <c r="N3449" s="6" t="str">
        <f>""</f>
        <v/>
      </c>
      <c r="O3449" s="6">
        <v>23050</v>
      </c>
      <c r="P3449" s="6" t="s">
        <v>14281</v>
      </c>
      <c r="R3449" s="6" t="s">
        <v>14277</v>
      </c>
      <c r="S3449" s="7" t="s">
        <v>14282</v>
      </c>
      <c r="T3449" s="6">
        <v>0</v>
      </c>
      <c r="U3449" s="6">
        <v>0</v>
      </c>
      <c r="V3449" s="6">
        <v>0</v>
      </c>
      <c r="W3449" s="6">
        <v>0</v>
      </c>
      <c r="X3449" s="6" t="s">
        <v>169</v>
      </c>
      <c r="Z3449" s="6" t="s">
        <v>170</v>
      </c>
      <c r="AA3449" s="6" t="s">
        <v>171</v>
      </c>
      <c r="AB3449" s="6">
        <v>0</v>
      </c>
      <c r="AC3449" s="6" t="str">
        <f>""</f>
        <v/>
      </c>
      <c r="AS3449" s="6">
        <v>0</v>
      </c>
      <c r="AT3449" s="6">
        <v>0</v>
      </c>
    </row>
    <row r="3450" spans="2:46">
      <c r="B3450" s="6" t="s">
        <v>13899</v>
      </c>
      <c r="D3450" s="6" t="s">
        <v>13131</v>
      </c>
      <c r="F3450" s="6" t="s">
        <v>14283</v>
      </c>
      <c r="G3450" s="6" t="str">
        <f>"17S0178L"</f>
        <v>17S0178L</v>
      </c>
      <c r="H3450" s="6" t="s">
        <v>14284</v>
      </c>
      <c r="I3450" s="6" t="s">
        <v>14285</v>
      </c>
      <c r="J3450" s="6" t="str">
        <f>"17hot summer studded denim trucker jacket"</f>
        <v>17hot summer studded denim trucker jacket</v>
      </c>
      <c r="K3450" s="6">
        <v>0</v>
      </c>
      <c r="L3450" s="6">
        <v>0</v>
      </c>
      <c r="M3450" s="6">
        <v>0</v>
      </c>
      <c r="N3450" s="6" t="str">
        <f>""</f>
        <v/>
      </c>
      <c r="O3450" s="6">
        <v>23048</v>
      </c>
      <c r="P3450" s="6" t="s">
        <v>14284</v>
      </c>
      <c r="R3450" s="6" t="s">
        <v>5275</v>
      </c>
      <c r="S3450" s="6" t="s">
        <v>14286</v>
      </c>
      <c r="T3450" s="6">
        <v>0</v>
      </c>
      <c r="U3450" s="6">
        <v>0</v>
      </c>
      <c r="V3450" s="6">
        <v>0</v>
      </c>
      <c r="W3450" s="6">
        <v>0</v>
      </c>
      <c r="X3450" s="6" t="s">
        <v>169</v>
      </c>
      <c r="Z3450" s="6" t="s">
        <v>170</v>
      </c>
      <c r="AA3450" s="6" t="s">
        <v>171</v>
      </c>
      <c r="AB3450" s="6">
        <v>0</v>
      </c>
      <c r="AC3450" s="6" t="str">
        <f>""</f>
        <v/>
      </c>
      <c r="AS3450" s="6">
        <v>0</v>
      </c>
      <c r="AT3450" s="6">
        <v>0</v>
      </c>
    </row>
    <row r="3451" spans="2:46">
      <c r="B3451" s="6" t="s">
        <v>13899</v>
      </c>
      <c r="D3451" s="6" t="s">
        <v>13131</v>
      </c>
      <c r="F3451" s="6" t="s">
        <v>14287</v>
      </c>
      <c r="G3451" s="6" t="str">
        <f>"17S0178M"</f>
        <v>17S0178M</v>
      </c>
      <c r="H3451" s="6" t="s">
        <v>14288</v>
      </c>
      <c r="I3451" s="6" t="s">
        <v>14285</v>
      </c>
      <c r="J3451" s="6" t="str">
        <f>"17hot summer studded denim trucker jacket"</f>
        <v>17hot summer studded denim trucker jacket</v>
      </c>
      <c r="K3451" s="6">
        <v>0</v>
      </c>
      <c r="L3451" s="6">
        <v>0</v>
      </c>
      <c r="M3451" s="6">
        <v>0</v>
      </c>
      <c r="N3451" s="6" t="str">
        <f>""</f>
        <v/>
      </c>
      <c r="O3451" s="6">
        <v>23047</v>
      </c>
      <c r="P3451" s="6" t="s">
        <v>14288</v>
      </c>
      <c r="R3451" s="6" t="s">
        <v>5340</v>
      </c>
      <c r="S3451" s="6" t="s">
        <v>14289</v>
      </c>
      <c r="T3451" s="6">
        <v>0</v>
      </c>
      <c r="U3451" s="6">
        <v>0</v>
      </c>
      <c r="V3451" s="6">
        <v>0</v>
      </c>
      <c r="W3451" s="6">
        <v>0</v>
      </c>
      <c r="X3451" s="6" t="s">
        <v>169</v>
      </c>
      <c r="Z3451" s="6" t="s">
        <v>170</v>
      </c>
      <c r="AA3451" s="6" t="s">
        <v>171</v>
      </c>
      <c r="AB3451" s="6">
        <v>0</v>
      </c>
      <c r="AC3451" s="6" t="str">
        <f>""</f>
        <v/>
      </c>
      <c r="AS3451" s="6">
        <v>0</v>
      </c>
      <c r="AT3451" s="6">
        <v>0</v>
      </c>
    </row>
    <row r="3452" spans="2:46">
      <c r="B3452" s="6" t="s">
        <v>13899</v>
      </c>
      <c r="D3452" s="6" t="s">
        <v>13131</v>
      </c>
      <c r="F3452" s="6" t="s">
        <v>14290</v>
      </c>
      <c r="G3452" s="6" t="str">
        <f>"17S0177XL"</f>
        <v>17S0177XL</v>
      </c>
      <c r="H3452" s="6" t="s">
        <v>14291</v>
      </c>
      <c r="I3452" s="6" t="s">
        <v>14292</v>
      </c>
      <c r="J3452" s="6" t="str">
        <f>"17hot summer stone washing light indigo denim pants"</f>
        <v>17hot summer stone washing light indigo denim pants</v>
      </c>
      <c r="K3452" s="6">
        <v>0</v>
      </c>
      <c r="L3452" s="6">
        <v>0</v>
      </c>
      <c r="M3452" s="6">
        <v>0</v>
      </c>
      <c r="N3452" s="6" t="str">
        <f>""</f>
        <v/>
      </c>
      <c r="O3452" s="6">
        <v>23045</v>
      </c>
      <c r="P3452" s="6" t="s">
        <v>14291</v>
      </c>
      <c r="R3452" s="6" t="s">
        <v>14293</v>
      </c>
      <c r="S3452" s="6" t="s">
        <v>14294</v>
      </c>
      <c r="T3452" s="6">
        <v>0</v>
      </c>
      <c r="U3452" s="6">
        <v>0</v>
      </c>
      <c r="V3452" s="6">
        <v>0</v>
      </c>
      <c r="W3452" s="6">
        <v>0</v>
      </c>
      <c r="X3452" s="6" t="s">
        <v>169</v>
      </c>
      <c r="Z3452" s="6" t="s">
        <v>170</v>
      </c>
      <c r="AA3452" s="6" t="s">
        <v>171</v>
      </c>
      <c r="AB3452" s="6">
        <v>0</v>
      </c>
      <c r="AC3452" s="6" t="str">
        <f>""</f>
        <v/>
      </c>
      <c r="AS3452" s="6">
        <v>0</v>
      </c>
      <c r="AT3452" s="6">
        <v>0</v>
      </c>
    </row>
    <row r="3453" spans="2:46">
      <c r="B3453" s="6" t="s">
        <v>13899</v>
      </c>
      <c r="D3453" s="6" t="s">
        <v>13131</v>
      </c>
      <c r="F3453" s="6" t="s">
        <v>14295</v>
      </c>
      <c r="G3453" s="6" t="str">
        <f>"17S0177L"</f>
        <v>17S0177L</v>
      </c>
      <c r="H3453" s="6" t="s">
        <v>14296</v>
      </c>
      <c r="I3453" s="6" t="s">
        <v>14292</v>
      </c>
      <c r="J3453" s="6" t="str">
        <f>"17hot summer stone washing light indigo denim pants"</f>
        <v>17hot summer stone washing light indigo denim pants</v>
      </c>
      <c r="K3453" s="6">
        <v>0</v>
      </c>
      <c r="L3453" s="6">
        <v>0</v>
      </c>
      <c r="M3453" s="6">
        <v>0</v>
      </c>
      <c r="N3453" s="6" t="str">
        <f>""</f>
        <v/>
      </c>
      <c r="O3453" s="6">
        <v>23044</v>
      </c>
      <c r="P3453" s="6" t="s">
        <v>14296</v>
      </c>
      <c r="R3453" s="6" t="s">
        <v>14297</v>
      </c>
      <c r="S3453" s="6" t="s">
        <v>14298</v>
      </c>
      <c r="T3453" s="6">
        <v>0</v>
      </c>
      <c r="U3453" s="6">
        <v>0</v>
      </c>
      <c r="V3453" s="6">
        <v>0</v>
      </c>
      <c r="W3453" s="6">
        <v>0</v>
      </c>
      <c r="X3453" s="6" t="s">
        <v>169</v>
      </c>
      <c r="Z3453" s="6" t="s">
        <v>170</v>
      </c>
      <c r="AA3453" s="6" t="s">
        <v>171</v>
      </c>
      <c r="AB3453" s="6">
        <v>0</v>
      </c>
      <c r="AC3453" s="6" t="str">
        <f>""</f>
        <v/>
      </c>
      <c r="AS3453" s="6">
        <v>0</v>
      </c>
      <c r="AT3453" s="6">
        <v>0</v>
      </c>
    </row>
    <row r="3454" spans="2:46">
      <c r="B3454" s="6" t="s">
        <v>13899</v>
      </c>
      <c r="D3454" s="6" t="s">
        <v>13131</v>
      </c>
      <c r="F3454" s="6" t="s">
        <v>14299</v>
      </c>
      <c r="G3454" s="6" t="str">
        <f>"17S0177M"</f>
        <v>17S0177M</v>
      </c>
      <c r="H3454" s="6" t="s">
        <v>14300</v>
      </c>
      <c r="I3454" s="6" t="s">
        <v>14292</v>
      </c>
      <c r="J3454" s="6" t="str">
        <f>"17hot summer stone washing light indigo denim pants"</f>
        <v>17hot summer stone washing light indigo denim pants</v>
      </c>
      <c r="K3454" s="6">
        <v>0</v>
      </c>
      <c r="L3454" s="6">
        <v>0</v>
      </c>
      <c r="M3454" s="6">
        <v>0</v>
      </c>
      <c r="N3454" s="6" t="str">
        <f>""</f>
        <v/>
      </c>
      <c r="O3454" s="6">
        <v>23043</v>
      </c>
      <c r="P3454" s="6" t="s">
        <v>14300</v>
      </c>
      <c r="R3454" s="6" t="s">
        <v>14301</v>
      </c>
      <c r="S3454" s="6" t="s">
        <v>14302</v>
      </c>
      <c r="T3454" s="6">
        <v>0</v>
      </c>
      <c r="U3454" s="6">
        <v>0</v>
      </c>
      <c r="V3454" s="6">
        <v>0</v>
      </c>
      <c r="W3454" s="6">
        <v>0</v>
      </c>
      <c r="X3454" s="6" t="s">
        <v>169</v>
      </c>
      <c r="Z3454" s="6" t="s">
        <v>170</v>
      </c>
      <c r="AA3454" s="6" t="s">
        <v>171</v>
      </c>
      <c r="AB3454" s="6">
        <v>0</v>
      </c>
      <c r="AC3454" s="6" t="str">
        <f>""</f>
        <v/>
      </c>
      <c r="AS3454" s="6">
        <v>0</v>
      </c>
      <c r="AT3454" s="6">
        <v>0</v>
      </c>
    </row>
    <row r="3455" spans="2:46">
      <c r="B3455" s="6" t="s">
        <v>13899</v>
      </c>
      <c r="D3455" s="6" t="s">
        <v>13131</v>
      </c>
      <c r="F3455" s="6" t="s">
        <v>14303</v>
      </c>
      <c r="G3455" s="6" t="str">
        <f>"17S0177S"</f>
        <v>17S0177S</v>
      </c>
      <c r="H3455" s="6" t="s">
        <v>14304</v>
      </c>
      <c r="I3455" s="6" t="s">
        <v>14292</v>
      </c>
      <c r="J3455" s="6" t="str">
        <f>"17hot summer stone washing light indigo denim pants"</f>
        <v>17hot summer stone washing light indigo denim pants</v>
      </c>
      <c r="K3455" s="6">
        <v>0</v>
      </c>
      <c r="L3455" s="6">
        <v>0</v>
      </c>
      <c r="M3455" s="6">
        <v>0</v>
      </c>
      <c r="N3455" s="6" t="str">
        <f>""</f>
        <v/>
      </c>
      <c r="O3455" s="6">
        <v>23042</v>
      </c>
      <c r="P3455" s="6" t="s">
        <v>14304</v>
      </c>
      <c r="R3455" s="6" t="s">
        <v>14305</v>
      </c>
      <c r="S3455" s="6" t="s">
        <v>14306</v>
      </c>
      <c r="T3455" s="6">
        <v>0</v>
      </c>
      <c r="U3455" s="6">
        <v>0</v>
      </c>
      <c r="V3455" s="6">
        <v>0</v>
      </c>
      <c r="W3455" s="6">
        <v>0</v>
      </c>
      <c r="X3455" s="6" t="s">
        <v>169</v>
      </c>
      <c r="Z3455" s="6" t="s">
        <v>170</v>
      </c>
      <c r="AA3455" s="6" t="s">
        <v>171</v>
      </c>
      <c r="AB3455" s="6">
        <v>0</v>
      </c>
      <c r="AC3455" s="6" t="str">
        <f>""</f>
        <v/>
      </c>
      <c r="AS3455" s="6">
        <v>0</v>
      </c>
      <c r="AT3455" s="6">
        <v>0</v>
      </c>
    </row>
    <row r="3456" spans="2:46" ht="115.5">
      <c r="B3456" s="6" t="s">
        <v>13899</v>
      </c>
      <c r="D3456" s="6" t="s">
        <v>13131</v>
      </c>
      <c r="F3456" s="6" t="s">
        <v>14307</v>
      </c>
      <c r="G3456" s="6" t="str">
        <f>"31764221013"</f>
        <v>31764221013</v>
      </c>
      <c r="H3456" s="6">
        <v>31764221013</v>
      </c>
      <c r="I3456" s="7" t="s">
        <v>14308</v>
      </c>
      <c r="J3456" s="6" t="str">
        <f>"17hot summer sleeveless top-vrassiere set
(black)"</f>
        <v>17hot summer sleeveless top-vrassiere set
(black)</v>
      </c>
      <c r="K3456" s="6">
        <v>0</v>
      </c>
      <c r="L3456" s="6">
        <v>0</v>
      </c>
      <c r="M3456" s="6">
        <v>0</v>
      </c>
      <c r="N3456" s="6" t="str">
        <f>""</f>
        <v/>
      </c>
      <c r="O3456" s="6">
        <v>23040</v>
      </c>
      <c r="P3456" s="6" t="s">
        <v>14309</v>
      </c>
      <c r="R3456" s="6" t="s">
        <v>2106</v>
      </c>
      <c r="S3456" s="7" t="s">
        <v>14310</v>
      </c>
      <c r="T3456" s="6">
        <v>0</v>
      </c>
      <c r="U3456" s="6">
        <v>0</v>
      </c>
      <c r="V3456" s="6">
        <v>0</v>
      </c>
      <c r="W3456" s="6">
        <v>0</v>
      </c>
      <c r="X3456" s="6" t="s">
        <v>169</v>
      </c>
      <c r="Z3456" s="6" t="s">
        <v>170</v>
      </c>
      <c r="AA3456" s="6" t="s">
        <v>171</v>
      </c>
      <c r="AB3456" s="6">
        <v>0</v>
      </c>
      <c r="AC3456" s="6" t="str">
        <f>""</f>
        <v/>
      </c>
      <c r="AS3456" s="6">
        <v>0</v>
      </c>
      <c r="AT3456" s="6">
        <v>0</v>
      </c>
    </row>
    <row r="3457" spans="2:46" ht="99">
      <c r="B3457" s="6" t="s">
        <v>13899</v>
      </c>
      <c r="D3457" s="6" t="s">
        <v>13131</v>
      </c>
      <c r="F3457" s="6" t="s">
        <v>14311</v>
      </c>
      <c r="G3457" s="6" t="str">
        <f>"3176224322591205"</f>
        <v>3176224322591205</v>
      </c>
      <c r="H3457" s="6">
        <v>3176224322591200</v>
      </c>
      <c r="I3457" s="7" t="s">
        <v>14312</v>
      </c>
      <c r="J3457" s="6" t="str">
        <f>"17hot summer side taping T-shirts
(white)"</f>
        <v>17hot summer side taping T-shirts
(white)</v>
      </c>
      <c r="K3457" s="6">
        <v>0</v>
      </c>
      <c r="L3457" s="6">
        <v>0</v>
      </c>
      <c r="M3457" s="6">
        <v>0</v>
      </c>
      <c r="N3457" s="6" t="str">
        <f>""</f>
        <v/>
      </c>
      <c r="O3457" s="6">
        <v>23038</v>
      </c>
      <c r="P3457" s="6" t="s">
        <v>14313</v>
      </c>
      <c r="R3457" s="6" t="s">
        <v>5193</v>
      </c>
      <c r="S3457" s="7" t="s">
        <v>14314</v>
      </c>
      <c r="T3457" s="6">
        <v>0</v>
      </c>
      <c r="U3457" s="6">
        <v>0</v>
      </c>
      <c r="V3457" s="6">
        <v>0</v>
      </c>
      <c r="W3457" s="6">
        <v>0</v>
      </c>
      <c r="X3457" s="6" t="s">
        <v>169</v>
      </c>
      <c r="Z3457" s="6" t="s">
        <v>170</v>
      </c>
      <c r="AA3457" s="6" t="s">
        <v>171</v>
      </c>
      <c r="AB3457" s="6">
        <v>0</v>
      </c>
      <c r="AC3457" s="6" t="str">
        <f>""</f>
        <v/>
      </c>
      <c r="AS3457" s="6">
        <v>0</v>
      </c>
      <c r="AT3457" s="6">
        <v>0</v>
      </c>
    </row>
    <row r="3458" spans="2:46" ht="99">
      <c r="B3458" s="6" t="s">
        <v>13899</v>
      </c>
      <c r="D3458" s="6" t="s">
        <v>13131</v>
      </c>
      <c r="F3458" s="6" t="s">
        <v>14315</v>
      </c>
      <c r="G3458" s="6" t="str">
        <f>"3176224322591204"</f>
        <v>3176224322591204</v>
      </c>
      <c r="H3458" s="6">
        <v>3176224322591200</v>
      </c>
      <c r="I3458" s="7" t="s">
        <v>14312</v>
      </c>
      <c r="J3458" s="6" t="str">
        <f>"17hot summer side taping T-shirts
(white)"</f>
        <v>17hot summer side taping T-shirts
(white)</v>
      </c>
      <c r="K3458" s="6">
        <v>0</v>
      </c>
      <c r="L3458" s="6">
        <v>0</v>
      </c>
      <c r="M3458" s="6">
        <v>0</v>
      </c>
      <c r="N3458" s="6" t="str">
        <f>""</f>
        <v/>
      </c>
      <c r="O3458" s="6">
        <v>23037</v>
      </c>
      <c r="P3458" s="6" t="s">
        <v>14316</v>
      </c>
      <c r="R3458" s="6" t="s">
        <v>5197</v>
      </c>
      <c r="S3458" s="7" t="s">
        <v>14317</v>
      </c>
      <c r="T3458" s="6">
        <v>0</v>
      </c>
      <c r="U3458" s="6">
        <v>0</v>
      </c>
      <c r="V3458" s="6">
        <v>0</v>
      </c>
      <c r="W3458" s="6">
        <v>0</v>
      </c>
      <c r="X3458" s="6" t="s">
        <v>169</v>
      </c>
      <c r="Z3458" s="6" t="s">
        <v>170</v>
      </c>
      <c r="AA3458" s="6" t="s">
        <v>171</v>
      </c>
      <c r="AB3458" s="6">
        <v>0</v>
      </c>
      <c r="AC3458" s="6" t="str">
        <f>""</f>
        <v/>
      </c>
      <c r="AS3458" s="6">
        <v>0</v>
      </c>
      <c r="AT3458" s="6">
        <v>0</v>
      </c>
    </row>
    <row r="3459" spans="2:46" ht="99">
      <c r="B3459" s="6" t="s">
        <v>13899</v>
      </c>
      <c r="D3459" s="6" t="s">
        <v>13131</v>
      </c>
      <c r="F3459" s="6" t="s">
        <v>14318</v>
      </c>
      <c r="G3459" s="6" t="str">
        <f>"3176224322399205"</f>
        <v>3176224322399205</v>
      </c>
      <c r="H3459" s="6">
        <v>3176224322399200</v>
      </c>
      <c r="I3459" s="7" t="s">
        <v>14319</v>
      </c>
      <c r="J3459" s="6" t="str">
        <f>"17hot summer side taping T-shirts
(black)"</f>
        <v>17hot summer side taping T-shirts
(black)</v>
      </c>
      <c r="K3459" s="6">
        <v>0</v>
      </c>
      <c r="L3459" s="6">
        <v>0</v>
      </c>
      <c r="M3459" s="6">
        <v>0</v>
      </c>
      <c r="N3459" s="6" t="str">
        <f>""</f>
        <v/>
      </c>
      <c r="O3459" s="6">
        <v>23035</v>
      </c>
      <c r="P3459" s="6" t="s">
        <v>14320</v>
      </c>
      <c r="R3459" s="6" t="s">
        <v>5106</v>
      </c>
      <c r="S3459" s="7" t="s">
        <v>14321</v>
      </c>
      <c r="T3459" s="6">
        <v>0</v>
      </c>
      <c r="U3459" s="6">
        <v>0</v>
      </c>
      <c r="V3459" s="6">
        <v>0</v>
      </c>
      <c r="W3459" s="6">
        <v>0</v>
      </c>
      <c r="X3459" s="6" t="s">
        <v>169</v>
      </c>
      <c r="Z3459" s="6" t="s">
        <v>170</v>
      </c>
      <c r="AA3459" s="6" t="s">
        <v>171</v>
      </c>
      <c r="AB3459" s="6">
        <v>0</v>
      </c>
      <c r="AC3459" s="6" t="str">
        <f>""</f>
        <v/>
      </c>
      <c r="AS3459" s="6">
        <v>0</v>
      </c>
      <c r="AT3459" s="6">
        <v>0</v>
      </c>
    </row>
    <row r="3460" spans="2:46" ht="99">
      <c r="B3460" s="6" t="s">
        <v>13899</v>
      </c>
      <c r="D3460" s="6" t="s">
        <v>13131</v>
      </c>
      <c r="F3460" s="6" t="s">
        <v>14322</v>
      </c>
      <c r="G3460" s="6" t="str">
        <f>"3176224322399204"</f>
        <v>3176224322399204</v>
      </c>
      <c r="H3460" s="6">
        <v>3176224322399200</v>
      </c>
      <c r="I3460" s="7" t="s">
        <v>14319</v>
      </c>
      <c r="J3460" s="6" t="str">
        <f>"17hot summer side taping T-shirts
(black)"</f>
        <v>17hot summer side taping T-shirts
(black)</v>
      </c>
      <c r="K3460" s="6">
        <v>0</v>
      </c>
      <c r="L3460" s="6">
        <v>0</v>
      </c>
      <c r="M3460" s="6">
        <v>0</v>
      </c>
      <c r="N3460" s="6" t="str">
        <f>""</f>
        <v/>
      </c>
      <c r="O3460" s="6">
        <v>23034</v>
      </c>
      <c r="P3460" s="6" t="s">
        <v>14323</v>
      </c>
      <c r="R3460" s="6" t="s">
        <v>601</v>
      </c>
      <c r="S3460" s="7" t="s">
        <v>14324</v>
      </c>
      <c r="T3460" s="6">
        <v>0</v>
      </c>
      <c r="U3460" s="6">
        <v>0</v>
      </c>
      <c r="V3460" s="6">
        <v>0</v>
      </c>
      <c r="W3460" s="6">
        <v>0</v>
      </c>
      <c r="X3460" s="6" t="s">
        <v>169</v>
      </c>
      <c r="Z3460" s="6" t="s">
        <v>170</v>
      </c>
      <c r="AA3460" s="6" t="s">
        <v>171</v>
      </c>
      <c r="AB3460" s="6">
        <v>0</v>
      </c>
      <c r="AC3460" s="6" t="str">
        <f>""</f>
        <v/>
      </c>
      <c r="AS3460" s="6">
        <v>0</v>
      </c>
      <c r="AT3460" s="6">
        <v>0</v>
      </c>
    </row>
    <row r="3461" spans="2:46" ht="115.5">
      <c r="B3461" s="6" t="s">
        <v>13899</v>
      </c>
      <c r="D3461" s="6" t="s">
        <v>13131</v>
      </c>
      <c r="F3461" s="6" t="s">
        <v>14325</v>
      </c>
      <c r="G3461" s="6" t="str">
        <f>"31763441074"</f>
        <v>31763441074</v>
      </c>
      <c r="H3461" s="6">
        <v>31763441074</v>
      </c>
      <c r="I3461" s="7" t="s">
        <v>14326</v>
      </c>
      <c r="J3461" s="6" t="str">
        <f>"17hot summer side taping short pants
(white)"</f>
        <v>17hot summer side taping short pants
(white)</v>
      </c>
      <c r="K3461" s="6">
        <v>0</v>
      </c>
      <c r="L3461" s="6">
        <v>0</v>
      </c>
      <c r="M3461" s="6">
        <v>0</v>
      </c>
      <c r="N3461" s="6" t="str">
        <f>""</f>
        <v/>
      </c>
      <c r="O3461" s="6">
        <v>23032</v>
      </c>
      <c r="P3461" s="6" t="s">
        <v>14327</v>
      </c>
      <c r="R3461" s="6" t="s">
        <v>2167</v>
      </c>
      <c r="S3461" s="7" t="s">
        <v>14328</v>
      </c>
      <c r="T3461" s="6">
        <v>0</v>
      </c>
      <c r="U3461" s="6">
        <v>0</v>
      </c>
      <c r="V3461" s="6">
        <v>0</v>
      </c>
      <c r="W3461" s="6">
        <v>0</v>
      </c>
      <c r="X3461" s="6" t="s">
        <v>169</v>
      </c>
      <c r="Z3461" s="6" t="s">
        <v>170</v>
      </c>
      <c r="AA3461" s="6" t="s">
        <v>171</v>
      </c>
      <c r="AB3461" s="6">
        <v>0</v>
      </c>
      <c r="AC3461" s="6" t="str">
        <f>""</f>
        <v/>
      </c>
      <c r="AS3461" s="6">
        <v>0</v>
      </c>
      <c r="AT3461" s="6">
        <v>0</v>
      </c>
    </row>
    <row r="3462" spans="2:46" ht="115.5">
      <c r="B3462" s="6" t="s">
        <v>13899</v>
      </c>
      <c r="D3462" s="6" t="s">
        <v>13131</v>
      </c>
      <c r="F3462" s="6" t="s">
        <v>14329</v>
      </c>
      <c r="G3462" s="6" t="str">
        <f>"31763441073"</f>
        <v>31763441073</v>
      </c>
      <c r="H3462" s="6">
        <v>31763441073</v>
      </c>
      <c r="I3462" s="7" t="s">
        <v>14330</v>
      </c>
      <c r="J3462" s="6" t="str">
        <f>"17hot summer side taping short pants
(black)"</f>
        <v>17hot summer side taping short pants
(black)</v>
      </c>
      <c r="K3462" s="6">
        <v>0</v>
      </c>
      <c r="L3462" s="6">
        <v>0</v>
      </c>
      <c r="M3462" s="6">
        <v>0</v>
      </c>
      <c r="N3462" s="6" t="str">
        <f>""</f>
        <v/>
      </c>
      <c r="O3462" s="6">
        <v>23030</v>
      </c>
      <c r="P3462" s="6" t="s">
        <v>14331</v>
      </c>
      <c r="R3462" s="6" t="s">
        <v>2106</v>
      </c>
      <c r="S3462" s="7" t="s">
        <v>14332</v>
      </c>
      <c r="T3462" s="6">
        <v>0</v>
      </c>
      <c r="U3462" s="6">
        <v>0</v>
      </c>
      <c r="V3462" s="6">
        <v>0</v>
      </c>
      <c r="W3462" s="6">
        <v>0</v>
      </c>
      <c r="X3462" s="6" t="s">
        <v>169</v>
      </c>
      <c r="Z3462" s="6" t="s">
        <v>170</v>
      </c>
      <c r="AA3462" s="6" t="s">
        <v>171</v>
      </c>
      <c r="AB3462" s="6">
        <v>0</v>
      </c>
      <c r="AC3462" s="6" t="str">
        <f>""</f>
        <v/>
      </c>
      <c r="AS3462" s="6">
        <v>0</v>
      </c>
      <c r="AT3462" s="6">
        <v>0</v>
      </c>
    </row>
    <row r="3463" spans="2:46">
      <c r="B3463" s="6" t="s">
        <v>13899</v>
      </c>
      <c r="D3463" s="6" t="s">
        <v>13131</v>
      </c>
      <c r="F3463" s="6" t="s">
        <v>14333</v>
      </c>
      <c r="G3463" s="6" t="str">
        <f>"31762521250"</f>
        <v>31762521250</v>
      </c>
      <c r="H3463" s="6">
        <v>31762521250</v>
      </c>
      <c r="I3463" s="6" t="s">
        <v>14334</v>
      </c>
      <c r="J3463" s="6" t="str">
        <f>"17hot summer pink bustier one-piece"</f>
        <v>17hot summer pink bustier one-piece</v>
      </c>
      <c r="K3463" s="6">
        <v>0</v>
      </c>
      <c r="L3463" s="6">
        <v>0</v>
      </c>
      <c r="M3463" s="6">
        <v>0</v>
      </c>
      <c r="N3463" s="6" t="str">
        <f>""</f>
        <v/>
      </c>
      <c r="O3463" s="6">
        <v>23027</v>
      </c>
      <c r="P3463" s="6" t="s">
        <v>14335</v>
      </c>
      <c r="R3463" s="6" t="s">
        <v>2446</v>
      </c>
      <c r="S3463" s="6" t="s">
        <v>14336</v>
      </c>
      <c r="T3463" s="6">
        <v>0</v>
      </c>
      <c r="U3463" s="6">
        <v>0</v>
      </c>
      <c r="V3463" s="6">
        <v>0</v>
      </c>
      <c r="W3463" s="6">
        <v>0</v>
      </c>
      <c r="X3463" s="6" t="s">
        <v>169</v>
      </c>
      <c r="Z3463" s="6" t="s">
        <v>170</v>
      </c>
      <c r="AA3463" s="6" t="s">
        <v>171</v>
      </c>
      <c r="AB3463" s="6">
        <v>0</v>
      </c>
      <c r="AC3463" s="6" t="str">
        <f>""</f>
        <v/>
      </c>
      <c r="AS3463" s="6">
        <v>0</v>
      </c>
      <c r="AT3463" s="6">
        <v>0</v>
      </c>
    </row>
    <row r="3464" spans="2:46" ht="115.5">
      <c r="B3464" s="6" t="s">
        <v>13899</v>
      </c>
      <c r="D3464" s="6" t="s">
        <v>13131</v>
      </c>
      <c r="F3464" s="6" t="s">
        <v>14337</v>
      </c>
      <c r="G3464" s="6" t="str">
        <f>"31762221615"</f>
        <v>31762221615</v>
      </c>
      <c r="H3464" s="6">
        <v>31762221615</v>
      </c>
      <c r="I3464" s="7" t="s">
        <v>14338</v>
      </c>
      <c r="J3464" s="6" t="str">
        <f>"17hot summer jacquard half sleeve knit
(white)"</f>
        <v>17hot summer jacquard half sleeve knit
(white)</v>
      </c>
      <c r="K3464" s="6">
        <v>0</v>
      </c>
      <c r="L3464" s="6">
        <v>0</v>
      </c>
      <c r="M3464" s="6">
        <v>0</v>
      </c>
      <c r="N3464" s="6" t="str">
        <f>""</f>
        <v/>
      </c>
      <c r="O3464" s="6">
        <v>23025</v>
      </c>
      <c r="P3464" s="6" t="s">
        <v>14339</v>
      </c>
      <c r="R3464" s="6" t="s">
        <v>2167</v>
      </c>
      <c r="S3464" s="7" t="s">
        <v>14340</v>
      </c>
      <c r="T3464" s="6">
        <v>0</v>
      </c>
      <c r="U3464" s="6">
        <v>0</v>
      </c>
      <c r="V3464" s="6">
        <v>0</v>
      </c>
      <c r="W3464" s="6">
        <v>0</v>
      </c>
      <c r="X3464" s="6" t="s">
        <v>169</v>
      </c>
      <c r="Z3464" s="6" t="s">
        <v>170</v>
      </c>
      <c r="AA3464" s="6" t="s">
        <v>171</v>
      </c>
      <c r="AB3464" s="6">
        <v>0</v>
      </c>
      <c r="AC3464" s="6" t="str">
        <f>""</f>
        <v/>
      </c>
      <c r="AS3464" s="6">
        <v>0</v>
      </c>
      <c r="AT3464" s="6">
        <v>0</v>
      </c>
    </row>
    <row r="3465" spans="2:46" ht="115.5">
      <c r="B3465" s="6" t="s">
        <v>13899</v>
      </c>
      <c r="D3465" s="6" t="s">
        <v>13131</v>
      </c>
      <c r="F3465" s="6" t="s">
        <v>14341</v>
      </c>
      <c r="G3465" s="6" t="str">
        <f>"31762221614"</f>
        <v>31762221614</v>
      </c>
      <c r="H3465" s="6">
        <v>31762221614</v>
      </c>
      <c r="I3465" s="7" t="s">
        <v>14342</v>
      </c>
      <c r="J3465" s="6" t="str">
        <f>"17hot summer jacquard half sleeve knit
(silver)"</f>
        <v>17hot summer jacquard half sleeve knit
(silver)</v>
      </c>
      <c r="K3465" s="6">
        <v>0</v>
      </c>
      <c r="L3465" s="6">
        <v>0</v>
      </c>
      <c r="M3465" s="6">
        <v>0</v>
      </c>
      <c r="N3465" s="6" t="str">
        <f>""</f>
        <v/>
      </c>
      <c r="O3465" s="6">
        <v>23023</v>
      </c>
      <c r="P3465" s="6" t="s">
        <v>14343</v>
      </c>
      <c r="R3465" s="6" t="s">
        <v>8321</v>
      </c>
      <c r="S3465" s="7" t="s">
        <v>14344</v>
      </c>
      <c r="T3465" s="6">
        <v>0</v>
      </c>
      <c r="U3465" s="6">
        <v>0</v>
      </c>
      <c r="V3465" s="6">
        <v>0</v>
      </c>
      <c r="W3465" s="6">
        <v>0</v>
      </c>
      <c r="X3465" s="6" t="s">
        <v>169</v>
      </c>
      <c r="Z3465" s="6" t="s">
        <v>170</v>
      </c>
      <c r="AA3465" s="6" t="s">
        <v>171</v>
      </c>
      <c r="AB3465" s="6">
        <v>0</v>
      </c>
      <c r="AC3465" s="6" t="str">
        <f>""</f>
        <v/>
      </c>
      <c r="AS3465" s="6">
        <v>0</v>
      </c>
      <c r="AT3465" s="6">
        <v>0</v>
      </c>
    </row>
    <row r="3466" spans="2:46" ht="115.5">
      <c r="B3466" s="6" t="s">
        <v>13899</v>
      </c>
      <c r="D3466" s="6" t="s">
        <v>13131</v>
      </c>
      <c r="F3466" s="6" t="s">
        <v>14345</v>
      </c>
      <c r="G3466" s="6" t="str">
        <f>"31762221613"</f>
        <v>31762221613</v>
      </c>
      <c r="H3466" s="6">
        <v>31762221613</v>
      </c>
      <c r="I3466" s="7" t="s">
        <v>14346</v>
      </c>
      <c r="J3466" s="6" t="str">
        <f>"17hot summer jacquard half sleeve knit
(green)"</f>
        <v>17hot summer jacquard half sleeve knit
(green)</v>
      </c>
      <c r="K3466" s="6">
        <v>0</v>
      </c>
      <c r="L3466" s="6">
        <v>0</v>
      </c>
      <c r="M3466" s="6">
        <v>0</v>
      </c>
      <c r="N3466" s="6" t="str">
        <f>""</f>
        <v/>
      </c>
      <c r="O3466" s="6">
        <v>23021</v>
      </c>
      <c r="P3466" s="6" t="s">
        <v>14347</v>
      </c>
      <c r="R3466" s="6" t="s">
        <v>2512</v>
      </c>
      <c r="S3466" s="7" t="s">
        <v>14348</v>
      </c>
      <c r="T3466" s="6">
        <v>0</v>
      </c>
      <c r="U3466" s="6">
        <v>0</v>
      </c>
      <c r="V3466" s="6">
        <v>0</v>
      </c>
      <c r="W3466" s="6">
        <v>0</v>
      </c>
      <c r="X3466" s="6" t="s">
        <v>169</v>
      </c>
      <c r="Z3466" s="6" t="s">
        <v>170</v>
      </c>
      <c r="AA3466" s="6" t="s">
        <v>171</v>
      </c>
      <c r="AB3466" s="6">
        <v>0</v>
      </c>
      <c r="AC3466" s="6" t="str">
        <f>""</f>
        <v/>
      </c>
      <c r="AS3466" s="6">
        <v>0</v>
      </c>
      <c r="AT3466" s="6">
        <v>0</v>
      </c>
    </row>
    <row r="3467" spans="2:46" ht="82.5">
      <c r="B3467" s="6" t="s">
        <v>13899</v>
      </c>
      <c r="D3467" s="6" t="s">
        <v>13131</v>
      </c>
      <c r="F3467" s="6" t="s">
        <v>14349</v>
      </c>
      <c r="G3467" s="6" t="str">
        <f>"3176332119965204"</f>
        <v>3176332119965204</v>
      </c>
      <c r="H3467" s="6">
        <v>3176332119965200</v>
      </c>
      <c r="I3467" s="7" t="s">
        <v>14350</v>
      </c>
      <c r="J3467" s="6" t="str">
        <f>"17hot summer H-line midi skirt
(yellow)"</f>
        <v>17hot summer H-line midi skirt
(yellow)</v>
      </c>
      <c r="K3467" s="6">
        <v>0</v>
      </c>
      <c r="L3467" s="6">
        <v>0</v>
      </c>
      <c r="M3467" s="6">
        <v>0</v>
      </c>
      <c r="N3467" s="6" t="str">
        <f>""</f>
        <v/>
      </c>
      <c r="O3467" s="6">
        <v>23019</v>
      </c>
      <c r="P3467" s="6" t="s">
        <v>14351</v>
      </c>
      <c r="R3467" s="6" t="s">
        <v>3653</v>
      </c>
      <c r="S3467" s="7" t="s">
        <v>14352</v>
      </c>
      <c r="T3467" s="6">
        <v>0</v>
      </c>
      <c r="U3467" s="6">
        <v>0</v>
      </c>
      <c r="V3467" s="6">
        <v>0</v>
      </c>
      <c r="W3467" s="6">
        <v>0</v>
      </c>
      <c r="X3467" s="6" t="s">
        <v>169</v>
      </c>
      <c r="Z3467" s="6" t="s">
        <v>170</v>
      </c>
      <c r="AA3467" s="6" t="s">
        <v>171</v>
      </c>
      <c r="AB3467" s="6">
        <v>0</v>
      </c>
      <c r="AC3467" s="6" t="str">
        <f>""</f>
        <v/>
      </c>
      <c r="AS3467" s="6">
        <v>0</v>
      </c>
      <c r="AT3467" s="6">
        <v>0</v>
      </c>
    </row>
    <row r="3468" spans="2:46" ht="82.5">
      <c r="B3468" s="6" t="s">
        <v>13899</v>
      </c>
      <c r="D3468" s="6" t="s">
        <v>13131</v>
      </c>
      <c r="F3468" s="6" t="s">
        <v>14353</v>
      </c>
      <c r="G3468" s="6" t="str">
        <f>"3176332119965203"</f>
        <v>3176332119965203</v>
      </c>
      <c r="H3468" s="6">
        <v>3176332119965200</v>
      </c>
      <c r="I3468" s="7" t="s">
        <v>14350</v>
      </c>
      <c r="J3468" s="6" t="str">
        <f>"17hot summer H-line midi skirt
(yellow)"</f>
        <v>17hot summer H-line midi skirt
(yellow)</v>
      </c>
      <c r="K3468" s="6">
        <v>0</v>
      </c>
      <c r="L3468" s="6">
        <v>0</v>
      </c>
      <c r="M3468" s="6">
        <v>0</v>
      </c>
      <c r="N3468" s="6" t="str">
        <f>""</f>
        <v/>
      </c>
      <c r="O3468" s="6">
        <v>23018</v>
      </c>
      <c r="P3468" s="6" t="s">
        <v>14354</v>
      </c>
      <c r="R3468" s="6" t="s">
        <v>3657</v>
      </c>
      <c r="S3468" s="7" t="s">
        <v>14355</v>
      </c>
      <c r="T3468" s="6">
        <v>0</v>
      </c>
      <c r="U3468" s="6">
        <v>0</v>
      </c>
      <c r="V3468" s="6">
        <v>0</v>
      </c>
      <c r="W3468" s="6">
        <v>0</v>
      </c>
      <c r="X3468" s="6" t="s">
        <v>169</v>
      </c>
      <c r="Z3468" s="6" t="s">
        <v>170</v>
      </c>
      <c r="AA3468" s="6" t="s">
        <v>171</v>
      </c>
      <c r="AB3468" s="6">
        <v>0</v>
      </c>
      <c r="AC3468" s="6" t="str">
        <f>""</f>
        <v/>
      </c>
      <c r="AS3468" s="6">
        <v>0</v>
      </c>
      <c r="AT3468" s="6">
        <v>0</v>
      </c>
    </row>
    <row r="3469" spans="2:46" ht="99">
      <c r="B3469" s="6" t="s">
        <v>13899</v>
      </c>
      <c r="D3469" s="6" t="s">
        <v>13131</v>
      </c>
      <c r="F3469" s="6" t="s">
        <v>14356</v>
      </c>
      <c r="G3469" s="6" t="str">
        <f>"3176332119818204"</f>
        <v>3176332119818204</v>
      </c>
      <c r="H3469" s="6">
        <v>3176332119818200</v>
      </c>
      <c r="I3469" s="7" t="s">
        <v>14357</v>
      </c>
      <c r="J3469" s="6" t="str">
        <f>"17hot summer H-line midi skirt
(blue green)"</f>
        <v>17hot summer H-line midi skirt
(blue green)</v>
      </c>
      <c r="K3469" s="6">
        <v>0</v>
      </c>
      <c r="L3469" s="6">
        <v>0</v>
      </c>
      <c r="M3469" s="6">
        <v>0</v>
      </c>
      <c r="N3469" s="6" t="str">
        <f>""</f>
        <v/>
      </c>
      <c r="O3469" s="6">
        <v>23016</v>
      </c>
      <c r="P3469" s="6" t="s">
        <v>14358</v>
      </c>
      <c r="R3469" s="6" t="s">
        <v>14359</v>
      </c>
      <c r="S3469" s="7" t="s">
        <v>14360</v>
      </c>
      <c r="T3469" s="6">
        <v>0</v>
      </c>
      <c r="U3469" s="6">
        <v>0</v>
      </c>
      <c r="V3469" s="6">
        <v>0</v>
      </c>
      <c r="W3469" s="6">
        <v>0</v>
      </c>
      <c r="X3469" s="6" t="s">
        <v>169</v>
      </c>
      <c r="Z3469" s="6" t="s">
        <v>170</v>
      </c>
      <c r="AA3469" s="6" t="s">
        <v>171</v>
      </c>
      <c r="AB3469" s="6">
        <v>0</v>
      </c>
      <c r="AC3469" s="6" t="str">
        <f>""</f>
        <v/>
      </c>
      <c r="AS3469" s="6">
        <v>0</v>
      </c>
      <c r="AT3469" s="6">
        <v>0</v>
      </c>
    </row>
    <row r="3470" spans="2:46" ht="115.5">
      <c r="B3470" s="6" t="s">
        <v>13899</v>
      </c>
      <c r="D3470" s="6" t="s">
        <v>13131</v>
      </c>
      <c r="F3470" s="6" t="s">
        <v>14361</v>
      </c>
      <c r="G3470" s="6" t="str">
        <f>"3176314113874205"</f>
        <v>3176314113874205</v>
      </c>
      <c r="H3470" s="6">
        <v>3176314113874200</v>
      </c>
      <c r="I3470" s="7" t="s">
        <v>14362</v>
      </c>
      <c r="J3470" s="6" t="str">
        <f>"17hot summer hem side placket long pants
+belt"</f>
        <v>17hot summer hem side placket long pants
+belt</v>
      </c>
      <c r="K3470" s="6">
        <v>0</v>
      </c>
      <c r="L3470" s="6">
        <v>0</v>
      </c>
      <c r="M3470" s="6">
        <v>0</v>
      </c>
      <c r="N3470" s="6" t="str">
        <f>""</f>
        <v/>
      </c>
      <c r="O3470" s="6">
        <v>23014</v>
      </c>
      <c r="P3470" s="6" t="s">
        <v>14363</v>
      </c>
      <c r="R3470" s="6" t="s">
        <v>5224</v>
      </c>
      <c r="S3470" s="7" t="s">
        <v>14364</v>
      </c>
      <c r="T3470" s="6">
        <v>0</v>
      </c>
      <c r="U3470" s="6">
        <v>0</v>
      </c>
      <c r="V3470" s="6">
        <v>0</v>
      </c>
      <c r="W3470" s="6">
        <v>0</v>
      </c>
      <c r="X3470" s="6" t="s">
        <v>169</v>
      </c>
      <c r="Z3470" s="6" t="s">
        <v>170</v>
      </c>
      <c r="AA3470" s="6" t="s">
        <v>171</v>
      </c>
      <c r="AB3470" s="6">
        <v>0</v>
      </c>
      <c r="AC3470" s="6" t="str">
        <f>""</f>
        <v/>
      </c>
      <c r="AS3470" s="6">
        <v>0</v>
      </c>
      <c r="AT3470" s="6">
        <v>0</v>
      </c>
    </row>
    <row r="3471" spans="2:46" ht="115.5">
      <c r="B3471" s="6" t="s">
        <v>13899</v>
      </c>
      <c r="D3471" s="6" t="s">
        <v>13131</v>
      </c>
      <c r="F3471" s="6" t="s">
        <v>14365</v>
      </c>
      <c r="G3471" s="6" t="str">
        <f>"3176314113874204"</f>
        <v>3176314113874204</v>
      </c>
      <c r="H3471" s="6">
        <v>3176314113874200</v>
      </c>
      <c r="I3471" s="7" t="s">
        <v>14362</v>
      </c>
      <c r="J3471" s="6" t="str">
        <f>"17hot summer hem side placket long pants
+belt"</f>
        <v>17hot summer hem side placket long pants
+belt</v>
      </c>
      <c r="K3471" s="6">
        <v>0</v>
      </c>
      <c r="L3471" s="6">
        <v>0</v>
      </c>
      <c r="M3471" s="6">
        <v>0</v>
      </c>
      <c r="N3471" s="6" t="str">
        <f>""</f>
        <v/>
      </c>
      <c r="O3471" s="6">
        <v>23013</v>
      </c>
      <c r="P3471" s="6" t="s">
        <v>14366</v>
      </c>
      <c r="R3471" s="6" t="s">
        <v>639</v>
      </c>
      <c r="S3471" s="7" t="s">
        <v>14367</v>
      </c>
      <c r="T3471" s="6">
        <v>0</v>
      </c>
      <c r="U3471" s="6">
        <v>0</v>
      </c>
      <c r="V3471" s="6">
        <v>0</v>
      </c>
      <c r="W3471" s="6">
        <v>0</v>
      </c>
      <c r="X3471" s="6" t="s">
        <v>169</v>
      </c>
      <c r="Z3471" s="6" t="s">
        <v>170</v>
      </c>
      <c r="AA3471" s="6" t="s">
        <v>171</v>
      </c>
      <c r="AB3471" s="6">
        <v>0</v>
      </c>
      <c r="AC3471" s="6" t="str">
        <f>""</f>
        <v/>
      </c>
      <c r="AS3471" s="6">
        <v>0</v>
      </c>
      <c r="AT3471" s="6">
        <v>0</v>
      </c>
    </row>
    <row r="3472" spans="2:46">
      <c r="B3472" s="6" t="s">
        <v>13899</v>
      </c>
      <c r="D3472" s="6" t="s">
        <v>13131</v>
      </c>
      <c r="F3472" s="6" t="s">
        <v>14368</v>
      </c>
      <c r="G3472" s="6" t="str">
        <f>"3176332119799204"</f>
        <v>3176332119799204</v>
      </c>
      <c r="H3472" s="6">
        <v>3176332119799200</v>
      </c>
      <c r="I3472" s="6" t="s">
        <v>14369</v>
      </c>
      <c r="J3472" s="6" t="str">
        <f>"17hot summer flower mermaid skirt"</f>
        <v>17hot summer flower mermaid skirt</v>
      </c>
      <c r="K3472" s="6">
        <v>0</v>
      </c>
      <c r="L3472" s="6">
        <v>0</v>
      </c>
      <c r="M3472" s="6">
        <v>0</v>
      </c>
      <c r="N3472" s="6" t="str">
        <f>""</f>
        <v/>
      </c>
      <c r="O3472" s="6">
        <v>23011</v>
      </c>
      <c r="P3472" s="6" t="s">
        <v>14370</v>
      </c>
      <c r="R3472" s="6" t="s">
        <v>601</v>
      </c>
      <c r="S3472" s="6" t="s">
        <v>14371</v>
      </c>
      <c r="T3472" s="6">
        <v>0</v>
      </c>
      <c r="U3472" s="6">
        <v>0</v>
      </c>
      <c r="V3472" s="6">
        <v>0</v>
      </c>
      <c r="W3472" s="6">
        <v>0</v>
      </c>
      <c r="X3472" s="6" t="s">
        <v>169</v>
      </c>
      <c r="Z3472" s="6" t="s">
        <v>170</v>
      </c>
      <c r="AA3472" s="6" t="s">
        <v>171</v>
      </c>
      <c r="AB3472" s="6">
        <v>0</v>
      </c>
      <c r="AC3472" s="6" t="str">
        <f>""</f>
        <v/>
      </c>
      <c r="AS3472" s="6">
        <v>0</v>
      </c>
      <c r="AT3472" s="6">
        <v>0</v>
      </c>
    </row>
    <row r="3473" spans="2:46">
      <c r="B3473" s="6" t="s">
        <v>13899</v>
      </c>
      <c r="D3473" s="6" t="s">
        <v>13131</v>
      </c>
      <c r="F3473" s="6" t="s">
        <v>14372</v>
      </c>
      <c r="G3473" s="6" t="str">
        <f>"3176332119799203"</f>
        <v>3176332119799203</v>
      </c>
      <c r="H3473" s="6">
        <v>3176332119799200</v>
      </c>
      <c r="I3473" s="6" t="s">
        <v>14369</v>
      </c>
      <c r="J3473" s="6" t="str">
        <f>"17hot summer flower mermaid skirt"</f>
        <v>17hot summer flower mermaid skirt</v>
      </c>
      <c r="K3473" s="6">
        <v>0</v>
      </c>
      <c r="L3473" s="6">
        <v>0</v>
      </c>
      <c r="M3473" s="6">
        <v>0</v>
      </c>
      <c r="N3473" s="6" t="str">
        <f>""</f>
        <v/>
      </c>
      <c r="O3473" s="6">
        <v>23010</v>
      </c>
      <c r="P3473" s="6" t="s">
        <v>14373</v>
      </c>
      <c r="R3473" s="6" t="s">
        <v>606</v>
      </c>
      <c r="S3473" s="6" t="s">
        <v>14374</v>
      </c>
      <c r="T3473" s="6">
        <v>0</v>
      </c>
      <c r="U3473" s="6">
        <v>0</v>
      </c>
      <c r="V3473" s="6">
        <v>0</v>
      </c>
      <c r="W3473" s="6">
        <v>0</v>
      </c>
      <c r="X3473" s="6" t="s">
        <v>169</v>
      </c>
      <c r="Z3473" s="6" t="s">
        <v>170</v>
      </c>
      <c r="AA3473" s="6" t="s">
        <v>171</v>
      </c>
      <c r="AB3473" s="6">
        <v>0</v>
      </c>
      <c r="AC3473" s="6" t="str">
        <f>""</f>
        <v/>
      </c>
      <c r="AS3473" s="6">
        <v>0</v>
      </c>
      <c r="AT3473" s="6">
        <v>0</v>
      </c>
    </row>
    <row r="3474" spans="2:46" ht="82.5">
      <c r="B3474" s="6" t="s">
        <v>13899</v>
      </c>
      <c r="D3474" s="6" t="s">
        <v>13131</v>
      </c>
      <c r="F3474" s="6" t="s">
        <v>14375</v>
      </c>
      <c r="G3474" s="6" t="str">
        <f>"3176224322030204"</f>
        <v>3176224322030204</v>
      </c>
      <c r="H3474" s="6">
        <v>3176224322030200</v>
      </c>
      <c r="I3474" s="7" t="s">
        <v>14376</v>
      </c>
      <c r="J3474" s="6" t="str">
        <f>"17hot summer cotton A-line skirt
(navy)"</f>
        <v>17hot summer cotton A-line skirt
(navy)</v>
      </c>
      <c r="K3474" s="6">
        <v>0</v>
      </c>
      <c r="L3474" s="6">
        <v>0</v>
      </c>
      <c r="M3474" s="6">
        <v>0</v>
      </c>
      <c r="N3474" s="6" t="str">
        <f>""</f>
        <v/>
      </c>
      <c r="O3474" s="6">
        <v>23008</v>
      </c>
      <c r="P3474" s="6" t="s">
        <v>14377</v>
      </c>
      <c r="R3474" s="6" t="s">
        <v>571</v>
      </c>
      <c r="S3474" s="7" t="s">
        <v>14378</v>
      </c>
      <c r="T3474" s="6">
        <v>0</v>
      </c>
      <c r="U3474" s="6">
        <v>0</v>
      </c>
      <c r="V3474" s="6">
        <v>0</v>
      </c>
      <c r="W3474" s="6">
        <v>0</v>
      </c>
      <c r="X3474" s="6" t="s">
        <v>169</v>
      </c>
      <c r="Z3474" s="6" t="s">
        <v>170</v>
      </c>
      <c r="AA3474" s="6" t="s">
        <v>171</v>
      </c>
      <c r="AB3474" s="6">
        <v>0</v>
      </c>
      <c r="AC3474" s="6" t="str">
        <f>""</f>
        <v/>
      </c>
      <c r="AS3474" s="6">
        <v>0</v>
      </c>
      <c r="AT3474" s="6">
        <v>0</v>
      </c>
    </row>
    <row r="3475" spans="2:46" ht="82.5">
      <c r="B3475" s="6" t="s">
        <v>13899</v>
      </c>
      <c r="D3475" s="6" t="s">
        <v>13131</v>
      </c>
      <c r="F3475" s="6" t="s">
        <v>14379</v>
      </c>
      <c r="G3475" s="6" t="str">
        <f>"3176224322030203"</f>
        <v>3176224322030203</v>
      </c>
      <c r="H3475" s="6">
        <v>3176224322030200</v>
      </c>
      <c r="I3475" s="7" t="s">
        <v>14376</v>
      </c>
      <c r="J3475" s="6" t="str">
        <f>"17hot summer cotton A-line skirt
(navy)"</f>
        <v>17hot summer cotton A-line skirt
(navy)</v>
      </c>
      <c r="K3475" s="6">
        <v>0</v>
      </c>
      <c r="L3475" s="6">
        <v>0</v>
      </c>
      <c r="M3475" s="6">
        <v>0</v>
      </c>
      <c r="N3475" s="6" t="str">
        <f>""</f>
        <v/>
      </c>
      <c r="O3475" s="6">
        <v>23007</v>
      </c>
      <c r="P3475" s="6" t="s">
        <v>14380</v>
      </c>
      <c r="R3475" s="6" t="s">
        <v>566</v>
      </c>
      <c r="S3475" s="7" t="s">
        <v>14381</v>
      </c>
      <c r="T3475" s="6">
        <v>0</v>
      </c>
      <c r="U3475" s="6">
        <v>0</v>
      </c>
      <c r="V3475" s="6">
        <v>0</v>
      </c>
      <c r="W3475" s="6">
        <v>0</v>
      </c>
      <c r="X3475" s="6" t="s">
        <v>169</v>
      </c>
      <c r="Z3475" s="6" t="s">
        <v>170</v>
      </c>
      <c r="AA3475" s="6" t="s">
        <v>171</v>
      </c>
      <c r="AB3475" s="6">
        <v>0</v>
      </c>
      <c r="AC3475" s="6" t="str">
        <f>""</f>
        <v/>
      </c>
      <c r="AS3475" s="6">
        <v>0</v>
      </c>
      <c r="AT3475" s="6">
        <v>0</v>
      </c>
    </row>
    <row r="3476" spans="2:46" ht="82.5">
      <c r="B3476" s="6" t="s">
        <v>13899</v>
      </c>
      <c r="D3476" s="6" t="s">
        <v>13131</v>
      </c>
      <c r="F3476" s="6" t="s">
        <v>14382</v>
      </c>
      <c r="G3476" s="6" t="str">
        <f>"3176224321974203"</f>
        <v>3176224321974203</v>
      </c>
      <c r="H3476" s="6">
        <v>3176224321974200</v>
      </c>
      <c r="I3476" s="7" t="s">
        <v>14383</v>
      </c>
      <c r="J3476" s="6" t="str">
        <f>"17hot summer cotton A-line skirt
(beige)"</f>
        <v>17hot summer cotton A-line skirt
(beige)</v>
      </c>
      <c r="K3476" s="6">
        <v>0</v>
      </c>
      <c r="L3476" s="6">
        <v>0</v>
      </c>
      <c r="M3476" s="6">
        <v>0</v>
      </c>
      <c r="N3476" s="6" t="str">
        <f>""</f>
        <v/>
      </c>
      <c r="O3476" s="6">
        <v>23005</v>
      </c>
      <c r="P3476" s="6" t="s">
        <v>14384</v>
      </c>
      <c r="R3476" s="6" t="s">
        <v>644</v>
      </c>
      <c r="S3476" s="7" t="s">
        <v>14385</v>
      </c>
      <c r="T3476" s="6">
        <v>0</v>
      </c>
      <c r="U3476" s="6">
        <v>0</v>
      </c>
      <c r="V3476" s="6">
        <v>0</v>
      </c>
      <c r="W3476" s="6">
        <v>0</v>
      </c>
      <c r="X3476" s="6" t="s">
        <v>169</v>
      </c>
      <c r="Z3476" s="6" t="s">
        <v>170</v>
      </c>
      <c r="AA3476" s="6" t="s">
        <v>171</v>
      </c>
      <c r="AB3476" s="6">
        <v>0</v>
      </c>
      <c r="AC3476" s="6" t="str">
        <f>""</f>
        <v/>
      </c>
      <c r="AS3476" s="6">
        <v>0</v>
      </c>
      <c r="AT3476" s="6">
        <v>0</v>
      </c>
    </row>
    <row r="3477" spans="2:46" ht="99">
      <c r="B3477" s="6" t="s">
        <v>13899</v>
      </c>
      <c r="D3477" s="6" t="s">
        <v>13131</v>
      </c>
      <c r="F3477" s="6" t="s">
        <v>14386</v>
      </c>
      <c r="G3477" s="6" t="str">
        <f>"3176224321891205"</f>
        <v>3176224321891205</v>
      </c>
      <c r="H3477" s="6">
        <v>3176224321891200</v>
      </c>
      <c r="I3477" s="7" t="s">
        <v>14387</v>
      </c>
      <c r="J3477" s="6" t="str">
        <f>"17hot summer coloring stitches T-shirts
(white)"</f>
        <v>17hot summer coloring stitches T-shirts
(white)</v>
      </c>
      <c r="K3477" s="6">
        <v>0</v>
      </c>
      <c r="L3477" s="6">
        <v>0</v>
      </c>
      <c r="M3477" s="6">
        <v>0</v>
      </c>
      <c r="N3477" s="6" t="str">
        <f>""</f>
        <v/>
      </c>
      <c r="O3477" s="6">
        <v>23003</v>
      </c>
      <c r="P3477" s="6" t="s">
        <v>14388</v>
      </c>
      <c r="R3477" s="6" t="s">
        <v>5193</v>
      </c>
      <c r="S3477" s="7" t="s">
        <v>14389</v>
      </c>
      <c r="T3477" s="6">
        <v>0</v>
      </c>
      <c r="U3477" s="6">
        <v>0</v>
      </c>
      <c r="V3477" s="6">
        <v>0</v>
      </c>
      <c r="W3477" s="6">
        <v>0</v>
      </c>
      <c r="X3477" s="6" t="s">
        <v>169</v>
      </c>
      <c r="Z3477" s="6" t="s">
        <v>170</v>
      </c>
      <c r="AA3477" s="6" t="s">
        <v>171</v>
      </c>
      <c r="AB3477" s="6">
        <v>0</v>
      </c>
      <c r="AC3477" s="6" t="str">
        <f>""</f>
        <v/>
      </c>
      <c r="AS3477" s="6">
        <v>0</v>
      </c>
      <c r="AT3477" s="6">
        <v>0</v>
      </c>
    </row>
    <row r="3478" spans="2:46" ht="99">
      <c r="B3478" s="6" t="s">
        <v>13899</v>
      </c>
      <c r="D3478" s="6" t="s">
        <v>13131</v>
      </c>
      <c r="F3478" s="6" t="s">
        <v>14390</v>
      </c>
      <c r="G3478" s="6" t="str">
        <f>"3176224321891204"</f>
        <v>3176224321891204</v>
      </c>
      <c r="H3478" s="6">
        <v>3176224321891200</v>
      </c>
      <c r="I3478" s="7" t="s">
        <v>14387</v>
      </c>
      <c r="J3478" s="6" t="str">
        <f>"17hot summer coloring stitches T-shirts
(white)"</f>
        <v>17hot summer coloring stitches T-shirts
(white)</v>
      </c>
      <c r="K3478" s="6">
        <v>0</v>
      </c>
      <c r="L3478" s="6">
        <v>0</v>
      </c>
      <c r="M3478" s="6">
        <v>0</v>
      </c>
      <c r="N3478" s="6" t="str">
        <f>""</f>
        <v/>
      </c>
      <c r="O3478" s="6">
        <v>23002</v>
      </c>
      <c r="P3478" s="6" t="s">
        <v>14391</v>
      </c>
      <c r="R3478" s="6" t="s">
        <v>5197</v>
      </c>
      <c r="S3478" s="7" t="s">
        <v>14392</v>
      </c>
      <c r="T3478" s="6">
        <v>0</v>
      </c>
      <c r="U3478" s="6">
        <v>0</v>
      </c>
      <c r="V3478" s="6">
        <v>0</v>
      </c>
      <c r="W3478" s="6">
        <v>0</v>
      </c>
      <c r="X3478" s="6" t="s">
        <v>169</v>
      </c>
      <c r="Z3478" s="6" t="s">
        <v>170</v>
      </c>
      <c r="AA3478" s="6" t="s">
        <v>171</v>
      </c>
      <c r="AB3478" s="6">
        <v>0</v>
      </c>
      <c r="AC3478" s="6" t="str">
        <f>""</f>
        <v/>
      </c>
      <c r="AS3478" s="6">
        <v>0</v>
      </c>
      <c r="AT3478" s="6">
        <v>0</v>
      </c>
    </row>
    <row r="3479" spans="2:46" ht="99">
      <c r="B3479" s="6" t="s">
        <v>13899</v>
      </c>
      <c r="D3479" s="6" t="s">
        <v>13131</v>
      </c>
      <c r="F3479" s="6" t="s">
        <v>14393</v>
      </c>
      <c r="G3479" s="6" t="str">
        <f>"3176224321725205"</f>
        <v>3176224321725205</v>
      </c>
      <c r="H3479" s="6">
        <v>3176224321725200</v>
      </c>
      <c r="I3479" s="7" t="s">
        <v>14394</v>
      </c>
      <c r="J3479" s="6" t="str">
        <f>"17hot summer coloring stitches T-shirts
(blue)"</f>
        <v>17hot summer coloring stitches T-shirts
(blue)</v>
      </c>
      <c r="K3479" s="6">
        <v>0</v>
      </c>
      <c r="L3479" s="6">
        <v>0</v>
      </c>
      <c r="M3479" s="6">
        <v>0</v>
      </c>
      <c r="N3479" s="6" t="str">
        <f>""</f>
        <v/>
      </c>
      <c r="O3479" s="6">
        <v>23000</v>
      </c>
      <c r="P3479" s="6" t="s">
        <v>14395</v>
      </c>
      <c r="R3479" s="6" t="s">
        <v>5275</v>
      </c>
      <c r="S3479" s="7" t="s">
        <v>14396</v>
      </c>
      <c r="T3479" s="6">
        <v>0</v>
      </c>
      <c r="U3479" s="6">
        <v>0</v>
      </c>
      <c r="V3479" s="6">
        <v>0</v>
      </c>
      <c r="W3479" s="6">
        <v>0</v>
      </c>
      <c r="X3479" s="6" t="s">
        <v>169</v>
      </c>
      <c r="Z3479" s="6" t="s">
        <v>170</v>
      </c>
      <c r="AA3479" s="6" t="s">
        <v>171</v>
      </c>
      <c r="AB3479" s="6">
        <v>0</v>
      </c>
      <c r="AC3479" s="6" t="str">
        <f>""</f>
        <v/>
      </c>
      <c r="AS3479" s="6">
        <v>0</v>
      </c>
      <c r="AT3479" s="6">
        <v>0</v>
      </c>
    </row>
    <row r="3480" spans="2:46" ht="99">
      <c r="B3480" s="6" t="s">
        <v>13899</v>
      </c>
      <c r="D3480" s="6" t="s">
        <v>13131</v>
      </c>
      <c r="F3480" s="6" t="s">
        <v>14397</v>
      </c>
      <c r="G3480" s="6" t="str">
        <f>"3176224321725204"</f>
        <v>3176224321725204</v>
      </c>
      <c r="H3480" s="6">
        <v>3176224321725200</v>
      </c>
      <c r="I3480" s="7" t="s">
        <v>14394</v>
      </c>
      <c r="J3480" s="6" t="str">
        <f>"17hot summer coloring stitches T-shirts
(blue)"</f>
        <v>17hot summer coloring stitches T-shirts
(blue)</v>
      </c>
      <c r="K3480" s="6">
        <v>0</v>
      </c>
      <c r="L3480" s="6">
        <v>0</v>
      </c>
      <c r="M3480" s="6">
        <v>0</v>
      </c>
      <c r="N3480" s="6" t="str">
        <f>""</f>
        <v/>
      </c>
      <c r="O3480" s="6">
        <v>22999</v>
      </c>
      <c r="P3480" s="6" t="s">
        <v>14398</v>
      </c>
      <c r="R3480" s="6" t="s">
        <v>5340</v>
      </c>
      <c r="S3480" s="7" t="s">
        <v>14399</v>
      </c>
      <c r="T3480" s="6">
        <v>0</v>
      </c>
      <c r="U3480" s="6">
        <v>0</v>
      </c>
      <c r="V3480" s="6">
        <v>0</v>
      </c>
      <c r="W3480" s="6">
        <v>0</v>
      </c>
      <c r="X3480" s="6" t="s">
        <v>169</v>
      </c>
      <c r="Z3480" s="6" t="s">
        <v>170</v>
      </c>
      <c r="AA3480" s="6" t="s">
        <v>171</v>
      </c>
      <c r="AB3480" s="6">
        <v>0</v>
      </c>
      <c r="AC3480" s="6" t="str">
        <f>""</f>
        <v/>
      </c>
      <c r="AS3480" s="6">
        <v>0</v>
      </c>
      <c r="AT3480" s="6">
        <v>0</v>
      </c>
    </row>
    <row r="3481" spans="2:46" ht="99">
      <c r="B3481" s="6" t="s">
        <v>13899</v>
      </c>
      <c r="D3481" s="6" t="s">
        <v>13131</v>
      </c>
      <c r="F3481" s="6" t="s">
        <v>14400</v>
      </c>
      <c r="G3481" s="6" t="str">
        <f>"3176224321674205"</f>
        <v>3176224321674205</v>
      </c>
      <c r="H3481" s="6">
        <v>3176224321674200</v>
      </c>
      <c r="I3481" s="7" t="s">
        <v>14401</v>
      </c>
      <c r="J3481" s="6" t="str">
        <f>"17hot summer coloring stitches T-shirts
(beige)"</f>
        <v>17hot summer coloring stitches T-shirts
(beige)</v>
      </c>
      <c r="K3481" s="6">
        <v>0</v>
      </c>
      <c r="L3481" s="6">
        <v>0</v>
      </c>
      <c r="M3481" s="6">
        <v>0</v>
      </c>
      <c r="N3481" s="6" t="str">
        <f>""</f>
        <v/>
      </c>
      <c r="O3481" s="6">
        <v>22997</v>
      </c>
      <c r="P3481" s="6" t="s">
        <v>14402</v>
      </c>
      <c r="R3481" s="6" t="s">
        <v>5224</v>
      </c>
      <c r="S3481" s="7" t="s">
        <v>14403</v>
      </c>
      <c r="T3481" s="6">
        <v>0</v>
      </c>
      <c r="U3481" s="6">
        <v>0</v>
      </c>
      <c r="V3481" s="6">
        <v>0</v>
      </c>
      <c r="W3481" s="6">
        <v>0</v>
      </c>
      <c r="X3481" s="6" t="s">
        <v>169</v>
      </c>
      <c r="Z3481" s="6" t="s">
        <v>170</v>
      </c>
      <c r="AA3481" s="6" t="s">
        <v>171</v>
      </c>
      <c r="AB3481" s="6">
        <v>0</v>
      </c>
      <c r="AC3481" s="6" t="str">
        <f>""</f>
        <v/>
      </c>
      <c r="AS3481" s="6">
        <v>0</v>
      </c>
      <c r="AT3481" s="6">
        <v>0</v>
      </c>
    </row>
    <row r="3482" spans="2:46" ht="99">
      <c r="B3482" s="6" t="s">
        <v>13899</v>
      </c>
      <c r="D3482" s="6" t="s">
        <v>13131</v>
      </c>
      <c r="F3482" s="6" t="s">
        <v>14404</v>
      </c>
      <c r="G3482" s="6" t="str">
        <f>"3176224321674204"</f>
        <v>3176224321674204</v>
      </c>
      <c r="H3482" s="6">
        <v>3176224321674200</v>
      </c>
      <c r="I3482" s="7" t="s">
        <v>14401</v>
      </c>
      <c r="J3482" s="6" t="str">
        <f>"17hot summer coloring stitches T-shirts
(beige)"</f>
        <v>17hot summer coloring stitches T-shirts
(beige)</v>
      </c>
      <c r="K3482" s="6">
        <v>0</v>
      </c>
      <c r="L3482" s="6">
        <v>0</v>
      </c>
      <c r="M3482" s="6">
        <v>0</v>
      </c>
      <c r="N3482" s="6" t="str">
        <f>""</f>
        <v/>
      </c>
      <c r="O3482" s="6">
        <v>22996</v>
      </c>
      <c r="P3482" s="6" t="s">
        <v>14405</v>
      </c>
      <c r="R3482" s="6" t="s">
        <v>639</v>
      </c>
      <c r="S3482" s="7" t="s">
        <v>14406</v>
      </c>
      <c r="T3482" s="6">
        <v>0</v>
      </c>
      <c r="U3482" s="6">
        <v>0</v>
      </c>
      <c r="V3482" s="6">
        <v>0</v>
      </c>
      <c r="W3482" s="6">
        <v>0</v>
      </c>
      <c r="X3482" s="6" t="s">
        <v>169</v>
      </c>
      <c r="Z3482" s="6" t="s">
        <v>170</v>
      </c>
      <c r="AA3482" s="6" t="s">
        <v>171</v>
      </c>
      <c r="AB3482" s="6">
        <v>0</v>
      </c>
      <c r="AC3482" s="6" t="str">
        <f>""</f>
        <v/>
      </c>
      <c r="AS3482" s="6">
        <v>0</v>
      </c>
      <c r="AT3482" s="6">
        <v>0</v>
      </c>
    </row>
    <row r="3483" spans="2:46">
      <c r="B3483" s="6" t="s">
        <v>13899</v>
      </c>
      <c r="D3483" s="6" t="s">
        <v>13131</v>
      </c>
      <c r="F3483" s="6" t="s">
        <v>14407</v>
      </c>
      <c r="G3483" s="6" t="str">
        <f>"31762521249"</f>
        <v>31762521249</v>
      </c>
      <c r="H3483" s="6">
        <v>31762521249</v>
      </c>
      <c r="I3483" s="6" t="s">
        <v>14408</v>
      </c>
      <c r="J3483" s="6" t="str">
        <f>"17hot summer black chiffon bustier onepiece"</f>
        <v>17hot summer black chiffon bustier onepiece</v>
      </c>
      <c r="K3483" s="6">
        <v>0</v>
      </c>
      <c r="L3483" s="6">
        <v>0</v>
      </c>
      <c r="M3483" s="6">
        <v>0</v>
      </c>
      <c r="N3483" s="6" t="str">
        <f>""</f>
        <v/>
      </c>
      <c r="O3483" s="6">
        <v>22994</v>
      </c>
      <c r="P3483" s="6" t="s">
        <v>14409</v>
      </c>
      <c r="R3483" s="6" t="s">
        <v>2106</v>
      </c>
      <c r="S3483" s="6" t="s">
        <v>14410</v>
      </c>
      <c r="T3483" s="6">
        <v>0</v>
      </c>
      <c r="U3483" s="6">
        <v>0</v>
      </c>
      <c r="V3483" s="6">
        <v>0</v>
      </c>
      <c r="W3483" s="6">
        <v>0</v>
      </c>
      <c r="X3483" s="6" t="s">
        <v>169</v>
      </c>
      <c r="Z3483" s="6" t="s">
        <v>170</v>
      </c>
      <c r="AA3483" s="6" t="s">
        <v>171</v>
      </c>
      <c r="AB3483" s="6">
        <v>0</v>
      </c>
      <c r="AC3483" s="6" t="str">
        <f>""</f>
        <v/>
      </c>
      <c r="AS3483" s="6">
        <v>0</v>
      </c>
      <c r="AT3483" s="6">
        <v>0</v>
      </c>
    </row>
    <row r="3484" spans="2:46" ht="115.5">
      <c r="B3484" s="6" t="s">
        <v>13899</v>
      </c>
      <c r="D3484" s="6" t="s">
        <v>13131</v>
      </c>
      <c r="F3484" s="6" t="s">
        <v>14411</v>
      </c>
      <c r="G3484" s="6" t="str">
        <f>"31762521248"</f>
        <v>31762521248</v>
      </c>
      <c r="H3484" s="6">
        <v>31762521248</v>
      </c>
      <c r="I3484" s="7" t="s">
        <v>14412</v>
      </c>
      <c r="J3484" s="6" t="str">
        <f>"17hot summer belted long one-piece
(yellow)"</f>
        <v>17hot summer belted long one-piece
(yellow)</v>
      </c>
      <c r="K3484" s="6">
        <v>0</v>
      </c>
      <c r="L3484" s="6">
        <v>0</v>
      </c>
      <c r="M3484" s="6">
        <v>0</v>
      </c>
      <c r="N3484" s="6" t="str">
        <f>""</f>
        <v/>
      </c>
      <c r="O3484" s="6">
        <v>22992</v>
      </c>
      <c r="P3484" s="6" t="s">
        <v>14413</v>
      </c>
      <c r="R3484" s="6" t="s">
        <v>2570</v>
      </c>
      <c r="S3484" s="7" t="s">
        <v>14414</v>
      </c>
      <c r="T3484" s="6">
        <v>0</v>
      </c>
      <c r="U3484" s="6">
        <v>0</v>
      </c>
      <c r="V3484" s="6">
        <v>0</v>
      </c>
      <c r="W3484" s="6">
        <v>0</v>
      </c>
      <c r="X3484" s="6" t="s">
        <v>169</v>
      </c>
      <c r="Z3484" s="6" t="s">
        <v>170</v>
      </c>
      <c r="AA3484" s="6" t="s">
        <v>171</v>
      </c>
      <c r="AB3484" s="6">
        <v>0</v>
      </c>
      <c r="AC3484" s="6" t="str">
        <f>""</f>
        <v/>
      </c>
      <c r="AS3484" s="6">
        <v>0</v>
      </c>
      <c r="AT3484" s="6">
        <v>0</v>
      </c>
    </row>
    <row r="3485" spans="2:46" ht="99">
      <c r="B3485" s="6" t="s">
        <v>13899</v>
      </c>
      <c r="D3485" s="6" t="s">
        <v>13131</v>
      </c>
      <c r="F3485" s="6" t="s">
        <v>14415</v>
      </c>
      <c r="G3485" s="6" t="str">
        <f>"3176524224799120"</f>
        <v>3176524224799120</v>
      </c>
      <c r="H3485" s="6">
        <v>3176524224799120</v>
      </c>
      <c r="I3485" s="7" t="s">
        <v>14416</v>
      </c>
      <c r="J3485" s="6" t="str">
        <f>"17hot summer taping bucket hat
(black)"</f>
        <v>17hot summer taping bucket hat
(black)</v>
      </c>
      <c r="K3485" s="6">
        <v>0</v>
      </c>
      <c r="L3485" s="6">
        <v>0</v>
      </c>
      <c r="M3485" s="6">
        <v>0</v>
      </c>
      <c r="N3485" s="6" t="str">
        <f>""</f>
        <v/>
      </c>
      <c r="O3485" s="6">
        <v>22989</v>
      </c>
      <c r="P3485" s="6" t="s">
        <v>14417</v>
      </c>
      <c r="R3485" s="6" t="s">
        <v>5066</v>
      </c>
      <c r="S3485" s="7" t="s">
        <v>14418</v>
      </c>
      <c r="T3485" s="6">
        <v>0</v>
      </c>
      <c r="U3485" s="6">
        <v>0</v>
      </c>
      <c r="V3485" s="6">
        <v>0</v>
      </c>
      <c r="W3485" s="6">
        <v>0</v>
      </c>
      <c r="X3485" s="6" t="s">
        <v>169</v>
      </c>
      <c r="Z3485" s="6" t="s">
        <v>170</v>
      </c>
      <c r="AA3485" s="6" t="s">
        <v>171</v>
      </c>
      <c r="AB3485" s="6">
        <v>0</v>
      </c>
      <c r="AC3485" s="6" t="str">
        <f>""</f>
        <v/>
      </c>
      <c r="AS3485" s="6">
        <v>0</v>
      </c>
      <c r="AT3485" s="6">
        <v>0</v>
      </c>
    </row>
    <row r="3486" spans="2:46" ht="82.5">
      <c r="B3486" s="6" t="s">
        <v>13899</v>
      </c>
      <c r="D3486" s="6" t="s">
        <v>13131</v>
      </c>
      <c r="F3486" s="6" t="s">
        <v>14419</v>
      </c>
      <c r="G3486" s="6" t="str">
        <f>"3176224322191205"</f>
        <v>3176224322191205</v>
      </c>
      <c r="H3486" s="6">
        <v>3176224322191200</v>
      </c>
      <c r="I3486" s="7" t="s">
        <v>14420</v>
      </c>
      <c r="J3486" s="6" t="str">
        <f>"17hot summer raw edge T-shirts 
(white)"</f>
        <v>17hot summer raw edge T-shirts 
(white)</v>
      </c>
      <c r="K3486" s="6">
        <v>0</v>
      </c>
      <c r="L3486" s="6">
        <v>0</v>
      </c>
      <c r="M3486" s="6">
        <v>0</v>
      </c>
      <c r="N3486" s="6" t="str">
        <f>""</f>
        <v/>
      </c>
      <c r="O3486" s="6">
        <v>23028</v>
      </c>
      <c r="P3486" s="6" t="s">
        <v>14421</v>
      </c>
      <c r="R3486" s="6" t="s">
        <v>5193</v>
      </c>
      <c r="S3486" s="7" t="s">
        <v>14422</v>
      </c>
      <c r="T3486" s="6">
        <v>0</v>
      </c>
      <c r="U3486" s="6">
        <v>0</v>
      </c>
      <c r="V3486" s="6">
        <v>0</v>
      </c>
      <c r="W3486" s="6">
        <v>0</v>
      </c>
      <c r="X3486" s="6" t="s">
        <v>169</v>
      </c>
      <c r="Z3486" s="6" t="s">
        <v>170</v>
      </c>
      <c r="AA3486" s="6" t="s">
        <v>171</v>
      </c>
      <c r="AB3486" s="6">
        <v>0</v>
      </c>
      <c r="AC3486" s="6" t="str">
        <f>""</f>
        <v/>
      </c>
      <c r="AS3486" s="6">
        <v>0</v>
      </c>
      <c r="AT3486" s="6">
        <v>0</v>
      </c>
    </row>
    <row r="3487" spans="2:46" ht="82.5">
      <c r="B3487" s="6" t="s">
        <v>13899</v>
      </c>
      <c r="D3487" s="6" t="s">
        <v>13131</v>
      </c>
      <c r="F3487" s="6" t="s">
        <v>14423</v>
      </c>
      <c r="G3487" s="6" t="str">
        <f>"3176224322191204"</f>
        <v>3176224322191204</v>
      </c>
      <c r="H3487" s="6">
        <v>3176224322191200</v>
      </c>
      <c r="I3487" s="7" t="s">
        <v>14420</v>
      </c>
      <c r="J3487" s="6" t="str">
        <f>"17hot summer raw edge T-shirts 
(white)"</f>
        <v>17hot summer raw edge T-shirts 
(white)</v>
      </c>
      <c r="K3487" s="6">
        <v>0</v>
      </c>
      <c r="L3487" s="6">
        <v>0</v>
      </c>
      <c r="M3487" s="6">
        <v>0</v>
      </c>
      <c r="N3487" s="6" t="str">
        <f>""</f>
        <v/>
      </c>
      <c r="O3487" s="6">
        <v>22987</v>
      </c>
      <c r="P3487" s="6" t="s">
        <v>14424</v>
      </c>
      <c r="R3487" s="6" t="s">
        <v>5197</v>
      </c>
      <c r="S3487" s="7" t="s">
        <v>14425</v>
      </c>
      <c r="T3487" s="6">
        <v>0</v>
      </c>
      <c r="U3487" s="6">
        <v>0</v>
      </c>
      <c r="V3487" s="6">
        <v>0</v>
      </c>
      <c r="W3487" s="6">
        <v>0</v>
      </c>
      <c r="X3487" s="6" t="s">
        <v>169</v>
      </c>
      <c r="Z3487" s="6" t="s">
        <v>170</v>
      </c>
      <c r="AA3487" s="6" t="s">
        <v>171</v>
      </c>
      <c r="AB3487" s="6">
        <v>0</v>
      </c>
      <c r="AC3487" s="6" t="str">
        <f>""</f>
        <v/>
      </c>
      <c r="AS3487" s="6">
        <v>0</v>
      </c>
      <c r="AT3487" s="6">
        <v>0</v>
      </c>
    </row>
    <row r="3488" spans="2:46">
      <c r="B3488" s="6" t="s">
        <v>13899</v>
      </c>
      <c r="D3488" s="6" t="s">
        <v>13131</v>
      </c>
      <c r="F3488" s="6" t="s">
        <v>14426</v>
      </c>
      <c r="G3488" s="6" t="str">
        <f>"31765241029"</f>
        <v>31765241029</v>
      </c>
      <c r="H3488" s="6">
        <v>31765241029</v>
      </c>
      <c r="I3488" s="6" t="s">
        <v>14427</v>
      </c>
      <c r="J3488" s="6" t="str">
        <f>"17hot summer rose embroidery ball cap"</f>
        <v>17hot summer rose embroidery ball cap</v>
      </c>
      <c r="K3488" s="6">
        <v>0</v>
      </c>
      <c r="L3488" s="6">
        <v>0</v>
      </c>
      <c r="M3488" s="6">
        <v>0</v>
      </c>
      <c r="N3488" s="6" t="str">
        <f>""</f>
        <v/>
      </c>
      <c r="O3488" s="6">
        <v>22985</v>
      </c>
      <c r="P3488" s="6" t="s">
        <v>14428</v>
      </c>
      <c r="R3488" s="6" t="s">
        <v>2106</v>
      </c>
      <c r="S3488" s="6" t="s">
        <v>14429</v>
      </c>
      <c r="T3488" s="6">
        <v>0</v>
      </c>
      <c r="U3488" s="6">
        <v>0</v>
      </c>
      <c r="V3488" s="6">
        <v>0</v>
      </c>
      <c r="W3488" s="6">
        <v>0</v>
      </c>
      <c r="X3488" s="6" t="s">
        <v>169</v>
      </c>
      <c r="Z3488" s="6" t="s">
        <v>170</v>
      </c>
      <c r="AA3488" s="6" t="s">
        <v>171</v>
      </c>
      <c r="AB3488" s="6">
        <v>0</v>
      </c>
      <c r="AC3488" s="6" t="str">
        <f>""</f>
        <v/>
      </c>
      <c r="AS3488" s="6">
        <v>0</v>
      </c>
      <c r="AT3488" s="6">
        <v>0</v>
      </c>
    </row>
    <row r="3489" spans="2:46" ht="82.5">
      <c r="B3489" s="6" t="s">
        <v>13899</v>
      </c>
      <c r="D3489" s="6" t="s">
        <v>13131</v>
      </c>
      <c r="F3489" s="6" t="s">
        <v>14430</v>
      </c>
      <c r="G3489" s="6" t="str">
        <f>"3176224322265205"</f>
        <v>3176224322265205</v>
      </c>
      <c r="H3489" s="6">
        <v>3176224322265200</v>
      </c>
      <c r="I3489" s="7" t="s">
        <v>14431</v>
      </c>
      <c r="J3489" s="6" t="str">
        <f>"17hot summer raw edge T-shirts 
(yellow)"</f>
        <v>17hot summer raw edge T-shirts 
(yellow)</v>
      </c>
      <c r="K3489" s="6">
        <v>0</v>
      </c>
      <c r="L3489" s="6">
        <v>0</v>
      </c>
      <c r="M3489" s="6">
        <v>0</v>
      </c>
      <c r="N3489" s="6" t="str">
        <f>""</f>
        <v/>
      </c>
      <c r="O3489" s="6">
        <v>22990</v>
      </c>
      <c r="P3489" s="6" t="s">
        <v>14432</v>
      </c>
      <c r="R3489" s="6" t="s">
        <v>5329</v>
      </c>
      <c r="S3489" s="7" t="s">
        <v>14433</v>
      </c>
      <c r="T3489" s="6">
        <v>0</v>
      </c>
      <c r="U3489" s="6">
        <v>0</v>
      </c>
      <c r="V3489" s="6">
        <v>0</v>
      </c>
      <c r="W3489" s="6">
        <v>0</v>
      </c>
      <c r="X3489" s="6" t="s">
        <v>169</v>
      </c>
      <c r="Z3489" s="6" t="s">
        <v>170</v>
      </c>
      <c r="AA3489" s="6" t="s">
        <v>171</v>
      </c>
      <c r="AB3489" s="6">
        <v>0</v>
      </c>
      <c r="AC3489" s="6" t="str">
        <f>""</f>
        <v/>
      </c>
      <c r="AS3489" s="6">
        <v>0</v>
      </c>
      <c r="AT3489" s="6">
        <v>0</v>
      </c>
    </row>
    <row r="3490" spans="2:46" ht="82.5">
      <c r="B3490" s="6" t="s">
        <v>13899</v>
      </c>
      <c r="D3490" s="6" t="s">
        <v>13131</v>
      </c>
      <c r="F3490" s="6" t="s">
        <v>14434</v>
      </c>
      <c r="G3490" s="6" t="str">
        <f>"3176224322265204"</f>
        <v>3176224322265204</v>
      </c>
      <c r="H3490" s="6">
        <v>3176224322265200</v>
      </c>
      <c r="I3490" s="7" t="s">
        <v>14431</v>
      </c>
      <c r="J3490" s="6" t="str">
        <f>"17hot summer raw edge T-shirts 
(yellow)"</f>
        <v>17hot summer raw edge T-shirts 
(yellow)</v>
      </c>
      <c r="K3490" s="6">
        <v>0</v>
      </c>
      <c r="L3490" s="6">
        <v>0</v>
      </c>
      <c r="M3490" s="6">
        <v>0</v>
      </c>
      <c r="N3490" s="6" t="str">
        <f>""</f>
        <v/>
      </c>
      <c r="O3490" s="6">
        <v>22983</v>
      </c>
      <c r="P3490" s="6" t="s">
        <v>14435</v>
      </c>
      <c r="R3490" s="6" t="s">
        <v>3653</v>
      </c>
      <c r="S3490" s="7" t="s">
        <v>14436</v>
      </c>
      <c r="T3490" s="6">
        <v>0</v>
      </c>
      <c r="U3490" s="6">
        <v>0</v>
      </c>
      <c r="V3490" s="6">
        <v>0</v>
      </c>
      <c r="W3490" s="6">
        <v>0</v>
      </c>
      <c r="X3490" s="6" t="s">
        <v>169</v>
      </c>
      <c r="Z3490" s="6" t="s">
        <v>170</v>
      </c>
      <c r="AA3490" s="6" t="s">
        <v>171</v>
      </c>
      <c r="AB3490" s="6">
        <v>0</v>
      </c>
      <c r="AC3490" s="6" t="str">
        <f>""</f>
        <v/>
      </c>
      <c r="AS3490" s="6">
        <v>0</v>
      </c>
      <c r="AT3490" s="6">
        <v>0</v>
      </c>
    </row>
    <row r="3491" spans="2:46" ht="115.5">
      <c r="B3491" s="6" t="s">
        <v>13899</v>
      </c>
      <c r="D3491" s="6" t="s">
        <v>13131</v>
      </c>
      <c r="F3491" s="6" t="s">
        <v>14437</v>
      </c>
      <c r="G3491" s="6" t="str">
        <f>"31764221014"</f>
        <v>31764221014</v>
      </c>
      <c r="H3491" s="6">
        <v>31764221014</v>
      </c>
      <c r="I3491" s="7" t="s">
        <v>14438</v>
      </c>
      <c r="J3491" s="6" t="str">
        <f>"17hot summer sleeveless top-vrassiere set
(white)"</f>
        <v>17hot summer sleeveless top-vrassiere set
(white)</v>
      </c>
      <c r="K3491" s="6">
        <v>0</v>
      </c>
      <c r="L3491" s="6">
        <v>0</v>
      </c>
      <c r="M3491" s="6">
        <v>0</v>
      </c>
      <c r="N3491" s="6" t="str">
        <f>""</f>
        <v/>
      </c>
      <c r="O3491" s="6">
        <v>22981</v>
      </c>
      <c r="P3491" s="6" t="s">
        <v>14439</v>
      </c>
      <c r="R3491" s="6" t="s">
        <v>2167</v>
      </c>
      <c r="S3491" s="7" t="s">
        <v>14440</v>
      </c>
      <c r="T3491" s="6">
        <v>0</v>
      </c>
      <c r="U3491" s="6">
        <v>0</v>
      </c>
      <c r="V3491" s="6">
        <v>0</v>
      </c>
      <c r="W3491" s="6">
        <v>0</v>
      </c>
      <c r="X3491" s="6" t="s">
        <v>169</v>
      </c>
      <c r="Z3491" s="6" t="s">
        <v>170</v>
      </c>
      <c r="AA3491" s="6" t="s">
        <v>171</v>
      </c>
      <c r="AB3491" s="6">
        <v>0</v>
      </c>
      <c r="AC3491" s="6" t="str">
        <f>""</f>
        <v/>
      </c>
      <c r="AS3491" s="6">
        <v>0</v>
      </c>
      <c r="AT3491" s="6">
        <v>0</v>
      </c>
    </row>
    <row r="3492" spans="2:46" ht="99">
      <c r="B3492" s="6" t="s">
        <v>13899</v>
      </c>
      <c r="D3492" s="6" t="s">
        <v>13131</v>
      </c>
      <c r="F3492" s="6" t="s">
        <v>14441</v>
      </c>
      <c r="G3492" s="6" t="str">
        <f>"31765242246"</f>
        <v>31765242246</v>
      </c>
      <c r="H3492" s="6">
        <v>31765242246</v>
      </c>
      <c r="I3492" s="7" t="s">
        <v>14442</v>
      </c>
      <c r="J3492" s="6" t="str">
        <f>"17hot summer taping bucket hat
(beige)"</f>
        <v>17hot summer taping bucket hat
(beige)</v>
      </c>
      <c r="K3492" s="6">
        <v>0</v>
      </c>
      <c r="L3492" s="6">
        <v>0</v>
      </c>
      <c r="M3492" s="6">
        <v>0</v>
      </c>
      <c r="N3492" s="6" t="str">
        <f>""</f>
        <v/>
      </c>
      <c r="O3492" s="6">
        <v>22979</v>
      </c>
      <c r="P3492" s="6" t="s">
        <v>14443</v>
      </c>
      <c r="R3492" s="6" t="s">
        <v>2102</v>
      </c>
      <c r="S3492" s="7" t="s">
        <v>14444</v>
      </c>
      <c r="T3492" s="6">
        <v>0</v>
      </c>
      <c r="U3492" s="6">
        <v>0</v>
      </c>
      <c r="V3492" s="6">
        <v>0</v>
      </c>
      <c r="W3492" s="6">
        <v>0</v>
      </c>
      <c r="X3492" s="6" t="s">
        <v>169</v>
      </c>
      <c r="Z3492" s="6" t="s">
        <v>170</v>
      </c>
      <c r="AA3492" s="6" t="s">
        <v>171</v>
      </c>
      <c r="AB3492" s="6">
        <v>0</v>
      </c>
      <c r="AC3492" s="6" t="str">
        <f>""</f>
        <v/>
      </c>
      <c r="AS3492" s="6">
        <v>0</v>
      </c>
      <c r="AT3492" s="6">
        <v>0</v>
      </c>
    </row>
    <row r="3493" spans="2:46">
      <c r="B3493" s="6" t="s">
        <v>13899</v>
      </c>
      <c r="D3493" s="6" t="s">
        <v>13131</v>
      </c>
      <c r="F3493" s="6" t="s">
        <v>14445</v>
      </c>
      <c r="G3493" s="6" t="str">
        <f>"3176224160491205"</f>
        <v>3176224160491205</v>
      </c>
      <c r="H3493" s="6">
        <v>3176224160491200</v>
      </c>
      <c r="I3493" s="6" t="s">
        <v>14446</v>
      </c>
      <c r="J3493" s="6" t="str">
        <f>"17ss snake printing t-shirts(white)"</f>
        <v>17ss snake printing t-shirts(white)</v>
      </c>
      <c r="K3493" s="6">
        <v>0</v>
      </c>
      <c r="L3493" s="6">
        <v>0</v>
      </c>
      <c r="M3493" s="6">
        <v>0</v>
      </c>
      <c r="N3493" s="6" t="str">
        <f>""</f>
        <v/>
      </c>
      <c r="O3493" s="6">
        <v>22977</v>
      </c>
      <c r="P3493" s="6" t="s">
        <v>14447</v>
      </c>
      <c r="R3493" s="6" t="s">
        <v>5193</v>
      </c>
      <c r="S3493" s="6" t="s">
        <v>14448</v>
      </c>
      <c r="T3493" s="6">
        <v>0</v>
      </c>
      <c r="U3493" s="6">
        <v>0</v>
      </c>
      <c r="V3493" s="6">
        <v>0</v>
      </c>
      <c r="W3493" s="6">
        <v>0</v>
      </c>
      <c r="X3493" s="6" t="s">
        <v>169</v>
      </c>
      <c r="Z3493" s="6" t="s">
        <v>170</v>
      </c>
      <c r="AA3493" s="6" t="s">
        <v>171</v>
      </c>
      <c r="AB3493" s="6">
        <v>0</v>
      </c>
      <c r="AC3493" s="6" t="str">
        <f>""</f>
        <v/>
      </c>
      <c r="AS3493" s="6">
        <v>0</v>
      </c>
      <c r="AT3493" s="6">
        <v>0</v>
      </c>
    </row>
    <row r="3494" spans="2:46">
      <c r="B3494" s="6" t="s">
        <v>13899</v>
      </c>
      <c r="D3494" s="6" t="s">
        <v>13131</v>
      </c>
      <c r="F3494" s="6" t="s">
        <v>14449</v>
      </c>
      <c r="G3494" s="6" t="str">
        <f>"3176224160491204"</f>
        <v>3176224160491204</v>
      </c>
      <c r="H3494" s="6">
        <v>3176224160491200</v>
      </c>
      <c r="I3494" s="6" t="s">
        <v>14446</v>
      </c>
      <c r="J3494" s="6" t="str">
        <f>"17ss snake printing t-shirts(white)"</f>
        <v>17ss snake printing t-shirts(white)</v>
      </c>
      <c r="K3494" s="6">
        <v>0</v>
      </c>
      <c r="L3494" s="6">
        <v>0</v>
      </c>
      <c r="M3494" s="6">
        <v>0</v>
      </c>
      <c r="N3494" s="6" t="str">
        <f>""</f>
        <v/>
      </c>
      <c r="O3494" s="6">
        <v>22976</v>
      </c>
      <c r="P3494" s="6" t="s">
        <v>14450</v>
      </c>
      <c r="R3494" s="6" t="s">
        <v>5197</v>
      </c>
      <c r="S3494" s="6" t="s">
        <v>14451</v>
      </c>
      <c r="T3494" s="6">
        <v>0</v>
      </c>
      <c r="U3494" s="6">
        <v>0</v>
      </c>
      <c r="V3494" s="6">
        <v>0</v>
      </c>
      <c r="W3494" s="6">
        <v>0</v>
      </c>
      <c r="X3494" s="6" t="s">
        <v>169</v>
      </c>
      <c r="Z3494" s="6" t="s">
        <v>170</v>
      </c>
      <c r="AA3494" s="6" t="s">
        <v>171</v>
      </c>
      <c r="AB3494" s="6">
        <v>0</v>
      </c>
      <c r="AC3494" s="6" t="str">
        <f>""</f>
        <v/>
      </c>
      <c r="AS3494" s="6">
        <v>0</v>
      </c>
      <c r="AT3494" s="6">
        <v>0</v>
      </c>
    </row>
    <row r="3495" spans="2:46">
      <c r="B3495" s="6" t="s">
        <v>13899</v>
      </c>
      <c r="D3495" s="6" t="s">
        <v>13131</v>
      </c>
      <c r="F3495" s="6" t="s">
        <v>14452</v>
      </c>
      <c r="G3495" s="6" t="str">
        <f>"3176224160399205"</f>
        <v>3176224160399205</v>
      </c>
      <c r="H3495" s="6">
        <v>3176224160399200</v>
      </c>
      <c r="I3495" s="6" t="s">
        <v>14453</v>
      </c>
      <c r="J3495" s="6" t="str">
        <f>"17ss snake printing t-shirts(black)"</f>
        <v>17ss snake printing t-shirts(black)</v>
      </c>
      <c r="K3495" s="6">
        <v>0</v>
      </c>
      <c r="L3495" s="6">
        <v>0</v>
      </c>
      <c r="M3495" s="6">
        <v>0</v>
      </c>
      <c r="N3495" s="6" t="str">
        <f>""</f>
        <v/>
      </c>
      <c r="O3495" s="6">
        <v>22974</v>
      </c>
      <c r="P3495" s="6" t="s">
        <v>14454</v>
      </c>
      <c r="R3495" s="6" t="s">
        <v>5106</v>
      </c>
      <c r="S3495" s="6" t="s">
        <v>14455</v>
      </c>
      <c r="T3495" s="6">
        <v>0</v>
      </c>
      <c r="U3495" s="6">
        <v>0</v>
      </c>
      <c r="V3495" s="6">
        <v>0</v>
      </c>
      <c r="W3495" s="6">
        <v>0</v>
      </c>
      <c r="X3495" s="6" t="s">
        <v>169</v>
      </c>
      <c r="Z3495" s="6" t="s">
        <v>170</v>
      </c>
      <c r="AA3495" s="6" t="s">
        <v>171</v>
      </c>
      <c r="AB3495" s="6">
        <v>0</v>
      </c>
      <c r="AC3495" s="6" t="str">
        <f>""</f>
        <v/>
      </c>
      <c r="AS3495" s="6">
        <v>0</v>
      </c>
      <c r="AT3495" s="6">
        <v>0</v>
      </c>
    </row>
    <row r="3496" spans="2:46">
      <c r="B3496" s="6" t="s">
        <v>13899</v>
      </c>
      <c r="D3496" s="6" t="s">
        <v>13131</v>
      </c>
      <c r="F3496" s="6" t="s">
        <v>14456</v>
      </c>
      <c r="G3496" s="6" t="str">
        <f>"3176224160399204"</f>
        <v>3176224160399204</v>
      </c>
      <c r="H3496" s="6">
        <v>3176224160399200</v>
      </c>
      <c r="I3496" s="6" t="s">
        <v>14453</v>
      </c>
      <c r="J3496" s="6" t="str">
        <f>"17ss snake printing t-shirts(black)"</f>
        <v>17ss snake printing t-shirts(black)</v>
      </c>
      <c r="K3496" s="6">
        <v>0</v>
      </c>
      <c r="L3496" s="6">
        <v>0</v>
      </c>
      <c r="M3496" s="6">
        <v>0</v>
      </c>
      <c r="N3496" s="6" t="str">
        <f>""</f>
        <v/>
      </c>
      <c r="O3496" s="6">
        <v>22973</v>
      </c>
      <c r="P3496" s="6" t="s">
        <v>14457</v>
      </c>
      <c r="R3496" s="6" t="s">
        <v>601</v>
      </c>
      <c r="S3496" s="6" t="s">
        <v>14458</v>
      </c>
      <c r="T3496" s="6">
        <v>0</v>
      </c>
      <c r="U3496" s="6">
        <v>0</v>
      </c>
      <c r="V3496" s="6">
        <v>0</v>
      </c>
      <c r="W3496" s="6">
        <v>0</v>
      </c>
      <c r="X3496" s="6" t="s">
        <v>169</v>
      </c>
      <c r="Z3496" s="6" t="s">
        <v>170</v>
      </c>
      <c r="AA3496" s="6" t="s">
        <v>171</v>
      </c>
      <c r="AB3496" s="6">
        <v>0</v>
      </c>
      <c r="AC3496" s="6" t="str">
        <f>""</f>
        <v/>
      </c>
      <c r="AS3496" s="6">
        <v>0</v>
      </c>
      <c r="AT3496" s="6">
        <v>0</v>
      </c>
    </row>
    <row r="3497" spans="2:46">
      <c r="B3497" s="6" t="s">
        <v>13899</v>
      </c>
      <c r="D3497" s="6" t="s">
        <v>13131</v>
      </c>
      <c r="F3497" s="6" t="s">
        <v>14459</v>
      </c>
      <c r="G3497" s="6" t="str">
        <f>"3176224160291205"</f>
        <v>3176224160291205</v>
      </c>
      <c r="H3497" s="6">
        <v>3176224160291200</v>
      </c>
      <c r="I3497" s="6" t="s">
        <v>14460</v>
      </c>
      <c r="J3497" s="6" t="str">
        <f>"17ss love potion no.13 hot piece t-shirts"</f>
        <v>17ss love potion no.13 hot piece t-shirts</v>
      </c>
      <c r="K3497" s="6">
        <v>0</v>
      </c>
      <c r="L3497" s="6">
        <v>0</v>
      </c>
      <c r="M3497" s="6">
        <v>0</v>
      </c>
      <c r="N3497" s="6" t="str">
        <f>""</f>
        <v/>
      </c>
      <c r="O3497" s="6">
        <v>22971</v>
      </c>
      <c r="P3497" s="6" t="s">
        <v>14461</v>
      </c>
      <c r="R3497" s="6" t="s">
        <v>5193</v>
      </c>
      <c r="S3497" s="6" t="s">
        <v>14462</v>
      </c>
      <c r="T3497" s="6">
        <v>0</v>
      </c>
      <c r="U3497" s="6">
        <v>0</v>
      </c>
      <c r="V3497" s="6">
        <v>0</v>
      </c>
      <c r="W3497" s="6">
        <v>0</v>
      </c>
      <c r="X3497" s="6" t="s">
        <v>169</v>
      </c>
      <c r="Z3497" s="6" t="s">
        <v>170</v>
      </c>
      <c r="AA3497" s="6" t="s">
        <v>171</v>
      </c>
      <c r="AB3497" s="6">
        <v>0</v>
      </c>
      <c r="AC3497" s="6" t="str">
        <f>""</f>
        <v/>
      </c>
      <c r="AS3497" s="6">
        <v>0</v>
      </c>
      <c r="AT3497" s="6">
        <v>0</v>
      </c>
    </row>
    <row r="3498" spans="2:46">
      <c r="B3498" s="6" t="s">
        <v>13899</v>
      </c>
      <c r="D3498" s="6" t="s">
        <v>13131</v>
      </c>
      <c r="F3498" s="6" t="s">
        <v>14463</v>
      </c>
      <c r="G3498" s="6" t="str">
        <f>"3176224160291204"</f>
        <v>3176224160291204</v>
      </c>
      <c r="H3498" s="6">
        <v>3176224160291200</v>
      </c>
      <c r="I3498" s="6" t="s">
        <v>14460</v>
      </c>
      <c r="J3498" s="6" t="str">
        <f>"17ss love potion no.13 hot piece t-shirts"</f>
        <v>17ss love potion no.13 hot piece t-shirts</v>
      </c>
      <c r="K3498" s="6">
        <v>0</v>
      </c>
      <c r="L3498" s="6">
        <v>0</v>
      </c>
      <c r="M3498" s="6">
        <v>0</v>
      </c>
      <c r="N3498" s="6" t="str">
        <f>""</f>
        <v/>
      </c>
      <c r="O3498" s="6">
        <v>22970</v>
      </c>
      <c r="P3498" s="6" t="s">
        <v>14464</v>
      </c>
      <c r="R3498" s="6" t="s">
        <v>5197</v>
      </c>
      <c r="S3498" s="6" t="s">
        <v>14465</v>
      </c>
      <c r="T3498" s="6">
        <v>0</v>
      </c>
      <c r="U3498" s="6">
        <v>0</v>
      </c>
      <c r="V3498" s="6">
        <v>0</v>
      </c>
      <c r="W3498" s="6">
        <v>0</v>
      </c>
      <c r="X3498" s="6" t="s">
        <v>169</v>
      </c>
      <c r="Z3498" s="6" t="s">
        <v>170</v>
      </c>
      <c r="AA3498" s="6" t="s">
        <v>171</v>
      </c>
      <c r="AB3498" s="6">
        <v>0</v>
      </c>
      <c r="AC3498" s="6" t="str">
        <f>""</f>
        <v/>
      </c>
      <c r="AS3498" s="6">
        <v>0</v>
      </c>
      <c r="AT3498" s="6">
        <v>0</v>
      </c>
    </row>
    <row r="3499" spans="2:46">
      <c r="B3499" s="6" t="s">
        <v>13899</v>
      </c>
      <c r="D3499" s="6" t="s">
        <v>13131</v>
      </c>
      <c r="F3499" s="6" t="s">
        <v>14466</v>
      </c>
      <c r="G3499" s="6" t="str">
        <f>"3176224160169205"</f>
        <v>3176224160169205</v>
      </c>
      <c r="H3499" s="6">
        <v>3176224160169200</v>
      </c>
      <c r="I3499" s="6" t="s">
        <v>14467</v>
      </c>
      <c r="J3499" s="6" t="str">
        <f>"17ss holic month t-shirts(ivory)"</f>
        <v>17ss holic month t-shirts(ivory)</v>
      </c>
      <c r="K3499" s="6">
        <v>0</v>
      </c>
      <c r="L3499" s="6">
        <v>0</v>
      </c>
      <c r="M3499" s="6">
        <v>0</v>
      </c>
      <c r="N3499" s="6" t="str">
        <f>""</f>
        <v/>
      </c>
      <c r="O3499" s="6">
        <v>22968</v>
      </c>
      <c r="P3499" s="6" t="s">
        <v>14468</v>
      </c>
      <c r="R3499" s="6" t="s">
        <v>5224</v>
      </c>
      <c r="S3499" s="6" t="s">
        <v>14469</v>
      </c>
      <c r="T3499" s="6">
        <v>0</v>
      </c>
      <c r="U3499" s="6">
        <v>0</v>
      </c>
      <c r="V3499" s="6">
        <v>0</v>
      </c>
      <c r="W3499" s="6">
        <v>0</v>
      </c>
      <c r="X3499" s="6" t="s">
        <v>169</v>
      </c>
      <c r="Z3499" s="6" t="s">
        <v>170</v>
      </c>
      <c r="AA3499" s="6" t="s">
        <v>171</v>
      </c>
      <c r="AB3499" s="6">
        <v>0</v>
      </c>
      <c r="AC3499" s="6" t="str">
        <f>""</f>
        <v/>
      </c>
      <c r="AS3499" s="6">
        <v>0</v>
      </c>
      <c r="AT3499" s="6">
        <v>0</v>
      </c>
    </row>
    <row r="3500" spans="2:46">
      <c r="B3500" s="6" t="s">
        <v>13899</v>
      </c>
      <c r="D3500" s="6" t="s">
        <v>13131</v>
      </c>
      <c r="F3500" s="6" t="s">
        <v>14470</v>
      </c>
      <c r="G3500" s="6" t="str">
        <f>"3176224160169204"</f>
        <v>3176224160169204</v>
      </c>
      <c r="H3500" s="6">
        <v>3176224160169200</v>
      </c>
      <c r="I3500" s="6" t="s">
        <v>14467</v>
      </c>
      <c r="J3500" s="6" t="str">
        <f>"17ss holic month t-shirts(ivory)"</f>
        <v>17ss holic month t-shirts(ivory)</v>
      </c>
      <c r="K3500" s="6">
        <v>0</v>
      </c>
      <c r="L3500" s="6">
        <v>0</v>
      </c>
      <c r="M3500" s="6">
        <v>0</v>
      </c>
      <c r="N3500" s="6" t="str">
        <f>""</f>
        <v/>
      </c>
      <c r="O3500" s="6">
        <v>22967</v>
      </c>
      <c r="P3500" s="6" t="s">
        <v>14471</v>
      </c>
      <c r="R3500" s="6" t="s">
        <v>639</v>
      </c>
      <c r="S3500" s="6" t="s">
        <v>14472</v>
      </c>
      <c r="T3500" s="6">
        <v>0</v>
      </c>
      <c r="U3500" s="6">
        <v>0</v>
      </c>
      <c r="V3500" s="6">
        <v>0</v>
      </c>
      <c r="W3500" s="6">
        <v>0</v>
      </c>
      <c r="X3500" s="6" t="s">
        <v>169</v>
      </c>
      <c r="Z3500" s="6" t="s">
        <v>170</v>
      </c>
      <c r="AA3500" s="6" t="s">
        <v>171</v>
      </c>
      <c r="AB3500" s="6">
        <v>0</v>
      </c>
      <c r="AC3500" s="6" t="str">
        <f>""</f>
        <v/>
      </c>
      <c r="AS3500" s="6">
        <v>0</v>
      </c>
      <c r="AT3500" s="6">
        <v>0</v>
      </c>
    </row>
    <row r="3501" spans="2:46">
      <c r="B3501" s="6" t="s">
        <v>13899</v>
      </c>
      <c r="D3501" s="6" t="s">
        <v>13131</v>
      </c>
      <c r="F3501" s="6" t="s">
        <v>14473</v>
      </c>
      <c r="G3501" s="6" t="str">
        <f>"3176224160099205"</f>
        <v>3176224160099205</v>
      </c>
      <c r="H3501" s="6">
        <v>3176224160099200</v>
      </c>
      <c r="I3501" s="6" t="s">
        <v>14474</v>
      </c>
      <c r="J3501" s="6" t="str">
        <f>"17ss holic month t-shirts(black)"</f>
        <v>17ss holic month t-shirts(black)</v>
      </c>
      <c r="K3501" s="6">
        <v>0</v>
      </c>
      <c r="L3501" s="6">
        <v>0</v>
      </c>
      <c r="M3501" s="6">
        <v>0</v>
      </c>
      <c r="N3501" s="6" t="str">
        <f>""</f>
        <v/>
      </c>
      <c r="O3501" s="6">
        <v>22965</v>
      </c>
      <c r="P3501" s="6" t="s">
        <v>14475</v>
      </c>
      <c r="R3501" s="6" t="s">
        <v>5106</v>
      </c>
      <c r="S3501" s="6" t="s">
        <v>14476</v>
      </c>
      <c r="T3501" s="6">
        <v>0</v>
      </c>
      <c r="U3501" s="6">
        <v>0</v>
      </c>
      <c r="V3501" s="6">
        <v>0</v>
      </c>
      <c r="W3501" s="6">
        <v>0</v>
      </c>
      <c r="X3501" s="6" t="s">
        <v>169</v>
      </c>
      <c r="Z3501" s="6" t="s">
        <v>170</v>
      </c>
      <c r="AA3501" s="6" t="s">
        <v>171</v>
      </c>
      <c r="AB3501" s="6">
        <v>0</v>
      </c>
      <c r="AC3501" s="6" t="str">
        <f>""</f>
        <v/>
      </c>
      <c r="AS3501" s="6">
        <v>0</v>
      </c>
      <c r="AT3501" s="6">
        <v>0</v>
      </c>
    </row>
    <row r="3502" spans="2:46">
      <c r="B3502" s="6" t="s">
        <v>13899</v>
      </c>
      <c r="D3502" s="6" t="s">
        <v>13131</v>
      </c>
      <c r="F3502" s="6" t="s">
        <v>14477</v>
      </c>
      <c r="G3502" s="6" t="str">
        <f>"3176224160099204"</f>
        <v>3176224160099204</v>
      </c>
      <c r="H3502" s="6">
        <v>3176224160099200</v>
      </c>
      <c r="I3502" s="6" t="s">
        <v>14474</v>
      </c>
      <c r="J3502" s="6" t="str">
        <f>"17ss holic month t-shirts(black)"</f>
        <v>17ss holic month t-shirts(black)</v>
      </c>
      <c r="K3502" s="6">
        <v>0</v>
      </c>
      <c r="L3502" s="6">
        <v>0</v>
      </c>
      <c r="M3502" s="6">
        <v>0</v>
      </c>
      <c r="N3502" s="6" t="str">
        <f>""</f>
        <v/>
      </c>
      <c r="O3502" s="6">
        <v>22964</v>
      </c>
      <c r="P3502" s="6" t="s">
        <v>14478</v>
      </c>
      <c r="R3502" s="6" t="s">
        <v>601</v>
      </c>
      <c r="S3502" s="6" t="s">
        <v>14479</v>
      </c>
      <c r="T3502" s="6">
        <v>0</v>
      </c>
      <c r="U3502" s="6">
        <v>0</v>
      </c>
      <c r="V3502" s="6">
        <v>0</v>
      </c>
      <c r="W3502" s="6">
        <v>0</v>
      </c>
      <c r="X3502" s="6" t="s">
        <v>169</v>
      </c>
      <c r="Z3502" s="6" t="s">
        <v>170</v>
      </c>
      <c r="AA3502" s="6" t="s">
        <v>171</v>
      </c>
      <c r="AB3502" s="6">
        <v>0</v>
      </c>
      <c r="AC3502" s="6" t="str">
        <f>""</f>
        <v/>
      </c>
      <c r="AS3502" s="6">
        <v>0</v>
      </c>
      <c r="AT3502" s="6">
        <v>0</v>
      </c>
    </row>
    <row r="3503" spans="2:46">
      <c r="B3503" s="6" t="s">
        <v>13899</v>
      </c>
      <c r="D3503" s="6" t="s">
        <v>13131</v>
      </c>
      <c r="F3503" s="6" t="s">
        <v>14480</v>
      </c>
      <c r="G3503" s="6" t="str">
        <f>"3176224159861205"</f>
        <v>3176224159861205</v>
      </c>
      <c r="H3503" s="6">
        <v>3176224159861200</v>
      </c>
      <c r="I3503" s="6" t="s">
        <v>14481</v>
      </c>
      <c r="J3503" s="6" t="str">
        <f>"17ss bunch of roses embroidery t-shirts(cherry red)"</f>
        <v>17ss bunch of roses embroidery t-shirts(cherry red)</v>
      </c>
      <c r="K3503" s="6">
        <v>0</v>
      </c>
      <c r="L3503" s="6">
        <v>0</v>
      </c>
      <c r="M3503" s="6">
        <v>0</v>
      </c>
      <c r="N3503" s="6" t="str">
        <f>""</f>
        <v/>
      </c>
      <c r="O3503" s="6">
        <v>22962</v>
      </c>
      <c r="P3503" s="6" t="s">
        <v>14482</v>
      </c>
      <c r="R3503" s="6" t="s">
        <v>14483</v>
      </c>
      <c r="S3503" s="6" t="s">
        <v>14484</v>
      </c>
      <c r="T3503" s="6">
        <v>0</v>
      </c>
      <c r="U3503" s="6">
        <v>0</v>
      </c>
      <c r="V3503" s="6">
        <v>0</v>
      </c>
      <c r="W3503" s="6">
        <v>0</v>
      </c>
      <c r="X3503" s="6" t="s">
        <v>169</v>
      </c>
      <c r="Z3503" s="6" t="s">
        <v>170</v>
      </c>
      <c r="AA3503" s="6" t="s">
        <v>171</v>
      </c>
      <c r="AB3503" s="6">
        <v>0</v>
      </c>
      <c r="AC3503" s="6" t="str">
        <f>""</f>
        <v/>
      </c>
      <c r="AS3503" s="6">
        <v>0</v>
      </c>
      <c r="AT3503" s="6">
        <v>0</v>
      </c>
    </row>
    <row r="3504" spans="2:46">
      <c r="B3504" s="6" t="s">
        <v>13899</v>
      </c>
      <c r="D3504" s="6" t="s">
        <v>13131</v>
      </c>
      <c r="F3504" s="6" t="s">
        <v>14485</v>
      </c>
      <c r="G3504" s="6" t="str">
        <f>"3176224159861204"</f>
        <v>3176224159861204</v>
      </c>
      <c r="H3504" s="6">
        <v>3176224159861200</v>
      </c>
      <c r="I3504" s="6" t="s">
        <v>14481</v>
      </c>
      <c r="J3504" s="6" t="str">
        <f>"17ss bunch of roses embroidery t-shirts(cherry red)"</f>
        <v>17ss bunch of roses embroidery t-shirts(cherry red)</v>
      </c>
      <c r="K3504" s="6">
        <v>0</v>
      </c>
      <c r="L3504" s="6">
        <v>0</v>
      </c>
      <c r="M3504" s="6">
        <v>0</v>
      </c>
      <c r="N3504" s="6" t="str">
        <f>""</f>
        <v/>
      </c>
      <c r="O3504" s="6">
        <v>22961</v>
      </c>
      <c r="P3504" s="6" t="s">
        <v>14486</v>
      </c>
      <c r="R3504" s="6" t="s">
        <v>14487</v>
      </c>
      <c r="S3504" s="6" t="s">
        <v>14488</v>
      </c>
      <c r="T3504" s="6">
        <v>0</v>
      </c>
      <c r="U3504" s="6">
        <v>0</v>
      </c>
      <c r="V3504" s="6">
        <v>0</v>
      </c>
      <c r="W3504" s="6">
        <v>0</v>
      </c>
      <c r="X3504" s="6" t="s">
        <v>169</v>
      </c>
      <c r="Z3504" s="6" t="s">
        <v>170</v>
      </c>
      <c r="AA3504" s="6" t="s">
        <v>171</v>
      </c>
      <c r="AB3504" s="6">
        <v>0</v>
      </c>
      <c r="AC3504" s="6" t="str">
        <f>""</f>
        <v/>
      </c>
      <c r="AS3504" s="6">
        <v>0</v>
      </c>
      <c r="AT3504" s="6">
        <v>0</v>
      </c>
    </row>
    <row r="3505" spans="2:46">
      <c r="B3505" s="6" t="s">
        <v>13899</v>
      </c>
      <c r="D3505" s="6" t="s">
        <v>13131</v>
      </c>
      <c r="F3505" s="6" t="s">
        <v>14489</v>
      </c>
      <c r="G3505" s="6" t="str">
        <f>"3176224159799205"</f>
        <v>3176224159799205</v>
      </c>
      <c r="H3505" s="6">
        <v>3176224159799200</v>
      </c>
      <c r="I3505" s="6" t="s">
        <v>14490</v>
      </c>
      <c r="J3505" s="6" t="str">
        <f>"17ss bunch of roses embroidery t-shirts(black)"</f>
        <v>17ss bunch of roses embroidery t-shirts(black)</v>
      </c>
      <c r="K3505" s="6">
        <v>0</v>
      </c>
      <c r="L3505" s="6">
        <v>0</v>
      </c>
      <c r="M3505" s="6">
        <v>0</v>
      </c>
      <c r="N3505" s="6" t="str">
        <f>""</f>
        <v/>
      </c>
      <c r="O3505" s="6">
        <v>22959</v>
      </c>
      <c r="P3505" s="6" t="s">
        <v>14491</v>
      </c>
      <c r="R3505" s="6" t="s">
        <v>5106</v>
      </c>
      <c r="S3505" s="6" t="s">
        <v>14492</v>
      </c>
      <c r="T3505" s="6">
        <v>0</v>
      </c>
      <c r="U3505" s="6">
        <v>0</v>
      </c>
      <c r="V3505" s="6">
        <v>0</v>
      </c>
      <c r="W3505" s="6">
        <v>0</v>
      </c>
      <c r="X3505" s="6" t="s">
        <v>169</v>
      </c>
      <c r="Z3505" s="6" t="s">
        <v>170</v>
      </c>
      <c r="AA3505" s="6" t="s">
        <v>171</v>
      </c>
      <c r="AB3505" s="6">
        <v>0</v>
      </c>
      <c r="AC3505" s="6" t="str">
        <f>""</f>
        <v/>
      </c>
      <c r="AS3505" s="6">
        <v>0</v>
      </c>
      <c r="AT3505" s="6">
        <v>0</v>
      </c>
    </row>
    <row r="3506" spans="2:46">
      <c r="B3506" s="6" t="s">
        <v>13899</v>
      </c>
      <c r="D3506" s="6" t="s">
        <v>13131</v>
      </c>
      <c r="F3506" s="6" t="s">
        <v>14493</v>
      </c>
      <c r="G3506" s="6" t="str">
        <f>"3176224159799204"</f>
        <v>3176224159799204</v>
      </c>
      <c r="H3506" s="6">
        <v>3176224159799200</v>
      </c>
      <c r="I3506" s="6" t="s">
        <v>14490</v>
      </c>
      <c r="J3506" s="6" t="str">
        <f>"17ss bunch of roses embroidery t-shirts(black)"</f>
        <v>17ss bunch of roses embroidery t-shirts(black)</v>
      </c>
      <c r="K3506" s="6">
        <v>0</v>
      </c>
      <c r="L3506" s="6">
        <v>0</v>
      </c>
      <c r="M3506" s="6">
        <v>0</v>
      </c>
      <c r="N3506" s="6" t="str">
        <f>""</f>
        <v/>
      </c>
      <c r="O3506" s="6">
        <v>22958</v>
      </c>
      <c r="P3506" s="6" t="s">
        <v>14494</v>
      </c>
      <c r="R3506" s="6" t="s">
        <v>601</v>
      </c>
      <c r="S3506" s="6" t="s">
        <v>14495</v>
      </c>
      <c r="T3506" s="6">
        <v>0</v>
      </c>
      <c r="U3506" s="6">
        <v>0</v>
      </c>
      <c r="V3506" s="6">
        <v>0</v>
      </c>
      <c r="W3506" s="6">
        <v>0</v>
      </c>
      <c r="X3506" s="6" t="s">
        <v>169</v>
      </c>
      <c r="Z3506" s="6" t="s">
        <v>170</v>
      </c>
      <c r="AA3506" s="6" t="s">
        <v>171</v>
      </c>
      <c r="AB3506" s="6">
        <v>0</v>
      </c>
      <c r="AC3506" s="6" t="str">
        <f>""</f>
        <v/>
      </c>
      <c r="AS3506" s="6">
        <v>0</v>
      </c>
      <c r="AT3506" s="6">
        <v>0</v>
      </c>
    </row>
    <row r="3507" spans="2:46">
      <c r="B3507" s="6" t="s">
        <v>13899</v>
      </c>
      <c r="D3507" s="6" t="s">
        <v>13131</v>
      </c>
      <c r="F3507" s="6" t="s">
        <v>14496</v>
      </c>
      <c r="G3507" s="6" t="str">
        <f>"3176224159674205"</f>
        <v>3176224159674205</v>
      </c>
      <c r="H3507" s="6">
        <v>3176224159674200</v>
      </c>
      <c r="I3507" s="6" t="s">
        <v>14497</v>
      </c>
      <c r="J3507" s="6" t="str">
        <f>"17ss bunch of roses embroidery t-shirts(beige)"</f>
        <v>17ss bunch of roses embroidery t-shirts(beige)</v>
      </c>
      <c r="K3507" s="6">
        <v>0</v>
      </c>
      <c r="L3507" s="6">
        <v>0</v>
      </c>
      <c r="M3507" s="6">
        <v>0</v>
      </c>
      <c r="N3507" s="6" t="str">
        <f>""</f>
        <v/>
      </c>
      <c r="O3507" s="6">
        <v>22956</v>
      </c>
      <c r="P3507" s="6" t="s">
        <v>14498</v>
      </c>
      <c r="R3507" s="6" t="s">
        <v>5224</v>
      </c>
      <c r="S3507" s="6" t="s">
        <v>14499</v>
      </c>
      <c r="T3507" s="6">
        <v>0</v>
      </c>
      <c r="U3507" s="6">
        <v>0</v>
      </c>
      <c r="V3507" s="6">
        <v>0</v>
      </c>
      <c r="W3507" s="6">
        <v>0</v>
      </c>
      <c r="X3507" s="6" t="s">
        <v>169</v>
      </c>
      <c r="Z3507" s="6" t="s">
        <v>170</v>
      </c>
      <c r="AA3507" s="6" t="s">
        <v>171</v>
      </c>
      <c r="AB3507" s="6">
        <v>0</v>
      </c>
      <c r="AC3507" s="6" t="str">
        <f>""</f>
        <v/>
      </c>
      <c r="AS3507" s="6">
        <v>0</v>
      </c>
      <c r="AT3507" s="6">
        <v>0</v>
      </c>
    </row>
    <row r="3508" spans="2:46">
      <c r="B3508" s="6" t="s">
        <v>13899</v>
      </c>
      <c r="D3508" s="6" t="s">
        <v>13131</v>
      </c>
      <c r="F3508" s="6" t="s">
        <v>14500</v>
      </c>
      <c r="G3508" s="6" t="str">
        <f>"3176224159674204"</f>
        <v>3176224159674204</v>
      </c>
      <c r="H3508" s="6">
        <v>3176224159674200</v>
      </c>
      <c r="I3508" s="6" t="s">
        <v>14497</v>
      </c>
      <c r="J3508" s="6" t="str">
        <f>"17ss bunch of roses embroidery t-shirts(beige)"</f>
        <v>17ss bunch of roses embroidery t-shirts(beige)</v>
      </c>
      <c r="K3508" s="6">
        <v>0</v>
      </c>
      <c r="L3508" s="6">
        <v>0</v>
      </c>
      <c r="M3508" s="6">
        <v>0</v>
      </c>
      <c r="N3508" s="6" t="str">
        <f>""</f>
        <v/>
      </c>
      <c r="O3508" s="6">
        <v>22955</v>
      </c>
      <c r="P3508" s="6" t="s">
        <v>14501</v>
      </c>
      <c r="R3508" s="6" t="s">
        <v>639</v>
      </c>
      <c r="S3508" s="6" t="s">
        <v>14502</v>
      </c>
      <c r="T3508" s="6">
        <v>0</v>
      </c>
      <c r="U3508" s="6">
        <v>0</v>
      </c>
      <c r="V3508" s="6">
        <v>0</v>
      </c>
      <c r="W3508" s="6">
        <v>0</v>
      </c>
      <c r="X3508" s="6" t="s">
        <v>169</v>
      </c>
      <c r="Z3508" s="6" t="s">
        <v>170</v>
      </c>
      <c r="AA3508" s="6" t="s">
        <v>171</v>
      </c>
      <c r="AB3508" s="6">
        <v>0</v>
      </c>
      <c r="AC3508" s="6" t="str">
        <f>""</f>
        <v/>
      </c>
      <c r="AS3508" s="6">
        <v>0</v>
      </c>
      <c r="AT3508" s="6">
        <v>0</v>
      </c>
    </row>
    <row r="3509" spans="2:46">
      <c r="B3509" s="6" t="s">
        <v>13899</v>
      </c>
      <c r="D3509" s="6" t="s">
        <v>13131</v>
      </c>
      <c r="F3509" s="6" t="s">
        <v>14503</v>
      </c>
      <c r="G3509" s="6" t="str">
        <f>"3176223100291205"</f>
        <v>3176223100291205</v>
      </c>
      <c r="H3509" s="6">
        <v>3176223100291200</v>
      </c>
      <c r="I3509" s="6" t="s">
        <v>14504</v>
      </c>
      <c r="J3509" s="6" t="str">
        <f>"17ss behind rose embroidery t-shirts(white)"</f>
        <v>17ss behind rose embroidery t-shirts(white)</v>
      </c>
      <c r="K3509" s="6">
        <v>0</v>
      </c>
      <c r="L3509" s="6">
        <v>0</v>
      </c>
      <c r="M3509" s="6">
        <v>0</v>
      </c>
      <c r="N3509" s="6" t="str">
        <f>""</f>
        <v/>
      </c>
      <c r="O3509" s="6">
        <v>22953</v>
      </c>
      <c r="P3509" s="6" t="s">
        <v>14505</v>
      </c>
      <c r="R3509" s="6" t="s">
        <v>5193</v>
      </c>
      <c r="S3509" s="6" t="s">
        <v>14506</v>
      </c>
      <c r="T3509" s="6">
        <v>0</v>
      </c>
      <c r="U3509" s="6">
        <v>0</v>
      </c>
      <c r="V3509" s="6">
        <v>0</v>
      </c>
      <c r="W3509" s="6">
        <v>0</v>
      </c>
      <c r="X3509" s="6" t="s">
        <v>169</v>
      </c>
      <c r="Z3509" s="6" t="s">
        <v>170</v>
      </c>
      <c r="AA3509" s="6" t="s">
        <v>171</v>
      </c>
      <c r="AB3509" s="6">
        <v>0</v>
      </c>
      <c r="AC3509" s="6" t="str">
        <f>""</f>
        <v/>
      </c>
      <c r="AS3509" s="6">
        <v>0</v>
      </c>
      <c r="AT3509" s="6">
        <v>0</v>
      </c>
    </row>
    <row r="3510" spans="2:46">
      <c r="B3510" s="6" t="s">
        <v>13899</v>
      </c>
      <c r="D3510" s="6" t="s">
        <v>13131</v>
      </c>
      <c r="F3510" s="6" t="s">
        <v>14507</v>
      </c>
      <c r="G3510" s="6" t="str">
        <f>"3176223100291204"</f>
        <v>3176223100291204</v>
      </c>
      <c r="H3510" s="6">
        <v>3176223100291200</v>
      </c>
      <c r="I3510" s="6" t="s">
        <v>14504</v>
      </c>
      <c r="J3510" s="6" t="str">
        <f>"17ss behind rose embroidery t-shirts(white)"</f>
        <v>17ss behind rose embroidery t-shirts(white)</v>
      </c>
      <c r="K3510" s="6">
        <v>0</v>
      </c>
      <c r="L3510" s="6">
        <v>0</v>
      </c>
      <c r="M3510" s="6">
        <v>0</v>
      </c>
      <c r="N3510" s="6" t="str">
        <f>""</f>
        <v/>
      </c>
      <c r="O3510" s="6">
        <v>22952</v>
      </c>
      <c r="P3510" s="6" t="s">
        <v>14508</v>
      </c>
      <c r="R3510" s="6" t="s">
        <v>5197</v>
      </c>
      <c r="S3510" s="6" t="s">
        <v>14509</v>
      </c>
      <c r="T3510" s="6">
        <v>0</v>
      </c>
      <c r="U3510" s="6">
        <v>0</v>
      </c>
      <c r="V3510" s="6">
        <v>0</v>
      </c>
      <c r="W3510" s="6">
        <v>0</v>
      </c>
      <c r="X3510" s="6" t="s">
        <v>169</v>
      </c>
      <c r="Z3510" s="6" t="s">
        <v>170</v>
      </c>
      <c r="AA3510" s="6" t="s">
        <v>171</v>
      </c>
      <c r="AB3510" s="6">
        <v>0</v>
      </c>
      <c r="AC3510" s="6" t="str">
        <f>""</f>
        <v/>
      </c>
      <c r="AS3510" s="6">
        <v>0</v>
      </c>
      <c r="AT3510" s="6">
        <v>0</v>
      </c>
    </row>
    <row r="3511" spans="2:46">
      <c r="B3511" s="6" t="s">
        <v>13899</v>
      </c>
      <c r="D3511" s="6" t="s">
        <v>13131</v>
      </c>
      <c r="F3511" s="6" t="s">
        <v>14510</v>
      </c>
      <c r="G3511" s="6" t="str">
        <f>"3176224159562205"</f>
        <v>3176224159562205</v>
      </c>
      <c r="H3511" s="6">
        <v>3176224159562200</v>
      </c>
      <c r="I3511" s="6" t="s">
        <v>14511</v>
      </c>
      <c r="J3511" s="6" t="str">
        <f>"17ss behind rose embroidery t-shirts(orange)"</f>
        <v>17ss behind rose embroidery t-shirts(orange)</v>
      </c>
      <c r="K3511" s="6">
        <v>0</v>
      </c>
      <c r="L3511" s="6">
        <v>0</v>
      </c>
      <c r="M3511" s="6">
        <v>0</v>
      </c>
      <c r="N3511" s="6" t="str">
        <f>""</f>
        <v/>
      </c>
      <c r="O3511" s="6">
        <v>22950</v>
      </c>
      <c r="P3511" s="6" t="s">
        <v>14512</v>
      </c>
      <c r="R3511" s="6" t="s">
        <v>5071</v>
      </c>
      <c r="S3511" s="6" t="s">
        <v>14513</v>
      </c>
      <c r="T3511" s="6">
        <v>0</v>
      </c>
      <c r="U3511" s="6">
        <v>0</v>
      </c>
      <c r="V3511" s="6">
        <v>0</v>
      </c>
      <c r="W3511" s="6">
        <v>0</v>
      </c>
      <c r="X3511" s="6" t="s">
        <v>169</v>
      </c>
      <c r="Z3511" s="6" t="s">
        <v>170</v>
      </c>
      <c r="AA3511" s="6" t="s">
        <v>171</v>
      </c>
      <c r="AB3511" s="6">
        <v>0</v>
      </c>
      <c r="AC3511" s="6" t="str">
        <f>""</f>
        <v/>
      </c>
      <c r="AS3511" s="6">
        <v>0</v>
      </c>
      <c r="AT3511" s="6">
        <v>0</v>
      </c>
    </row>
    <row r="3512" spans="2:46">
      <c r="B3512" s="6" t="s">
        <v>13899</v>
      </c>
      <c r="D3512" s="6" t="s">
        <v>13131</v>
      </c>
      <c r="F3512" s="6" t="s">
        <v>14514</v>
      </c>
      <c r="G3512" s="6" t="str">
        <f>"3176224159562204"</f>
        <v>3176224159562204</v>
      </c>
      <c r="H3512" s="6">
        <v>3176224159562200</v>
      </c>
      <c r="I3512" s="6" t="s">
        <v>14511</v>
      </c>
      <c r="J3512" s="6" t="str">
        <f>"17ss behind rose embroidery t-shirts(orange)"</f>
        <v>17ss behind rose embroidery t-shirts(orange)</v>
      </c>
      <c r="K3512" s="6">
        <v>0</v>
      </c>
      <c r="L3512" s="6">
        <v>0</v>
      </c>
      <c r="M3512" s="6">
        <v>0</v>
      </c>
      <c r="N3512" s="6" t="str">
        <f>""</f>
        <v/>
      </c>
      <c r="O3512" s="6">
        <v>22949</v>
      </c>
      <c r="P3512" s="6" t="s">
        <v>14515</v>
      </c>
      <c r="R3512" s="6" t="s">
        <v>5075</v>
      </c>
      <c r="S3512" s="6" t="s">
        <v>14516</v>
      </c>
      <c r="T3512" s="6">
        <v>0</v>
      </c>
      <c r="U3512" s="6">
        <v>0</v>
      </c>
      <c r="V3512" s="6">
        <v>0</v>
      </c>
      <c r="W3512" s="6">
        <v>0</v>
      </c>
      <c r="X3512" s="6" t="s">
        <v>169</v>
      </c>
      <c r="Z3512" s="6" t="s">
        <v>170</v>
      </c>
      <c r="AA3512" s="6" t="s">
        <v>171</v>
      </c>
      <c r="AB3512" s="6">
        <v>0</v>
      </c>
      <c r="AC3512" s="6" t="str">
        <f>""</f>
        <v/>
      </c>
      <c r="AS3512" s="6">
        <v>0</v>
      </c>
      <c r="AT3512" s="6">
        <v>0</v>
      </c>
    </row>
    <row r="3513" spans="2:46">
      <c r="B3513" s="6" t="s">
        <v>13899</v>
      </c>
      <c r="D3513" s="6" t="s">
        <v>13131</v>
      </c>
      <c r="F3513" s="6" t="s">
        <v>14517</v>
      </c>
      <c r="G3513" s="6" t="str">
        <f>"3176224159301205"</f>
        <v>3176224159301205</v>
      </c>
      <c r="H3513" s="6">
        <v>3176224159301200</v>
      </c>
      <c r="I3513" s="6" t="s">
        <v>14518</v>
      </c>
      <c r="J3513" s="6" t="str">
        <f>"17ss behind rose embroidery t-shirts(indi pink)"</f>
        <v>17ss behind rose embroidery t-shirts(indi pink)</v>
      </c>
      <c r="K3513" s="6">
        <v>0</v>
      </c>
      <c r="L3513" s="6">
        <v>0</v>
      </c>
      <c r="M3513" s="6">
        <v>0</v>
      </c>
      <c r="N3513" s="6" t="str">
        <f>""</f>
        <v/>
      </c>
      <c r="O3513" s="6">
        <v>22947</v>
      </c>
      <c r="P3513" s="6" t="s">
        <v>14519</v>
      </c>
      <c r="R3513" s="6" t="s">
        <v>14520</v>
      </c>
      <c r="S3513" s="6" t="s">
        <v>14521</v>
      </c>
      <c r="T3513" s="6">
        <v>0</v>
      </c>
      <c r="U3513" s="6">
        <v>0</v>
      </c>
      <c r="V3513" s="6">
        <v>0</v>
      </c>
      <c r="W3513" s="6">
        <v>0</v>
      </c>
      <c r="X3513" s="6" t="s">
        <v>169</v>
      </c>
      <c r="Z3513" s="6" t="s">
        <v>170</v>
      </c>
      <c r="AA3513" s="6" t="s">
        <v>171</v>
      </c>
      <c r="AB3513" s="6">
        <v>0</v>
      </c>
      <c r="AC3513" s="6" t="str">
        <f>""</f>
        <v/>
      </c>
      <c r="AS3513" s="6">
        <v>0</v>
      </c>
      <c r="AT3513" s="6">
        <v>0</v>
      </c>
    </row>
    <row r="3514" spans="2:46">
      <c r="B3514" s="6" t="s">
        <v>13899</v>
      </c>
      <c r="D3514" s="6" t="s">
        <v>13131</v>
      </c>
      <c r="F3514" s="6" t="s">
        <v>14522</v>
      </c>
      <c r="G3514" s="6" t="str">
        <f>"3176224159301204"</f>
        <v>3176224159301204</v>
      </c>
      <c r="H3514" s="6">
        <v>3176224159301200</v>
      </c>
      <c r="I3514" s="6" t="s">
        <v>14518</v>
      </c>
      <c r="J3514" s="6" t="str">
        <f>"17ss behind rose embroidery t-shirts(indi pink)"</f>
        <v>17ss behind rose embroidery t-shirts(indi pink)</v>
      </c>
      <c r="K3514" s="6">
        <v>0</v>
      </c>
      <c r="L3514" s="6">
        <v>0</v>
      </c>
      <c r="M3514" s="6">
        <v>0</v>
      </c>
      <c r="N3514" s="6" t="str">
        <f>""</f>
        <v/>
      </c>
      <c r="O3514" s="6">
        <v>22946</v>
      </c>
      <c r="P3514" s="6" t="s">
        <v>14523</v>
      </c>
      <c r="R3514" s="6" t="s">
        <v>14524</v>
      </c>
      <c r="S3514" s="6" t="s">
        <v>14525</v>
      </c>
      <c r="T3514" s="6">
        <v>0</v>
      </c>
      <c r="U3514" s="6">
        <v>0</v>
      </c>
      <c r="V3514" s="6">
        <v>0</v>
      </c>
      <c r="W3514" s="6">
        <v>0</v>
      </c>
      <c r="X3514" s="6" t="s">
        <v>169</v>
      </c>
      <c r="Z3514" s="6" t="s">
        <v>170</v>
      </c>
      <c r="AA3514" s="6" t="s">
        <v>171</v>
      </c>
      <c r="AB3514" s="6">
        <v>0</v>
      </c>
      <c r="AC3514" s="6" t="str">
        <f>""</f>
        <v/>
      </c>
      <c r="AS3514" s="6">
        <v>0</v>
      </c>
      <c r="AT3514" s="6">
        <v>0</v>
      </c>
    </row>
    <row r="3515" spans="2:46">
      <c r="B3515" s="6" t="s">
        <v>13899</v>
      </c>
      <c r="D3515" s="6" t="s">
        <v>13131</v>
      </c>
      <c r="F3515" s="6" t="s">
        <v>14526</v>
      </c>
      <c r="G3515" s="6" t="str">
        <f>"3176314108199205"</f>
        <v>3176314108199205</v>
      </c>
      <c r="H3515" s="6">
        <v>3176314108199200</v>
      </c>
      <c r="I3515" s="6" t="s">
        <v>14527</v>
      </c>
      <c r="J3515" s="6" t="str">
        <f>"17ss white linning training pants"</f>
        <v>17ss white linning training pants</v>
      </c>
      <c r="K3515" s="6">
        <v>0</v>
      </c>
      <c r="L3515" s="6">
        <v>0</v>
      </c>
      <c r="M3515" s="6">
        <v>0</v>
      </c>
      <c r="N3515" s="6" t="str">
        <f>""</f>
        <v/>
      </c>
      <c r="O3515" s="6">
        <v>22944</v>
      </c>
      <c r="P3515" s="6" t="s">
        <v>14528</v>
      </c>
      <c r="R3515" s="6" t="s">
        <v>5106</v>
      </c>
      <c r="S3515" s="6" t="s">
        <v>14529</v>
      </c>
      <c r="T3515" s="6">
        <v>0</v>
      </c>
      <c r="U3515" s="6">
        <v>0</v>
      </c>
      <c r="V3515" s="6">
        <v>0</v>
      </c>
      <c r="W3515" s="6">
        <v>0</v>
      </c>
      <c r="X3515" s="6" t="s">
        <v>169</v>
      </c>
      <c r="Z3515" s="6" t="s">
        <v>170</v>
      </c>
      <c r="AA3515" s="6" t="s">
        <v>171</v>
      </c>
      <c r="AB3515" s="6">
        <v>0</v>
      </c>
      <c r="AC3515" s="6" t="str">
        <f>""</f>
        <v/>
      </c>
      <c r="AS3515" s="6">
        <v>0</v>
      </c>
      <c r="AT3515" s="6">
        <v>0</v>
      </c>
    </row>
    <row r="3516" spans="2:46">
      <c r="B3516" s="6" t="s">
        <v>13899</v>
      </c>
      <c r="D3516" s="6" t="s">
        <v>13131</v>
      </c>
      <c r="F3516" s="6" t="s">
        <v>14530</v>
      </c>
      <c r="G3516" s="6" t="str">
        <f>"3176314108199204"</f>
        <v>3176314108199204</v>
      </c>
      <c r="H3516" s="6">
        <v>3176314108199200</v>
      </c>
      <c r="I3516" s="6" t="s">
        <v>14527</v>
      </c>
      <c r="J3516" s="6" t="str">
        <f>"17ss white linning training pants"</f>
        <v>17ss white linning training pants</v>
      </c>
      <c r="K3516" s="6">
        <v>0</v>
      </c>
      <c r="L3516" s="6">
        <v>0</v>
      </c>
      <c r="M3516" s="6">
        <v>0</v>
      </c>
      <c r="N3516" s="6" t="str">
        <f>""</f>
        <v/>
      </c>
      <c r="O3516" s="6">
        <v>22943</v>
      </c>
      <c r="P3516" s="6" t="s">
        <v>14531</v>
      </c>
      <c r="R3516" s="6" t="s">
        <v>601</v>
      </c>
      <c r="S3516" s="6" t="s">
        <v>14532</v>
      </c>
      <c r="T3516" s="6">
        <v>0</v>
      </c>
      <c r="U3516" s="6">
        <v>0</v>
      </c>
      <c r="V3516" s="6">
        <v>0</v>
      </c>
      <c r="W3516" s="6">
        <v>0</v>
      </c>
      <c r="X3516" s="6" t="s">
        <v>169</v>
      </c>
      <c r="Z3516" s="6" t="s">
        <v>170</v>
      </c>
      <c r="AA3516" s="6" t="s">
        <v>171</v>
      </c>
      <c r="AB3516" s="6">
        <v>0</v>
      </c>
      <c r="AC3516" s="6" t="str">
        <f>""</f>
        <v/>
      </c>
      <c r="AS3516" s="6">
        <v>0</v>
      </c>
      <c r="AT3516" s="6">
        <v>0</v>
      </c>
    </row>
    <row r="3517" spans="2:46">
      <c r="B3517" s="6" t="s">
        <v>13899</v>
      </c>
      <c r="D3517" s="6" t="s">
        <v>13131</v>
      </c>
      <c r="F3517" s="6" t="s">
        <v>14533</v>
      </c>
      <c r="G3517" s="6" t="str">
        <f>"3176332113691204"</f>
        <v>3176332113691204</v>
      </c>
      <c r="H3517" s="6">
        <v>3176332113691200</v>
      </c>
      <c r="I3517" s="6" t="s">
        <v>14534</v>
      </c>
      <c r="J3517" s="6" t="str">
        <f>"17ss satin wringkle skirt(white)"</f>
        <v>17ss satin wringkle skirt(white)</v>
      </c>
      <c r="K3517" s="6">
        <v>0</v>
      </c>
      <c r="L3517" s="6">
        <v>0</v>
      </c>
      <c r="M3517" s="6">
        <v>0</v>
      </c>
      <c r="N3517" s="6" t="str">
        <f>""</f>
        <v/>
      </c>
      <c r="O3517" s="6">
        <v>22941</v>
      </c>
      <c r="P3517" s="6" t="s">
        <v>14535</v>
      </c>
      <c r="R3517" s="6" t="s">
        <v>5197</v>
      </c>
      <c r="S3517" s="6" t="s">
        <v>14536</v>
      </c>
      <c r="T3517" s="6">
        <v>0</v>
      </c>
      <c r="U3517" s="6">
        <v>0</v>
      </c>
      <c r="V3517" s="6">
        <v>0</v>
      </c>
      <c r="W3517" s="6">
        <v>0</v>
      </c>
      <c r="X3517" s="6" t="s">
        <v>169</v>
      </c>
      <c r="Z3517" s="6" t="s">
        <v>170</v>
      </c>
      <c r="AA3517" s="6" t="s">
        <v>171</v>
      </c>
      <c r="AB3517" s="6">
        <v>0</v>
      </c>
      <c r="AC3517" s="6" t="str">
        <f>""</f>
        <v/>
      </c>
      <c r="AS3517" s="6">
        <v>0</v>
      </c>
      <c r="AT3517" s="6">
        <v>0</v>
      </c>
    </row>
    <row r="3518" spans="2:46">
      <c r="B3518" s="6" t="s">
        <v>13899</v>
      </c>
      <c r="D3518" s="6" t="s">
        <v>13131</v>
      </c>
      <c r="F3518" s="6" t="s">
        <v>14537</v>
      </c>
      <c r="G3518" s="6" t="str">
        <f>"3176332113691203"</f>
        <v>3176332113691203</v>
      </c>
      <c r="H3518" s="6">
        <v>3176332113691200</v>
      </c>
      <c r="I3518" s="6" t="s">
        <v>14534</v>
      </c>
      <c r="J3518" s="6" t="str">
        <f>"17ss satin wringkle skirt(white)"</f>
        <v>17ss satin wringkle skirt(white)</v>
      </c>
      <c r="K3518" s="6">
        <v>0</v>
      </c>
      <c r="L3518" s="6">
        <v>0</v>
      </c>
      <c r="M3518" s="6">
        <v>0</v>
      </c>
      <c r="N3518" s="6" t="str">
        <f>""</f>
        <v/>
      </c>
      <c r="O3518" s="6">
        <v>22940</v>
      </c>
      <c r="P3518" s="6" t="s">
        <v>14538</v>
      </c>
      <c r="R3518" s="6" t="s">
        <v>5242</v>
      </c>
      <c r="S3518" s="6" t="s">
        <v>14539</v>
      </c>
      <c r="T3518" s="6">
        <v>0</v>
      </c>
      <c r="U3518" s="6">
        <v>0</v>
      </c>
      <c r="V3518" s="6">
        <v>0</v>
      </c>
      <c r="W3518" s="6">
        <v>0</v>
      </c>
      <c r="X3518" s="6" t="s">
        <v>169</v>
      </c>
      <c r="Z3518" s="6" t="s">
        <v>170</v>
      </c>
      <c r="AA3518" s="6" t="s">
        <v>171</v>
      </c>
      <c r="AB3518" s="6">
        <v>0</v>
      </c>
      <c r="AC3518" s="6" t="str">
        <f>""</f>
        <v/>
      </c>
      <c r="AS3518" s="6">
        <v>0</v>
      </c>
      <c r="AT3518" s="6">
        <v>0</v>
      </c>
    </row>
    <row r="3519" spans="2:46">
      <c r="B3519" s="6" t="s">
        <v>13899</v>
      </c>
      <c r="D3519" s="6" t="s">
        <v>13131</v>
      </c>
      <c r="F3519" s="6" t="s">
        <v>14540</v>
      </c>
      <c r="G3519" s="6" t="str">
        <f>"3176332113599204"</f>
        <v>3176332113599204</v>
      </c>
      <c r="H3519" s="6">
        <v>3176332113599200</v>
      </c>
      <c r="I3519" s="6" t="s">
        <v>14541</v>
      </c>
      <c r="J3519" s="6" t="str">
        <f>"17ss satin wringkle skirt(black)"</f>
        <v>17ss satin wringkle skirt(black)</v>
      </c>
      <c r="K3519" s="6">
        <v>0</v>
      </c>
      <c r="L3519" s="6">
        <v>0</v>
      </c>
      <c r="M3519" s="6">
        <v>0</v>
      </c>
      <c r="N3519" s="6" t="str">
        <f>""</f>
        <v/>
      </c>
      <c r="O3519" s="6">
        <v>22938</v>
      </c>
      <c r="P3519" s="6" t="s">
        <v>14542</v>
      </c>
      <c r="R3519" s="6" t="s">
        <v>601</v>
      </c>
      <c r="S3519" s="6" t="s">
        <v>14543</v>
      </c>
      <c r="T3519" s="6">
        <v>0</v>
      </c>
      <c r="U3519" s="6">
        <v>0</v>
      </c>
      <c r="V3519" s="6">
        <v>0</v>
      </c>
      <c r="W3519" s="6">
        <v>0</v>
      </c>
      <c r="X3519" s="6" t="s">
        <v>169</v>
      </c>
      <c r="Z3519" s="6" t="s">
        <v>170</v>
      </c>
      <c r="AA3519" s="6" t="s">
        <v>171</v>
      </c>
      <c r="AB3519" s="6">
        <v>0</v>
      </c>
      <c r="AC3519" s="6" t="str">
        <f>""</f>
        <v/>
      </c>
      <c r="AS3519" s="6">
        <v>0</v>
      </c>
      <c r="AT3519" s="6">
        <v>0</v>
      </c>
    </row>
    <row r="3520" spans="2:46">
      <c r="B3520" s="6" t="s">
        <v>13899</v>
      </c>
      <c r="D3520" s="6" t="s">
        <v>13131</v>
      </c>
      <c r="F3520" s="6" t="s">
        <v>14544</v>
      </c>
      <c r="G3520" s="6" t="str">
        <f>"3176332113599203"</f>
        <v>3176332113599203</v>
      </c>
      <c r="H3520" s="6">
        <v>3176332113599200</v>
      </c>
      <c r="I3520" s="6" t="s">
        <v>14541</v>
      </c>
      <c r="J3520" s="6" t="str">
        <f>"17ss satin wringkle skirt(black)"</f>
        <v>17ss satin wringkle skirt(black)</v>
      </c>
      <c r="K3520" s="6">
        <v>0</v>
      </c>
      <c r="L3520" s="6">
        <v>0</v>
      </c>
      <c r="M3520" s="6">
        <v>0</v>
      </c>
      <c r="N3520" s="6" t="str">
        <f>""</f>
        <v/>
      </c>
      <c r="O3520" s="6">
        <v>22937</v>
      </c>
      <c r="P3520" s="6" t="s">
        <v>14545</v>
      </c>
      <c r="R3520" s="6" t="s">
        <v>606</v>
      </c>
      <c r="S3520" s="6" t="s">
        <v>14546</v>
      </c>
      <c r="T3520" s="6">
        <v>0</v>
      </c>
      <c r="U3520" s="6">
        <v>0</v>
      </c>
      <c r="V3520" s="6">
        <v>0</v>
      </c>
      <c r="W3520" s="6">
        <v>0</v>
      </c>
      <c r="X3520" s="6" t="s">
        <v>169</v>
      </c>
      <c r="Z3520" s="6" t="s">
        <v>170</v>
      </c>
      <c r="AA3520" s="6" t="s">
        <v>171</v>
      </c>
      <c r="AB3520" s="6">
        <v>0</v>
      </c>
      <c r="AC3520" s="6" t="str">
        <f>""</f>
        <v/>
      </c>
      <c r="AS3520" s="6">
        <v>0</v>
      </c>
      <c r="AT3520" s="6">
        <v>0</v>
      </c>
    </row>
    <row r="3521" spans="2:46">
      <c r="B3521" s="6" t="s">
        <v>13899</v>
      </c>
      <c r="D3521" s="6" t="s">
        <v>13131</v>
      </c>
      <c r="F3521" s="6" t="s">
        <v>14547</v>
      </c>
      <c r="G3521" s="6" t="str">
        <f>"3176214110765205"</f>
        <v>3176214110765205</v>
      </c>
      <c r="H3521" s="6">
        <v>3176214110765200</v>
      </c>
      <c r="I3521" s="6" t="s">
        <v>14548</v>
      </c>
      <c r="J3521" s="6" t="str">
        <f>"17ss flower printing aloha shirts(yellow)"</f>
        <v>17ss flower printing aloha shirts(yellow)</v>
      </c>
      <c r="K3521" s="6">
        <v>0</v>
      </c>
      <c r="L3521" s="6">
        <v>0</v>
      </c>
      <c r="M3521" s="6">
        <v>0</v>
      </c>
      <c r="N3521" s="6" t="str">
        <f>""</f>
        <v/>
      </c>
      <c r="O3521" s="6">
        <v>22935</v>
      </c>
      <c r="P3521" s="6" t="s">
        <v>14549</v>
      </c>
      <c r="R3521" s="6" t="s">
        <v>5329</v>
      </c>
      <c r="S3521" s="6" t="s">
        <v>14550</v>
      </c>
      <c r="T3521" s="6">
        <v>0</v>
      </c>
      <c r="U3521" s="6">
        <v>0</v>
      </c>
      <c r="V3521" s="6">
        <v>0</v>
      </c>
      <c r="W3521" s="6">
        <v>0</v>
      </c>
      <c r="X3521" s="6" t="s">
        <v>169</v>
      </c>
      <c r="Z3521" s="6" t="s">
        <v>170</v>
      </c>
      <c r="AA3521" s="6" t="s">
        <v>171</v>
      </c>
      <c r="AB3521" s="6">
        <v>0</v>
      </c>
      <c r="AC3521" s="6" t="str">
        <f>""</f>
        <v/>
      </c>
      <c r="AS3521" s="6">
        <v>0</v>
      </c>
      <c r="AT3521" s="6">
        <v>0</v>
      </c>
    </row>
    <row r="3522" spans="2:46">
      <c r="B3522" s="6" t="s">
        <v>13899</v>
      </c>
      <c r="D3522" s="6" t="s">
        <v>13131</v>
      </c>
      <c r="F3522" s="6" t="s">
        <v>14551</v>
      </c>
      <c r="G3522" s="6" t="str">
        <f>"3176214110765204"</f>
        <v>3176214110765204</v>
      </c>
      <c r="H3522" s="6">
        <v>3176214110765200</v>
      </c>
      <c r="I3522" s="6" t="s">
        <v>14548</v>
      </c>
      <c r="J3522" s="6" t="str">
        <f>"17ss flower printing aloha shirts(yellow)"</f>
        <v>17ss flower printing aloha shirts(yellow)</v>
      </c>
      <c r="K3522" s="6">
        <v>0</v>
      </c>
      <c r="L3522" s="6">
        <v>0</v>
      </c>
      <c r="M3522" s="6">
        <v>0</v>
      </c>
      <c r="N3522" s="6" t="str">
        <f>""</f>
        <v/>
      </c>
      <c r="O3522" s="6">
        <v>22934</v>
      </c>
      <c r="P3522" s="6" t="s">
        <v>14552</v>
      </c>
      <c r="R3522" s="6" t="s">
        <v>3653</v>
      </c>
      <c r="S3522" s="6" t="s">
        <v>14553</v>
      </c>
      <c r="T3522" s="6">
        <v>0</v>
      </c>
      <c r="U3522" s="6">
        <v>0</v>
      </c>
      <c r="V3522" s="6">
        <v>0</v>
      </c>
      <c r="W3522" s="6">
        <v>0</v>
      </c>
      <c r="X3522" s="6" t="s">
        <v>169</v>
      </c>
      <c r="Z3522" s="6" t="s">
        <v>170</v>
      </c>
      <c r="AA3522" s="6" t="s">
        <v>171</v>
      </c>
      <c r="AB3522" s="6">
        <v>0</v>
      </c>
      <c r="AC3522" s="6" t="str">
        <f>""</f>
        <v/>
      </c>
      <c r="AS3522" s="6">
        <v>0</v>
      </c>
      <c r="AT3522" s="6">
        <v>0</v>
      </c>
    </row>
    <row r="3523" spans="2:46">
      <c r="B3523" s="6" t="s">
        <v>13899</v>
      </c>
      <c r="D3523" s="6" t="s">
        <v>13131</v>
      </c>
      <c r="F3523" s="6" t="s">
        <v>14554</v>
      </c>
      <c r="G3523" s="6" t="str">
        <f>"3176214110661205"</f>
        <v>3176214110661205</v>
      </c>
      <c r="H3523" s="6">
        <v>3176214110661200</v>
      </c>
      <c r="I3523" s="6" t="s">
        <v>14555</v>
      </c>
      <c r="J3523" s="6" t="str">
        <f>"17ss flower printing aloha shirts(red)"</f>
        <v>17ss flower printing aloha shirts(red)</v>
      </c>
      <c r="K3523" s="6">
        <v>0</v>
      </c>
      <c r="L3523" s="6">
        <v>0</v>
      </c>
      <c r="M3523" s="6">
        <v>0</v>
      </c>
      <c r="N3523" s="6" t="str">
        <f>""</f>
        <v/>
      </c>
      <c r="O3523" s="6">
        <v>22932</v>
      </c>
      <c r="P3523" s="6" t="s">
        <v>14556</v>
      </c>
      <c r="R3523" s="6" t="s">
        <v>5106</v>
      </c>
      <c r="S3523" s="6" t="s">
        <v>14557</v>
      </c>
      <c r="T3523" s="6">
        <v>0</v>
      </c>
      <c r="U3523" s="6">
        <v>0</v>
      </c>
      <c r="V3523" s="6">
        <v>0</v>
      </c>
      <c r="W3523" s="6">
        <v>0</v>
      </c>
      <c r="X3523" s="6" t="s">
        <v>169</v>
      </c>
      <c r="Z3523" s="6" t="s">
        <v>170</v>
      </c>
      <c r="AA3523" s="6" t="s">
        <v>171</v>
      </c>
      <c r="AB3523" s="6">
        <v>0</v>
      </c>
      <c r="AC3523" s="6" t="str">
        <f>""</f>
        <v/>
      </c>
      <c r="AS3523" s="6">
        <v>0</v>
      </c>
      <c r="AT3523" s="6">
        <v>0</v>
      </c>
    </row>
    <row r="3524" spans="2:46">
      <c r="B3524" s="6" t="s">
        <v>13899</v>
      </c>
      <c r="D3524" s="6" t="s">
        <v>13131</v>
      </c>
      <c r="F3524" s="6" t="s">
        <v>14558</v>
      </c>
      <c r="G3524" s="6" t="str">
        <f>"3176214110661204"</f>
        <v>3176214110661204</v>
      </c>
      <c r="H3524" s="6">
        <v>3176214110661200</v>
      </c>
      <c r="I3524" s="6" t="s">
        <v>14555</v>
      </c>
      <c r="J3524" s="6" t="str">
        <f>"17ss flower printing aloha shirts(red)"</f>
        <v>17ss flower printing aloha shirts(red)</v>
      </c>
      <c r="K3524" s="6">
        <v>0</v>
      </c>
      <c r="L3524" s="6">
        <v>0</v>
      </c>
      <c r="M3524" s="6">
        <v>0</v>
      </c>
      <c r="N3524" s="6" t="str">
        <f>""</f>
        <v/>
      </c>
      <c r="O3524" s="6">
        <v>22931</v>
      </c>
      <c r="P3524" s="6" t="s">
        <v>14559</v>
      </c>
      <c r="R3524" s="6" t="s">
        <v>601</v>
      </c>
      <c r="S3524" s="6" t="s">
        <v>14560</v>
      </c>
      <c r="T3524" s="6">
        <v>0</v>
      </c>
      <c r="U3524" s="6">
        <v>0</v>
      </c>
      <c r="V3524" s="6">
        <v>0</v>
      </c>
      <c r="W3524" s="6">
        <v>0</v>
      </c>
      <c r="X3524" s="6" t="s">
        <v>169</v>
      </c>
      <c r="Z3524" s="6" t="s">
        <v>170</v>
      </c>
      <c r="AA3524" s="6" t="s">
        <v>171</v>
      </c>
      <c r="AB3524" s="6">
        <v>0</v>
      </c>
      <c r="AC3524" s="6" t="str">
        <f>""</f>
        <v/>
      </c>
      <c r="AS3524" s="6">
        <v>0</v>
      </c>
      <c r="AT3524" s="6">
        <v>0</v>
      </c>
    </row>
    <row r="3525" spans="2:46">
      <c r="B3525" s="6" t="s">
        <v>13899</v>
      </c>
      <c r="D3525" s="6" t="s">
        <v>13131</v>
      </c>
      <c r="F3525" s="6" t="s">
        <v>14561</v>
      </c>
      <c r="G3525" s="6" t="str">
        <f>"3176214110599205"</f>
        <v>3176214110599205</v>
      </c>
      <c r="H3525" s="6">
        <v>3176214110599200</v>
      </c>
      <c r="I3525" s="6" t="s">
        <v>14562</v>
      </c>
      <c r="J3525" s="6" t="str">
        <f>"17ss revolver printing aloha shirts(black)"</f>
        <v>17ss revolver printing aloha shirts(black)</v>
      </c>
      <c r="K3525" s="6">
        <v>0</v>
      </c>
      <c r="L3525" s="6">
        <v>0</v>
      </c>
      <c r="M3525" s="6">
        <v>0</v>
      </c>
      <c r="N3525" s="6" t="str">
        <f>""</f>
        <v/>
      </c>
      <c r="O3525" s="6">
        <v>22929</v>
      </c>
      <c r="P3525" s="6" t="s">
        <v>14563</v>
      </c>
      <c r="R3525" s="6" t="s">
        <v>5106</v>
      </c>
      <c r="S3525" s="6" t="s">
        <v>14564</v>
      </c>
      <c r="T3525" s="6">
        <v>0</v>
      </c>
      <c r="U3525" s="6">
        <v>0</v>
      </c>
      <c r="V3525" s="6">
        <v>0</v>
      </c>
      <c r="W3525" s="6">
        <v>0</v>
      </c>
      <c r="X3525" s="6" t="s">
        <v>169</v>
      </c>
      <c r="Z3525" s="6" t="s">
        <v>170</v>
      </c>
      <c r="AA3525" s="6" t="s">
        <v>171</v>
      </c>
      <c r="AB3525" s="6">
        <v>0</v>
      </c>
      <c r="AC3525" s="6" t="str">
        <f>""</f>
        <v/>
      </c>
      <c r="AS3525" s="6">
        <v>0</v>
      </c>
      <c r="AT3525" s="6">
        <v>0</v>
      </c>
    </row>
    <row r="3526" spans="2:46">
      <c r="B3526" s="6" t="s">
        <v>13899</v>
      </c>
      <c r="D3526" s="6" t="s">
        <v>13131</v>
      </c>
      <c r="F3526" s="6" t="s">
        <v>14565</v>
      </c>
      <c r="G3526" s="6" t="str">
        <f>"3176214110599204"</f>
        <v>3176214110599204</v>
      </c>
      <c r="H3526" s="6">
        <v>3176214110599200</v>
      </c>
      <c r="I3526" s="6" t="s">
        <v>14562</v>
      </c>
      <c r="J3526" s="6" t="str">
        <f>"17ss revolver printing aloha shirts(black)"</f>
        <v>17ss revolver printing aloha shirts(black)</v>
      </c>
      <c r="K3526" s="6">
        <v>0</v>
      </c>
      <c r="L3526" s="6">
        <v>0</v>
      </c>
      <c r="M3526" s="6">
        <v>0</v>
      </c>
      <c r="N3526" s="6" t="str">
        <f>""</f>
        <v/>
      </c>
      <c r="O3526" s="6">
        <v>22928</v>
      </c>
      <c r="P3526" s="6" t="s">
        <v>14566</v>
      </c>
      <c r="R3526" s="6" t="s">
        <v>601</v>
      </c>
      <c r="S3526" s="6" t="s">
        <v>14567</v>
      </c>
      <c r="T3526" s="6">
        <v>0</v>
      </c>
      <c r="U3526" s="6">
        <v>0</v>
      </c>
      <c r="V3526" s="6">
        <v>0</v>
      </c>
      <c r="W3526" s="6">
        <v>0</v>
      </c>
      <c r="X3526" s="6" t="s">
        <v>169</v>
      </c>
      <c r="Z3526" s="6" t="s">
        <v>170</v>
      </c>
      <c r="AA3526" s="6" t="s">
        <v>171</v>
      </c>
      <c r="AB3526" s="6">
        <v>0</v>
      </c>
      <c r="AC3526" s="6" t="str">
        <f>""</f>
        <v/>
      </c>
      <c r="AS3526" s="6">
        <v>0</v>
      </c>
      <c r="AT3526" s="6">
        <v>0</v>
      </c>
    </row>
    <row r="3527" spans="2:46">
      <c r="B3527" s="6" t="s">
        <v>13899</v>
      </c>
      <c r="D3527" s="6" t="s">
        <v>13131</v>
      </c>
      <c r="F3527" s="6" t="s">
        <v>14568</v>
      </c>
      <c r="G3527" s="6" t="str">
        <f>"3176214110401205"</f>
        <v>3176214110401205</v>
      </c>
      <c r="H3527" s="6">
        <v>3176214110401200</v>
      </c>
      <c r="I3527" s="6" t="s">
        <v>14569</v>
      </c>
      <c r="J3527" s="6" t="str">
        <f>"17ss revolver printing aloha shirts(pink)"</f>
        <v>17ss revolver printing aloha shirts(pink)</v>
      </c>
      <c r="K3527" s="6">
        <v>0</v>
      </c>
      <c r="L3527" s="6">
        <v>0</v>
      </c>
      <c r="M3527" s="6">
        <v>0</v>
      </c>
      <c r="N3527" s="6" t="str">
        <f>""</f>
        <v/>
      </c>
      <c r="O3527" s="6">
        <v>22926</v>
      </c>
      <c r="P3527" s="6" t="s">
        <v>14570</v>
      </c>
      <c r="R3527" s="6" t="s">
        <v>5293</v>
      </c>
      <c r="S3527" s="6" t="s">
        <v>14571</v>
      </c>
      <c r="T3527" s="6">
        <v>0</v>
      </c>
      <c r="U3527" s="6">
        <v>0</v>
      </c>
      <c r="V3527" s="6">
        <v>0</v>
      </c>
      <c r="W3527" s="6">
        <v>0</v>
      </c>
      <c r="X3527" s="6" t="s">
        <v>169</v>
      </c>
      <c r="Z3527" s="6" t="s">
        <v>170</v>
      </c>
      <c r="AA3527" s="6" t="s">
        <v>171</v>
      </c>
      <c r="AB3527" s="6">
        <v>0</v>
      </c>
      <c r="AC3527" s="6" t="str">
        <f>""</f>
        <v/>
      </c>
      <c r="AS3527" s="6">
        <v>0</v>
      </c>
      <c r="AT3527" s="6">
        <v>0</v>
      </c>
    </row>
    <row r="3528" spans="2:46">
      <c r="B3528" s="6" t="s">
        <v>13899</v>
      </c>
      <c r="D3528" s="6" t="s">
        <v>13131</v>
      </c>
      <c r="F3528" s="6" t="s">
        <v>14572</v>
      </c>
      <c r="G3528" s="6" t="str">
        <f>"3176214110401204"</f>
        <v>3176214110401204</v>
      </c>
      <c r="H3528" s="6">
        <v>3176214110401200</v>
      </c>
      <c r="I3528" s="6" t="s">
        <v>14569</v>
      </c>
      <c r="J3528" s="6" t="str">
        <f>"17ss revolver printing aloha shirts(pink)"</f>
        <v>17ss revolver printing aloha shirts(pink)</v>
      </c>
      <c r="K3528" s="6">
        <v>0</v>
      </c>
      <c r="L3528" s="6">
        <v>0</v>
      </c>
      <c r="M3528" s="6">
        <v>0</v>
      </c>
      <c r="N3528" s="6" t="str">
        <f>""</f>
        <v/>
      </c>
      <c r="O3528" s="6">
        <v>22925</v>
      </c>
      <c r="P3528" s="6" t="s">
        <v>14573</v>
      </c>
      <c r="R3528" s="6" t="s">
        <v>3708</v>
      </c>
      <c r="S3528" s="6" t="s">
        <v>14574</v>
      </c>
      <c r="T3528" s="6">
        <v>0</v>
      </c>
      <c r="U3528" s="6">
        <v>0</v>
      </c>
      <c r="V3528" s="6">
        <v>0</v>
      </c>
      <c r="W3528" s="6">
        <v>0</v>
      </c>
      <c r="X3528" s="6" t="s">
        <v>169</v>
      </c>
      <c r="Z3528" s="6" t="s">
        <v>170</v>
      </c>
      <c r="AA3528" s="6" t="s">
        <v>171</v>
      </c>
      <c r="AB3528" s="6">
        <v>0</v>
      </c>
      <c r="AC3528" s="6" t="str">
        <f>""</f>
        <v/>
      </c>
      <c r="AS3528" s="6">
        <v>0</v>
      </c>
      <c r="AT3528" s="6">
        <v>0</v>
      </c>
    </row>
    <row r="3529" spans="2:46">
      <c r="B3529" s="6" t="s">
        <v>13899</v>
      </c>
      <c r="D3529" s="6" t="s">
        <v>13131</v>
      </c>
      <c r="F3529" s="6" t="s">
        <v>14575</v>
      </c>
      <c r="G3529" s="6" t="str">
        <f>"3176214110391205"</f>
        <v>3176214110391205</v>
      </c>
      <c r="H3529" s="6">
        <v>3176214110391200</v>
      </c>
      <c r="I3529" s="6" t="s">
        <v>14576</v>
      </c>
      <c r="J3529" s="6" t="str">
        <f>"17ss revolver printing aloha shirts(white)"</f>
        <v>17ss revolver printing aloha shirts(white)</v>
      </c>
      <c r="K3529" s="6">
        <v>0</v>
      </c>
      <c r="L3529" s="6">
        <v>0</v>
      </c>
      <c r="M3529" s="6">
        <v>0</v>
      </c>
      <c r="N3529" s="6" t="str">
        <f>""</f>
        <v/>
      </c>
      <c r="O3529" s="6">
        <v>22923</v>
      </c>
      <c r="P3529" s="6" t="s">
        <v>14577</v>
      </c>
      <c r="R3529" s="6" t="s">
        <v>5193</v>
      </c>
      <c r="S3529" s="6" t="s">
        <v>14578</v>
      </c>
      <c r="T3529" s="6">
        <v>0</v>
      </c>
      <c r="U3529" s="6">
        <v>0</v>
      </c>
      <c r="V3529" s="6">
        <v>0</v>
      </c>
      <c r="W3529" s="6">
        <v>0</v>
      </c>
      <c r="X3529" s="6" t="s">
        <v>169</v>
      </c>
      <c r="Z3529" s="6" t="s">
        <v>170</v>
      </c>
      <c r="AA3529" s="6" t="s">
        <v>171</v>
      </c>
      <c r="AB3529" s="6">
        <v>0</v>
      </c>
      <c r="AC3529" s="6" t="str">
        <f>""</f>
        <v/>
      </c>
      <c r="AS3529" s="6">
        <v>0</v>
      </c>
      <c r="AT3529" s="6">
        <v>0</v>
      </c>
    </row>
    <row r="3530" spans="2:46">
      <c r="B3530" s="6" t="s">
        <v>13899</v>
      </c>
      <c r="D3530" s="6" t="s">
        <v>13131</v>
      </c>
      <c r="F3530" s="6" t="s">
        <v>14579</v>
      </c>
      <c r="G3530" s="6" t="str">
        <f>"3176214110395204"</f>
        <v>3176214110395204</v>
      </c>
      <c r="H3530" s="6">
        <v>3176214110395200</v>
      </c>
      <c r="I3530" s="6" t="s">
        <v>14576</v>
      </c>
      <c r="J3530" s="6" t="str">
        <f>"17ss revolver printing aloha shirts(white)"</f>
        <v>17ss revolver printing aloha shirts(white)</v>
      </c>
      <c r="K3530" s="6">
        <v>0</v>
      </c>
      <c r="L3530" s="6">
        <v>0</v>
      </c>
      <c r="M3530" s="6">
        <v>0</v>
      </c>
      <c r="N3530" s="6" t="str">
        <f>""</f>
        <v/>
      </c>
      <c r="O3530" s="6">
        <v>22922</v>
      </c>
      <c r="P3530" s="6" t="s">
        <v>14580</v>
      </c>
      <c r="R3530" s="6" t="s">
        <v>5197</v>
      </c>
      <c r="S3530" s="6" t="s">
        <v>14581</v>
      </c>
      <c r="T3530" s="6">
        <v>0</v>
      </c>
      <c r="U3530" s="6">
        <v>0</v>
      </c>
      <c r="V3530" s="6">
        <v>0</v>
      </c>
      <c r="W3530" s="6">
        <v>0</v>
      </c>
      <c r="X3530" s="6" t="s">
        <v>169</v>
      </c>
      <c r="Z3530" s="6" t="s">
        <v>170</v>
      </c>
      <c r="AA3530" s="6" t="s">
        <v>171</v>
      </c>
      <c r="AB3530" s="6">
        <v>0</v>
      </c>
      <c r="AC3530" s="6" t="str">
        <f>""</f>
        <v/>
      </c>
      <c r="AS3530" s="6">
        <v>0</v>
      </c>
      <c r="AT3530" s="6">
        <v>0</v>
      </c>
    </row>
    <row r="3531" spans="2:46">
      <c r="B3531" s="6" t="s">
        <v>13899</v>
      </c>
      <c r="D3531" s="6" t="s">
        <v>13131</v>
      </c>
      <c r="F3531" s="6" t="s">
        <v>14582</v>
      </c>
      <c r="G3531" s="6" t="str">
        <f>"3176252115165208"</f>
        <v>3176252115165208</v>
      </c>
      <c r="H3531" s="6">
        <v>3176252115165200</v>
      </c>
      <c r="I3531" s="6" t="s">
        <v>14583</v>
      </c>
      <c r="J3531" s="6" t="str">
        <f>"17ss yellow flower bustier onepiece"</f>
        <v>17ss yellow flower bustier onepiece</v>
      </c>
      <c r="K3531" s="6">
        <v>0</v>
      </c>
      <c r="L3531" s="6">
        <v>0</v>
      </c>
      <c r="M3531" s="6">
        <v>0</v>
      </c>
      <c r="N3531" s="6" t="str">
        <f>""</f>
        <v/>
      </c>
      <c r="O3531" s="6">
        <v>22920</v>
      </c>
      <c r="P3531" s="6" t="s">
        <v>14584</v>
      </c>
      <c r="R3531" s="6" t="s">
        <v>2570</v>
      </c>
      <c r="S3531" s="6" t="s">
        <v>14585</v>
      </c>
      <c r="T3531" s="6">
        <v>0</v>
      </c>
      <c r="U3531" s="6">
        <v>0</v>
      </c>
      <c r="V3531" s="6">
        <v>0</v>
      </c>
      <c r="W3531" s="6">
        <v>0</v>
      </c>
      <c r="X3531" s="6" t="s">
        <v>169</v>
      </c>
      <c r="Z3531" s="6" t="s">
        <v>170</v>
      </c>
      <c r="AA3531" s="6" t="s">
        <v>171</v>
      </c>
      <c r="AB3531" s="6">
        <v>0</v>
      </c>
      <c r="AC3531" s="6" t="str">
        <f>""</f>
        <v/>
      </c>
      <c r="AS3531" s="6">
        <v>0</v>
      </c>
      <c r="AT3531" s="6">
        <v>0</v>
      </c>
    </row>
    <row r="3532" spans="2:46">
      <c r="B3532" s="6" t="s">
        <v>13899</v>
      </c>
      <c r="D3532" s="6" t="s">
        <v>13131</v>
      </c>
      <c r="F3532" s="6" t="s">
        <v>14586</v>
      </c>
      <c r="G3532" s="6" t="str">
        <f>"3176252115099208"</f>
        <v>3176252115099208</v>
      </c>
      <c r="H3532" s="6">
        <v>3176252115099200</v>
      </c>
      <c r="I3532" s="6" t="s">
        <v>14587</v>
      </c>
      <c r="J3532" s="6" t="str">
        <f>"17ss dot rose bustier onepiece"</f>
        <v>17ss dot rose bustier onepiece</v>
      </c>
      <c r="K3532" s="6">
        <v>0</v>
      </c>
      <c r="L3532" s="6">
        <v>0</v>
      </c>
      <c r="M3532" s="6">
        <v>0</v>
      </c>
      <c r="N3532" s="6" t="str">
        <f>""</f>
        <v/>
      </c>
      <c r="O3532" s="6">
        <v>22918</v>
      </c>
      <c r="P3532" s="6" t="s">
        <v>14588</v>
      </c>
      <c r="R3532" s="6" t="s">
        <v>2106</v>
      </c>
      <c r="S3532" s="6" t="s">
        <v>14589</v>
      </c>
      <c r="T3532" s="6">
        <v>0</v>
      </c>
      <c r="U3532" s="6">
        <v>0</v>
      </c>
      <c r="V3532" s="6">
        <v>0</v>
      </c>
      <c r="W3532" s="6">
        <v>0</v>
      </c>
      <c r="X3532" s="6" t="s">
        <v>169</v>
      </c>
      <c r="Z3532" s="6" t="s">
        <v>170</v>
      </c>
      <c r="AA3532" s="6" t="s">
        <v>171</v>
      </c>
      <c r="AB3532" s="6">
        <v>0</v>
      </c>
      <c r="AC3532" s="6" t="str">
        <f>""</f>
        <v/>
      </c>
      <c r="AS3532" s="6">
        <v>0</v>
      </c>
      <c r="AT3532" s="6">
        <v>0</v>
      </c>
    </row>
    <row r="3533" spans="2:46">
      <c r="B3533" s="6" t="s">
        <v>13899</v>
      </c>
      <c r="D3533" s="6" t="s">
        <v>13131</v>
      </c>
      <c r="F3533" s="6" t="s">
        <v>14590</v>
      </c>
      <c r="G3533" s="6" t="str">
        <f>"3176242109699208"</f>
        <v>3176242109699208</v>
      </c>
      <c r="H3533" s="6">
        <v>3176242109699200</v>
      </c>
      <c r="I3533" s="6" t="s">
        <v>14591</v>
      </c>
      <c r="J3533" s="6" t="str">
        <f>"17ss mesh twinkle glitter blouse"</f>
        <v>17ss mesh twinkle glitter blouse</v>
      </c>
      <c r="K3533" s="6">
        <v>0</v>
      </c>
      <c r="L3533" s="6">
        <v>0</v>
      </c>
      <c r="M3533" s="6">
        <v>0</v>
      </c>
      <c r="N3533" s="6" t="str">
        <f>""</f>
        <v/>
      </c>
      <c r="O3533" s="6">
        <v>22916</v>
      </c>
      <c r="P3533" s="6" t="s">
        <v>14592</v>
      </c>
      <c r="R3533" s="6" t="s">
        <v>2106</v>
      </c>
      <c r="S3533" s="6" t="s">
        <v>14593</v>
      </c>
      <c r="T3533" s="6">
        <v>0</v>
      </c>
      <c r="U3533" s="6">
        <v>0</v>
      </c>
      <c r="V3533" s="6">
        <v>0</v>
      </c>
      <c r="W3533" s="6">
        <v>0</v>
      </c>
      <c r="X3533" s="6" t="s">
        <v>169</v>
      </c>
      <c r="Z3533" s="6" t="s">
        <v>170</v>
      </c>
      <c r="AA3533" s="6" t="s">
        <v>171</v>
      </c>
      <c r="AB3533" s="6">
        <v>0</v>
      </c>
      <c r="AC3533" s="6" t="str">
        <f>""</f>
        <v/>
      </c>
      <c r="AS3533" s="6">
        <v>0</v>
      </c>
      <c r="AT3533" s="6">
        <v>0</v>
      </c>
    </row>
    <row r="3534" spans="2:46">
      <c r="B3534" s="6" t="s">
        <v>13899</v>
      </c>
      <c r="D3534" s="6" t="s">
        <v>13131</v>
      </c>
      <c r="F3534" s="6" t="s">
        <v>14594</v>
      </c>
      <c r="G3534" s="6" t="str">
        <f>"3176242109499208"</f>
        <v>3176242109499208</v>
      </c>
      <c r="H3534" s="6">
        <v>3176242109499200</v>
      </c>
      <c r="I3534" s="6" t="s">
        <v>14595</v>
      </c>
      <c r="J3534" s="6" t="str">
        <f>"17ss satin wringkle blouse(black)"</f>
        <v>17ss satin wringkle blouse(black)</v>
      </c>
      <c r="K3534" s="6">
        <v>0</v>
      </c>
      <c r="L3534" s="6">
        <v>0</v>
      </c>
      <c r="M3534" s="6">
        <v>0</v>
      </c>
      <c r="N3534" s="6" t="str">
        <f>""</f>
        <v/>
      </c>
      <c r="O3534" s="6">
        <v>22914</v>
      </c>
      <c r="P3534" s="6" t="s">
        <v>14596</v>
      </c>
      <c r="R3534" s="6" t="s">
        <v>2106</v>
      </c>
      <c r="S3534" s="6" t="s">
        <v>14597</v>
      </c>
      <c r="T3534" s="6">
        <v>0</v>
      </c>
      <c r="U3534" s="6">
        <v>0</v>
      </c>
      <c r="V3534" s="6">
        <v>0</v>
      </c>
      <c r="W3534" s="6">
        <v>0</v>
      </c>
      <c r="X3534" s="6" t="s">
        <v>169</v>
      </c>
      <c r="Z3534" s="6" t="s">
        <v>170</v>
      </c>
      <c r="AA3534" s="6" t="s">
        <v>171</v>
      </c>
      <c r="AB3534" s="6">
        <v>0</v>
      </c>
      <c r="AC3534" s="6" t="str">
        <f>""</f>
        <v/>
      </c>
      <c r="AS3534" s="6">
        <v>0</v>
      </c>
      <c r="AT3534" s="6">
        <v>0</v>
      </c>
    </row>
    <row r="3535" spans="2:46">
      <c r="B3535" s="6" t="s">
        <v>13899</v>
      </c>
      <c r="D3535" s="6" t="s">
        <v>13131</v>
      </c>
      <c r="F3535" s="6" t="s">
        <v>14598</v>
      </c>
      <c r="G3535" s="6" t="str">
        <f>"3176214110125205"</f>
        <v>3176214110125205</v>
      </c>
      <c r="H3535" s="6">
        <v>3176214110125200</v>
      </c>
      <c r="I3535" s="6" t="s">
        <v>14599</v>
      </c>
      <c r="J3535" s="6" t="str">
        <f>"17ss stripe bold cuffs shirts"</f>
        <v>17ss stripe bold cuffs shirts</v>
      </c>
      <c r="K3535" s="6">
        <v>0</v>
      </c>
      <c r="L3535" s="6">
        <v>0</v>
      </c>
      <c r="M3535" s="6">
        <v>0</v>
      </c>
      <c r="N3535" s="6" t="str">
        <f>""</f>
        <v/>
      </c>
      <c r="O3535" s="6">
        <v>22912</v>
      </c>
      <c r="P3535" s="6" t="s">
        <v>14600</v>
      </c>
      <c r="R3535" s="6" t="s">
        <v>5275</v>
      </c>
      <c r="S3535" s="6" t="s">
        <v>14601</v>
      </c>
      <c r="T3535" s="6">
        <v>0</v>
      </c>
      <c r="U3535" s="6">
        <v>0</v>
      </c>
      <c r="V3535" s="6">
        <v>0</v>
      </c>
      <c r="W3535" s="6">
        <v>0</v>
      </c>
      <c r="X3535" s="6" t="s">
        <v>169</v>
      </c>
      <c r="Z3535" s="6" t="s">
        <v>170</v>
      </c>
      <c r="AA3535" s="6" t="s">
        <v>171</v>
      </c>
      <c r="AB3535" s="6">
        <v>0</v>
      </c>
      <c r="AC3535" s="6" t="str">
        <f>""</f>
        <v/>
      </c>
      <c r="AS3535" s="6">
        <v>0</v>
      </c>
      <c r="AT3535" s="6">
        <v>0</v>
      </c>
    </row>
    <row r="3536" spans="2:46">
      <c r="B3536" s="6" t="s">
        <v>13899</v>
      </c>
      <c r="D3536" s="6" t="s">
        <v>13131</v>
      </c>
      <c r="F3536" s="6" t="s">
        <v>14602</v>
      </c>
      <c r="G3536" s="6" t="str">
        <f>"3176214110125204"</f>
        <v>3176214110125204</v>
      </c>
      <c r="H3536" s="6">
        <v>3176214110125200</v>
      </c>
      <c r="I3536" s="6" t="s">
        <v>14599</v>
      </c>
      <c r="J3536" s="6" t="str">
        <f>"17ss stripe bold cuffs shirts"</f>
        <v>17ss stripe bold cuffs shirts</v>
      </c>
      <c r="K3536" s="6">
        <v>0</v>
      </c>
      <c r="L3536" s="6">
        <v>0</v>
      </c>
      <c r="M3536" s="6">
        <v>0</v>
      </c>
      <c r="N3536" s="6" t="str">
        <f>""</f>
        <v/>
      </c>
      <c r="O3536" s="6">
        <v>22911</v>
      </c>
      <c r="P3536" s="6" t="s">
        <v>14603</v>
      </c>
      <c r="R3536" s="6" t="s">
        <v>5340</v>
      </c>
      <c r="S3536" s="6" t="s">
        <v>14604</v>
      </c>
      <c r="T3536" s="6">
        <v>0</v>
      </c>
      <c r="U3536" s="6">
        <v>0</v>
      </c>
      <c r="V3536" s="6">
        <v>0</v>
      </c>
      <c r="W3536" s="6">
        <v>0</v>
      </c>
      <c r="X3536" s="6" t="s">
        <v>169</v>
      </c>
      <c r="Z3536" s="6" t="s">
        <v>170</v>
      </c>
      <c r="AA3536" s="6" t="s">
        <v>171</v>
      </c>
      <c r="AB3536" s="6">
        <v>0</v>
      </c>
      <c r="AC3536" s="6" t="str">
        <f>""</f>
        <v/>
      </c>
      <c r="AS3536" s="6">
        <v>0</v>
      </c>
      <c r="AT3536" s="6">
        <v>0</v>
      </c>
    </row>
    <row r="3537" spans="2:46">
      <c r="B3537" s="6" t="s">
        <v>13899</v>
      </c>
      <c r="D3537" s="6" t="s">
        <v>13131</v>
      </c>
      <c r="F3537" s="6" t="s">
        <v>14605</v>
      </c>
      <c r="G3537" s="6" t="str">
        <f>"3176234122999205"</f>
        <v>3176234122999205</v>
      </c>
      <c r="H3537" s="6">
        <v>3176234122999200</v>
      </c>
      <c r="I3537" s="6" t="s">
        <v>14606</v>
      </c>
      <c r="J3537" s="6" t="str">
        <f>"17ss snake jacquard knit(black)"</f>
        <v>17ss snake jacquard knit(black)</v>
      </c>
      <c r="K3537" s="6">
        <v>0</v>
      </c>
      <c r="L3537" s="6">
        <v>0</v>
      </c>
      <c r="M3537" s="6">
        <v>0</v>
      </c>
      <c r="N3537" s="6" t="str">
        <f>""</f>
        <v/>
      </c>
      <c r="O3537" s="6">
        <v>22909</v>
      </c>
      <c r="P3537" s="6" t="s">
        <v>14607</v>
      </c>
      <c r="R3537" s="6" t="s">
        <v>5106</v>
      </c>
      <c r="S3537" s="6" t="s">
        <v>14608</v>
      </c>
      <c r="T3537" s="6">
        <v>0</v>
      </c>
      <c r="U3537" s="6">
        <v>0</v>
      </c>
      <c r="V3537" s="6">
        <v>0</v>
      </c>
      <c r="W3537" s="6">
        <v>0</v>
      </c>
      <c r="X3537" s="6" t="s">
        <v>169</v>
      </c>
      <c r="Z3537" s="6" t="s">
        <v>170</v>
      </c>
      <c r="AA3537" s="6" t="s">
        <v>171</v>
      </c>
      <c r="AB3537" s="6">
        <v>0</v>
      </c>
      <c r="AC3537" s="6" t="str">
        <f>""</f>
        <v/>
      </c>
      <c r="AS3537" s="6">
        <v>0</v>
      </c>
      <c r="AT3537" s="6">
        <v>0</v>
      </c>
    </row>
    <row r="3538" spans="2:46">
      <c r="B3538" s="6" t="s">
        <v>13899</v>
      </c>
      <c r="D3538" s="6" t="s">
        <v>13131</v>
      </c>
      <c r="F3538" s="6" t="s">
        <v>14609</v>
      </c>
      <c r="G3538" s="6" t="str">
        <f>"3176234122999204"</f>
        <v>3176234122999204</v>
      </c>
      <c r="H3538" s="6">
        <v>3176234122999200</v>
      </c>
      <c r="I3538" s="6" t="s">
        <v>14606</v>
      </c>
      <c r="J3538" s="6" t="str">
        <f>"17ss snake jacquard knit(black)"</f>
        <v>17ss snake jacquard knit(black)</v>
      </c>
      <c r="K3538" s="6">
        <v>0</v>
      </c>
      <c r="L3538" s="6">
        <v>0</v>
      </c>
      <c r="M3538" s="6">
        <v>0</v>
      </c>
      <c r="N3538" s="6" t="str">
        <f>""</f>
        <v/>
      </c>
      <c r="O3538" s="6">
        <v>22908</v>
      </c>
      <c r="P3538" s="6" t="s">
        <v>14610</v>
      </c>
      <c r="R3538" s="6" t="s">
        <v>601</v>
      </c>
      <c r="S3538" s="6" t="s">
        <v>14611</v>
      </c>
      <c r="T3538" s="6">
        <v>0</v>
      </c>
      <c r="U3538" s="6">
        <v>0</v>
      </c>
      <c r="V3538" s="6">
        <v>0</v>
      </c>
      <c r="W3538" s="6">
        <v>0</v>
      </c>
      <c r="X3538" s="6" t="s">
        <v>169</v>
      </c>
      <c r="Z3538" s="6" t="s">
        <v>170</v>
      </c>
      <c r="AA3538" s="6" t="s">
        <v>171</v>
      </c>
      <c r="AB3538" s="6">
        <v>0</v>
      </c>
      <c r="AC3538" s="6" t="str">
        <f>""</f>
        <v/>
      </c>
      <c r="AS3538" s="6">
        <v>0</v>
      </c>
      <c r="AT3538" s="6">
        <v>0</v>
      </c>
    </row>
    <row r="3539" spans="2:46">
      <c r="B3539" s="6" t="s">
        <v>13899</v>
      </c>
      <c r="D3539" s="6" t="s">
        <v>13131</v>
      </c>
      <c r="F3539" s="6" t="s">
        <v>14612</v>
      </c>
      <c r="G3539" s="6" t="str">
        <f>"3176234122869205"</f>
        <v>3176234122869205</v>
      </c>
      <c r="H3539" s="6">
        <v>3176234122869200</v>
      </c>
      <c r="I3539" s="6" t="s">
        <v>14613</v>
      </c>
      <c r="J3539" s="6" t="str">
        <f>"17ss snake jacquard knit(ivory)"</f>
        <v>17ss snake jacquard knit(ivory)</v>
      </c>
      <c r="K3539" s="6">
        <v>0</v>
      </c>
      <c r="L3539" s="6">
        <v>0</v>
      </c>
      <c r="M3539" s="6">
        <v>0</v>
      </c>
      <c r="N3539" s="6" t="str">
        <f>""</f>
        <v/>
      </c>
      <c r="O3539" s="6">
        <v>22906</v>
      </c>
      <c r="P3539" s="6" t="s">
        <v>14614</v>
      </c>
      <c r="R3539" s="6" t="s">
        <v>5224</v>
      </c>
      <c r="S3539" s="6" t="s">
        <v>14615</v>
      </c>
      <c r="T3539" s="6">
        <v>0</v>
      </c>
      <c r="U3539" s="6">
        <v>0</v>
      </c>
      <c r="V3539" s="6">
        <v>0</v>
      </c>
      <c r="W3539" s="6">
        <v>0</v>
      </c>
      <c r="X3539" s="6" t="s">
        <v>169</v>
      </c>
      <c r="Z3539" s="6" t="s">
        <v>170</v>
      </c>
      <c r="AA3539" s="6" t="s">
        <v>171</v>
      </c>
      <c r="AB3539" s="6">
        <v>0</v>
      </c>
      <c r="AC3539" s="6" t="str">
        <f>""</f>
        <v/>
      </c>
      <c r="AS3539" s="6">
        <v>0</v>
      </c>
      <c r="AT3539" s="6">
        <v>0</v>
      </c>
    </row>
    <row r="3540" spans="2:46">
      <c r="B3540" s="6" t="s">
        <v>13899</v>
      </c>
      <c r="D3540" s="6" t="s">
        <v>13131</v>
      </c>
      <c r="F3540" s="6" t="s">
        <v>14616</v>
      </c>
      <c r="G3540" s="6" t="str">
        <f>"3176234122869204"</f>
        <v>3176234122869204</v>
      </c>
      <c r="H3540" s="6">
        <v>3176234122869200</v>
      </c>
      <c r="I3540" s="6" t="s">
        <v>14613</v>
      </c>
      <c r="J3540" s="6" t="str">
        <f>"17ss snake jacquard knit(ivory)"</f>
        <v>17ss snake jacquard knit(ivory)</v>
      </c>
      <c r="K3540" s="6">
        <v>0</v>
      </c>
      <c r="L3540" s="6">
        <v>0</v>
      </c>
      <c r="M3540" s="6">
        <v>0</v>
      </c>
      <c r="N3540" s="6" t="str">
        <f>""</f>
        <v/>
      </c>
      <c r="O3540" s="6">
        <v>22905</v>
      </c>
      <c r="P3540" s="6" t="s">
        <v>14617</v>
      </c>
      <c r="R3540" s="6" t="s">
        <v>639</v>
      </c>
      <c r="S3540" s="6" t="s">
        <v>14618</v>
      </c>
      <c r="T3540" s="6">
        <v>0</v>
      </c>
      <c r="U3540" s="6">
        <v>0</v>
      </c>
      <c r="V3540" s="6">
        <v>0</v>
      </c>
      <c r="W3540" s="6">
        <v>0</v>
      </c>
      <c r="X3540" s="6" t="s">
        <v>169</v>
      </c>
      <c r="Z3540" s="6" t="s">
        <v>170</v>
      </c>
      <c r="AA3540" s="6" t="s">
        <v>171</v>
      </c>
      <c r="AB3540" s="6">
        <v>0</v>
      </c>
      <c r="AC3540" s="6" t="str">
        <f>""</f>
        <v/>
      </c>
      <c r="AS3540" s="6">
        <v>0</v>
      </c>
      <c r="AT3540" s="6">
        <v>0</v>
      </c>
    </row>
    <row r="3541" spans="2:46">
      <c r="B3541" s="6" t="s">
        <v>13899</v>
      </c>
      <c r="D3541" s="6" t="s">
        <v>13131</v>
      </c>
      <c r="F3541" s="6" t="s">
        <v>14619</v>
      </c>
      <c r="G3541" s="6" t="str">
        <f>"3176134115899205"</f>
        <v>3176134115899205</v>
      </c>
      <c r="H3541" s="6">
        <v>3176134115899200</v>
      </c>
      <c r="I3541" s="6" t="s">
        <v>14620</v>
      </c>
      <c r="J3541" s="6" t="str">
        <f>"17ss fake leather zip-up jacket"</f>
        <v>17ss fake leather zip-up jacket</v>
      </c>
      <c r="K3541" s="6">
        <v>0</v>
      </c>
      <c r="L3541" s="6">
        <v>0</v>
      </c>
      <c r="M3541" s="6">
        <v>0</v>
      </c>
      <c r="N3541" s="6" t="str">
        <f>""</f>
        <v/>
      </c>
      <c r="O3541" s="6">
        <v>22903</v>
      </c>
      <c r="P3541" s="6" t="s">
        <v>14621</v>
      </c>
      <c r="R3541" s="6" t="s">
        <v>5106</v>
      </c>
      <c r="S3541" s="6" t="s">
        <v>14622</v>
      </c>
      <c r="T3541" s="6">
        <v>0</v>
      </c>
      <c r="U3541" s="6">
        <v>0</v>
      </c>
      <c r="V3541" s="6">
        <v>0</v>
      </c>
      <c r="W3541" s="6">
        <v>0</v>
      </c>
      <c r="X3541" s="6" t="s">
        <v>169</v>
      </c>
      <c r="Z3541" s="6" t="s">
        <v>170</v>
      </c>
      <c r="AA3541" s="6" t="s">
        <v>171</v>
      </c>
      <c r="AB3541" s="6">
        <v>0</v>
      </c>
      <c r="AC3541" s="6" t="str">
        <f>""</f>
        <v/>
      </c>
      <c r="AS3541" s="6">
        <v>0</v>
      </c>
      <c r="AT3541" s="6">
        <v>0</v>
      </c>
    </row>
    <row r="3542" spans="2:46">
      <c r="B3542" s="6" t="s">
        <v>13899</v>
      </c>
      <c r="D3542" s="6" t="s">
        <v>13131</v>
      </c>
      <c r="F3542" s="6" t="s">
        <v>14623</v>
      </c>
      <c r="G3542" s="6" t="str">
        <f>"3176134115899204"</f>
        <v>3176134115899204</v>
      </c>
      <c r="H3542" s="6">
        <v>3176134115899200</v>
      </c>
      <c r="I3542" s="6" t="s">
        <v>14620</v>
      </c>
      <c r="J3542" s="6" t="str">
        <f>"17ss fake leather zip-up jacket"</f>
        <v>17ss fake leather zip-up jacket</v>
      </c>
      <c r="K3542" s="6">
        <v>0</v>
      </c>
      <c r="L3542" s="6">
        <v>0</v>
      </c>
      <c r="M3542" s="6">
        <v>0</v>
      </c>
      <c r="N3542" s="6" t="str">
        <f>""</f>
        <v/>
      </c>
      <c r="O3542" s="6">
        <v>22902</v>
      </c>
      <c r="P3542" s="6" t="s">
        <v>14624</v>
      </c>
      <c r="R3542" s="6" t="s">
        <v>601</v>
      </c>
      <c r="S3542" s="6" t="s">
        <v>14625</v>
      </c>
      <c r="T3542" s="6">
        <v>0</v>
      </c>
      <c r="U3542" s="6">
        <v>0</v>
      </c>
      <c r="V3542" s="6">
        <v>0</v>
      </c>
      <c r="W3542" s="6">
        <v>0</v>
      </c>
      <c r="X3542" s="6" t="s">
        <v>169</v>
      </c>
      <c r="Z3542" s="6" t="s">
        <v>170</v>
      </c>
      <c r="AA3542" s="6" t="s">
        <v>171</v>
      </c>
      <c r="AB3542" s="6">
        <v>0</v>
      </c>
      <c r="AC3542" s="6" t="str">
        <f>""</f>
        <v/>
      </c>
      <c r="AS3542" s="6">
        <v>0</v>
      </c>
      <c r="AT3542" s="6">
        <v>0</v>
      </c>
    </row>
    <row r="3543" spans="2:46">
      <c r="B3543" s="6" t="s">
        <v>13899</v>
      </c>
      <c r="D3543" s="6" t="s">
        <v>13131</v>
      </c>
      <c r="F3543" s="6" t="s">
        <v>14626</v>
      </c>
      <c r="G3543" s="6" t="str">
        <f>"3176114103074205"</f>
        <v>3176114103074205</v>
      </c>
      <c r="H3543" s="6">
        <v>3176114103074200</v>
      </c>
      <c r="I3543" s="6" t="s">
        <v>14627</v>
      </c>
      <c r="J3543" s="6" t="str">
        <f>"17ss snake embroidery robe"</f>
        <v>17ss snake embroidery robe</v>
      </c>
      <c r="K3543" s="6">
        <v>0</v>
      </c>
      <c r="L3543" s="6">
        <v>0</v>
      </c>
      <c r="M3543" s="6">
        <v>0</v>
      </c>
      <c r="N3543" s="6" t="str">
        <f>""</f>
        <v/>
      </c>
      <c r="O3543" s="6">
        <v>22900</v>
      </c>
      <c r="P3543" s="6" t="s">
        <v>14628</v>
      </c>
      <c r="R3543" s="6" t="s">
        <v>5224</v>
      </c>
      <c r="S3543" s="6" t="s">
        <v>14629</v>
      </c>
      <c r="T3543" s="6">
        <v>0</v>
      </c>
      <c r="U3543" s="6">
        <v>0</v>
      </c>
      <c r="V3543" s="6">
        <v>0</v>
      </c>
      <c r="W3543" s="6">
        <v>0</v>
      </c>
      <c r="X3543" s="6" t="s">
        <v>169</v>
      </c>
      <c r="Z3543" s="6" t="s">
        <v>170</v>
      </c>
      <c r="AA3543" s="6" t="s">
        <v>171</v>
      </c>
      <c r="AB3543" s="6">
        <v>0</v>
      </c>
      <c r="AC3543" s="6" t="str">
        <f>""</f>
        <v/>
      </c>
      <c r="AS3543" s="6">
        <v>0</v>
      </c>
      <c r="AT3543" s="6">
        <v>0</v>
      </c>
    </row>
    <row r="3544" spans="2:46">
      <c r="B3544" s="6" t="s">
        <v>13899</v>
      </c>
      <c r="D3544" s="6" t="s">
        <v>13131</v>
      </c>
      <c r="F3544" s="6" t="s">
        <v>14630</v>
      </c>
      <c r="G3544" s="6" t="str">
        <f>"3176114103074204"</f>
        <v>3176114103074204</v>
      </c>
      <c r="H3544" s="6">
        <v>3176114103074200</v>
      </c>
      <c r="I3544" s="6" t="s">
        <v>14627</v>
      </c>
      <c r="J3544" s="6" t="str">
        <f>"17ss snake embroidery robe"</f>
        <v>17ss snake embroidery robe</v>
      </c>
      <c r="K3544" s="6">
        <v>0</v>
      </c>
      <c r="L3544" s="6">
        <v>0</v>
      </c>
      <c r="M3544" s="6">
        <v>0</v>
      </c>
      <c r="N3544" s="6" t="str">
        <f>""</f>
        <v/>
      </c>
      <c r="O3544" s="6">
        <v>22899</v>
      </c>
      <c r="P3544" s="6" t="s">
        <v>14631</v>
      </c>
      <c r="R3544" s="6" t="s">
        <v>639</v>
      </c>
      <c r="S3544" s="6" t="s">
        <v>14632</v>
      </c>
      <c r="T3544" s="6">
        <v>0</v>
      </c>
      <c r="U3544" s="6">
        <v>0</v>
      </c>
      <c r="V3544" s="6">
        <v>0</v>
      </c>
      <c r="W3544" s="6">
        <v>0</v>
      </c>
      <c r="X3544" s="6" t="s">
        <v>169</v>
      </c>
      <c r="Z3544" s="6" t="s">
        <v>170</v>
      </c>
      <c r="AA3544" s="6" t="s">
        <v>171</v>
      </c>
      <c r="AB3544" s="6">
        <v>0</v>
      </c>
      <c r="AC3544" s="6" t="str">
        <f>""</f>
        <v/>
      </c>
      <c r="AS3544" s="6">
        <v>0</v>
      </c>
      <c r="AT3544" s="6">
        <v>0</v>
      </c>
    </row>
    <row r="3545" spans="2:46">
      <c r="B3545" s="6" t="s">
        <v>13899</v>
      </c>
      <c r="D3545" s="6" t="s">
        <v>13131</v>
      </c>
      <c r="F3545" s="6" t="s">
        <v>14633</v>
      </c>
      <c r="G3545" s="6" t="str">
        <f>"3176324101225206"</f>
        <v>3176324101225206</v>
      </c>
      <c r="H3545" s="6">
        <v>3176324101225200</v>
      </c>
      <c r="I3545" s="6" t="s">
        <v>14634</v>
      </c>
      <c r="J3545" s="6" t="str">
        <f>"17ss bleached hem denim pants"</f>
        <v>17ss bleached hem denim pants</v>
      </c>
      <c r="K3545" s="6">
        <v>0</v>
      </c>
      <c r="L3545" s="6">
        <v>0</v>
      </c>
      <c r="M3545" s="6">
        <v>0</v>
      </c>
      <c r="N3545" s="6" t="str">
        <f>""</f>
        <v/>
      </c>
      <c r="O3545" s="6">
        <v>22897</v>
      </c>
      <c r="P3545" s="6" t="s">
        <v>14635</v>
      </c>
      <c r="R3545" s="6" t="s">
        <v>14636</v>
      </c>
      <c r="S3545" s="6" t="s">
        <v>14637</v>
      </c>
      <c r="T3545" s="6">
        <v>0</v>
      </c>
      <c r="U3545" s="6">
        <v>0</v>
      </c>
      <c r="V3545" s="6">
        <v>0</v>
      </c>
      <c r="W3545" s="6">
        <v>0</v>
      </c>
      <c r="X3545" s="6" t="s">
        <v>169</v>
      </c>
      <c r="Z3545" s="6" t="s">
        <v>170</v>
      </c>
      <c r="AA3545" s="6" t="s">
        <v>171</v>
      </c>
      <c r="AB3545" s="6">
        <v>0</v>
      </c>
      <c r="AC3545" s="6" t="str">
        <f>""</f>
        <v/>
      </c>
      <c r="AS3545" s="6">
        <v>0</v>
      </c>
      <c r="AT3545" s="6">
        <v>0</v>
      </c>
    </row>
    <row r="3546" spans="2:46">
      <c r="B3546" s="6" t="s">
        <v>13899</v>
      </c>
      <c r="D3546" s="6" t="s">
        <v>13131</v>
      </c>
      <c r="F3546" s="6" t="s">
        <v>14638</v>
      </c>
      <c r="G3546" s="6" t="str">
        <f>"3176324101225205"</f>
        <v>3176324101225205</v>
      </c>
      <c r="H3546" s="6">
        <v>3176324101225200</v>
      </c>
      <c r="I3546" s="6" t="s">
        <v>14634</v>
      </c>
      <c r="J3546" s="6" t="str">
        <f>"17ss bleached hem denim pants"</f>
        <v>17ss bleached hem denim pants</v>
      </c>
      <c r="K3546" s="6">
        <v>0</v>
      </c>
      <c r="L3546" s="6">
        <v>0</v>
      </c>
      <c r="M3546" s="6">
        <v>0</v>
      </c>
      <c r="N3546" s="6" t="str">
        <f>""</f>
        <v/>
      </c>
      <c r="O3546" s="6">
        <v>22896</v>
      </c>
      <c r="P3546" s="6" t="s">
        <v>14639</v>
      </c>
      <c r="R3546" s="6" t="s">
        <v>5275</v>
      </c>
      <c r="S3546" s="6" t="s">
        <v>14640</v>
      </c>
      <c r="T3546" s="6">
        <v>0</v>
      </c>
      <c r="U3546" s="6">
        <v>0</v>
      </c>
      <c r="V3546" s="6">
        <v>0</v>
      </c>
      <c r="W3546" s="6">
        <v>0</v>
      </c>
      <c r="X3546" s="6" t="s">
        <v>169</v>
      </c>
      <c r="Z3546" s="6" t="s">
        <v>170</v>
      </c>
      <c r="AA3546" s="6" t="s">
        <v>171</v>
      </c>
      <c r="AB3546" s="6">
        <v>0</v>
      </c>
      <c r="AC3546" s="6" t="str">
        <f>""</f>
        <v/>
      </c>
      <c r="AS3546" s="6">
        <v>0</v>
      </c>
      <c r="AT3546" s="6">
        <v>0</v>
      </c>
    </row>
    <row r="3547" spans="2:46">
      <c r="B3547" s="6" t="s">
        <v>13899</v>
      </c>
      <c r="D3547" s="6" t="s">
        <v>13131</v>
      </c>
      <c r="F3547" s="6" t="s">
        <v>14641</v>
      </c>
      <c r="G3547" s="6" t="str">
        <f>"3176324101225204"</f>
        <v>3176324101225204</v>
      </c>
      <c r="H3547" s="6">
        <v>3176324101225200</v>
      </c>
      <c r="I3547" s="6" t="s">
        <v>14634</v>
      </c>
      <c r="J3547" s="6" t="str">
        <f>"17ss bleached hem denim pants"</f>
        <v>17ss bleached hem denim pants</v>
      </c>
      <c r="K3547" s="6">
        <v>0</v>
      </c>
      <c r="L3547" s="6">
        <v>0</v>
      </c>
      <c r="M3547" s="6">
        <v>0</v>
      </c>
      <c r="N3547" s="6" t="str">
        <f>""</f>
        <v/>
      </c>
      <c r="O3547" s="6">
        <v>22895</v>
      </c>
      <c r="P3547" s="6" t="s">
        <v>14642</v>
      </c>
      <c r="R3547" s="6" t="s">
        <v>5340</v>
      </c>
      <c r="S3547" s="6" t="s">
        <v>14643</v>
      </c>
      <c r="T3547" s="6">
        <v>0</v>
      </c>
      <c r="U3547" s="6">
        <v>0</v>
      </c>
      <c r="V3547" s="6">
        <v>0</v>
      </c>
      <c r="W3547" s="6">
        <v>0</v>
      </c>
      <c r="X3547" s="6" t="s">
        <v>169</v>
      </c>
      <c r="Z3547" s="6" t="s">
        <v>170</v>
      </c>
      <c r="AA3547" s="6" t="s">
        <v>171</v>
      </c>
      <c r="AB3547" s="6">
        <v>0</v>
      </c>
      <c r="AC3547" s="6" t="str">
        <f>""</f>
        <v/>
      </c>
      <c r="AS3547" s="6">
        <v>0</v>
      </c>
      <c r="AT3547" s="6">
        <v>0</v>
      </c>
    </row>
    <row r="3548" spans="2:46">
      <c r="B3548" s="6" t="s">
        <v>13899</v>
      </c>
      <c r="D3548" s="6" t="s">
        <v>13131</v>
      </c>
      <c r="F3548" s="6" t="s">
        <v>14644</v>
      </c>
      <c r="G3548" s="6" t="str">
        <f>"3176324101225203"</f>
        <v>3176324101225203</v>
      </c>
      <c r="H3548" s="6">
        <v>3176324101225200</v>
      </c>
      <c r="I3548" s="6" t="s">
        <v>14634</v>
      </c>
      <c r="J3548" s="6" t="str">
        <f>"17ss bleached hem denim pants"</f>
        <v>17ss bleached hem denim pants</v>
      </c>
      <c r="K3548" s="6">
        <v>0</v>
      </c>
      <c r="L3548" s="6">
        <v>0</v>
      </c>
      <c r="M3548" s="6">
        <v>0</v>
      </c>
      <c r="N3548" s="6" t="str">
        <f>""</f>
        <v/>
      </c>
      <c r="O3548" s="6">
        <v>22894</v>
      </c>
      <c r="P3548" s="6" t="s">
        <v>14645</v>
      </c>
      <c r="R3548" s="6" t="s">
        <v>5279</v>
      </c>
      <c r="S3548" s="6" t="s">
        <v>14646</v>
      </c>
      <c r="T3548" s="6">
        <v>0</v>
      </c>
      <c r="U3548" s="6">
        <v>0</v>
      </c>
      <c r="V3548" s="6">
        <v>0</v>
      </c>
      <c r="W3548" s="6">
        <v>0</v>
      </c>
      <c r="X3548" s="6" t="s">
        <v>169</v>
      </c>
      <c r="Z3548" s="6" t="s">
        <v>170</v>
      </c>
      <c r="AA3548" s="6" t="s">
        <v>171</v>
      </c>
      <c r="AB3548" s="6">
        <v>0</v>
      </c>
      <c r="AC3548" s="6" t="str">
        <f>""</f>
        <v/>
      </c>
      <c r="AS3548" s="6">
        <v>0</v>
      </c>
      <c r="AT3548" s="6">
        <v>0</v>
      </c>
    </row>
    <row r="3549" spans="2:46">
      <c r="B3549" s="6" t="s">
        <v>13899</v>
      </c>
      <c r="D3549" s="6" t="s">
        <v>13131</v>
      </c>
      <c r="F3549" s="6" t="s">
        <v>14647</v>
      </c>
      <c r="G3549" s="6" t="str">
        <f>"3176324101125206"</f>
        <v>3176324101125206</v>
      </c>
      <c r="H3549" s="6">
        <v>3176324101125200</v>
      </c>
      <c r="I3549" s="6" t="s">
        <v>14648</v>
      </c>
      <c r="J3549" s="6" t="str">
        <f>"17ss stone washing denim pants"</f>
        <v>17ss stone washing denim pants</v>
      </c>
      <c r="K3549" s="6">
        <v>0</v>
      </c>
      <c r="L3549" s="6">
        <v>0</v>
      </c>
      <c r="M3549" s="6">
        <v>0</v>
      </c>
      <c r="N3549" s="6" t="str">
        <f>""</f>
        <v/>
      </c>
      <c r="O3549" s="6">
        <v>22892</v>
      </c>
      <c r="P3549" s="6" t="s">
        <v>14649</v>
      </c>
      <c r="R3549" s="6" t="s">
        <v>14636</v>
      </c>
      <c r="S3549" s="6" t="s">
        <v>14650</v>
      </c>
      <c r="T3549" s="6">
        <v>0</v>
      </c>
      <c r="U3549" s="6">
        <v>0</v>
      </c>
      <c r="V3549" s="6">
        <v>0</v>
      </c>
      <c r="W3549" s="6">
        <v>0</v>
      </c>
      <c r="X3549" s="6" t="s">
        <v>169</v>
      </c>
      <c r="Z3549" s="6" t="s">
        <v>170</v>
      </c>
      <c r="AA3549" s="6" t="s">
        <v>171</v>
      </c>
      <c r="AB3549" s="6">
        <v>0</v>
      </c>
      <c r="AC3549" s="6" t="str">
        <f>""</f>
        <v/>
      </c>
      <c r="AS3549" s="6">
        <v>0</v>
      </c>
      <c r="AT3549" s="6">
        <v>0</v>
      </c>
    </row>
    <row r="3550" spans="2:46">
      <c r="B3550" s="6" t="s">
        <v>13899</v>
      </c>
      <c r="D3550" s="6" t="s">
        <v>13131</v>
      </c>
      <c r="F3550" s="6" t="s">
        <v>14651</v>
      </c>
      <c r="G3550" s="6" t="str">
        <f>"3176324101125205"</f>
        <v>3176324101125205</v>
      </c>
      <c r="H3550" s="6">
        <v>3176324101125200</v>
      </c>
      <c r="I3550" s="6" t="s">
        <v>14648</v>
      </c>
      <c r="J3550" s="6" t="str">
        <f>"17ss stone washing denim pants"</f>
        <v>17ss stone washing denim pants</v>
      </c>
      <c r="K3550" s="6">
        <v>0</v>
      </c>
      <c r="L3550" s="6">
        <v>0</v>
      </c>
      <c r="M3550" s="6">
        <v>0</v>
      </c>
      <c r="N3550" s="6" t="str">
        <f>""</f>
        <v/>
      </c>
      <c r="O3550" s="6">
        <v>22891</v>
      </c>
      <c r="P3550" s="6" t="s">
        <v>14652</v>
      </c>
      <c r="R3550" s="6" t="s">
        <v>5275</v>
      </c>
      <c r="S3550" s="6" t="s">
        <v>14653</v>
      </c>
      <c r="T3550" s="6">
        <v>0</v>
      </c>
      <c r="U3550" s="6">
        <v>0</v>
      </c>
      <c r="V3550" s="6">
        <v>0</v>
      </c>
      <c r="W3550" s="6">
        <v>0</v>
      </c>
      <c r="X3550" s="6" t="s">
        <v>169</v>
      </c>
      <c r="Z3550" s="6" t="s">
        <v>170</v>
      </c>
      <c r="AA3550" s="6" t="s">
        <v>171</v>
      </c>
      <c r="AB3550" s="6">
        <v>0</v>
      </c>
      <c r="AC3550" s="6" t="str">
        <f>""</f>
        <v/>
      </c>
      <c r="AS3550" s="6">
        <v>0</v>
      </c>
      <c r="AT3550" s="6">
        <v>0</v>
      </c>
    </row>
    <row r="3551" spans="2:46">
      <c r="B3551" s="6" t="s">
        <v>13899</v>
      </c>
      <c r="D3551" s="6" t="s">
        <v>13131</v>
      </c>
      <c r="F3551" s="6" t="s">
        <v>14654</v>
      </c>
      <c r="G3551" s="6" t="str">
        <f>"3176324101125204"</f>
        <v>3176324101125204</v>
      </c>
      <c r="H3551" s="6">
        <v>3176324101125200</v>
      </c>
      <c r="I3551" s="6" t="s">
        <v>14648</v>
      </c>
      <c r="J3551" s="6" t="str">
        <f>"17ss stone washing denim pants"</f>
        <v>17ss stone washing denim pants</v>
      </c>
      <c r="K3551" s="6">
        <v>0</v>
      </c>
      <c r="L3551" s="6">
        <v>0</v>
      </c>
      <c r="M3551" s="6">
        <v>0</v>
      </c>
      <c r="N3551" s="6" t="str">
        <f>""</f>
        <v/>
      </c>
      <c r="O3551" s="6">
        <v>22890</v>
      </c>
      <c r="P3551" s="6" t="s">
        <v>14655</v>
      </c>
      <c r="R3551" s="6" t="s">
        <v>5340</v>
      </c>
      <c r="S3551" s="6" t="s">
        <v>14656</v>
      </c>
      <c r="T3551" s="6">
        <v>0</v>
      </c>
      <c r="U3551" s="6">
        <v>0</v>
      </c>
      <c r="V3551" s="6">
        <v>0</v>
      </c>
      <c r="W3551" s="6">
        <v>0</v>
      </c>
      <c r="X3551" s="6" t="s">
        <v>169</v>
      </c>
      <c r="Z3551" s="6" t="s">
        <v>170</v>
      </c>
      <c r="AA3551" s="6" t="s">
        <v>171</v>
      </c>
      <c r="AB3551" s="6">
        <v>0</v>
      </c>
      <c r="AC3551" s="6" t="str">
        <f>""</f>
        <v/>
      </c>
      <c r="AS3551" s="6">
        <v>0</v>
      </c>
      <c r="AT3551" s="6">
        <v>0</v>
      </c>
    </row>
    <row r="3552" spans="2:46">
      <c r="B3552" s="6" t="s">
        <v>13899</v>
      </c>
      <c r="D3552" s="6" t="s">
        <v>13131</v>
      </c>
      <c r="F3552" s="6" t="s">
        <v>14657</v>
      </c>
      <c r="G3552" s="6" t="str">
        <f>"3176324101125203"</f>
        <v>3176324101125203</v>
      </c>
      <c r="H3552" s="6">
        <v>3176324101125200</v>
      </c>
      <c r="I3552" s="6" t="s">
        <v>14648</v>
      </c>
      <c r="J3552" s="6" t="str">
        <f>"17ss stone washing denim pants"</f>
        <v>17ss stone washing denim pants</v>
      </c>
      <c r="K3552" s="6">
        <v>0</v>
      </c>
      <c r="L3552" s="6">
        <v>0</v>
      </c>
      <c r="M3552" s="6">
        <v>0</v>
      </c>
      <c r="N3552" s="6" t="str">
        <f>""</f>
        <v/>
      </c>
      <c r="O3552" s="6">
        <v>22889</v>
      </c>
      <c r="P3552" s="6" t="s">
        <v>14658</v>
      </c>
      <c r="R3552" s="6" t="s">
        <v>5279</v>
      </c>
      <c r="S3552" s="6" t="s">
        <v>14659</v>
      </c>
      <c r="T3552" s="6">
        <v>0</v>
      </c>
      <c r="U3552" s="6">
        <v>0</v>
      </c>
      <c r="V3552" s="6">
        <v>0</v>
      </c>
      <c r="W3552" s="6">
        <v>0</v>
      </c>
      <c r="X3552" s="6" t="s">
        <v>169</v>
      </c>
      <c r="Z3552" s="6" t="s">
        <v>170</v>
      </c>
      <c r="AA3552" s="6" t="s">
        <v>171</v>
      </c>
      <c r="AB3552" s="6">
        <v>0</v>
      </c>
      <c r="AC3552" s="6" t="str">
        <f>""</f>
        <v/>
      </c>
      <c r="AS3552" s="6">
        <v>0</v>
      </c>
      <c r="AT3552" s="6">
        <v>0</v>
      </c>
    </row>
    <row r="3553" spans="2:46">
      <c r="B3553" s="6" t="s">
        <v>13899</v>
      </c>
      <c r="D3553" s="6" t="s">
        <v>13131</v>
      </c>
      <c r="F3553" s="6" t="s">
        <v>14660</v>
      </c>
      <c r="G3553" s="6" t="str">
        <f>"3176324101099206"</f>
        <v>3176324101099206</v>
      </c>
      <c r="H3553" s="6">
        <v>3176324101099200</v>
      </c>
      <c r="I3553" s="6" t="s">
        <v>14661</v>
      </c>
      <c r="J3553" s="6" t="str">
        <f>"17ss stone washing black denim pants"</f>
        <v>17ss stone washing black denim pants</v>
      </c>
      <c r="K3553" s="6">
        <v>0</v>
      </c>
      <c r="L3553" s="6">
        <v>0</v>
      </c>
      <c r="M3553" s="6">
        <v>0</v>
      </c>
      <c r="N3553" s="6" t="str">
        <f>""</f>
        <v/>
      </c>
      <c r="O3553" s="6">
        <v>22887</v>
      </c>
      <c r="P3553" s="6" t="s">
        <v>14662</v>
      </c>
      <c r="R3553" s="6" t="s">
        <v>9721</v>
      </c>
      <c r="S3553" s="6" t="s">
        <v>14663</v>
      </c>
      <c r="T3553" s="6">
        <v>0</v>
      </c>
      <c r="U3553" s="6">
        <v>0</v>
      </c>
      <c r="V3553" s="6">
        <v>0</v>
      </c>
      <c r="W3553" s="6">
        <v>0</v>
      </c>
      <c r="X3553" s="6" t="s">
        <v>169</v>
      </c>
      <c r="Z3553" s="6" t="s">
        <v>170</v>
      </c>
      <c r="AA3553" s="6" t="s">
        <v>171</v>
      </c>
      <c r="AB3553" s="6">
        <v>0</v>
      </c>
      <c r="AC3553" s="6" t="str">
        <f>""</f>
        <v/>
      </c>
      <c r="AS3553" s="6">
        <v>0</v>
      </c>
      <c r="AT3553" s="6">
        <v>0</v>
      </c>
    </row>
    <row r="3554" spans="2:46">
      <c r="B3554" s="6" t="s">
        <v>13899</v>
      </c>
      <c r="D3554" s="6" t="s">
        <v>13131</v>
      </c>
      <c r="F3554" s="6" t="s">
        <v>14664</v>
      </c>
      <c r="G3554" s="6" t="str">
        <f>"3176324101099205"</f>
        <v>3176324101099205</v>
      </c>
      <c r="H3554" s="6">
        <v>3176324101099200</v>
      </c>
      <c r="I3554" s="6" t="s">
        <v>14661</v>
      </c>
      <c r="J3554" s="6" t="str">
        <f>"17ss stone washing black denim pants"</f>
        <v>17ss stone washing black denim pants</v>
      </c>
      <c r="K3554" s="6">
        <v>0</v>
      </c>
      <c r="L3554" s="6">
        <v>0</v>
      </c>
      <c r="M3554" s="6">
        <v>0</v>
      </c>
      <c r="N3554" s="6" t="str">
        <f>""</f>
        <v/>
      </c>
      <c r="O3554" s="6">
        <v>22886</v>
      </c>
      <c r="P3554" s="6" t="s">
        <v>14665</v>
      </c>
      <c r="R3554" s="6" t="s">
        <v>5106</v>
      </c>
      <c r="S3554" s="6" t="s">
        <v>14666</v>
      </c>
      <c r="T3554" s="6">
        <v>0</v>
      </c>
      <c r="U3554" s="6">
        <v>0</v>
      </c>
      <c r="V3554" s="6">
        <v>0</v>
      </c>
      <c r="W3554" s="6">
        <v>0</v>
      </c>
      <c r="X3554" s="6" t="s">
        <v>169</v>
      </c>
      <c r="Z3554" s="6" t="s">
        <v>170</v>
      </c>
      <c r="AA3554" s="6" t="s">
        <v>171</v>
      </c>
      <c r="AB3554" s="6">
        <v>0</v>
      </c>
      <c r="AC3554" s="6" t="str">
        <f>""</f>
        <v/>
      </c>
      <c r="AS3554" s="6">
        <v>0</v>
      </c>
      <c r="AT3554" s="6">
        <v>0</v>
      </c>
    </row>
    <row r="3555" spans="2:46">
      <c r="B3555" s="6" t="s">
        <v>13899</v>
      </c>
      <c r="D3555" s="6" t="s">
        <v>13131</v>
      </c>
      <c r="F3555" s="6" t="s">
        <v>14667</v>
      </c>
      <c r="G3555" s="6" t="str">
        <f>"3176324101099204"</f>
        <v>3176324101099204</v>
      </c>
      <c r="H3555" s="6">
        <v>3176324101099200</v>
      </c>
      <c r="I3555" s="6" t="s">
        <v>14661</v>
      </c>
      <c r="J3555" s="6" t="str">
        <f>"17ss stone washing black denim pants"</f>
        <v>17ss stone washing black denim pants</v>
      </c>
      <c r="K3555" s="6">
        <v>0</v>
      </c>
      <c r="L3555" s="6">
        <v>0</v>
      </c>
      <c r="M3555" s="6">
        <v>0</v>
      </c>
      <c r="N3555" s="6" t="str">
        <f>""</f>
        <v/>
      </c>
      <c r="O3555" s="6">
        <v>22885</v>
      </c>
      <c r="P3555" s="6" t="s">
        <v>14668</v>
      </c>
      <c r="R3555" s="6" t="s">
        <v>601</v>
      </c>
      <c r="S3555" s="6" t="s">
        <v>14669</v>
      </c>
      <c r="T3555" s="6">
        <v>0</v>
      </c>
      <c r="U3555" s="6">
        <v>0</v>
      </c>
      <c r="V3555" s="6">
        <v>0</v>
      </c>
      <c r="W3555" s="6">
        <v>0</v>
      </c>
      <c r="X3555" s="6" t="s">
        <v>169</v>
      </c>
      <c r="Z3555" s="6" t="s">
        <v>170</v>
      </c>
      <c r="AA3555" s="6" t="s">
        <v>171</v>
      </c>
      <c r="AB3555" s="6">
        <v>0</v>
      </c>
      <c r="AC3555" s="6" t="str">
        <f>""</f>
        <v/>
      </c>
      <c r="AS3555" s="6">
        <v>0</v>
      </c>
      <c r="AT3555" s="6">
        <v>0</v>
      </c>
    </row>
    <row r="3556" spans="2:46">
      <c r="B3556" s="6" t="s">
        <v>13899</v>
      </c>
      <c r="D3556" s="6" t="s">
        <v>13131</v>
      </c>
      <c r="F3556" s="6" t="s">
        <v>14670</v>
      </c>
      <c r="G3556" s="6" t="str">
        <f>"3176324101099203"</f>
        <v>3176324101099203</v>
      </c>
      <c r="H3556" s="6">
        <v>3176324101099200</v>
      </c>
      <c r="I3556" s="6" t="s">
        <v>14661</v>
      </c>
      <c r="J3556" s="6" t="str">
        <f>"17ss stone washing black denim pants"</f>
        <v>17ss stone washing black denim pants</v>
      </c>
      <c r="K3556" s="6">
        <v>0</v>
      </c>
      <c r="L3556" s="6">
        <v>0</v>
      </c>
      <c r="M3556" s="6">
        <v>0</v>
      </c>
      <c r="N3556" s="6" t="str">
        <f>""</f>
        <v/>
      </c>
      <c r="O3556" s="6">
        <v>22884</v>
      </c>
      <c r="P3556" s="6" t="s">
        <v>14671</v>
      </c>
      <c r="R3556" s="6" t="s">
        <v>606</v>
      </c>
      <c r="S3556" s="6" t="s">
        <v>14672</v>
      </c>
      <c r="T3556" s="6">
        <v>0</v>
      </c>
      <c r="U3556" s="6">
        <v>0</v>
      </c>
      <c r="V3556" s="6">
        <v>0</v>
      </c>
      <c r="W3556" s="6">
        <v>0</v>
      </c>
      <c r="X3556" s="6" t="s">
        <v>169</v>
      </c>
      <c r="Z3556" s="6" t="s">
        <v>170</v>
      </c>
      <c r="AA3556" s="6" t="s">
        <v>171</v>
      </c>
      <c r="AB3556" s="6">
        <v>0</v>
      </c>
      <c r="AC3556" s="6" t="str">
        <f>""</f>
        <v/>
      </c>
      <c r="AS3556" s="6">
        <v>0</v>
      </c>
      <c r="AT3556" s="6">
        <v>0</v>
      </c>
    </row>
    <row r="3557" spans="2:46">
      <c r="B3557" s="6" t="s">
        <v>13899</v>
      </c>
      <c r="D3557" s="6" t="s">
        <v>13131</v>
      </c>
      <c r="F3557" s="6" t="s">
        <v>14673</v>
      </c>
      <c r="G3557" s="6" t="str">
        <f>"3176342101825204"</f>
        <v>3176342101825204</v>
      </c>
      <c r="H3557" s="6">
        <v>3176342101825200</v>
      </c>
      <c r="I3557" s="6" t="s">
        <v>14674</v>
      </c>
      <c r="J3557" s="6" t="str">
        <f>"17ss stone washing denim short pants"</f>
        <v>17ss stone washing denim short pants</v>
      </c>
      <c r="K3557" s="6">
        <v>0</v>
      </c>
      <c r="L3557" s="6">
        <v>0</v>
      </c>
      <c r="M3557" s="6">
        <v>0</v>
      </c>
      <c r="N3557" s="6" t="str">
        <f>""</f>
        <v/>
      </c>
      <c r="O3557" s="6">
        <v>22882</v>
      </c>
      <c r="P3557" s="6" t="s">
        <v>14675</v>
      </c>
      <c r="R3557" s="6" t="s">
        <v>5340</v>
      </c>
      <c r="S3557" s="6" t="s">
        <v>14676</v>
      </c>
      <c r="T3557" s="6">
        <v>0</v>
      </c>
      <c r="U3557" s="6">
        <v>0</v>
      </c>
      <c r="V3557" s="6">
        <v>0</v>
      </c>
      <c r="W3557" s="6">
        <v>0</v>
      </c>
      <c r="X3557" s="6" t="s">
        <v>169</v>
      </c>
      <c r="Z3557" s="6" t="s">
        <v>170</v>
      </c>
      <c r="AA3557" s="6" t="s">
        <v>171</v>
      </c>
      <c r="AB3557" s="6">
        <v>0</v>
      </c>
      <c r="AC3557" s="6" t="str">
        <f>""</f>
        <v/>
      </c>
      <c r="AS3557" s="6">
        <v>0</v>
      </c>
      <c r="AT3557" s="6">
        <v>0</v>
      </c>
    </row>
    <row r="3558" spans="2:46">
      <c r="B3558" s="6" t="s">
        <v>13899</v>
      </c>
      <c r="D3558" s="6" t="s">
        <v>13131</v>
      </c>
      <c r="F3558" s="6" t="s">
        <v>14677</v>
      </c>
      <c r="G3558" s="6" t="str">
        <f>"3176342101825203"</f>
        <v>3176342101825203</v>
      </c>
      <c r="H3558" s="6">
        <v>3176342101825200</v>
      </c>
      <c r="I3558" s="6" t="s">
        <v>14674</v>
      </c>
      <c r="J3558" s="6" t="str">
        <f>"17ss stone washing denim short pants"</f>
        <v>17ss stone washing denim short pants</v>
      </c>
      <c r="K3558" s="6">
        <v>0</v>
      </c>
      <c r="L3558" s="6">
        <v>0</v>
      </c>
      <c r="M3558" s="6">
        <v>0</v>
      </c>
      <c r="N3558" s="6" t="str">
        <f>""</f>
        <v/>
      </c>
      <c r="O3558" s="6">
        <v>22881</v>
      </c>
      <c r="P3558" s="6" t="s">
        <v>14678</v>
      </c>
      <c r="R3558" s="6" t="s">
        <v>5279</v>
      </c>
      <c r="S3558" s="6" t="s">
        <v>14679</v>
      </c>
      <c r="T3558" s="6">
        <v>0</v>
      </c>
      <c r="U3558" s="6">
        <v>0</v>
      </c>
      <c r="V3558" s="6">
        <v>0</v>
      </c>
      <c r="W3558" s="6">
        <v>0</v>
      </c>
      <c r="X3558" s="6" t="s">
        <v>169</v>
      </c>
      <c r="Z3558" s="6" t="s">
        <v>170</v>
      </c>
      <c r="AA3558" s="6" t="s">
        <v>171</v>
      </c>
      <c r="AB3558" s="6">
        <v>0</v>
      </c>
      <c r="AC3558" s="6" t="str">
        <f>""</f>
        <v/>
      </c>
      <c r="AS3558" s="6">
        <v>0</v>
      </c>
      <c r="AT3558" s="6">
        <v>0</v>
      </c>
    </row>
    <row r="3559" spans="2:46">
      <c r="B3559" s="6" t="s">
        <v>13899</v>
      </c>
      <c r="D3559" s="6" t="s">
        <v>13131</v>
      </c>
      <c r="F3559" s="6" t="s">
        <v>14680</v>
      </c>
      <c r="G3559" s="6" t="str">
        <f>"3176332113499204"</f>
        <v>3176332113499204</v>
      </c>
      <c r="H3559" s="6">
        <v>3176332113499200</v>
      </c>
      <c r="I3559" s="6" t="s">
        <v>14681</v>
      </c>
      <c r="J3559" s="6" t="str">
        <f>"17ss stone washing black denim skirt"</f>
        <v>17ss stone washing black denim skirt</v>
      </c>
      <c r="K3559" s="6">
        <v>0</v>
      </c>
      <c r="L3559" s="6">
        <v>0</v>
      </c>
      <c r="M3559" s="6">
        <v>0</v>
      </c>
      <c r="N3559" s="6" t="str">
        <f>""</f>
        <v/>
      </c>
      <c r="O3559" s="6">
        <v>22879</v>
      </c>
      <c r="P3559" s="6" t="s">
        <v>14682</v>
      </c>
      <c r="R3559" s="6" t="s">
        <v>601</v>
      </c>
      <c r="S3559" s="6" t="s">
        <v>14683</v>
      </c>
      <c r="T3559" s="6">
        <v>0</v>
      </c>
      <c r="U3559" s="6">
        <v>0</v>
      </c>
      <c r="V3559" s="6">
        <v>0</v>
      </c>
      <c r="W3559" s="6">
        <v>0</v>
      </c>
      <c r="X3559" s="6" t="s">
        <v>169</v>
      </c>
      <c r="Z3559" s="6" t="s">
        <v>170</v>
      </c>
      <c r="AA3559" s="6" t="s">
        <v>171</v>
      </c>
      <c r="AB3559" s="6">
        <v>0</v>
      </c>
      <c r="AC3559" s="6" t="str">
        <f>""</f>
        <v/>
      </c>
      <c r="AS3559" s="6">
        <v>0</v>
      </c>
      <c r="AT3559" s="6">
        <v>0</v>
      </c>
    </row>
    <row r="3560" spans="2:46">
      <c r="B3560" s="6" t="s">
        <v>13899</v>
      </c>
      <c r="D3560" s="6" t="s">
        <v>13131</v>
      </c>
      <c r="F3560" s="6" t="s">
        <v>14684</v>
      </c>
      <c r="G3560" s="6" t="str">
        <f>"3176332113499203"</f>
        <v>3176332113499203</v>
      </c>
      <c r="H3560" s="6">
        <v>3176332113499200</v>
      </c>
      <c r="I3560" s="6" t="s">
        <v>14681</v>
      </c>
      <c r="J3560" s="6" t="str">
        <f>"17ss stone washing black denim skirt"</f>
        <v>17ss stone washing black denim skirt</v>
      </c>
      <c r="K3560" s="6">
        <v>0</v>
      </c>
      <c r="L3560" s="6">
        <v>0</v>
      </c>
      <c r="M3560" s="6">
        <v>0</v>
      </c>
      <c r="N3560" s="6" t="str">
        <f>""</f>
        <v/>
      </c>
      <c r="O3560" s="6">
        <v>22878</v>
      </c>
      <c r="P3560" s="6" t="s">
        <v>14685</v>
      </c>
      <c r="R3560" s="6" t="s">
        <v>606</v>
      </c>
      <c r="S3560" s="6" t="s">
        <v>14686</v>
      </c>
      <c r="T3560" s="6">
        <v>0</v>
      </c>
      <c r="U3560" s="6">
        <v>0</v>
      </c>
      <c r="V3560" s="6">
        <v>0</v>
      </c>
      <c r="W3560" s="6">
        <v>0</v>
      </c>
      <c r="X3560" s="6" t="s">
        <v>169</v>
      </c>
      <c r="Z3560" s="6" t="s">
        <v>170</v>
      </c>
      <c r="AA3560" s="6" t="s">
        <v>171</v>
      </c>
      <c r="AB3560" s="6">
        <v>0</v>
      </c>
      <c r="AC3560" s="6" t="str">
        <f>""</f>
        <v/>
      </c>
      <c r="AS3560" s="6">
        <v>0</v>
      </c>
      <c r="AT3560" s="6">
        <v>0</v>
      </c>
    </row>
    <row r="3561" spans="2:46">
      <c r="B3561" s="6" t="s">
        <v>13899</v>
      </c>
      <c r="D3561" s="6" t="s">
        <v>13131</v>
      </c>
      <c r="F3561" s="6" t="s">
        <v>14687</v>
      </c>
      <c r="G3561" s="6" t="str">
        <f>"3176332113325204"</f>
        <v>3176332113325204</v>
      </c>
      <c r="H3561" s="6">
        <v>3176332113325200</v>
      </c>
      <c r="I3561" s="6" t="s">
        <v>14688</v>
      </c>
      <c r="J3561" s="6" t="str">
        <f>"17ss stone washing denim skirt"</f>
        <v>17ss stone washing denim skirt</v>
      </c>
      <c r="K3561" s="6">
        <v>0</v>
      </c>
      <c r="L3561" s="6">
        <v>0</v>
      </c>
      <c r="M3561" s="6">
        <v>0</v>
      </c>
      <c r="N3561" s="6" t="str">
        <f>""</f>
        <v/>
      </c>
      <c r="O3561" s="6">
        <v>22876</v>
      </c>
      <c r="P3561" s="6" t="s">
        <v>14689</v>
      </c>
      <c r="R3561" s="6" t="s">
        <v>5340</v>
      </c>
      <c r="S3561" s="6" t="s">
        <v>14690</v>
      </c>
      <c r="T3561" s="6">
        <v>0</v>
      </c>
      <c r="U3561" s="6">
        <v>0</v>
      </c>
      <c r="V3561" s="6">
        <v>0</v>
      </c>
      <c r="W3561" s="6">
        <v>0</v>
      </c>
      <c r="X3561" s="6" t="s">
        <v>169</v>
      </c>
      <c r="Z3561" s="6" t="s">
        <v>170</v>
      </c>
      <c r="AA3561" s="6" t="s">
        <v>171</v>
      </c>
      <c r="AB3561" s="6">
        <v>0</v>
      </c>
      <c r="AC3561" s="6" t="str">
        <f>""</f>
        <v/>
      </c>
      <c r="AS3561" s="6">
        <v>0</v>
      </c>
      <c r="AT3561" s="6">
        <v>0</v>
      </c>
    </row>
    <row r="3562" spans="2:46">
      <c r="B3562" s="6" t="s">
        <v>13899</v>
      </c>
      <c r="D3562" s="6" t="s">
        <v>13131</v>
      </c>
      <c r="F3562" s="6" t="s">
        <v>14691</v>
      </c>
      <c r="G3562" s="6" t="str">
        <f>"3176332113325203"</f>
        <v>3176332113325203</v>
      </c>
      <c r="H3562" s="6">
        <v>3176332113325200</v>
      </c>
      <c r="I3562" s="6" t="s">
        <v>14688</v>
      </c>
      <c r="J3562" s="6" t="str">
        <f>"17ss stone washing denim skirt"</f>
        <v>17ss stone washing denim skirt</v>
      </c>
      <c r="K3562" s="6">
        <v>0</v>
      </c>
      <c r="L3562" s="6">
        <v>0</v>
      </c>
      <c r="M3562" s="6">
        <v>0</v>
      </c>
      <c r="N3562" s="6" t="str">
        <f>""</f>
        <v/>
      </c>
      <c r="O3562" s="6">
        <v>22875</v>
      </c>
      <c r="P3562" s="6" t="s">
        <v>14692</v>
      </c>
      <c r="R3562" s="6" t="s">
        <v>5279</v>
      </c>
      <c r="S3562" s="6" t="s">
        <v>14693</v>
      </c>
      <c r="T3562" s="6">
        <v>0</v>
      </c>
      <c r="U3562" s="6">
        <v>0</v>
      </c>
      <c r="V3562" s="6">
        <v>0</v>
      </c>
      <c r="W3562" s="6">
        <v>0</v>
      </c>
      <c r="X3562" s="6" t="s">
        <v>169</v>
      </c>
      <c r="Z3562" s="6" t="s">
        <v>170</v>
      </c>
      <c r="AA3562" s="6" t="s">
        <v>171</v>
      </c>
      <c r="AB3562" s="6">
        <v>0</v>
      </c>
      <c r="AC3562" s="6" t="str">
        <f>""</f>
        <v/>
      </c>
      <c r="AS3562" s="6">
        <v>0</v>
      </c>
      <c r="AT3562" s="6">
        <v>0</v>
      </c>
    </row>
    <row r="3563" spans="2:46">
      <c r="B3563" s="6" t="s">
        <v>13899</v>
      </c>
      <c r="D3563" s="6" t="s">
        <v>13131</v>
      </c>
      <c r="F3563" s="6" t="s">
        <v>14694</v>
      </c>
      <c r="G3563" s="6" t="str">
        <f>"3176134115725205"</f>
        <v>3176134115725205</v>
      </c>
      <c r="H3563" s="6">
        <v>3176134115725200</v>
      </c>
      <c r="I3563" s="6" t="s">
        <v>14695</v>
      </c>
      <c r="J3563" s="6" t="str">
        <f>"17ss denim trucker jacket"</f>
        <v>17ss denim trucker jacket</v>
      </c>
      <c r="K3563" s="6">
        <v>0</v>
      </c>
      <c r="L3563" s="6">
        <v>0</v>
      </c>
      <c r="M3563" s="6">
        <v>0</v>
      </c>
      <c r="N3563" s="6" t="str">
        <f>""</f>
        <v/>
      </c>
      <c r="O3563" s="6">
        <v>22873</v>
      </c>
      <c r="P3563" s="6" t="s">
        <v>14696</v>
      </c>
      <c r="R3563" s="6" t="s">
        <v>5275</v>
      </c>
      <c r="S3563" s="6" t="s">
        <v>14697</v>
      </c>
      <c r="T3563" s="6">
        <v>0</v>
      </c>
      <c r="U3563" s="6">
        <v>0</v>
      </c>
      <c r="V3563" s="6">
        <v>0</v>
      </c>
      <c r="W3563" s="6">
        <v>0</v>
      </c>
      <c r="X3563" s="6" t="s">
        <v>169</v>
      </c>
      <c r="Z3563" s="6" t="s">
        <v>170</v>
      </c>
      <c r="AA3563" s="6" t="s">
        <v>171</v>
      </c>
      <c r="AB3563" s="6">
        <v>0</v>
      </c>
      <c r="AC3563" s="6" t="str">
        <f>""</f>
        <v/>
      </c>
      <c r="AS3563" s="6">
        <v>0</v>
      </c>
      <c r="AT3563" s="6">
        <v>0</v>
      </c>
    </row>
    <row r="3564" spans="2:46">
      <c r="B3564" s="6" t="s">
        <v>13899</v>
      </c>
      <c r="D3564" s="6" t="s">
        <v>13131</v>
      </c>
      <c r="F3564" s="6" t="s">
        <v>14698</v>
      </c>
      <c r="G3564" s="6" t="str">
        <f>"3176134115725204"</f>
        <v>3176134115725204</v>
      </c>
      <c r="H3564" s="6">
        <v>3176134115725200</v>
      </c>
      <c r="I3564" s="6" t="s">
        <v>14695</v>
      </c>
      <c r="J3564" s="6" t="str">
        <f>"17ss denim trucker jacket"</f>
        <v>17ss denim trucker jacket</v>
      </c>
      <c r="K3564" s="6">
        <v>0</v>
      </c>
      <c r="L3564" s="6">
        <v>0</v>
      </c>
      <c r="M3564" s="6">
        <v>0</v>
      </c>
      <c r="N3564" s="6" t="str">
        <f>""</f>
        <v/>
      </c>
      <c r="O3564" s="6">
        <v>22872</v>
      </c>
      <c r="P3564" s="6" t="s">
        <v>14699</v>
      </c>
      <c r="R3564" s="6" t="s">
        <v>5340</v>
      </c>
      <c r="S3564" s="6" t="s">
        <v>14700</v>
      </c>
      <c r="T3564" s="6">
        <v>0</v>
      </c>
      <c r="U3564" s="6">
        <v>0</v>
      </c>
      <c r="V3564" s="6">
        <v>0</v>
      </c>
      <c r="W3564" s="6">
        <v>0</v>
      </c>
      <c r="X3564" s="6" t="s">
        <v>169</v>
      </c>
      <c r="Z3564" s="6" t="s">
        <v>170</v>
      </c>
      <c r="AA3564" s="6" t="s">
        <v>171</v>
      </c>
      <c r="AB3564" s="6">
        <v>0</v>
      </c>
      <c r="AC3564" s="6" t="str">
        <f>""</f>
        <v/>
      </c>
      <c r="AS3564" s="6">
        <v>0</v>
      </c>
      <c r="AT3564" s="6">
        <v>0</v>
      </c>
    </row>
    <row r="3565" spans="2:46">
      <c r="B3565" s="6" t="s">
        <v>13899</v>
      </c>
      <c r="D3565" s="6" t="s">
        <v>13131</v>
      </c>
      <c r="F3565" s="6" t="s">
        <v>14701</v>
      </c>
      <c r="G3565" s="6" t="str">
        <f>"3167114117200205"</f>
        <v>3167114117200205</v>
      </c>
      <c r="H3565" s="6">
        <v>3167114117200200</v>
      </c>
      <c r="I3565" s="6" t="s">
        <v>14702</v>
      </c>
      <c r="J3565" s="6" t="str">
        <f>"VG long coat new herringbone"</f>
        <v>VG long coat new herringbone</v>
      </c>
      <c r="K3565" s="6">
        <v>0</v>
      </c>
      <c r="L3565" s="6">
        <v>0</v>
      </c>
      <c r="M3565" s="6">
        <v>0</v>
      </c>
      <c r="N3565" s="6" t="str">
        <f>""</f>
        <v/>
      </c>
      <c r="O3565" s="6">
        <v>22870</v>
      </c>
      <c r="P3565" s="6" t="s">
        <v>14703</v>
      </c>
      <c r="R3565" s="6" t="s">
        <v>14704</v>
      </c>
      <c r="S3565" s="6" t="s">
        <v>14705</v>
      </c>
      <c r="T3565" s="6">
        <v>0</v>
      </c>
      <c r="U3565" s="6">
        <v>0</v>
      </c>
      <c r="V3565" s="6">
        <v>0</v>
      </c>
      <c r="W3565" s="6">
        <v>0</v>
      </c>
      <c r="X3565" s="6" t="s">
        <v>169</v>
      </c>
      <c r="Z3565" s="6" t="s">
        <v>170</v>
      </c>
      <c r="AA3565" s="6" t="s">
        <v>171</v>
      </c>
      <c r="AB3565" s="6">
        <v>0</v>
      </c>
      <c r="AC3565" s="6" t="str">
        <f>""</f>
        <v/>
      </c>
      <c r="AS3565" s="6">
        <v>0</v>
      </c>
      <c r="AT3565" s="6">
        <v>0</v>
      </c>
    </row>
    <row r="3566" spans="2:46">
      <c r="B3566" s="6" t="s">
        <v>13899</v>
      </c>
      <c r="D3566" s="6" t="s">
        <v>13131</v>
      </c>
      <c r="F3566" s="6" t="s">
        <v>14706</v>
      </c>
      <c r="G3566" s="6" t="str">
        <f>"3167114117200204"</f>
        <v>3167114117200204</v>
      </c>
      <c r="H3566" s="6">
        <v>3167114117200200</v>
      </c>
      <c r="I3566" s="6" t="s">
        <v>14702</v>
      </c>
      <c r="J3566" s="6" t="str">
        <f>"VG long coat new herringbone"</f>
        <v>VG long coat new herringbone</v>
      </c>
      <c r="K3566" s="6">
        <v>0</v>
      </c>
      <c r="L3566" s="6">
        <v>0</v>
      </c>
      <c r="M3566" s="6">
        <v>0</v>
      </c>
      <c r="N3566" s="6" t="str">
        <f>""</f>
        <v/>
      </c>
      <c r="O3566" s="6">
        <v>22869</v>
      </c>
      <c r="P3566" s="6" t="s">
        <v>14707</v>
      </c>
      <c r="R3566" s="6" t="s">
        <v>14708</v>
      </c>
      <c r="S3566" s="6" t="s">
        <v>14709</v>
      </c>
      <c r="T3566" s="6">
        <v>0</v>
      </c>
      <c r="U3566" s="6">
        <v>0</v>
      </c>
      <c r="V3566" s="6">
        <v>0</v>
      </c>
      <c r="W3566" s="6">
        <v>0</v>
      </c>
      <c r="X3566" s="6" t="s">
        <v>169</v>
      </c>
      <c r="Z3566" s="6" t="s">
        <v>170</v>
      </c>
      <c r="AA3566" s="6" t="s">
        <v>171</v>
      </c>
      <c r="AB3566" s="6">
        <v>0</v>
      </c>
      <c r="AC3566" s="6" t="str">
        <f>""</f>
        <v/>
      </c>
      <c r="AS3566" s="6">
        <v>0</v>
      </c>
      <c r="AT3566" s="6">
        <v>0</v>
      </c>
    </row>
    <row r="3567" spans="2:46">
      <c r="B3567" s="6" t="s">
        <v>13899</v>
      </c>
      <c r="D3567" s="6" t="s">
        <v>13131</v>
      </c>
      <c r="F3567" s="6" t="s">
        <v>14710</v>
      </c>
      <c r="G3567" s="6" t="str">
        <f>"16F0235L"</f>
        <v>16F0235L</v>
      </c>
      <c r="H3567" s="6" t="s">
        <v>14711</v>
      </c>
      <c r="I3567" s="6" t="s">
        <v>14712</v>
      </c>
      <c r="J3567" s="6" t="str">
        <f>"VG ring turtleneck knitwear black"</f>
        <v>VG ring turtleneck knitwear black</v>
      </c>
      <c r="K3567" s="6">
        <v>0</v>
      </c>
      <c r="L3567" s="6">
        <v>0</v>
      </c>
      <c r="M3567" s="6">
        <v>0</v>
      </c>
      <c r="N3567" s="6" t="str">
        <f>""</f>
        <v/>
      </c>
      <c r="O3567" s="6">
        <v>22867</v>
      </c>
      <c r="P3567" s="6" t="s">
        <v>14711</v>
      </c>
      <c r="R3567" s="6" t="s">
        <v>5730</v>
      </c>
      <c r="S3567" s="6" t="s">
        <v>14713</v>
      </c>
      <c r="T3567" s="6">
        <v>0</v>
      </c>
      <c r="U3567" s="6">
        <v>0</v>
      </c>
      <c r="V3567" s="6">
        <v>0</v>
      </c>
      <c r="W3567" s="6">
        <v>0</v>
      </c>
      <c r="X3567" s="6" t="s">
        <v>169</v>
      </c>
      <c r="Z3567" s="6" t="s">
        <v>170</v>
      </c>
      <c r="AA3567" s="6" t="s">
        <v>171</v>
      </c>
      <c r="AB3567" s="6">
        <v>0</v>
      </c>
      <c r="AC3567" s="6" t="str">
        <f>""</f>
        <v/>
      </c>
      <c r="AS3567" s="6">
        <v>0</v>
      </c>
      <c r="AT3567" s="6">
        <v>0</v>
      </c>
    </row>
    <row r="3568" spans="2:46">
      <c r="B3568" s="6" t="s">
        <v>13899</v>
      </c>
      <c r="D3568" s="6" t="s">
        <v>13131</v>
      </c>
      <c r="F3568" s="6" t="s">
        <v>14714</v>
      </c>
      <c r="G3568" s="6" t="str">
        <f>"16F0234L"</f>
        <v>16F0234L</v>
      </c>
      <c r="H3568" s="6" t="s">
        <v>14715</v>
      </c>
      <c r="I3568" s="6" t="s">
        <v>14716</v>
      </c>
      <c r="J3568" s="6" t="str">
        <f>"VG ring turtleneck knitwear ivory"</f>
        <v>VG ring turtleneck knitwear ivory</v>
      </c>
      <c r="K3568" s="6">
        <v>0</v>
      </c>
      <c r="L3568" s="6">
        <v>0</v>
      </c>
      <c r="M3568" s="6">
        <v>0</v>
      </c>
      <c r="N3568" s="6" t="str">
        <f>""</f>
        <v/>
      </c>
      <c r="O3568" s="6">
        <v>22865</v>
      </c>
      <c r="P3568" s="6" t="s">
        <v>14715</v>
      </c>
      <c r="R3568" s="6" t="s">
        <v>10045</v>
      </c>
      <c r="S3568" s="6" t="s">
        <v>14717</v>
      </c>
      <c r="T3568" s="6">
        <v>0</v>
      </c>
      <c r="U3568" s="6">
        <v>0</v>
      </c>
      <c r="V3568" s="6">
        <v>0</v>
      </c>
      <c r="W3568" s="6">
        <v>0</v>
      </c>
      <c r="X3568" s="6" t="s">
        <v>169</v>
      </c>
      <c r="Z3568" s="6" t="s">
        <v>170</v>
      </c>
      <c r="AA3568" s="6" t="s">
        <v>171</v>
      </c>
      <c r="AB3568" s="6">
        <v>0</v>
      </c>
      <c r="AC3568" s="6" t="str">
        <f>""</f>
        <v/>
      </c>
      <c r="AS3568" s="6">
        <v>0</v>
      </c>
      <c r="AT3568" s="6">
        <v>0</v>
      </c>
    </row>
    <row r="3569" spans="2:46">
      <c r="B3569" s="6" t="s">
        <v>13899</v>
      </c>
      <c r="D3569" s="6" t="s">
        <v>13131</v>
      </c>
      <c r="F3569" s="6" t="s">
        <v>14718</v>
      </c>
      <c r="G3569" s="6" t="str">
        <f>"16F0233PK"</f>
        <v>16F0233PK</v>
      </c>
      <c r="H3569" s="6" t="s">
        <v>14719</v>
      </c>
      <c r="I3569" s="6" t="s">
        <v>14720</v>
      </c>
      <c r="J3569" s="6" t="str">
        <f>"VG beanie pink"</f>
        <v>VG beanie pink</v>
      </c>
      <c r="K3569" s="6">
        <v>0</v>
      </c>
      <c r="L3569" s="6">
        <v>0</v>
      </c>
      <c r="M3569" s="6">
        <v>0</v>
      </c>
      <c r="N3569" s="6" t="str">
        <f>""</f>
        <v/>
      </c>
      <c r="O3569" s="6">
        <v>22863</v>
      </c>
      <c r="P3569" s="6" t="s">
        <v>14719</v>
      </c>
      <c r="R3569" s="6" t="s">
        <v>230</v>
      </c>
      <c r="S3569" s="6" t="s">
        <v>14721</v>
      </c>
      <c r="T3569" s="6">
        <v>0</v>
      </c>
      <c r="U3569" s="6">
        <v>0</v>
      </c>
      <c r="V3569" s="6">
        <v>0</v>
      </c>
      <c r="W3569" s="6">
        <v>0</v>
      </c>
      <c r="X3569" s="6" t="s">
        <v>169</v>
      </c>
      <c r="Z3569" s="6" t="s">
        <v>170</v>
      </c>
      <c r="AA3569" s="6" t="s">
        <v>171</v>
      </c>
      <c r="AB3569" s="6">
        <v>0</v>
      </c>
      <c r="AC3569" s="6" t="str">
        <f>""</f>
        <v/>
      </c>
      <c r="AS3569" s="6">
        <v>0</v>
      </c>
      <c r="AT3569" s="6">
        <v>0</v>
      </c>
    </row>
    <row r="3570" spans="2:46">
      <c r="B3570" s="6" t="s">
        <v>13899</v>
      </c>
      <c r="D3570" s="6" t="s">
        <v>13131</v>
      </c>
      <c r="F3570" s="6" t="s">
        <v>14722</v>
      </c>
      <c r="G3570" s="6" t="str">
        <f>"16F0233WN"</f>
        <v>16F0233WN</v>
      </c>
      <c r="H3570" s="6" t="s">
        <v>14723</v>
      </c>
      <c r="I3570" s="6" t="s">
        <v>14724</v>
      </c>
      <c r="J3570" s="6" t="str">
        <f>"VG beanie wine"</f>
        <v>VG beanie wine</v>
      </c>
      <c r="K3570" s="6">
        <v>0</v>
      </c>
      <c r="L3570" s="6">
        <v>0</v>
      </c>
      <c r="M3570" s="6">
        <v>0</v>
      </c>
      <c r="N3570" s="6" t="str">
        <f>""</f>
        <v/>
      </c>
      <c r="O3570" s="6">
        <v>22861</v>
      </c>
      <c r="P3570" s="6" t="s">
        <v>14723</v>
      </c>
      <c r="R3570" s="6" t="s">
        <v>14725</v>
      </c>
      <c r="S3570" s="6" t="s">
        <v>14726</v>
      </c>
      <c r="T3570" s="6">
        <v>0</v>
      </c>
      <c r="U3570" s="6">
        <v>0</v>
      </c>
      <c r="V3570" s="6">
        <v>0</v>
      </c>
      <c r="W3570" s="6">
        <v>0</v>
      </c>
      <c r="X3570" s="6" t="s">
        <v>169</v>
      </c>
      <c r="Z3570" s="6" t="s">
        <v>170</v>
      </c>
      <c r="AA3570" s="6" t="s">
        <v>171</v>
      </c>
      <c r="AB3570" s="6">
        <v>0</v>
      </c>
      <c r="AC3570" s="6" t="str">
        <f>""</f>
        <v/>
      </c>
      <c r="AS3570" s="6">
        <v>0</v>
      </c>
      <c r="AT3570" s="6">
        <v>0</v>
      </c>
    </row>
    <row r="3571" spans="2:46">
      <c r="B3571" s="6" t="s">
        <v>13899</v>
      </c>
      <c r="D3571" s="6" t="s">
        <v>13131</v>
      </c>
      <c r="F3571" s="6" t="s">
        <v>14727</v>
      </c>
      <c r="G3571" s="6" t="str">
        <f>"3167524220462120"</f>
        <v>3167524220462120</v>
      </c>
      <c r="H3571" s="6">
        <v>3167524220462120</v>
      </c>
      <c r="I3571" s="6" t="s">
        <v>14728</v>
      </c>
      <c r="J3571" s="6" t="str">
        <f>"VG beanie orange"</f>
        <v>VG beanie orange</v>
      </c>
      <c r="K3571" s="6">
        <v>0</v>
      </c>
      <c r="L3571" s="6">
        <v>0</v>
      </c>
      <c r="M3571" s="6">
        <v>0</v>
      </c>
      <c r="N3571" s="6" t="str">
        <f>""</f>
        <v/>
      </c>
      <c r="O3571" s="6">
        <v>22859</v>
      </c>
      <c r="P3571" s="6" t="s">
        <v>14729</v>
      </c>
      <c r="R3571" s="6" t="s">
        <v>277</v>
      </c>
      <c r="S3571" s="6" t="s">
        <v>14730</v>
      </c>
      <c r="T3571" s="6">
        <v>0</v>
      </c>
      <c r="U3571" s="6">
        <v>0</v>
      </c>
      <c r="V3571" s="6">
        <v>0</v>
      </c>
      <c r="W3571" s="6">
        <v>0</v>
      </c>
      <c r="X3571" s="6" t="s">
        <v>169</v>
      </c>
      <c r="Z3571" s="6" t="s">
        <v>170</v>
      </c>
      <c r="AA3571" s="6" t="s">
        <v>171</v>
      </c>
      <c r="AB3571" s="6">
        <v>0</v>
      </c>
      <c r="AC3571" s="6" t="str">
        <f>""</f>
        <v/>
      </c>
      <c r="AS3571" s="6">
        <v>0</v>
      </c>
      <c r="AT3571" s="6">
        <v>0</v>
      </c>
    </row>
    <row r="3572" spans="2:46">
      <c r="B3572" s="6" t="s">
        <v>13899</v>
      </c>
      <c r="D3572" s="6" t="s">
        <v>13131</v>
      </c>
      <c r="F3572" s="6" t="s">
        <v>14731</v>
      </c>
      <c r="G3572" s="6" t="str">
        <f>"3167114117199205"</f>
        <v>3167114117199205</v>
      </c>
      <c r="H3572" s="6">
        <v>3167114117199200</v>
      </c>
      <c r="I3572" s="6" t="s">
        <v>14732</v>
      </c>
      <c r="J3572" s="6" t="str">
        <f>"VG long coat black"</f>
        <v>VG long coat black</v>
      </c>
      <c r="K3572" s="6">
        <v>0</v>
      </c>
      <c r="L3572" s="6">
        <v>0</v>
      </c>
      <c r="M3572" s="6">
        <v>0</v>
      </c>
      <c r="N3572" s="6" t="str">
        <f>""</f>
        <v/>
      </c>
      <c r="O3572" s="6">
        <v>22857</v>
      </c>
      <c r="P3572" s="6" t="s">
        <v>14733</v>
      </c>
      <c r="R3572" s="6" t="s">
        <v>5730</v>
      </c>
      <c r="S3572" s="6" t="s">
        <v>14734</v>
      </c>
      <c r="T3572" s="6">
        <v>0</v>
      </c>
      <c r="U3572" s="6">
        <v>0</v>
      </c>
      <c r="V3572" s="6">
        <v>0</v>
      </c>
      <c r="W3572" s="6">
        <v>0</v>
      </c>
      <c r="X3572" s="6" t="s">
        <v>169</v>
      </c>
      <c r="Z3572" s="6" t="s">
        <v>170</v>
      </c>
      <c r="AA3572" s="6" t="s">
        <v>171</v>
      </c>
      <c r="AB3572" s="6">
        <v>0</v>
      </c>
      <c r="AC3572" s="6" t="str">
        <f>""</f>
        <v/>
      </c>
      <c r="AS3572" s="6">
        <v>0</v>
      </c>
      <c r="AT3572" s="6">
        <v>0</v>
      </c>
    </row>
    <row r="3573" spans="2:46">
      <c r="B3573" s="6" t="s">
        <v>13899</v>
      </c>
      <c r="D3573" s="6" t="s">
        <v>13131</v>
      </c>
      <c r="F3573" s="6" t="s">
        <v>14735</v>
      </c>
      <c r="G3573" s="6" t="str">
        <f>"3167114117199204"</f>
        <v>3167114117199204</v>
      </c>
      <c r="H3573" s="6">
        <v>3167114117199200</v>
      </c>
      <c r="I3573" s="6" t="s">
        <v>14732</v>
      </c>
      <c r="J3573" s="6" t="str">
        <f>"VG long coat black"</f>
        <v>VG long coat black</v>
      </c>
      <c r="K3573" s="6">
        <v>0</v>
      </c>
      <c r="L3573" s="6">
        <v>0</v>
      </c>
      <c r="M3573" s="6">
        <v>0</v>
      </c>
      <c r="N3573" s="6" t="str">
        <f>""</f>
        <v/>
      </c>
      <c r="O3573" s="6">
        <v>22856</v>
      </c>
      <c r="P3573" s="6" t="s">
        <v>14736</v>
      </c>
      <c r="R3573" s="6" t="s">
        <v>188</v>
      </c>
      <c r="S3573" s="6" t="s">
        <v>14737</v>
      </c>
      <c r="T3573" s="6">
        <v>0</v>
      </c>
      <c r="U3573" s="6">
        <v>0</v>
      </c>
      <c r="V3573" s="6">
        <v>0</v>
      </c>
      <c r="W3573" s="6">
        <v>0</v>
      </c>
      <c r="X3573" s="6" t="s">
        <v>169</v>
      </c>
      <c r="Z3573" s="6" t="s">
        <v>170</v>
      </c>
      <c r="AA3573" s="6" t="s">
        <v>171</v>
      </c>
      <c r="AB3573" s="6">
        <v>0</v>
      </c>
      <c r="AC3573" s="6" t="str">
        <f>""</f>
        <v/>
      </c>
      <c r="AS3573" s="6">
        <v>0</v>
      </c>
      <c r="AT3573" s="6">
        <v>0</v>
      </c>
    </row>
    <row r="3574" spans="2:46">
      <c r="B3574" s="6" t="s">
        <v>13899</v>
      </c>
      <c r="D3574" s="6" t="s">
        <v>13131</v>
      </c>
      <c r="F3574" s="6" t="s">
        <v>14738</v>
      </c>
      <c r="G3574" s="6" t="str">
        <f>"3167252115030204"</f>
        <v>3167252115030204</v>
      </c>
      <c r="H3574" s="6">
        <v>3167252115030200</v>
      </c>
      <c r="I3574" s="6" t="s">
        <v>14739</v>
      </c>
      <c r="J3574" s="6" t="str">
        <f>"VG glitter one-piece (+belt)"</f>
        <v>VG glitter one-piece (+belt)</v>
      </c>
      <c r="K3574" s="6">
        <v>0</v>
      </c>
      <c r="L3574" s="6">
        <v>0</v>
      </c>
      <c r="M3574" s="6">
        <v>0</v>
      </c>
      <c r="N3574" s="6" t="str">
        <f>""</f>
        <v/>
      </c>
      <c r="O3574" s="6">
        <v>22854</v>
      </c>
      <c r="P3574" s="6" t="s">
        <v>14740</v>
      </c>
      <c r="R3574" s="6" t="s">
        <v>14741</v>
      </c>
      <c r="S3574" s="6" t="s">
        <v>14742</v>
      </c>
      <c r="T3574" s="6">
        <v>0</v>
      </c>
      <c r="U3574" s="6">
        <v>0</v>
      </c>
      <c r="V3574" s="6">
        <v>0</v>
      </c>
      <c r="W3574" s="6">
        <v>0</v>
      </c>
      <c r="X3574" s="6" t="s">
        <v>169</v>
      </c>
      <c r="Z3574" s="6" t="s">
        <v>170</v>
      </c>
      <c r="AA3574" s="6" t="s">
        <v>171</v>
      </c>
      <c r="AB3574" s="6">
        <v>0</v>
      </c>
      <c r="AC3574" s="6" t="str">
        <f>""</f>
        <v/>
      </c>
      <c r="AS3574" s="6">
        <v>0</v>
      </c>
      <c r="AT3574" s="6">
        <v>0</v>
      </c>
    </row>
    <row r="3575" spans="2:46">
      <c r="B3575" s="6" t="s">
        <v>13899</v>
      </c>
      <c r="D3575" s="6" t="s">
        <v>13131</v>
      </c>
      <c r="F3575" s="6" t="s">
        <v>14743</v>
      </c>
      <c r="G3575" s="6" t="str">
        <f>"3167252115030203"</f>
        <v>3167252115030203</v>
      </c>
      <c r="H3575" s="6">
        <v>3167252115030200</v>
      </c>
      <c r="I3575" s="6" t="s">
        <v>14739</v>
      </c>
      <c r="J3575" s="6" t="str">
        <f>"VG glitter one-piece (+belt)"</f>
        <v>VG glitter one-piece (+belt)</v>
      </c>
      <c r="K3575" s="6">
        <v>0</v>
      </c>
      <c r="L3575" s="6">
        <v>0</v>
      </c>
      <c r="M3575" s="6">
        <v>0</v>
      </c>
      <c r="N3575" s="6" t="str">
        <f>""</f>
        <v/>
      </c>
      <c r="O3575" s="6">
        <v>22853</v>
      </c>
      <c r="P3575" s="6" t="s">
        <v>14744</v>
      </c>
      <c r="R3575" s="6" t="s">
        <v>14745</v>
      </c>
      <c r="S3575" s="6" t="s">
        <v>14746</v>
      </c>
      <c r="T3575" s="6">
        <v>0</v>
      </c>
      <c r="U3575" s="6">
        <v>0</v>
      </c>
      <c r="V3575" s="6">
        <v>0</v>
      </c>
      <c r="W3575" s="6">
        <v>0</v>
      </c>
      <c r="X3575" s="6" t="s">
        <v>169</v>
      </c>
      <c r="Z3575" s="6" t="s">
        <v>170</v>
      </c>
      <c r="AA3575" s="6" t="s">
        <v>171</v>
      </c>
      <c r="AB3575" s="6">
        <v>0</v>
      </c>
      <c r="AC3575" s="6" t="str">
        <f>""</f>
        <v/>
      </c>
      <c r="AS3575" s="6">
        <v>0</v>
      </c>
      <c r="AT3575" s="6">
        <v>0</v>
      </c>
    </row>
    <row r="3576" spans="2:46">
      <c r="B3576" s="6" t="s">
        <v>13899</v>
      </c>
      <c r="D3576" s="6" t="s">
        <v>13131</v>
      </c>
      <c r="F3576" s="6" t="s">
        <v>14747</v>
      </c>
      <c r="G3576" s="6" t="str">
        <f>"3167252114995204"</f>
        <v>3167252114995204</v>
      </c>
      <c r="H3576" s="6">
        <v>3167252114995200</v>
      </c>
      <c r="I3576" s="6" t="s">
        <v>14748</v>
      </c>
      <c r="J3576" s="6" t="str">
        <f>"VG check one-piece (+belt)"</f>
        <v>VG check one-piece (+belt)</v>
      </c>
      <c r="K3576" s="6">
        <v>0</v>
      </c>
      <c r="L3576" s="6">
        <v>0</v>
      </c>
      <c r="M3576" s="6">
        <v>0</v>
      </c>
      <c r="N3576" s="6" t="str">
        <f>""</f>
        <v/>
      </c>
      <c r="O3576" s="6">
        <v>22851</v>
      </c>
      <c r="P3576" s="6" t="s">
        <v>14749</v>
      </c>
      <c r="R3576" s="6" t="s">
        <v>5747</v>
      </c>
      <c r="S3576" s="6" t="s">
        <v>14750</v>
      </c>
      <c r="T3576" s="6">
        <v>0</v>
      </c>
      <c r="U3576" s="6">
        <v>0</v>
      </c>
      <c r="V3576" s="6">
        <v>0</v>
      </c>
      <c r="W3576" s="6">
        <v>0</v>
      </c>
      <c r="X3576" s="6" t="s">
        <v>169</v>
      </c>
      <c r="Z3576" s="6" t="s">
        <v>170</v>
      </c>
      <c r="AA3576" s="6" t="s">
        <v>171</v>
      </c>
      <c r="AB3576" s="6">
        <v>0</v>
      </c>
      <c r="AC3576" s="6" t="str">
        <f>""</f>
        <v/>
      </c>
      <c r="AS3576" s="6">
        <v>0</v>
      </c>
      <c r="AT3576" s="6">
        <v>0</v>
      </c>
    </row>
    <row r="3577" spans="2:46">
      <c r="B3577" s="6" t="s">
        <v>13899</v>
      </c>
      <c r="D3577" s="6" t="s">
        <v>13131</v>
      </c>
      <c r="F3577" s="6" t="s">
        <v>14751</v>
      </c>
      <c r="G3577" s="6" t="str">
        <f>"3167252114995203"</f>
        <v>3167252114995203</v>
      </c>
      <c r="H3577" s="6">
        <v>3167252114995200</v>
      </c>
      <c r="I3577" s="6" t="s">
        <v>14748</v>
      </c>
      <c r="J3577" s="6" t="str">
        <f>"VG check one-piece (+belt)"</f>
        <v>VG check one-piece (+belt)</v>
      </c>
      <c r="K3577" s="6">
        <v>0</v>
      </c>
      <c r="L3577" s="6">
        <v>0</v>
      </c>
      <c r="M3577" s="6">
        <v>0</v>
      </c>
      <c r="N3577" s="6" t="str">
        <f>""</f>
        <v/>
      </c>
      <c r="O3577" s="6">
        <v>22850</v>
      </c>
      <c r="P3577" s="6" t="s">
        <v>14752</v>
      </c>
      <c r="R3577" s="6" t="s">
        <v>14753</v>
      </c>
      <c r="S3577" s="6" t="s">
        <v>14754</v>
      </c>
      <c r="T3577" s="6">
        <v>0</v>
      </c>
      <c r="U3577" s="6">
        <v>0</v>
      </c>
      <c r="V3577" s="6">
        <v>0</v>
      </c>
      <c r="W3577" s="6">
        <v>0</v>
      </c>
      <c r="X3577" s="6" t="s">
        <v>169</v>
      </c>
      <c r="Z3577" s="6" t="s">
        <v>170</v>
      </c>
      <c r="AA3577" s="6" t="s">
        <v>171</v>
      </c>
      <c r="AB3577" s="6">
        <v>0</v>
      </c>
      <c r="AC3577" s="6" t="str">
        <f>""</f>
        <v/>
      </c>
      <c r="AS3577" s="6">
        <v>0</v>
      </c>
      <c r="AT3577" s="6">
        <v>0</v>
      </c>
    </row>
    <row r="3578" spans="2:46">
      <c r="B3578" s="6" t="s">
        <v>13899</v>
      </c>
      <c r="D3578" s="6" t="s">
        <v>13131</v>
      </c>
      <c r="F3578" s="6" t="s">
        <v>14755</v>
      </c>
      <c r="G3578" s="6" t="str">
        <f>"010302010505"</f>
        <v>010302010505</v>
      </c>
      <c r="H3578" s="6">
        <v>10302010505</v>
      </c>
      <c r="I3578" s="6" t="s">
        <v>14756</v>
      </c>
      <c r="J3578" s="6" t="str">
        <f>"VG longsleeved hood black"</f>
        <v>VG longsleeved hood black</v>
      </c>
      <c r="K3578" s="6">
        <v>0</v>
      </c>
      <c r="L3578" s="6">
        <v>0</v>
      </c>
      <c r="M3578" s="6">
        <v>0</v>
      </c>
      <c r="N3578" s="6" t="str">
        <f>""</f>
        <v/>
      </c>
      <c r="O3578" s="6">
        <v>22848</v>
      </c>
      <c r="P3578" s="6" t="s">
        <v>14757</v>
      </c>
      <c r="R3578" s="6" t="s">
        <v>5730</v>
      </c>
      <c r="S3578" s="6" t="s">
        <v>14758</v>
      </c>
      <c r="T3578" s="6">
        <v>0</v>
      </c>
      <c r="U3578" s="6">
        <v>0</v>
      </c>
      <c r="V3578" s="6">
        <v>0</v>
      </c>
      <c r="W3578" s="6">
        <v>0</v>
      </c>
      <c r="X3578" s="6" t="s">
        <v>169</v>
      </c>
      <c r="Z3578" s="6" t="s">
        <v>170</v>
      </c>
      <c r="AA3578" s="6" t="s">
        <v>171</v>
      </c>
      <c r="AB3578" s="6">
        <v>0</v>
      </c>
      <c r="AC3578" s="6" t="str">
        <f>""</f>
        <v/>
      </c>
      <c r="AS3578" s="6">
        <v>0</v>
      </c>
      <c r="AT3578" s="6">
        <v>0</v>
      </c>
    </row>
    <row r="3579" spans="2:46">
      <c r="B3579" s="6" t="s">
        <v>13899</v>
      </c>
      <c r="D3579" s="6" t="s">
        <v>13131</v>
      </c>
      <c r="F3579" s="6" t="s">
        <v>14759</v>
      </c>
      <c r="G3579" s="6" t="str">
        <f>"3167224139791205"</f>
        <v>3167224139791205</v>
      </c>
      <c r="H3579" s="6">
        <v>3167224139791200</v>
      </c>
      <c r="I3579" s="6" t="s">
        <v>14760</v>
      </c>
      <c r="J3579" s="6" t="str">
        <f>"VG longsleeved t-shirts white"</f>
        <v>VG longsleeved t-shirts white</v>
      </c>
      <c r="K3579" s="6">
        <v>0</v>
      </c>
      <c r="L3579" s="6">
        <v>0</v>
      </c>
      <c r="M3579" s="6">
        <v>0</v>
      </c>
      <c r="N3579" s="6" t="str">
        <f>""</f>
        <v/>
      </c>
      <c r="O3579" s="6">
        <v>22846</v>
      </c>
      <c r="P3579" s="6" t="s">
        <v>14761</v>
      </c>
      <c r="R3579" s="6" t="s">
        <v>9691</v>
      </c>
      <c r="S3579" s="6" t="s">
        <v>14762</v>
      </c>
      <c r="T3579" s="6">
        <v>0</v>
      </c>
      <c r="U3579" s="6">
        <v>0</v>
      </c>
      <c r="V3579" s="6">
        <v>0</v>
      </c>
      <c r="W3579" s="6">
        <v>0</v>
      </c>
      <c r="X3579" s="6" t="s">
        <v>169</v>
      </c>
      <c r="Z3579" s="6" t="s">
        <v>170</v>
      </c>
      <c r="AA3579" s="6" t="s">
        <v>171</v>
      </c>
      <c r="AB3579" s="6">
        <v>0</v>
      </c>
      <c r="AC3579" s="6" t="str">
        <f>""</f>
        <v/>
      </c>
      <c r="AS3579" s="6">
        <v>0</v>
      </c>
      <c r="AT3579" s="6">
        <v>0</v>
      </c>
    </row>
    <row r="3580" spans="2:46">
      <c r="B3580" s="6" t="s">
        <v>13899</v>
      </c>
      <c r="D3580" s="6" t="s">
        <v>13131</v>
      </c>
      <c r="F3580" s="6" t="s">
        <v>14763</v>
      </c>
      <c r="G3580" s="6" t="str">
        <f>"3167224139791204"</f>
        <v>3167224139791204</v>
      </c>
      <c r="H3580" s="6">
        <v>3167224139791200</v>
      </c>
      <c r="I3580" s="6" t="s">
        <v>14760</v>
      </c>
      <c r="J3580" s="6" t="str">
        <f>"VG longsleeved t-shirts white"</f>
        <v>VG longsleeved t-shirts white</v>
      </c>
      <c r="K3580" s="6">
        <v>0</v>
      </c>
      <c r="L3580" s="6">
        <v>0</v>
      </c>
      <c r="M3580" s="6">
        <v>0</v>
      </c>
      <c r="N3580" s="6" t="str">
        <f>""</f>
        <v/>
      </c>
      <c r="O3580" s="6">
        <v>22845</v>
      </c>
      <c r="P3580" s="6" t="s">
        <v>14764</v>
      </c>
      <c r="R3580" s="6" t="s">
        <v>9696</v>
      </c>
      <c r="S3580" s="6" t="s">
        <v>14765</v>
      </c>
      <c r="T3580" s="6">
        <v>0</v>
      </c>
      <c r="U3580" s="6">
        <v>0</v>
      </c>
      <c r="V3580" s="6">
        <v>0</v>
      </c>
      <c r="W3580" s="6">
        <v>0</v>
      </c>
      <c r="X3580" s="6" t="s">
        <v>169</v>
      </c>
      <c r="Z3580" s="6" t="s">
        <v>170</v>
      </c>
      <c r="AA3580" s="6" t="s">
        <v>171</v>
      </c>
      <c r="AB3580" s="6">
        <v>0</v>
      </c>
      <c r="AC3580" s="6" t="str">
        <f>""</f>
        <v/>
      </c>
      <c r="AS3580" s="6">
        <v>0</v>
      </c>
      <c r="AT3580" s="6">
        <v>0</v>
      </c>
    </row>
  </sheetData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카페24 주문</vt:lpstr>
      <vt:lpstr>3rd_재고할당된 주문</vt:lpstr>
      <vt:lpstr>ICB</vt:lpstr>
      <vt:lpstr>재고리스트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ﾃﾖｼｺﾈ｣</dc:creator>
  <cp:lastModifiedBy>YZY</cp:lastModifiedBy>
  <dcterms:created xsi:type="dcterms:W3CDTF">2015-12-10T01:27:50Z</dcterms:created>
  <dcterms:modified xsi:type="dcterms:W3CDTF">2018-03-29T04:36:51Z</dcterms:modified>
</cp:coreProperties>
</file>