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34EA7AC-51A9-492A-B0A9-40E864D26F6D}" xr6:coauthVersionLast="37" xr6:coauthVersionMax="37" xr10:uidLastSave="{00000000-0000-0000-0000-000000000000}"/>
  <bookViews>
    <workbookView xWindow="0" yWindow="0" windowWidth="7476" windowHeight="5304" activeTab="1" xr2:uid="{CDD3CEA3-A089-497B-AB10-AC4E690C9D04}"/>
  </bookViews>
  <sheets>
    <sheet name="pregunta 1" sheetId="1" r:id="rId1"/>
    <sheet name="pregunta 2 y 3" sheetId="2" r:id="rId2"/>
    <sheet name="pregunta 4 y 5" sheetId="3" r:id="rId3"/>
    <sheet name="pregunta 6 y 8" sheetId="4" r:id="rId4"/>
    <sheet name="pregunta 9" sheetId="5" r:id="rId5"/>
    <sheet name="pregunta 10" sheetId="6" r:id="rId6"/>
    <sheet name="pregunta 11 y 12" sheetId="7" r:id="rId7"/>
    <sheet name="pregunta 13 y 14" sheetId="8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7" l="1"/>
  <c r="F15" i="8"/>
  <c r="F7" i="8"/>
  <c r="G14" i="8" s="1"/>
  <c r="G86" i="2"/>
  <c r="E86" i="2"/>
  <c r="E82" i="2"/>
  <c r="C91" i="2"/>
  <c r="B37" i="4"/>
  <c r="B94" i="3"/>
  <c r="C97" i="3" s="1"/>
  <c r="B116" i="1" l="1"/>
  <c r="B115" i="1"/>
  <c r="G111" i="1" l="1"/>
  <c r="K13" i="6"/>
  <c r="K16" i="6"/>
  <c r="K9" i="6"/>
  <c r="K10" i="6"/>
  <c r="K11" i="6"/>
  <c r="K12" i="6"/>
  <c r="K8" i="6"/>
  <c r="L8" i="6" l="1"/>
  <c r="F133" i="1" l="1"/>
  <c r="C122" i="1"/>
  <c r="B33" i="2" l="1"/>
  <c r="D56" i="5"/>
  <c r="A34" i="5"/>
  <c r="E26" i="5"/>
  <c r="E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E27" i="5"/>
  <c r="D20" i="4"/>
  <c r="C20" i="4"/>
  <c r="C21" i="7" l="1"/>
  <c r="B44" i="8"/>
  <c r="B16" i="7"/>
  <c r="J115" i="4"/>
  <c r="B35" i="4" l="1"/>
  <c r="F81" i="3"/>
  <c r="C90" i="3"/>
  <c r="G88" i="3" l="1"/>
  <c r="F89" i="3" s="1"/>
  <c r="C28" i="3" l="1"/>
  <c r="C29" i="3"/>
  <c r="C30" i="3"/>
  <c r="C27" i="3"/>
  <c r="E47" i="3"/>
  <c r="E42" i="3"/>
  <c r="B33" i="3"/>
  <c r="D32" i="3"/>
  <c r="D31" i="3"/>
  <c r="E31" i="3" s="1"/>
  <c r="D30" i="3"/>
  <c r="E30" i="3" s="1"/>
  <c r="D29" i="3"/>
  <c r="E29" i="3" s="1"/>
  <c r="D28" i="3"/>
  <c r="E28" i="3" s="1"/>
  <c r="D27" i="3"/>
  <c r="E27" i="3" s="1"/>
  <c r="G27" i="3" s="1"/>
  <c r="I19" i="6"/>
  <c r="I18" i="6"/>
  <c r="M9" i="6"/>
  <c r="M10" i="6"/>
  <c r="M11" i="6"/>
  <c r="M13" i="6"/>
  <c r="M8" i="6"/>
  <c r="L10" i="6"/>
  <c r="L9" i="6"/>
  <c r="L11" i="6"/>
  <c r="L12" i="6"/>
  <c r="M12" i="6" s="1"/>
  <c r="L13" i="6"/>
  <c r="M14" i="6" l="1"/>
  <c r="F28" i="3"/>
  <c r="F27" i="3"/>
  <c r="B35" i="3" s="1"/>
  <c r="C47" i="3" s="1"/>
  <c r="G28" i="3"/>
  <c r="F29" i="3"/>
  <c r="G30" i="3"/>
  <c r="G29" i="3"/>
  <c r="C42" i="3" l="1"/>
  <c r="F32" i="3" l="1"/>
  <c r="F30" i="3"/>
  <c r="G31" i="3"/>
  <c r="F31" i="3" l="1"/>
  <c r="G32" i="3"/>
  <c r="J14" i="6" l="1"/>
  <c r="I109" i="4"/>
  <c r="C117" i="4" l="1"/>
  <c r="J110" i="4"/>
  <c r="J111" i="4"/>
  <c r="J112" i="4"/>
  <c r="J113" i="4"/>
  <c r="J114" i="4"/>
  <c r="J109" i="4"/>
  <c r="H109" i="4"/>
  <c r="H114" i="4"/>
  <c r="H113" i="4"/>
  <c r="H112" i="4"/>
  <c r="H111" i="4"/>
  <c r="H110" i="4"/>
  <c r="I110" i="4"/>
  <c r="I111" i="4"/>
  <c r="I112" i="4"/>
  <c r="I113" i="4"/>
  <c r="I114" i="4"/>
  <c r="G111" i="4"/>
  <c r="G112" i="4"/>
  <c r="G113" i="4"/>
  <c r="G114" i="4"/>
  <c r="G110" i="4"/>
  <c r="G109" i="4"/>
  <c r="D75" i="4"/>
  <c r="E61" i="4"/>
  <c r="F58" i="4" s="1"/>
  <c r="G11" i="7"/>
  <c r="B15" i="7"/>
  <c r="G7" i="7"/>
  <c r="D56" i="7"/>
  <c r="A59" i="7"/>
  <c r="E42" i="7" s="1"/>
  <c r="C16" i="8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G95" i="3"/>
  <c r="K68" i="2"/>
  <c r="M69" i="2" s="1"/>
  <c r="D67" i="2"/>
  <c r="O58" i="2"/>
  <c r="G17" i="7" l="1"/>
  <c r="E17" i="7"/>
  <c r="O64" i="2"/>
  <c r="O69" i="2"/>
  <c r="M64" i="2"/>
  <c r="G61" i="2" l="1"/>
  <c r="E62" i="2" s="1"/>
  <c r="E115" i="4"/>
  <c r="F112" i="4" s="1"/>
  <c r="F110" i="4" l="1"/>
  <c r="F111" i="4"/>
  <c r="F60" i="2"/>
  <c r="F109" i="4"/>
  <c r="F114" i="4"/>
  <c r="F113" i="4"/>
  <c r="E90" i="2" l="1"/>
  <c r="E32" i="4" l="1"/>
  <c r="E33" i="4"/>
  <c r="C21" i="4"/>
  <c r="C26" i="4"/>
  <c r="C27" i="4"/>
  <c r="C28" i="4"/>
  <c r="C29" i="4"/>
  <c r="C30" i="4"/>
  <c r="C31" i="4"/>
  <c r="C32" i="4"/>
  <c r="C33" i="4"/>
  <c r="C34" i="4"/>
  <c r="E34" i="4" s="1"/>
  <c r="E44" i="4"/>
  <c r="A22" i="4"/>
  <c r="A23" i="4" s="1"/>
  <c r="C23" i="4" s="1"/>
  <c r="C22" i="4" l="1"/>
  <c r="E27" i="4"/>
  <c r="E22" i="4"/>
  <c r="F22" i="4"/>
  <c r="F28" i="4"/>
  <c r="E28" i="4"/>
  <c r="E31" i="4"/>
  <c r="E30" i="4"/>
  <c r="F20" i="4"/>
  <c r="E20" i="4"/>
  <c r="F30" i="4"/>
  <c r="E29" i="4"/>
  <c r="E21" i="4"/>
  <c r="F27" i="4"/>
  <c r="F24" i="4"/>
  <c r="E23" i="4"/>
  <c r="F23" i="4"/>
  <c r="F32" i="4"/>
  <c r="F34" i="4"/>
  <c r="E26" i="4"/>
  <c r="F29" i="4"/>
  <c r="A24" i="4"/>
  <c r="C24" i="4" s="1"/>
  <c r="F31" i="4"/>
  <c r="F21" i="4"/>
  <c r="F33" i="4"/>
  <c r="A25" i="4" l="1"/>
  <c r="C25" i="4" s="1"/>
  <c r="E24" i="4" l="1"/>
  <c r="F25" i="4"/>
  <c r="F26" i="4"/>
  <c r="E25" i="4"/>
  <c r="C44" i="4" l="1"/>
  <c r="E29" i="1" l="1"/>
  <c r="E30" i="1"/>
  <c r="E31" i="1"/>
  <c r="E32" i="1"/>
  <c r="E33" i="1"/>
  <c r="E34" i="1"/>
  <c r="E35" i="1"/>
  <c r="E36" i="1"/>
  <c r="E37" i="1"/>
  <c r="E38" i="1"/>
  <c r="E39" i="1"/>
  <c r="E40" i="1"/>
  <c r="E41" i="1"/>
  <c r="E28" i="1"/>
  <c r="A153" i="1" l="1"/>
  <c r="D150" i="1"/>
  <c r="B117" i="1"/>
  <c r="B92" i="1"/>
  <c r="E76" i="1"/>
  <c r="D77" i="1"/>
  <c r="E77" i="1" s="1"/>
  <c r="F77" i="1" s="1"/>
  <c r="D78" i="1"/>
  <c r="E78" i="1" s="1"/>
  <c r="D79" i="1"/>
  <c r="E79" i="1" s="1"/>
  <c r="D80" i="1"/>
  <c r="E80" i="1" s="1"/>
  <c r="D81" i="1"/>
  <c r="D82" i="1"/>
  <c r="E82" i="1" s="1"/>
  <c r="D83" i="1"/>
  <c r="D84" i="1"/>
  <c r="D85" i="1"/>
  <c r="E85" i="1" s="1"/>
  <c r="D86" i="1"/>
  <c r="E86" i="1" s="1"/>
  <c r="F86" i="1" s="1"/>
  <c r="D87" i="1"/>
  <c r="E87" i="1" s="1"/>
  <c r="G87" i="1" s="1"/>
  <c r="D88" i="1"/>
  <c r="E88" i="1" s="1"/>
  <c r="F88" i="1" s="1"/>
  <c r="D89" i="1"/>
  <c r="D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F89" i="1" s="1"/>
  <c r="C76" i="1"/>
  <c r="E99" i="1"/>
  <c r="B90" i="1"/>
  <c r="E84" i="1"/>
  <c r="G84" i="1" s="1"/>
  <c r="E83" i="1"/>
  <c r="E81" i="1"/>
  <c r="A79" i="1"/>
  <c r="A78" i="1"/>
  <c r="B43" i="1"/>
  <c r="D55" i="1"/>
  <c r="B45" i="1"/>
  <c r="B44" i="1"/>
  <c r="B42" i="1"/>
  <c r="F41" i="1"/>
  <c r="F40" i="1"/>
  <c r="F39" i="1"/>
  <c r="F38" i="1"/>
  <c r="F37" i="1"/>
  <c r="F36" i="1"/>
  <c r="F35" i="1"/>
  <c r="F34" i="1"/>
  <c r="B34" i="1"/>
  <c r="D34" i="1" s="1"/>
  <c r="F33" i="1"/>
  <c r="B33" i="1"/>
  <c r="D33" i="1" s="1"/>
  <c r="F32" i="1"/>
  <c r="B32" i="1"/>
  <c r="D32" i="1" s="1"/>
  <c r="F31" i="1"/>
  <c r="B31" i="1"/>
  <c r="D31" i="1" s="1"/>
  <c r="F30" i="1"/>
  <c r="D30" i="1"/>
  <c r="B30" i="1"/>
  <c r="F29" i="1"/>
  <c r="B29" i="1"/>
  <c r="D29" i="1" s="1"/>
  <c r="F28" i="1"/>
  <c r="D28" i="1"/>
  <c r="B28" i="1"/>
  <c r="E136" i="1" l="1"/>
  <c r="C121" i="1"/>
  <c r="G78" i="1"/>
  <c r="F78" i="1"/>
  <c r="G85" i="1"/>
  <c r="F85" i="1"/>
  <c r="G76" i="1"/>
  <c r="F76" i="1"/>
  <c r="F82" i="1"/>
  <c r="G83" i="1"/>
  <c r="F83" i="1"/>
  <c r="F84" i="1"/>
  <c r="F79" i="1"/>
  <c r="G80" i="1"/>
  <c r="G88" i="1"/>
  <c r="G79" i="1"/>
  <c r="A80" i="1"/>
  <c r="F87" i="1"/>
  <c r="G89" i="1"/>
  <c r="G77" i="1"/>
  <c r="G86" i="1"/>
  <c r="D42" i="1"/>
  <c r="B47" i="1" s="1"/>
  <c r="F42" i="1"/>
  <c r="B48" i="1" s="1"/>
  <c r="A81" i="1" l="1"/>
  <c r="E46" i="1"/>
  <c r="F80" i="1" l="1"/>
  <c r="G81" i="1"/>
  <c r="F81" i="1"/>
  <c r="G82" i="1"/>
  <c r="B55" i="1"/>
  <c r="B49" i="1"/>
  <c r="C99" i="1" l="1"/>
</calcChain>
</file>

<file path=xl/sharedStrings.xml><?xml version="1.0" encoding="utf-8"?>
<sst xmlns="http://schemas.openxmlformats.org/spreadsheetml/2006/main" count="392" uniqueCount="192">
  <si>
    <t>Se plantea las hipotesis</t>
  </si>
  <si>
    <t>alfa=</t>
  </si>
  <si>
    <t>Los datos se ordenan de mayor a menor</t>
  </si>
  <si>
    <t>an corresponde a los valores en las tabla</t>
  </si>
  <si>
    <t>numerador</t>
  </si>
  <si>
    <t>denomindor</t>
  </si>
  <si>
    <t>y</t>
  </si>
  <si>
    <t>(yn-i+1)-yi</t>
  </si>
  <si>
    <t>an</t>
  </si>
  <si>
    <t>an*[(yn-i+1)-yi]</t>
  </si>
  <si>
    <t>(yi-ybarra)</t>
  </si>
  <si>
    <t>(yi-ybarra)^2</t>
  </si>
  <si>
    <t>suma=</t>
  </si>
  <si>
    <t>promedio=</t>
  </si>
  <si>
    <t>varianza=</t>
  </si>
  <si>
    <t>desv est=</t>
  </si>
  <si>
    <r>
      <t>w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=</t>
    </r>
  </si>
  <si>
    <t>(b^2)/Scy</t>
  </si>
  <si>
    <t>b=</t>
  </si>
  <si>
    <t>Scy=</t>
  </si>
  <si>
    <t>conclucion</t>
  </si>
  <si>
    <t>Como</t>
  </si>
  <si>
    <t>&gt;</t>
  </si>
  <si>
    <t>SI W CALCULADO ES MENOR A W TABULAR</t>
  </si>
  <si>
    <t>&lt;</t>
  </si>
  <si>
    <t>En esta prueba la zona de rechazo se encuentra al lado izquierdo</t>
  </si>
  <si>
    <t>Segun la tabla el w tabular de una muestra de 14 Y un alfa de 0,05 corresponde a:</t>
  </si>
  <si>
    <t>H0: la cantidad de hijos en la zona de llorente de Tibas provienen de una poblacion con distribucion normal</t>
  </si>
  <si>
    <t>H1:la cantidad de hijos en la zona de llorente de Tibas NO provienen de una poblacion con distribucion normal</t>
  </si>
  <si>
    <t>H0: …….provienen de una poblacion con distribibución normal con media = ….. Y desviación estándar = …</t>
  </si>
  <si>
    <t>H1: ……. NO provienen de una poblacion con distribibución normal con media = ….. Y desviación estándar = …</t>
  </si>
  <si>
    <t>media=</t>
  </si>
  <si>
    <t>orden</t>
  </si>
  <si>
    <t>Fo</t>
  </si>
  <si>
    <t>z</t>
  </si>
  <si>
    <t>Fh</t>
  </si>
  <si>
    <t>Delta</t>
  </si>
  <si>
    <t>Omega</t>
  </si>
  <si>
    <t>siempre va 1 en la última clase</t>
  </si>
  <si>
    <t>d=</t>
  </si>
  <si>
    <t>dmax</t>
  </si>
  <si>
    <t>dt=d[alfa,n]=</t>
  </si>
  <si>
    <t>tabular</t>
  </si>
  <si>
    <t>conclusion</t>
  </si>
  <si>
    <t>SI DMAX &lt; DTABULAR</t>
  </si>
  <si>
    <t>No hay suficiente evidencia estadistica para rechazar la hipotesis nula de que…. Proviene de una poblacion con distribucion normal con media=…. , desviacion estandar=…. Y alfa=….</t>
  </si>
  <si>
    <t>1. Planteamiento de las hipotesis</t>
  </si>
  <si>
    <t>3. Se estandariza el promedio muestral (x barra), o sea, se calcula z calculado</t>
  </si>
  <si>
    <t xml:space="preserve">H0: MU= </t>
  </si>
  <si>
    <r>
      <t>H0: MU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</t>
    </r>
  </si>
  <si>
    <t xml:space="preserve"> = </t>
  </si>
  <si>
    <t>n=</t>
  </si>
  <si>
    <t>x barra=</t>
  </si>
  <si>
    <t>ds poblacional=</t>
  </si>
  <si>
    <t>4. Se analiza la pocicion en la que cae el z calculado</t>
  </si>
  <si>
    <t>alfa/2=</t>
  </si>
  <si>
    <t>hay suficiente evidencia estadistica para rechazar la hipotesis nula que la media del …. igual a …..ho con un alfa de ….</t>
  </si>
  <si>
    <t>2. Se calcula el z tabular</t>
  </si>
  <si>
    <t>t-tabular=</t>
  </si>
  <si>
    <r>
      <t xml:space="preserve"> </t>
    </r>
    <r>
      <rPr>
        <sz val="11"/>
        <color theme="1"/>
        <rFont val="Calibri"/>
        <family val="2"/>
      </rPr>
      <t>±</t>
    </r>
  </si>
  <si>
    <t>t[1-alfa/2,n-1gl]</t>
  </si>
  <si>
    <t xml:space="preserve"> -</t>
  </si>
  <si>
    <t xml:space="preserve"> +</t>
  </si>
  <si>
    <t>No hay suficiente evidencia estadistica para rechazar la hipotesis nula que la media del …. igual a …..ho con un alfa de ….</t>
  </si>
  <si>
    <t>4. Se analiza la pocicion en la que cae el t calculado</t>
  </si>
  <si>
    <t>3. Se estandariza el promedio muestral (x barra), o sea, se calcula t calculado</t>
  </si>
  <si>
    <t>1. Se plantea la hipotesis</t>
  </si>
  <si>
    <t>4. se calcula el p value</t>
  </si>
  <si>
    <t>H0: μ_ ed=</t>
  </si>
  <si>
    <t>p value=</t>
  </si>
  <si>
    <r>
      <t>2*P(Y</t>
    </r>
    <r>
      <rPr>
        <sz val="11"/>
        <color theme="1"/>
        <rFont val="Calibri"/>
        <family val="2"/>
      </rPr>
      <t>≤ min(y-,y+)|n*,p=0,5)</t>
    </r>
  </si>
  <si>
    <r>
      <t>H0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>μ_ ed=</t>
    </r>
  </si>
  <si>
    <r>
      <t>2*P(Y</t>
    </r>
    <r>
      <rPr>
        <sz val="11"/>
        <color theme="1"/>
        <rFont val="Calibri"/>
        <family val="2"/>
      </rPr>
      <t xml:space="preserve">≤ </t>
    </r>
    <r>
      <rPr>
        <b/>
        <i/>
        <u/>
        <sz val="11"/>
        <color rgb="FFFF0000"/>
        <rFont val="Calibri"/>
        <family val="2"/>
      </rPr>
      <t>2</t>
    </r>
    <r>
      <rPr>
        <sz val="11"/>
        <color theme="1"/>
        <rFont val="Calibri"/>
        <family val="2"/>
      </rPr>
      <t>|n*,p=0,05)</t>
    </r>
  </si>
  <si>
    <t>valor minimo entre y- y y+</t>
  </si>
  <si>
    <t>2. Se ordenan los datos de menor a mayor:</t>
  </si>
  <si>
    <t>5. conclusion</t>
  </si>
  <si>
    <t>p value&lt; alfa se rechaza</t>
  </si>
  <si>
    <t>redactar conclucion</t>
  </si>
  <si>
    <t>p value&gt; alfa no se rechaza</t>
  </si>
  <si>
    <t>3. Se cuentan los valores mayores y menores a la media.</t>
  </si>
  <si>
    <t>valor de la mediana planteada en H0=</t>
  </si>
  <si>
    <t>y-= cantidad de valores menores a la mediana</t>
  </si>
  <si>
    <t>y+= cantidad de valores mayores a la mediana</t>
  </si>
  <si>
    <t>n*= cantidad de valores excluyendo los iguales a la mediana</t>
  </si>
  <si>
    <t>1. Se plantean las hipotesis</t>
  </si>
  <si>
    <t>H0: P=</t>
  </si>
  <si>
    <t>H1: P&lt;</t>
  </si>
  <si>
    <t>x=</t>
  </si>
  <si>
    <t>alfa =</t>
  </si>
  <si>
    <t>2. Se  calcula el p value</t>
  </si>
  <si>
    <t>p value =</t>
  </si>
  <si>
    <t>3.coclucion</t>
  </si>
  <si>
    <t xml:space="preserve"> no Hay suficiente evidencia estadistica para rechazar la hipotesis nula de que……. proviene de una poblacion con distribucion normal con una significancia del …..% </t>
  </si>
  <si>
    <r>
      <t>H1: P</t>
    </r>
    <r>
      <rPr>
        <sz val="11"/>
        <color theme="1"/>
        <rFont val="Calibri"/>
        <family val="2"/>
      </rPr>
      <t>≠</t>
    </r>
  </si>
  <si>
    <t>COLA IZQUIERDA</t>
  </si>
  <si>
    <r>
      <t>P(Y</t>
    </r>
    <r>
      <rPr>
        <sz val="11"/>
        <color theme="1"/>
        <rFont val="Calibri"/>
        <family val="2"/>
      </rPr>
      <t>≥ min(y-,y+)|n*,p=0,5)</t>
    </r>
  </si>
  <si>
    <t>H1&gt;μ_ ed=</t>
  </si>
  <si>
    <r>
      <t>P(Y</t>
    </r>
    <r>
      <rPr>
        <sz val="11"/>
        <color theme="1"/>
        <rFont val="Calibri"/>
        <family val="2"/>
      </rPr>
      <t>≥ 1|n*,p=0,05)</t>
    </r>
  </si>
  <si>
    <t>SI DMAX &gt; DTABULAR</t>
  </si>
  <si>
    <t>Hay suficiente evidencia estadistica para rechazar la hipotesis nula de que…. Proviene de una poblacion con distribucion normal con media=…. , desviacion estandar=…. Y alfa=….</t>
  </si>
  <si>
    <t>como</t>
  </si>
  <si>
    <t>2. Se calcula el t tabular</t>
  </si>
  <si>
    <t>4. Se calcula la probabilidad de beta dado H1*</t>
  </si>
  <si>
    <t>5. Se calcula la potencia de la prueba</t>
  </si>
  <si>
    <r>
      <t>1-</t>
    </r>
    <r>
      <rPr>
        <sz val="11"/>
        <color theme="1"/>
        <rFont val="MS Reference Sans Serif"/>
        <family val="2"/>
      </rPr>
      <t>ß</t>
    </r>
    <r>
      <rPr>
        <sz val="11"/>
        <color theme="1"/>
        <rFont val="Calibri"/>
        <family val="2"/>
        <scheme val="minor"/>
      </rPr>
      <t xml:space="preserve"> =</t>
    </r>
  </si>
  <si>
    <t>3. Se calcula el x barra tabular</t>
  </si>
  <si>
    <t>H1*: MU=</t>
  </si>
  <si>
    <t xml:space="preserve"> =</t>
  </si>
  <si>
    <r>
      <t>P(</t>
    </r>
    <r>
      <rPr>
        <sz val="11"/>
        <color theme="1"/>
        <rFont val="MS Reference Sans Serif"/>
        <family val="2"/>
      </rPr>
      <t>&lt;</t>
    </r>
    <r>
      <rPr>
        <vertAlign val="subscript"/>
        <sz val="11"/>
        <color theme="1"/>
        <rFont val="MS Reference Sans Serif"/>
        <family val="2"/>
      </rPr>
      <t>t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/mu = mu</t>
    </r>
    <r>
      <rPr>
        <vertAlign val="subscript"/>
        <sz val="11"/>
        <color theme="1"/>
        <rFont val="Calibri"/>
        <family val="2"/>
        <scheme val="minor"/>
      </rPr>
      <t>2)</t>
    </r>
  </si>
  <si>
    <r>
      <t>P(</t>
    </r>
    <r>
      <rPr>
        <sz val="11"/>
        <color theme="1"/>
        <rFont val="MS Reference Sans Serif"/>
        <family val="2"/>
      </rPr>
      <t>&lt;</t>
    </r>
  </si>
  <si>
    <t>)     =</t>
  </si>
  <si>
    <t>z-tabular=</t>
  </si>
  <si>
    <t>z[1-alfa]</t>
  </si>
  <si>
    <t>z[1-0,05]</t>
  </si>
  <si>
    <t>la pureba con  tamaño de muestra de 1000…. tiene una potencia de la prueba de 0,7663</t>
  </si>
  <si>
    <t>1.Se platean las hipotesis</t>
  </si>
  <si>
    <t>H0: p=</t>
  </si>
  <si>
    <t>Se calcula el p techo calculado y el p tabular</t>
  </si>
  <si>
    <t>p techo=</t>
  </si>
  <si>
    <t>x/n =</t>
  </si>
  <si>
    <t>Conclusion</t>
  </si>
  <si>
    <t>altura de la rodilla en cm</t>
  </si>
  <si>
    <t>de 24 a menos de</t>
  </si>
  <si>
    <t>de 28 a menos de</t>
  </si>
  <si>
    <t>de 32 a menos de</t>
  </si>
  <si>
    <t>de 36 a menos de</t>
  </si>
  <si>
    <t>de 40 a menos de</t>
  </si>
  <si>
    <t>de 44 a menos de</t>
  </si>
  <si>
    <t>fi</t>
  </si>
  <si>
    <t>fi/n*100</t>
  </si>
  <si>
    <t>total</t>
  </si>
  <si>
    <t>P(x&lt;=x)</t>
  </si>
  <si>
    <t>H0: …….provienen de una poblacion con distribibución de dagun con media = ….. Y desviación estándar = …</t>
  </si>
  <si>
    <t>H1: ……. NO provienen de una poblacion con distribibución dagumcon media = ….. Y desviación estándar = …</t>
  </si>
  <si>
    <t>H1: p&lt;</t>
  </si>
  <si>
    <t xml:space="preserve">  </t>
  </si>
  <si>
    <t>METODO DEL P VALUE</t>
  </si>
  <si>
    <t>COLA DERECHA</t>
  </si>
  <si>
    <t>H0: MU&gt;</t>
  </si>
  <si>
    <t>P VALUE=</t>
  </si>
  <si>
    <r>
      <t>P(</t>
    </r>
    <r>
      <rPr>
        <sz val="11"/>
        <color theme="1"/>
        <rFont val="MS Reference Sans Serif"/>
        <family val="2"/>
      </rPr>
      <t>|</t>
    </r>
    <r>
      <rPr>
        <sz val="11"/>
        <color theme="1"/>
        <rFont val="Calibri"/>
        <family val="2"/>
        <scheme val="minor"/>
      </rPr>
      <t>μ)</t>
    </r>
  </si>
  <si>
    <t>P(z&gt; zc)</t>
  </si>
  <si>
    <t xml:space="preserve">P(z&gt; </t>
  </si>
  <si>
    <t>)</t>
  </si>
  <si>
    <t xml:space="preserve"> - P(z&gt; </t>
  </si>
  <si>
    <t>p value &lt; alfa se rechaza</t>
  </si>
  <si>
    <t>p value &gt;alfa no se rechaza</t>
  </si>
  <si>
    <t>prueba de hipotesis para una media</t>
  </si>
  <si>
    <t>ds muestral=</t>
  </si>
  <si>
    <t>p tablular de cola izquierda=</t>
  </si>
  <si>
    <t>a=</t>
  </si>
  <si>
    <t>p=</t>
  </si>
  <si>
    <t>3. Se calcula el z calculado=</t>
  </si>
  <si>
    <t xml:space="preserve"> Se calcula el p value</t>
  </si>
  <si>
    <r>
      <t>P(z</t>
    </r>
    <r>
      <rPr>
        <sz val="11"/>
        <color theme="1"/>
        <rFont val="Calibri"/>
        <family val="2"/>
      </rPr>
      <t>≤-|zc|)</t>
    </r>
  </si>
  <si>
    <r>
      <t>P(z</t>
    </r>
    <r>
      <rPr>
        <sz val="11"/>
        <color theme="1"/>
        <rFont val="Calibri"/>
        <family val="2"/>
      </rPr>
      <t>≤</t>
    </r>
  </si>
  <si>
    <t>5. conclucion</t>
  </si>
  <si>
    <t xml:space="preserve">p value &gt; alfa no se rechaza </t>
  </si>
  <si>
    <t>t[1-alfa,n-1gl]</t>
  </si>
  <si>
    <t>+</t>
  </si>
  <si>
    <r>
      <t>H1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>μ_ ed=</t>
    </r>
  </si>
  <si>
    <t>P(x=x)</t>
  </si>
  <si>
    <t>Fi</t>
  </si>
  <si>
    <t>gl=</t>
  </si>
  <si>
    <t>hay suficiente evidencia estadiatica para no rechazar la hipotesis nula de que……  es igual a ….. Con un alfa de 0,05</t>
  </si>
  <si>
    <t>parte a</t>
  </si>
  <si>
    <t>numero de intentos para encontrar petroleo</t>
  </si>
  <si>
    <t>P(X=x)</t>
  </si>
  <si>
    <t>6 o mas</t>
  </si>
  <si>
    <t>fi simple</t>
  </si>
  <si>
    <t>Fi= n *P(X=x)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</si>
  <si>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</si>
  <si>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1-alfa=</t>
  </si>
  <si>
    <t>chicuadrado=</t>
  </si>
  <si>
    <t>se plantean las hipotesis</t>
  </si>
  <si>
    <t xml:space="preserve">p value &lt; alfa se rechaza </t>
  </si>
  <si>
    <t>H0=P=</t>
  </si>
  <si>
    <t>H1=P&lt;</t>
  </si>
  <si>
    <t>H1*=P=</t>
  </si>
  <si>
    <t>potencia =P(zona de rechazo| h1*)</t>
  </si>
  <si>
    <t>zona de rec</t>
  </si>
  <si>
    <t>zona de no rec</t>
  </si>
  <si>
    <t>valores menores o mayores a alfa</t>
  </si>
  <si>
    <t>Potencia =P(X&lt;= param tabular| h1*)</t>
  </si>
  <si>
    <t>potencia=P(X&lt;= 2| P=0,10)</t>
  </si>
  <si>
    <t>BETA=P(X&gt;= PARAM TABULAR| H1*)</t>
  </si>
  <si>
    <t>9B</t>
  </si>
  <si>
    <t>X=</t>
  </si>
  <si>
    <t>P VALUE= P(X&lt;= x dado n=30, p=0,20)</t>
  </si>
  <si>
    <r>
      <t>2*P(Y</t>
    </r>
    <r>
      <rPr>
        <sz val="11"/>
        <color theme="1"/>
        <rFont val="Calibri"/>
        <family val="2"/>
      </rPr>
      <t>≤ 6|n*,p=0,05)</t>
    </r>
  </si>
  <si>
    <t>z tabular</t>
  </si>
  <si>
    <t>H0=μ_ ed=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</si>
</sst>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%"/>
  </numFmts>
  <fonts count="1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u/>
      <sz val="11"/>
      <color rgb="FFFF0000"/>
      <name val="Calibri"/>
      <family val="2"/>
    </font>
    <font>
      <b/>
      <i/>
      <sz val="14"/>
      <color theme="1"/>
      <name val="Calibri"/>
      <family val="2"/>
      <scheme val="minor"/>
    </font>
    <font>
      <sz val="11"/>
      <color theme="1"/>
      <name val="MS Reference Sans Serif"/>
      <family val="2"/>
    </font>
    <font>
      <vertAlign val="subscript"/>
      <sz val="11"/>
      <color theme="1"/>
      <name val="MS Reference Sans Serif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E727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164" fontId="0" fillId="0" borderId="5" xfId="0" applyNumberFormat="1" applyBorder="1"/>
    <xf numFmtId="0" fontId="0" fillId="3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/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0" fillId="4" borderId="0" xfId="0" applyFill="1"/>
    <xf numFmtId="165" fontId="0" fillId="4" borderId="0" xfId="0" applyNumberFormat="1" applyFill="1"/>
    <xf numFmtId="0" fontId="5" fillId="4" borderId="0" xfId="0" applyFont="1" applyFill="1" applyAlignment="1">
      <alignment horizontal="center"/>
    </xf>
    <xf numFmtId="164" fontId="0" fillId="4" borderId="0" xfId="0" applyNumberFormat="1" applyFill="1"/>
    <xf numFmtId="0" fontId="0" fillId="0" borderId="0" xfId="0" applyAlignment="1">
      <alignment wrapText="1"/>
    </xf>
    <xf numFmtId="165" fontId="0" fillId="0" borderId="0" xfId="0" applyNumberFormat="1" applyAlignment="1">
      <alignment horizontal="left"/>
    </xf>
    <xf numFmtId="165" fontId="0" fillId="0" borderId="0" xfId="0" applyNumberFormat="1" applyFill="1"/>
    <xf numFmtId="0" fontId="5" fillId="0" borderId="0" xfId="0" applyFont="1" applyFill="1" applyAlignment="1">
      <alignment horizontal="center"/>
    </xf>
    <xf numFmtId="164" fontId="0" fillId="0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/>
    <xf numFmtId="165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6" fontId="0" fillId="0" borderId="0" xfId="0" applyNumberFormat="1" applyAlignment="1"/>
    <xf numFmtId="0" fontId="0" fillId="0" borderId="0" xfId="0" applyAlignment="1">
      <alignment horizontal="right" wrapText="1"/>
    </xf>
    <xf numFmtId="166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8" borderId="0" xfId="0" applyFill="1"/>
    <xf numFmtId="0" fontId="0" fillId="0" borderId="0" xfId="0" applyFill="1" applyAlignment="1">
      <alignment horizontal="left"/>
    </xf>
    <xf numFmtId="167" fontId="0" fillId="0" borderId="0" xfId="1" applyNumberFormat="1" applyFont="1" applyAlignment="1">
      <alignment horizontal="center"/>
    </xf>
    <xf numFmtId="2" fontId="0" fillId="0" borderId="0" xfId="0" applyNumberFormat="1"/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center" wrapText="1"/>
    </xf>
    <xf numFmtId="0" fontId="0" fillId="0" borderId="0" xfId="0" applyFill="1" applyAlignment="1">
      <alignment horizontal="right"/>
    </xf>
    <xf numFmtId="0" fontId="5" fillId="0" borderId="0" xfId="0" applyFont="1" applyFill="1" applyAlignment="1">
      <alignment horizontal="left"/>
    </xf>
    <xf numFmtId="166" fontId="0" fillId="0" borderId="0" xfId="0" applyNumberFormat="1" applyFill="1" applyAlignment="1"/>
    <xf numFmtId="0" fontId="0" fillId="0" borderId="0" xfId="0" applyFill="1" applyAlignment="1"/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wrapText="1"/>
    </xf>
    <xf numFmtId="0" fontId="11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right" wrapText="1"/>
    </xf>
    <xf numFmtId="165" fontId="0" fillId="0" borderId="0" xfId="0" applyNumberFormat="1" applyFill="1" applyAlignment="1">
      <alignment horizontal="left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7" fillId="9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7" fillId="7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6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4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166645</xdr:rowOff>
    </xdr:from>
    <xdr:to>
      <xdr:col>6</xdr:col>
      <xdr:colOff>647700</xdr:colOff>
      <xdr:row>16</xdr:row>
      <xdr:rowOff>53446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C975F0-AB21-4180-B12D-AC4C97424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61205"/>
          <a:ext cx="5402580" cy="6183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489851</xdr:colOff>
      <xdr:row>12</xdr:row>
      <xdr:rowOff>121920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541FE8-ACE4-4492-9B45-925936942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244731" cy="2316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129541</xdr:rowOff>
    </xdr:from>
    <xdr:to>
      <xdr:col>6</xdr:col>
      <xdr:colOff>403860</xdr:colOff>
      <xdr:row>65</xdr:row>
      <xdr:rowOff>55993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2523523-A090-4184-AFF0-BFD74A007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148061"/>
          <a:ext cx="5158740" cy="8408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144780</xdr:rowOff>
    </xdr:from>
    <xdr:to>
      <xdr:col>7</xdr:col>
      <xdr:colOff>678180</xdr:colOff>
      <xdr:row>106</xdr:row>
      <xdr:rowOff>162903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F283C27-DF4E-40BC-936F-053928AB3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027140"/>
          <a:ext cx="6225540" cy="5667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71120</xdr:rowOff>
    </xdr:from>
    <xdr:to>
      <xdr:col>8</xdr:col>
      <xdr:colOff>309538</xdr:colOff>
      <xdr:row>128</xdr:row>
      <xdr:rowOff>46428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DEEB71A-F559-4B46-A836-43E538B49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379853"/>
          <a:ext cx="6676471" cy="534108"/>
        </a:xfrm>
        <a:prstGeom prst="rect">
          <a:avLst/>
        </a:prstGeom>
      </xdr:spPr>
    </xdr:pic>
    <xdr:clientData/>
  </xdr:twoCellAnchor>
  <xdr:twoCellAnchor editAs="oneCell">
    <xdr:from>
      <xdr:col>3</xdr:col>
      <xdr:colOff>215153</xdr:colOff>
      <xdr:row>109</xdr:row>
      <xdr:rowOff>89647</xdr:rowOff>
    </xdr:from>
    <xdr:to>
      <xdr:col>4</xdr:col>
      <xdr:colOff>664682</xdr:colOff>
      <xdr:row>114</xdr:row>
      <xdr:rowOff>2914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988CDCC-3555-480D-AFF5-3A9293510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00213" y="9325087"/>
          <a:ext cx="1242009" cy="827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101601</xdr:colOff>
      <xdr:row>159</xdr:row>
      <xdr:rowOff>166928</xdr:rowOff>
    </xdr:from>
    <xdr:to>
      <xdr:col>8</xdr:col>
      <xdr:colOff>59268</xdr:colOff>
      <xdr:row>165</xdr:row>
      <xdr:rowOff>40362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F6DC85F-544A-462F-9F65-44B91E097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601" y="29808728"/>
          <a:ext cx="6324600" cy="9910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662940</xdr:colOff>
      <xdr:row>21</xdr:row>
      <xdr:rowOff>115281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DA4739-99A5-4488-841E-E8F80E5E9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17820" cy="39557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7</xdr:col>
      <xdr:colOff>335790</xdr:colOff>
      <xdr:row>51</xdr:row>
      <xdr:rowOff>144967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C777A9-1C89-4F62-9715-6BC4D11D3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15200"/>
          <a:ext cx="5883150" cy="21566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14748</xdr:rowOff>
    </xdr:from>
    <xdr:to>
      <xdr:col>6</xdr:col>
      <xdr:colOff>759139</xdr:colOff>
      <xdr:row>76</xdr:row>
      <xdr:rowOff>83925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187BE38-40D1-42F4-9745-79FE775B1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364988"/>
          <a:ext cx="5514019" cy="617817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</xdr:colOff>
      <xdr:row>78</xdr:row>
      <xdr:rowOff>86246</xdr:rowOff>
    </xdr:from>
    <xdr:to>
      <xdr:col>5</xdr:col>
      <xdr:colOff>152400</xdr:colOff>
      <xdr:row>80</xdr:row>
      <xdr:rowOff>97637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42DF39A-F07C-492F-A697-9DA22FFDE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3320" y="14615046"/>
          <a:ext cx="1698413" cy="392391"/>
        </a:xfrm>
        <a:prstGeom prst="rect">
          <a:avLst/>
        </a:prstGeom>
      </xdr:spPr>
    </xdr:pic>
    <xdr:clientData/>
  </xdr:twoCellAnchor>
  <xdr:oneCellAnchor>
    <xdr:from>
      <xdr:col>0</xdr:col>
      <xdr:colOff>251460</xdr:colOff>
      <xdr:row>66</xdr:row>
      <xdr:rowOff>60960</xdr:rowOff>
    </xdr:from>
    <xdr:ext cx="967824" cy="731583"/>
    <xdr:pic>
      <xdr:nvPicPr>
        <xdr:cNvPr id="9" name="Imagen 8">
          <a:extLst>
            <a:ext uri="{FF2B5EF4-FFF2-40B4-BE49-F238E27FC236}">
              <a16:creationId xmlns:a16="http://schemas.microsoft.com/office/drawing/2014/main" id="{A97AAB2C-CCB2-4425-9045-16DED036C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1460" y="27012900"/>
          <a:ext cx="967824" cy="731583"/>
        </a:xfrm>
        <a:prstGeom prst="rect">
          <a:avLst/>
        </a:prstGeom>
      </xdr:spPr>
    </xdr:pic>
    <xdr:clientData/>
  </xdr:oneCellAnchor>
  <xdr:twoCellAnchor editAs="oneCell">
    <xdr:from>
      <xdr:col>11</xdr:col>
      <xdr:colOff>277906</xdr:colOff>
      <xdr:row>56</xdr:row>
      <xdr:rowOff>80682</xdr:rowOff>
    </xdr:from>
    <xdr:to>
      <xdr:col>12</xdr:col>
      <xdr:colOff>727435</xdr:colOff>
      <xdr:row>60</xdr:row>
      <xdr:rowOff>165624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0220CEE-D004-48E9-BF0A-E48F5058D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2966" y="1787562"/>
          <a:ext cx="1242009" cy="8240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498503</xdr:colOff>
      <xdr:row>15</xdr:row>
      <xdr:rowOff>19590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527AC6-0508-4DBA-9B0C-FA2BBB981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53383" cy="27627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72854</xdr:rowOff>
    </xdr:from>
    <xdr:to>
      <xdr:col>7</xdr:col>
      <xdr:colOff>704005</xdr:colOff>
      <xdr:row>78</xdr:row>
      <xdr:rowOff>166154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1B85C3-DA9F-4746-A36D-04BBFBE85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005774"/>
          <a:ext cx="6251365" cy="2470740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</xdr:colOff>
      <xdr:row>97</xdr:row>
      <xdr:rowOff>102082</xdr:rowOff>
    </xdr:from>
    <xdr:to>
      <xdr:col>2</xdr:col>
      <xdr:colOff>257503</xdr:colOff>
      <xdr:row>99</xdr:row>
      <xdr:rowOff>87695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9E0DDB4-7CBD-49DF-B2E5-F1816D731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" y="17879542"/>
          <a:ext cx="1735783" cy="351373"/>
        </a:xfrm>
        <a:prstGeom prst="rect">
          <a:avLst/>
        </a:prstGeom>
      </xdr:spPr>
    </xdr:pic>
    <xdr:clientData/>
  </xdr:twoCellAnchor>
  <xdr:oneCellAnchor>
    <xdr:from>
      <xdr:col>3</xdr:col>
      <xdr:colOff>152401</xdr:colOff>
      <xdr:row>81</xdr:row>
      <xdr:rowOff>7621</xdr:rowOff>
    </xdr:from>
    <xdr:ext cx="1109785" cy="541020"/>
    <xdr:pic>
      <xdr:nvPicPr>
        <xdr:cNvPr id="7" name="Imagen 6">
          <a:extLst>
            <a:ext uri="{FF2B5EF4-FFF2-40B4-BE49-F238E27FC236}">
              <a16:creationId xmlns:a16="http://schemas.microsoft.com/office/drawing/2014/main" id="{BF9B8885-40ED-40E1-9CF8-3B9F91C06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29841" y="30792421"/>
          <a:ext cx="1109785" cy="54102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0</xdr:row>
      <xdr:rowOff>27395</xdr:rowOff>
    </xdr:from>
    <xdr:to>
      <xdr:col>7</xdr:col>
      <xdr:colOff>136227</xdr:colOff>
      <xdr:row>8</xdr:row>
      <xdr:rowOff>141239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63036E-4EC4-40FA-9598-4B27CAC81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" y="27395"/>
          <a:ext cx="5706447" cy="15768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76200</xdr:rowOff>
    </xdr:from>
    <xdr:to>
      <xdr:col>6</xdr:col>
      <xdr:colOff>526404</xdr:colOff>
      <xdr:row>105</xdr:row>
      <xdr:rowOff>141643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393B26-7F99-47BA-9911-EB97B7161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037320"/>
          <a:ext cx="5464164" cy="35401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45535</xdr:rowOff>
    </xdr:from>
    <xdr:to>
      <xdr:col>8</xdr:col>
      <xdr:colOff>124810</xdr:colOff>
      <xdr:row>52</xdr:row>
      <xdr:rowOff>49639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E0378CF-988F-4E5A-959C-E319A43AC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823775"/>
          <a:ext cx="6647530" cy="7356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6</xdr:col>
      <xdr:colOff>560917</xdr:colOff>
      <xdr:row>16</xdr:row>
      <xdr:rowOff>50102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6B802B-288C-4BF3-A99C-4BC53525E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"/>
          <a:ext cx="5315797" cy="296856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16</xdr:row>
      <xdr:rowOff>70256</xdr:rowOff>
    </xdr:from>
    <xdr:to>
      <xdr:col>4</xdr:col>
      <xdr:colOff>461699</xdr:colOff>
      <xdr:row>19</xdr:row>
      <xdr:rowOff>118223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023E41-2F70-44B6-891E-11D1490EB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2996336"/>
          <a:ext cx="3593519" cy="5966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167640</xdr:rowOff>
    </xdr:from>
    <xdr:to>
      <xdr:col>3</xdr:col>
      <xdr:colOff>118458</xdr:colOff>
      <xdr:row>47</xdr:row>
      <xdr:rowOff>44053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778EFF-7177-415D-94E1-F1E249453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934200"/>
          <a:ext cx="2495898" cy="17052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125216</xdr:colOff>
      <xdr:row>0</xdr:row>
      <xdr:rowOff>83820</xdr:rowOff>
    </xdr:from>
    <xdr:to>
      <xdr:col>6</xdr:col>
      <xdr:colOff>699963</xdr:colOff>
      <xdr:row>37</xdr:row>
      <xdr:rowOff>161084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59448C-82D4-4A1A-99CD-FE3247C9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16" y="83820"/>
          <a:ext cx="5329627" cy="68438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701444</xdr:colOff>
      <xdr:row>7</xdr:row>
      <xdr:rowOff>15352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B44994-2661-4051-97D2-1650B44A8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63844" cy="12955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175260</xdr:rowOff>
    </xdr:from>
    <xdr:to>
      <xdr:col>7</xdr:col>
      <xdr:colOff>120806</xdr:colOff>
      <xdr:row>30</xdr:row>
      <xdr:rowOff>11560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B426125-17CA-4EA2-BAAA-B4B1FD875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64380"/>
          <a:ext cx="5668166" cy="933580"/>
        </a:xfrm>
        <a:prstGeom prst="rect">
          <a:avLst/>
        </a:prstGeom>
      </xdr:spPr>
    </xdr:pic>
    <xdr:clientData/>
  </xdr:twoCellAnchor>
  <xdr:twoCellAnchor editAs="oneCell">
    <xdr:from>
      <xdr:col>3</xdr:col>
      <xdr:colOff>277906</xdr:colOff>
      <xdr:row>9</xdr:row>
      <xdr:rowOff>80682</xdr:rowOff>
    </xdr:from>
    <xdr:to>
      <xdr:col>4</xdr:col>
      <xdr:colOff>727435</xdr:colOff>
      <xdr:row>13</xdr:row>
      <xdr:rowOff>173244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B2F388-4326-44D4-ACC9-917526A8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2966" y="1787562"/>
          <a:ext cx="1242009" cy="8240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30480</xdr:rowOff>
    </xdr:from>
    <xdr:to>
      <xdr:col>5</xdr:col>
      <xdr:colOff>777643</xdr:colOff>
      <xdr:row>4</xdr:row>
      <xdr:rowOff>152474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5FDF81-887F-46B8-9BF1-D61946B51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30480"/>
          <a:ext cx="4648603" cy="853514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27</xdr:row>
      <xdr:rowOff>137160</xdr:rowOff>
    </xdr:from>
    <xdr:to>
      <xdr:col>7</xdr:col>
      <xdr:colOff>103649</xdr:colOff>
      <xdr:row>32</xdr:row>
      <xdr:rowOff>80130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DC4674-492E-42C3-9BF3-9D94310D9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" y="5074920"/>
          <a:ext cx="5582429" cy="857370"/>
        </a:xfrm>
        <a:prstGeom prst="rect">
          <a:avLst/>
        </a:prstGeom>
      </xdr:spPr>
    </xdr:pic>
    <xdr:clientData/>
  </xdr:twoCellAnchor>
  <xdr:oneCellAnchor>
    <xdr:from>
      <xdr:col>3</xdr:col>
      <xdr:colOff>152401</xdr:colOff>
      <xdr:row>7</xdr:row>
      <xdr:rowOff>7621</xdr:rowOff>
    </xdr:from>
    <xdr:ext cx="1109785" cy="541020"/>
    <xdr:pic>
      <xdr:nvPicPr>
        <xdr:cNvPr id="4" name="Imagen 3">
          <a:extLst>
            <a:ext uri="{FF2B5EF4-FFF2-40B4-BE49-F238E27FC236}">
              <a16:creationId xmlns:a16="http://schemas.microsoft.com/office/drawing/2014/main" id="{F34B2FAB-6903-4138-A609-806C557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29841" y="30792421"/>
          <a:ext cx="1109785" cy="541020"/>
        </a:xfrm>
        <a:prstGeom prst="rect">
          <a:avLst/>
        </a:prstGeom>
      </xdr:spPr>
    </xdr:pic>
    <xdr:clientData/>
  </xdr:oneCellAnchor>
  <xdr:twoCellAnchor editAs="oneCell">
    <xdr:from>
      <xdr:col>11</xdr:col>
      <xdr:colOff>388620</xdr:colOff>
      <xdr:row>21</xdr:row>
      <xdr:rowOff>137160</xdr:rowOff>
    </xdr:from>
    <xdr:to>
      <xdr:col>14</xdr:col>
      <xdr:colOff>430868</xdr:colOff>
      <xdr:row>37</xdr:row>
      <xdr:rowOff>97558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0F0716D-CBE9-4E39-885B-199D62B15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05900" y="3977640"/>
          <a:ext cx="2419688" cy="2886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A097-346E-43BF-B48C-E500D86FD504}">
  <dimension ref="A18:J159"/>
  <sheetViews>
    <sheetView topLeftCell="A23" zoomScale="90" zoomScaleNormal="90" workbookViewId="0">
      <selection activeCell="B116" sqref="B116"/>
    </sheetView>
  </sheetViews>
  <sheetFormatPr baseColWidth="10" defaultRowHeight="14.4" x14ac:dyDescent="0.3"/>
  <sheetData>
    <row r="18" spans="1:7" x14ac:dyDescent="0.3">
      <c r="A18" s="1" t="s">
        <v>0</v>
      </c>
      <c r="G18">
        <v>7</v>
      </c>
    </row>
    <row r="19" spans="1:7" x14ac:dyDescent="0.3">
      <c r="A19" t="s">
        <v>27</v>
      </c>
      <c r="G19">
        <v>5</v>
      </c>
    </row>
    <row r="20" spans="1:7" x14ac:dyDescent="0.3">
      <c r="A20" t="s">
        <v>28</v>
      </c>
      <c r="G20">
        <v>5</v>
      </c>
    </row>
    <row r="21" spans="1:7" x14ac:dyDescent="0.3">
      <c r="G21">
        <v>4</v>
      </c>
    </row>
    <row r="22" spans="1:7" x14ac:dyDescent="0.3">
      <c r="A22" s="2" t="s">
        <v>1</v>
      </c>
      <c r="B22" s="2">
        <v>0.05</v>
      </c>
      <c r="G22">
        <v>4</v>
      </c>
    </row>
    <row r="23" spans="1:7" x14ac:dyDescent="0.3">
      <c r="G23">
        <v>4</v>
      </c>
    </row>
    <row r="24" spans="1:7" x14ac:dyDescent="0.3">
      <c r="A24" s="1" t="s">
        <v>2</v>
      </c>
      <c r="G24">
        <v>3</v>
      </c>
    </row>
    <row r="25" spans="1:7" x14ac:dyDescent="0.3">
      <c r="A25" t="s">
        <v>3</v>
      </c>
      <c r="G25">
        <v>3</v>
      </c>
    </row>
    <row r="26" spans="1:7" x14ac:dyDescent="0.3">
      <c r="A26" s="3"/>
      <c r="B26" s="80" t="s">
        <v>4</v>
      </c>
      <c r="C26" s="81"/>
      <c r="D26" s="80" t="s">
        <v>5</v>
      </c>
      <c r="E26" s="82"/>
      <c r="F26" s="81"/>
      <c r="G26">
        <v>3</v>
      </c>
    </row>
    <row r="27" spans="1:7" x14ac:dyDescent="0.3">
      <c r="A27" s="4" t="s">
        <v>6</v>
      </c>
      <c r="B27" s="4" t="s">
        <v>7</v>
      </c>
      <c r="C27" s="4" t="s">
        <v>8</v>
      </c>
      <c r="D27" s="4" t="s">
        <v>9</v>
      </c>
      <c r="E27" s="4" t="s">
        <v>10</v>
      </c>
      <c r="F27" s="4" t="s">
        <v>11</v>
      </c>
      <c r="G27">
        <v>2</v>
      </c>
    </row>
    <row r="28" spans="1:7" x14ac:dyDescent="0.3">
      <c r="A28">
        <v>7</v>
      </c>
      <c r="B28">
        <f>+A28-A41</f>
        <v>6</v>
      </c>
      <c r="C28" s="5">
        <v>0.52510000000000001</v>
      </c>
      <c r="D28">
        <f t="shared" ref="D28:D34" si="0">+C28*B28</f>
        <v>3.1505999999999998</v>
      </c>
      <c r="E28" s="6">
        <f>+A28-$B$43</f>
        <v>3.7142857142857144</v>
      </c>
      <c r="F28">
        <f t="shared" ref="F28:F37" si="1">+E28*E28</f>
        <v>13.795918367346939</v>
      </c>
      <c r="G28">
        <v>2</v>
      </c>
    </row>
    <row r="29" spans="1:7" x14ac:dyDescent="0.3">
      <c r="A29">
        <v>5</v>
      </c>
      <c r="B29">
        <f>+A29-A40</f>
        <v>4</v>
      </c>
      <c r="C29" s="5">
        <v>0.33179999999999998</v>
      </c>
      <c r="D29">
        <f t="shared" si="0"/>
        <v>1.3271999999999999</v>
      </c>
      <c r="E29" s="6">
        <f t="shared" ref="E29:E41" si="2">+A29-$B$43</f>
        <v>1.7142857142857144</v>
      </c>
      <c r="F29">
        <f t="shared" si="1"/>
        <v>2.9387755102040822</v>
      </c>
      <c r="G29">
        <v>2</v>
      </c>
    </row>
    <row r="30" spans="1:7" x14ac:dyDescent="0.3">
      <c r="A30">
        <v>5</v>
      </c>
      <c r="B30">
        <f>+A30-A39</f>
        <v>3</v>
      </c>
      <c r="C30" s="5">
        <v>0.246</v>
      </c>
      <c r="D30">
        <f t="shared" si="0"/>
        <v>0.73799999999999999</v>
      </c>
      <c r="E30" s="6">
        <f t="shared" si="2"/>
        <v>1.7142857142857144</v>
      </c>
      <c r="F30">
        <f t="shared" si="1"/>
        <v>2.9387755102040822</v>
      </c>
      <c r="G30">
        <v>1</v>
      </c>
    </row>
    <row r="31" spans="1:7" x14ac:dyDescent="0.3">
      <c r="A31">
        <v>4</v>
      </c>
      <c r="B31">
        <f>+A31-A38</f>
        <v>2</v>
      </c>
      <c r="C31" s="5">
        <v>0.1802</v>
      </c>
      <c r="D31">
        <f t="shared" si="0"/>
        <v>0.3604</v>
      </c>
      <c r="E31" s="6">
        <f t="shared" si="2"/>
        <v>0.71428571428571441</v>
      </c>
      <c r="F31">
        <f t="shared" si="1"/>
        <v>0.51020408163265329</v>
      </c>
      <c r="G31">
        <v>1</v>
      </c>
    </row>
    <row r="32" spans="1:7" x14ac:dyDescent="0.3">
      <c r="A32">
        <v>4</v>
      </c>
      <c r="B32">
        <f>+A32-A37</f>
        <v>2</v>
      </c>
      <c r="C32" s="7">
        <v>0.124</v>
      </c>
      <c r="D32" s="8">
        <f t="shared" si="0"/>
        <v>0.248</v>
      </c>
      <c r="E32" s="6">
        <f t="shared" si="2"/>
        <v>0.71428571428571441</v>
      </c>
      <c r="F32" s="8">
        <f t="shared" si="1"/>
        <v>0.51020408163265329</v>
      </c>
    </row>
    <row r="33" spans="1:6" x14ac:dyDescent="0.3">
      <c r="A33">
        <v>4</v>
      </c>
      <c r="B33">
        <f>+A33-A36</f>
        <v>1</v>
      </c>
      <c r="C33" s="7">
        <v>7.2700000000000001E-2</v>
      </c>
      <c r="D33" s="8">
        <f t="shared" si="0"/>
        <v>7.2700000000000001E-2</v>
      </c>
      <c r="E33" s="6">
        <f t="shared" si="2"/>
        <v>0.71428571428571441</v>
      </c>
      <c r="F33" s="8">
        <f t="shared" si="1"/>
        <v>0.51020408163265329</v>
      </c>
    </row>
    <row r="34" spans="1:6" x14ac:dyDescent="0.3">
      <c r="A34">
        <v>3</v>
      </c>
      <c r="B34">
        <f>+A34-A35</f>
        <v>0</v>
      </c>
      <c r="C34" s="7">
        <v>2.4E-2</v>
      </c>
      <c r="D34" s="8">
        <f t="shared" si="0"/>
        <v>0</v>
      </c>
      <c r="E34" s="6">
        <f t="shared" si="2"/>
        <v>-0.28571428571428559</v>
      </c>
      <c r="F34" s="8">
        <f t="shared" si="1"/>
        <v>8.1632653061224414E-2</v>
      </c>
    </row>
    <row r="35" spans="1:6" x14ac:dyDescent="0.3">
      <c r="A35">
        <v>3</v>
      </c>
      <c r="E35" s="6">
        <f t="shared" si="2"/>
        <v>-0.28571428571428559</v>
      </c>
      <c r="F35" s="8">
        <f t="shared" si="1"/>
        <v>8.1632653061224414E-2</v>
      </c>
    </row>
    <row r="36" spans="1:6" x14ac:dyDescent="0.3">
      <c r="A36">
        <v>3</v>
      </c>
      <c r="E36" s="6">
        <f t="shared" si="2"/>
        <v>-0.28571428571428559</v>
      </c>
      <c r="F36" s="8">
        <f t="shared" si="1"/>
        <v>8.1632653061224414E-2</v>
      </c>
    </row>
    <row r="37" spans="1:6" x14ac:dyDescent="0.3">
      <c r="A37">
        <v>2</v>
      </c>
      <c r="C37" s="9"/>
      <c r="D37" s="8"/>
      <c r="E37" s="6">
        <f t="shared" si="2"/>
        <v>-1.2857142857142856</v>
      </c>
      <c r="F37" s="8">
        <f t="shared" si="1"/>
        <v>1.6530612244897955</v>
      </c>
    </row>
    <row r="38" spans="1:6" x14ac:dyDescent="0.3">
      <c r="A38">
        <v>2</v>
      </c>
      <c r="E38" s="6">
        <f t="shared" si="2"/>
        <v>-1.2857142857142856</v>
      </c>
      <c r="F38">
        <f>+E38*E38</f>
        <v>1.6530612244897955</v>
      </c>
    </row>
    <row r="39" spans="1:6" x14ac:dyDescent="0.3">
      <c r="A39">
        <v>2</v>
      </c>
      <c r="E39" s="6">
        <f t="shared" si="2"/>
        <v>-1.2857142857142856</v>
      </c>
      <c r="F39">
        <f>+E39*E39</f>
        <v>1.6530612244897955</v>
      </c>
    </row>
    <row r="40" spans="1:6" x14ac:dyDescent="0.3">
      <c r="A40">
        <v>1</v>
      </c>
      <c r="E40" s="6">
        <f t="shared" si="2"/>
        <v>-2.2857142857142856</v>
      </c>
      <c r="F40">
        <f>+E40*E40</f>
        <v>5.2244897959183669</v>
      </c>
    </row>
    <row r="41" spans="1:6" x14ac:dyDescent="0.3">
      <c r="A41">
        <v>1</v>
      </c>
      <c r="B41" s="10"/>
      <c r="C41" s="10"/>
      <c r="D41" s="10"/>
      <c r="E41" s="6">
        <f t="shared" si="2"/>
        <v>-2.2857142857142856</v>
      </c>
      <c r="F41" s="10">
        <f>+E41*E41</f>
        <v>5.2244897959183669</v>
      </c>
    </row>
    <row r="42" spans="1:6" x14ac:dyDescent="0.3">
      <c r="A42" s="11" t="s">
        <v>12</v>
      </c>
      <c r="B42" s="12">
        <f>+SUM(A28:A41)</f>
        <v>46</v>
      </c>
      <c r="D42">
        <f>SUM(D28:D41)</f>
        <v>5.8969000000000005</v>
      </c>
      <c r="F42">
        <f>SUM(F28:F41)</f>
        <v>36.857142857142861</v>
      </c>
    </row>
    <row r="43" spans="1:6" x14ac:dyDescent="0.3">
      <c r="A43" s="11" t="s">
        <v>13</v>
      </c>
      <c r="B43" s="13">
        <f>+AVERAGE(A28:A41)</f>
        <v>3.2857142857142856</v>
      </c>
    </row>
    <row r="44" spans="1:6" x14ac:dyDescent="0.3">
      <c r="A44" s="11" t="s">
        <v>14</v>
      </c>
      <c r="B44" s="13">
        <f>+_xlfn.VAR.S(A28:A41)</f>
        <v>2.8351648351648353</v>
      </c>
    </row>
    <row r="45" spans="1:6" ht="15.6" x14ac:dyDescent="0.35">
      <c r="A45" s="11" t="s">
        <v>15</v>
      </c>
      <c r="B45" s="13">
        <f>+_xlfn.STDEV.S(A28:A41)</f>
        <v>1.6837947722821909</v>
      </c>
      <c r="D45" s="11" t="s">
        <v>16</v>
      </c>
      <c r="E45" t="s">
        <v>17</v>
      </c>
    </row>
    <row r="46" spans="1:6" ht="15.6" x14ac:dyDescent="0.35">
      <c r="A46" s="11"/>
      <c r="D46" s="11" t="s">
        <v>16</v>
      </c>
      <c r="E46" s="30">
        <f>+(B47*B47)/B48</f>
        <v>0.9434651444573644</v>
      </c>
    </row>
    <row r="47" spans="1:6" x14ac:dyDescent="0.3">
      <c r="A47" s="11" t="s">
        <v>18</v>
      </c>
      <c r="B47" s="13">
        <f>+D42</f>
        <v>5.8969000000000005</v>
      </c>
    </row>
    <row r="48" spans="1:6" x14ac:dyDescent="0.3">
      <c r="A48" s="11" t="s">
        <v>19</v>
      </c>
      <c r="B48" s="13">
        <f>+F42</f>
        <v>36.857142857142861</v>
      </c>
    </row>
    <row r="49" spans="1:8" ht="15.6" x14ac:dyDescent="0.35">
      <c r="A49" s="11" t="s">
        <v>16</v>
      </c>
      <c r="B49" s="13">
        <f>+E46</f>
        <v>0.9434651444573644</v>
      </c>
    </row>
    <row r="51" spans="1:8" x14ac:dyDescent="0.3">
      <c r="A51" s="83" t="s">
        <v>26</v>
      </c>
      <c r="B51" s="83"/>
      <c r="C51" s="83"/>
      <c r="D51" s="83"/>
      <c r="E51" s="83"/>
      <c r="F51" s="83"/>
      <c r="G51" s="14">
        <v>0.874</v>
      </c>
    </row>
    <row r="53" spans="1:8" x14ac:dyDescent="0.3">
      <c r="A53" t="s">
        <v>20</v>
      </c>
    </row>
    <row r="54" spans="1:8" x14ac:dyDescent="0.3">
      <c r="A54" s="15" t="s">
        <v>23</v>
      </c>
    </row>
    <row r="55" spans="1:8" x14ac:dyDescent="0.3">
      <c r="A55" t="s">
        <v>21</v>
      </c>
      <c r="B55" s="16">
        <f>+E46</f>
        <v>0.9434651444573644</v>
      </c>
      <c r="C55" s="17" t="s">
        <v>22</v>
      </c>
      <c r="D55" s="12">
        <f>+G51</f>
        <v>0.874</v>
      </c>
    </row>
    <row r="56" spans="1:8" x14ac:dyDescent="0.3">
      <c r="A56" s="84" t="s">
        <v>92</v>
      </c>
      <c r="B56" s="84"/>
      <c r="C56" s="84"/>
      <c r="D56" s="84"/>
      <c r="E56" s="84"/>
      <c r="F56" s="84"/>
      <c r="G56" s="84"/>
      <c r="H56" s="84"/>
    </row>
    <row r="57" spans="1:8" x14ac:dyDescent="0.3">
      <c r="A57" s="84"/>
      <c r="B57" s="84"/>
      <c r="C57" s="84"/>
      <c r="D57" s="84"/>
      <c r="E57" s="84"/>
      <c r="F57" s="84"/>
      <c r="G57" s="84"/>
      <c r="H57" s="84"/>
    </row>
    <row r="58" spans="1:8" x14ac:dyDescent="0.3">
      <c r="A58" s="18"/>
      <c r="B58" s="18"/>
      <c r="C58" s="18"/>
      <c r="D58" s="18"/>
      <c r="E58" s="18"/>
      <c r="F58" s="18"/>
      <c r="G58" s="18"/>
      <c r="H58" s="18"/>
    </row>
    <row r="59" spans="1:8" x14ac:dyDescent="0.3">
      <c r="A59" s="19" t="s">
        <v>25</v>
      </c>
    </row>
    <row r="68" spans="1:7" x14ac:dyDescent="0.3">
      <c r="A68" t="s">
        <v>29</v>
      </c>
    </row>
    <row r="69" spans="1:7" x14ac:dyDescent="0.3">
      <c r="A69" t="s">
        <v>30</v>
      </c>
    </row>
    <row r="70" spans="1:7" x14ac:dyDescent="0.3">
      <c r="B70" s="12"/>
    </row>
    <row r="71" spans="1:7" x14ac:dyDescent="0.3">
      <c r="A71" s="11" t="s">
        <v>15</v>
      </c>
      <c r="B71" s="14">
        <v>1.3</v>
      </c>
    </row>
    <row r="72" spans="1:7" x14ac:dyDescent="0.3">
      <c r="A72" s="11" t="s">
        <v>31</v>
      </c>
      <c r="B72" s="14">
        <v>3.5</v>
      </c>
    </row>
    <row r="73" spans="1:7" x14ac:dyDescent="0.3">
      <c r="A73" s="11" t="s">
        <v>1</v>
      </c>
      <c r="B73" s="14">
        <v>0.05</v>
      </c>
    </row>
    <row r="74" spans="1:7" x14ac:dyDescent="0.3">
      <c r="A74" s="11"/>
      <c r="B74" s="12"/>
    </row>
    <row r="75" spans="1:7" x14ac:dyDescent="0.3">
      <c r="A75" s="4" t="s">
        <v>32</v>
      </c>
      <c r="B75" s="4" t="s">
        <v>6</v>
      </c>
      <c r="C75" s="4" t="s">
        <v>33</v>
      </c>
      <c r="D75" s="4" t="s">
        <v>34</v>
      </c>
      <c r="E75" s="4" t="s">
        <v>35</v>
      </c>
      <c r="F75" s="4" t="s">
        <v>36</v>
      </c>
      <c r="G75" s="4" t="s">
        <v>37</v>
      </c>
    </row>
    <row r="76" spans="1:7" x14ac:dyDescent="0.3">
      <c r="A76" s="17">
        <v>1</v>
      </c>
      <c r="B76" s="17">
        <v>1</v>
      </c>
      <c r="C76" s="20">
        <f>+A76/$A$89</f>
        <v>7.1428571428571425E-2</v>
      </c>
      <c r="D76" s="20">
        <f>+(B76-$B$72)/$B$71</f>
        <v>-1.9230769230769229</v>
      </c>
      <c r="E76" s="20">
        <f>+_xlfn.NORM.S.DIST(D76,TRUE)</f>
        <v>2.7235195013738694E-2</v>
      </c>
      <c r="F76" s="20">
        <f>+ABS(+C76-E76)</f>
        <v>4.419337641483273E-2</v>
      </c>
      <c r="G76" s="20">
        <f>+E76</f>
        <v>2.7235195013738694E-2</v>
      </c>
    </row>
    <row r="77" spans="1:7" x14ac:dyDescent="0.3">
      <c r="A77" s="17">
        <v>2</v>
      </c>
      <c r="B77" s="17">
        <v>1</v>
      </c>
      <c r="C77" s="20">
        <f t="shared" ref="C77:C89" si="3">+A77/$A$89</f>
        <v>0.14285714285714285</v>
      </c>
      <c r="D77" s="20">
        <f t="shared" ref="D77:D89" si="4">+(B77-$B$72)/$B$71</f>
        <v>-1.9230769230769229</v>
      </c>
      <c r="E77" s="20">
        <f>+_xlfn.NORM.S.DIST(D77,TRUE)</f>
        <v>2.7235195013738694E-2</v>
      </c>
      <c r="F77" s="20">
        <f t="shared" ref="F77:F89" si="5">+ABS(+C77-E77)</f>
        <v>0.11562194784340415</v>
      </c>
      <c r="G77" s="20">
        <f>+ABS(C76-E77)</f>
        <v>4.419337641483273E-2</v>
      </c>
    </row>
    <row r="78" spans="1:7" x14ac:dyDescent="0.3">
      <c r="A78" s="17">
        <f>+A77+1</f>
        <v>3</v>
      </c>
      <c r="B78" s="17">
        <v>2</v>
      </c>
      <c r="C78" s="20">
        <f t="shared" si="3"/>
        <v>0.21428571428571427</v>
      </c>
      <c r="D78" s="20">
        <f t="shared" si="4"/>
        <v>-1.1538461538461537</v>
      </c>
      <c r="E78" s="20">
        <f t="shared" ref="E78:E88" si="6">+_xlfn.NORM.S.DIST(D78,TRUE)</f>
        <v>0.12428162410859106</v>
      </c>
      <c r="F78" s="20">
        <f t="shared" si="5"/>
        <v>9.0004090177123214E-2</v>
      </c>
      <c r="G78" s="20">
        <f>+ABS(C77-E78)</f>
        <v>1.8575518748551789E-2</v>
      </c>
    </row>
    <row r="79" spans="1:7" x14ac:dyDescent="0.3">
      <c r="A79" s="17">
        <f t="shared" ref="A79:A81" si="7">+A78+1</f>
        <v>4</v>
      </c>
      <c r="B79" s="17">
        <v>2</v>
      </c>
      <c r="C79" s="20">
        <f t="shared" si="3"/>
        <v>0.2857142857142857</v>
      </c>
      <c r="D79" s="20">
        <f t="shared" si="4"/>
        <v>-1.1538461538461537</v>
      </c>
      <c r="E79" s="20">
        <f t="shared" si="6"/>
        <v>0.12428162410859106</v>
      </c>
      <c r="F79" s="20">
        <f t="shared" si="5"/>
        <v>0.16143266160569464</v>
      </c>
      <c r="G79" s="20">
        <f t="shared" ref="G79:G80" si="8">+ABS(C78-E79)</f>
        <v>9.0004090177123214E-2</v>
      </c>
    </row>
    <row r="80" spans="1:7" x14ac:dyDescent="0.3">
      <c r="A80" s="17">
        <f t="shared" si="7"/>
        <v>5</v>
      </c>
      <c r="B80" s="17">
        <v>2</v>
      </c>
      <c r="C80" s="20">
        <f t="shared" si="3"/>
        <v>0.35714285714285715</v>
      </c>
      <c r="D80" s="20">
        <f t="shared" si="4"/>
        <v>-1.1538461538461537</v>
      </c>
      <c r="E80" s="20">
        <f t="shared" si="6"/>
        <v>0.12428162410859106</v>
      </c>
      <c r="F80" s="20">
        <f t="shared" si="5"/>
        <v>0.23286123303426609</v>
      </c>
      <c r="G80" s="20">
        <f t="shared" si="8"/>
        <v>0.16143266160569464</v>
      </c>
    </row>
    <row r="81" spans="1:7" x14ac:dyDescent="0.3">
      <c r="A81" s="21">
        <f t="shared" si="7"/>
        <v>6</v>
      </c>
      <c r="B81" s="17">
        <v>3</v>
      </c>
      <c r="C81" s="20">
        <f t="shared" si="3"/>
        <v>0.42857142857142855</v>
      </c>
      <c r="D81" s="20">
        <f t="shared" si="4"/>
        <v>-0.38461538461538458</v>
      </c>
      <c r="E81" s="20">
        <f t="shared" si="6"/>
        <v>0.35026119705192438</v>
      </c>
      <c r="F81" s="22">
        <f t="shared" si="5"/>
        <v>7.831023151950417E-2</v>
      </c>
      <c r="G81" s="22">
        <f>+ABS(C80-E81)</f>
        <v>6.881660090932773E-3</v>
      </c>
    </row>
    <row r="82" spans="1:7" x14ac:dyDescent="0.3">
      <c r="A82" s="17">
        <v>7</v>
      </c>
      <c r="B82" s="17">
        <v>3</v>
      </c>
      <c r="C82" s="20">
        <f t="shared" si="3"/>
        <v>0.5</v>
      </c>
      <c r="D82" s="20">
        <f t="shared" si="4"/>
        <v>-0.38461538461538458</v>
      </c>
      <c r="E82" s="20">
        <f t="shared" si="6"/>
        <v>0.35026119705192438</v>
      </c>
      <c r="F82" s="22">
        <f t="shared" si="5"/>
        <v>0.14973880294807562</v>
      </c>
      <c r="G82" s="22">
        <f t="shared" ref="G82:G89" si="9">+ABS(C81-E82)</f>
        <v>7.831023151950417E-2</v>
      </c>
    </row>
    <row r="83" spans="1:7" x14ac:dyDescent="0.3">
      <c r="A83" s="17">
        <v>8</v>
      </c>
      <c r="B83" s="17">
        <v>3</v>
      </c>
      <c r="C83" s="20">
        <f t="shared" si="3"/>
        <v>0.5714285714285714</v>
      </c>
      <c r="D83" s="20">
        <f t="shared" si="4"/>
        <v>-0.38461538461538458</v>
      </c>
      <c r="E83" s="20">
        <f t="shared" si="6"/>
        <v>0.35026119705192438</v>
      </c>
      <c r="F83" s="22">
        <f t="shared" si="5"/>
        <v>0.22116737437664702</v>
      </c>
      <c r="G83" s="22">
        <f t="shared" si="9"/>
        <v>0.14973880294807562</v>
      </c>
    </row>
    <row r="84" spans="1:7" x14ac:dyDescent="0.3">
      <c r="A84" s="17">
        <v>9</v>
      </c>
      <c r="B84" s="17">
        <v>4</v>
      </c>
      <c r="C84" s="20">
        <f t="shared" si="3"/>
        <v>0.6428571428571429</v>
      </c>
      <c r="D84" s="20">
        <f t="shared" si="4"/>
        <v>0.38461538461538458</v>
      </c>
      <c r="E84" s="20">
        <f t="shared" si="6"/>
        <v>0.64973880294807562</v>
      </c>
      <c r="F84" s="22">
        <f t="shared" si="5"/>
        <v>6.8816600909327175E-3</v>
      </c>
      <c r="G84" s="22">
        <f t="shared" si="9"/>
        <v>7.8310231519504225E-2</v>
      </c>
    </row>
    <row r="85" spans="1:7" x14ac:dyDescent="0.3">
      <c r="A85" s="17">
        <v>10</v>
      </c>
      <c r="B85" s="17">
        <v>4</v>
      </c>
      <c r="C85" s="20">
        <f t="shared" si="3"/>
        <v>0.7142857142857143</v>
      </c>
      <c r="D85" s="20">
        <f t="shared" si="4"/>
        <v>0.38461538461538458</v>
      </c>
      <c r="E85" s="20">
        <f t="shared" si="6"/>
        <v>0.64973880294807562</v>
      </c>
      <c r="F85" s="22">
        <f t="shared" si="5"/>
        <v>6.4546911337638679E-2</v>
      </c>
      <c r="G85" s="22">
        <f t="shared" si="9"/>
        <v>6.8816600909327175E-3</v>
      </c>
    </row>
    <row r="86" spans="1:7" x14ac:dyDescent="0.3">
      <c r="A86" s="17">
        <v>11</v>
      </c>
      <c r="B86" s="17">
        <v>4</v>
      </c>
      <c r="C86" s="20">
        <f t="shared" si="3"/>
        <v>0.7857142857142857</v>
      </c>
      <c r="D86" s="20">
        <f t="shared" si="4"/>
        <v>0.38461538461538458</v>
      </c>
      <c r="E86" s="20">
        <f t="shared" si="6"/>
        <v>0.64973880294807562</v>
      </c>
      <c r="F86" s="22">
        <f t="shared" si="5"/>
        <v>0.13597548276621008</v>
      </c>
      <c r="G86" s="22">
        <f t="shared" si="9"/>
        <v>6.4546911337638679E-2</v>
      </c>
    </row>
    <row r="87" spans="1:7" x14ac:dyDescent="0.3">
      <c r="A87" s="17">
        <v>12</v>
      </c>
      <c r="B87" s="17">
        <v>5</v>
      </c>
      <c r="C87" s="20">
        <f t="shared" si="3"/>
        <v>0.8571428571428571</v>
      </c>
      <c r="D87" s="20">
        <f t="shared" si="4"/>
        <v>1.1538461538461537</v>
      </c>
      <c r="E87" s="20">
        <f t="shared" si="6"/>
        <v>0.87571837589140888</v>
      </c>
      <c r="F87" s="22">
        <f t="shared" si="5"/>
        <v>1.8575518748551789E-2</v>
      </c>
      <c r="G87" s="22">
        <f t="shared" si="9"/>
        <v>9.0004090177123186E-2</v>
      </c>
    </row>
    <row r="88" spans="1:7" x14ac:dyDescent="0.3">
      <c r="A88" s="17">
        <v>13</v>
      </c>
      <c r="B88" s="17">
        <v>5</v>
      </c>
      <c r="C88" s="20">
        <f t="shared" si="3"/>
        <v>0.9285714285714286</v>
      </c>
      <c r="D88" s="20">
        <f t="shared" si="4"/>
        <v>1.1538461538461537</v>
      </c>
      <c r="E88" s="20">
        <f t="shared" si="6"/>
        <v>0.87571837589140888</v>
      </c>
      <c r="F88" s="22">
        <f t="shared" si="5"/>
        <v>5.2853052680019719E-2</v>
      </c>
      <c r="G88" s="22">
        <f t="shared" si="9"/>
        <v>1.8575518748551789E-2</v>
      </c>
    </row>
    <row r="89" spans="1:7" x14ac:dyDescent="0.3">
      <c r="A89" s="17">
        <v>14</v>
      </c>
      <c r="B89" s="17">
        <v>7</v>
      </c>
      <c r="C89" s="20">
        <f t="shared" si="3"/>
        <v>1</v>
      </c>
      <c r="D89" s="20">
        <f t="shared" si="4"/>
        <v>2.6923076923076921</v>
      </c>
      <c r="E89">
        <v>1</v>
      </c>
      <c r="F89" s="22">
        <f t="shared" si="5"/>
        <v>0</v>
      </c>
      <c r="G89" s="22">
        <f t="shared" si="9"/>
        <v>7.1428571428571397E-2</v>
      </c>
    </row>
    <row r="90" spans="1:7" x14ac:dyDescent="0.3">
      <c r="A90" t="s">
        <v>12</v>
      </c>
      <c r="B90">
        <f>SUM(B76:B89)</f>
        <v>46</v>
      </c>
      <c r="E90" s="85" t="s">
        <v>38</v>
      </c>
    </row>
    <row r="91" spans="1:7" x14ac:dyDescent="0.3">
      <c r="E91" s="85"/>
    </row>
    <row r="92" spans="1:7" x14ac:dyDescent="0.3">
      <c r="A92" s="11" t="s">
        <v>39</v>
      </c>
      <c r="B92" s="30">
        <f>+MAX(F76:G89)</f>
        <v>0.23286123303426609</v>
      </c>
    </row>
    <row r="93" spans="1:7" x14ac:dyDescent="0.3">
      <c r="A93" s="11" t="s">
        <v>40</v>
      </c>
    </row>
    <row r="94" spans="1:7" x14ac:dyDescent="0.3">
      <c r="A94" s="11"/>
    </row>
    <row r="95" spans="1:7" x14ac:dyDescent="0.3">
      <c r="A95" s="11" t="s">
        <v>41</v>
      </c>
      <c r="B95" s="14">
        <v>0.34889999999999999</v>
      </c>
    </row>
    <row r="96" spans="1:7" x14ac:dyDescent="0.3">
      <c r="A96" s="11" t="s">
        <v>42</v>
      </c>
    </row>
    <row r="98" spans="1:10" x14ac:dyDescent="0.3">
      <c r="A98" s="11" t="s">
        <v>43</v>
      </c>
    </row>
    <row r="99" spans="1:10" x14ac:dyDescent="0.3">
      <c r="A99" s="78" t="s">
        <v>44</v>
      </c>
      <c r="B99" s="78"/>
      <c r="C99" s="16">
        <f>+B92</f>
        <v>0.23286123303426609</v>
      </c>
      <c r="D99" s="17" t="s">
        <v>24</v>
      </c>
      <c r="E99" s="12">
        <f>+B95</f>
        <v>0.34889999999999999</v>
      </c>
    </row>
    <row r="100" spans="1:10" x14ac:dyDescent="0.3">
      <c r="A100" s="79" t="s">
        <v>45</v>
      </c>
      <c r="B100" s="79"/>
      <c r="C100" s="79"/>
      <c r="D100" s="79"/>
      <c r="E100" s="79"/>
      <c r="F100" s="79"/>
      <c r="G100" s="79"/>
      <c r="H100" s="79"/>
      <c r="I100" s="79"/>
    </row>
    <row r="101" spans="1:10" x14ac:dyDescent="0.3">
      <c r="A101" s="79"/>
      <c r="B101" s="79"/>
      <c r="C101" s="79"/>
      <c r="D101" s="79"/>
      <c r="E101" s="79"/>
      <c r="F101" s="79"/>
      <c r="G101" s="79"/>
      <c r="H101" s="79"/>
      <c r="I101" s="79"/>
    </row>
    <row r="102" spans="1:10" x14ac:dyDescent="0.3">
      <c r="A102" s="79"/>
      <c r="B102" s="79"/>
      <c r="C102" s="79"/>
      <c r="D102" s="79"/>
      <c r="E102" s="79"/>
      <c r="F102" s="79"/>
      <c r="G102" s="79"/>
      <c r="H102" s="79"/>
      <c r="I102" s="79"/>
    </row>
    <row r="109" spans="1:10" x14ac:dyDescent="0.3">
      <c r="A109" t="s">
        <v>46</v>
      </c>
      <c r="D109" t="s">
        <v>65</v>
      </c>
      <c r="J109">
        <v>7</v>
      </c>
    </row>
    <row r="110" spans="1:10" x14ac:dyDescent="0.3">
      <c r="A110" t="s">
        <v>48</v>
      </c>
      <c r="B110">
        <v>3.5</v>
      </c>
      <c r="J110">
        <v>5</v>
      </c>
    </row>
    <row r="111" spans="1:10" x14ac:dyDescent="0.3">
      <c r="A111" t="s">
        <v>49</v>
      </c>
      <c r="B111">
        <v>3.5</v>
      </c>
      <c r="F111" s="17" t="s">
        <v>50</v>
      </c>
      <c r="G111" s="69">
        <f>+((B115-B110)/(B116/SQRT(B113)))</f>
        <v>-0.47617663324286702</v>
      </c>
      <c r="J111">
        <v>5</v>
      </c>
    </row>
    <row r="112" spans="1:10" x14ac:dyDescent="0.3">
      <c r="J112">
        <v>4</v>
      </c>
    </row>
    <row r="113" spans="1:10" x14ac:dyDescent="0.3">
      <c r="A113" t="s">
        <v>51</v>
      </c>
      <c r="B113">
        <v>14</v>
      </c>
      <c r="J113">
        <v>4</v>
      </c>
    </row>
    <row r="114" spans="1:10" x14ac:dyDescent="0.3">
      <c r="A114" t="s">
        <v>1</v>
      </c>
      <c r="B114">
        <v>0.05</v>
      </c>
      <c r="J114">
        <v>4</v>
      </c>
    </row>
    <row r="115" spans="1:10" x14ac:dyDescent="0.3">
      <c r="A115" t="s">
        <v>52</v>
      </c>
      <c r="B115" s="24">
        <f>+AVERAGE(J109:J122)</f>
        <v>3.2857142857142856</v>
      </c>
      <c r="J115">
        <v>3</v>
      </c>
    </row>
    <row r="116" spans="1:10" x14ac:dyDescent="0.3">
      <c r="A116" t="s">
        <v>53</v>
      </c>
      <c r="B116" s="24">
        <f>+_xlfn.STDEV.S(J109:J122)</f>
        <v>1.6837947722821909</v>
      </c>
      <c r="D116" t="s">
        <v>64</v>
      </c>
      <c r="J116">
        <v>3</v>
      </c>
    </row>
    <row r="117" spans="1:10" x14ac:dyDescent="0.3">
      <c r="A117" t="s">
        <v>55</v>
      </c>
      <c r="B117">
        <f>+B114/2</f>
        <v>2.5000000000000001E-2</v>
      </c>
      <c r="D117" s="25"/>
      <c r="E117" s="26"/>
      <c r="F117" s="27"/>
      <c r="G117" s="28"/>
      <c r="J117">
        <v>3</v>
      </c>
    </row>
    <row r="118" spans="1:10" x14ac:dyDescent="0.3">
      <c r="D118" s="79" t="s">
        <v>63</v>
      </c>
      <c r="E118" s="79"/>
      <c r="F118" s="79"/>
      <c r="G118" s="79"/>
      <c r="H118" s="79"/>
      <c r="I118" s="79"/>
      <c r="J118">
        <v>2</v>
      </c>
    </row>
    <row r="119" spans="1:10" x14ac:dyDescent="0.3">
      <c r="A119" t="s">
        <v>57</v>
      </c>
      <c r="D119" s="79"/>
      <c r="E119" s="79"/>
      <c r="F119" s="79"/>
      <c r="G119" s="79"/>
      <c r="H119" s="79"/>
      <c r="I119" s="79"/>
      <c r="J119">
        <v>2</v>
      </c>
    </row>
    <row r="120" spans="1:10" x14ac:dyDescent="0.3">
      <c r="A120" t="s">
        <v>58</v>
      </c>
      <c r="B120" t="s">
        <v>59</v>
      </c>
      <c r="C120" t="s">
        <v>60</v>
      </c>
      <c r="D120" s="29"/>
      <c r="E120" s="29"/>
      <c r="F120" s="29"/>
      <c r="G120" s="29"/>
      <c r="H120" s="29"/>
      <c r="I120" s="29"/>
      <c r="J120">
        <v>2</v>
      </c>
    </row>
    <row r="121" spans="1:10" x14ac:dyDescent="0.3">
      <c r="A121" t="s">
        <v>58</v>
      </c>
      <c r="B121" t="s">
        <v>61</v>
      </c>
      <c r="C121" s="30">
        <f>+-_xlfn.T.INV((1-B117),(B113-1))</f>
        <v>-2.1603686564627917</v>
      </c>
      <c r="D121" s="29"/>
      <c r="E121" s="29"/>
      <c r="F121" s="29"/>
      <c r="G121" s="29"/>
      <c r="H121" s="29"/>
      <c r="I121" s="29"/>
      <c r="J121">
        <v>1</v>
      </c>
    </row>
    <row r="122" spans="1:10" x14ac:dyDescent="0.3">
      <c r="A122" t="s">
        <v>58</v>
      </c>
      <c r="B122" t="s">
        <v>62</v>
      </c>
      <c r="C122" s="30">
        <f>+_xlfn.T.INV((1-B117),(B113-1))</f>
        <v>2.1603686564627917</v>
      </c>
      <c r="D122" s="9"/>
      <c r="E122" s="31"/>
      <c r="F122" s="32"/>
      <c r="G122" s="33"/>
      <c r="J122">
        <v>1</v>
      </c>
    </row>
    <row r="130" spans="1:6" x14ac:dyDescent="0.3">
      <c r="A130" t="s">
        <v>66</v>
      </c>
      <c r="E130" t="s">
        <v>67</v>
      </c>
    </row>
    <row r="131" spans="1:6" x14ac:dyDescent="0.3">
      <c r="A131" t="s">
        <v>68</v>
      </c>
      <c r="B131">
        <v>3.5</v>
      </c>
      <c r="E131" t="s">
        <v>69</v>
      </c>
      <c r="F131" t="s">
        <v>70</v>
      </c>
    </row>
    <row r="132" spans="1:6" x14ac:dyDescent="0.3">
      <c r="A132" t="s">
        <v>71</v>
      </c>
      <c r="B132">
        <v>3.5</v>
      </c>
      <c r="E132" t="s">
        <v>69</v>
      </c>
      <c r="F132" t="s">
        <v>189</v>
      </c>
    </row>
    <row r="133" spans="1:6" x14ac:dyDescent="0.3">
      <c r="E133" t="s">
        <v>69</v>
      </c>
      <c r="F133" s="16">
        <f>2*_xlfn.BINOM.DIST(E136,A159,0.5,TRUE)</f>
        <v>0.79052734375</v>
      </c>
    </row>
    <row r="134" spans="1:6" x14ac:dyDescent="0.3">
      <c r="A134" t="s">
        <v>51</v>
      </c>
      <c r="B134">
        <v>14</v>
      </c>
    </row>
    <row r="135" spans="1:6" x14ac:dyDescent="0.3">
      <c r="A135" t="s">
        <v>1</v>
      </c>
      <c r="B135">
        <v>0.05</v>
      </c>
      <c r="E135" t="s">
        <v>73</v>
      </c>
    </row>
    <row r="136" spans="1:6" x14ac:dyDescent="0.3">
      <c r="E136">
        <f>+MIN(A153:A156)</f>
        <v>6</v>
      </c>
    </row>
    <row r="138" spans="1:6" x14ac:dyDescent="0.3">
      <c r="A138" t="s">
        <v>74</v>
      </c>
      <c r="E138" t="s">
        <v>75</v>
      </c>
    </row>
    <row r="139" spans="1:6" x14ac:dyDescent="0.3">
      <c r="B139" s="34">
        <v>7</v>
      </c>
      <c r="C139" s="35">
        <v>2</v>
      </c>
      <c r="E139" t="s">
        <v>78</v>
      </c>
    </row>
    <row r="140" spans="1:6" x14ac:dyDescent="0.3">
      <c r="B140" s="34">
        <v>5</v>
      </c>
      <c r="C140" s="35">
        <v>2</v>
      </c>
      <c r="E140" s="25" t="s">
        <v>77</v>
      </c>
      <c r="F140" s="25"/>
    </row>
    <row r="141" spans="1:6" x14ac:dyDescent="0.3">
      <c r="B141" s="34">
        <v>5</v>
      </c>
      <c r="C141" s="35">
        <v>2</v>
      </c>
    </row>
    <row r="142" spans="1:6" x14ac:dyDescent="0.3">
      <c r="B142" s="34">
        <v>4</v>
      </c>
      <c r="C142" s="35">
        <v>1</v>
      </c>
    </row>
    <row r="143" spans="1:6" x14ac:dyDescent="0.3">
      <c r="B143" s="34">
        <v>4</v>
      </c>
      <c r="C143" s="35">
        <v>1</v>
      </c>
    </row>
    <row r="144" spans="1:6" x14ac:dyDescent="0.3">
      <c r="B144" s="34">
        <v>4</v>
      </c>
    </row>
    <row r="145" spans="1:4" x14ac:dyDescent="0.3">
      <c r="A145" s="9"/>
      <c r="B145" s="35">
        <v>3</v>
      </c>
    </row>
    <row r="146" spans="1:4" x14ac:dyDescent="0.3">
      <c r="B146" s="35">
        <v>3</v>
      </c>
    </row>
    <row r="147" spans="1:4" x14ac:dyDescent="0.3">
      <c r="B147" s="35">
        <v>3</v>
      </c>
    </row>
    <row r="149" spans="1:4" x14ac:dyDescent="0.3">
      <c r="A149" t="s">
        <v>79</v>
      </c>
    </row>
    <row r="150" spans="1:4" x14ac:dyDescent="0.3">
      <c r="A150" t="s">
        <v>80</v>
      </c>
      <c r="D150">
        <f>+B131</f>
        <v>3.5</v>
      </c>
    </row>
    <row r="152" spans="1:4" x14ac:dyDescent="0.3">
      <c r="A152" t="s">
        <v>81</v>
      </c>
    </row>
    <row r="153" spans="1:4" x14ac:dyDescent="0.3">
      <c r="A153">
        <f>14-A156</f>
        <v>8</v>
      </c>
    </row>
    <row r="155" spans="1:4" x14ac:dyDescent="0.3">
      <c r="A155" t="s">
        <v>82</v>
      </c>
    </row>
    <row r="156" spans="1:4" x14ac:dyDescent="0.3">
      <c r="A156">
        <v>6</v>
      </c>
    </row>
    <row r="158" spans="1:4" x14ac:dyDescent="0.3">
      <c r="A158" t="s">
        <v>83</v>
      </c>
    </row>
    <row r="159" spans="1:4" x14ac:dyDescent="0.3">
      <c r="A159">
        <v>14</v>
      </c>
    </row>
  </sheetData>
  <sortState ref="B76:B89">
    <sortCondition ref="B76"/>
  </sortState>
  <mergeCells count="8">
    <mergeCell ref="A99:B99"/>
    <mergeCell ref="A100:I102"/>
    <mergeCell ref="D118:I119"/>
    <mergeCell ref="B26:C26"/>
    <mergeCell ref="D26:F26"/>
    <mergeCell ref="A51:F51"/>
    <mergeCell ref="A56:H57"/>
    <mergeCell ref="E90:E9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D505-6ECC-41D8-AC14-13E6D2E95670}">
  <dimension ref="A24:Q96"/>
  <sheetViews>
    <sheetView tabSelected="1" topLeftCell="A65" zoomScale="90" zoomScaleNormal="90" workbookViewId="0">
      <selection activeCell="G87" sqref="G87"/>
    </sheetView>
  </sheetViews>
  <sheetFormatPr baseColWidth="10" defaultRowHeight="14.4" x14ac:dyDescent="0.3"/>
  <cols>
    <col min="9" max="9" width="11.5546875" customWidth="1"/>
  </cols>
  <sheetData>
    <row r="24" spans="1:2" x14ac:dyDescent="0.3">
      <c r="A24" t="s">
        <v>84</v>
      </c>
    </row>
    <row r="25" spans="1:2" x14ac:dyDescent="0.3">
      <c r="A25" t="s">
        <v>85</v>
      </c>
      <c r="B25" s="12">
        <v>0.5</v>
      </c>
    </row>
    <row r="26" spans="1:2" x14ac:dyDescent="0.3">
      <c r="A26" t="s">
        <v>86</v>
      </c>
      <c r="B26" s="12">
        <v>0.5</v>
      </c>
    </row>
    <row r="27" spans="1:2" x14ac:dyDescent="0.3">
      <c r="B27" s="12"/>
    </row>
    <row r="28" spans="1:2" x14ac:dyDescent="0.3">
      <c r="A28" t="s">
        <v>51</v>
      </c>
      <c r="B28" s="12">
        <v>18</v>
      </c>
    </row>
    <row r="29" spans="1:2" x14ac:dyDescent="0.3">
      <c r="A29" t="s">
        <v>87</v>
      </c>
      <c r="B29" s="12">
        <v>5</v>
      </c>
    </row>
    <row r="30" spans="1:2" x14ac:dyDescent="0.3">
      <c r="A30" t="s">
        <v>88</v>
      </c>
      <c r="B30" s="12">
        <v>0.1</v>
      </c>
    </row>
    <row r="32" spans="1:2" x14ac:dyDescent="0.3">
      <c r="A32" t="s">
        <v>89</v>
      </c>
    </row>
    <row r="33" spans="1:2" x14ac:dyDescent="0.3">
      <c r="A33" t="s">
        <v>90</v>
      </c>
      <c r="B33">
        <f>+_xlfn.BINOM.DIST(B29,B28,B25,TRUE)</f>
        <v>4.8126220703125035E-2</v>
      </c>
    </row>
    <row r="35" spans="1:2" x14ac:dyDescent="0.3">
      <c r="A35" t="s">
        <v>91</v>
      </c>
    </row>
    <row r="36" spans="1:2" x14ac:dyDescent="0.3">
      <c r="A36" t="s">
        <v>76</v>
      </c>
    </row>
    <row r="54" spans="1:15" ht="18" x14ac:dyDescent="0.35">
      <c r="A54" s="86" t="s">
        <v>136</v>
      </c>
      <c r="B54" s="86"/>
      <c r="C54" s="86"/>
      <c r="I54" t="s">
        <v>147</v>
      </c>
      <c r="L54" s="87" t="s">
        <v>137</v>
      </c>
      <c r="M54" s="87"/>
    </row>
    <row r="56" spans="1:15" ht="15.6" x14ac:dyDescent="0.3">
      <c r="A56" t="s">
        <v>46</v>
      </c>
      <c r="D56" s="87" t="s">
        <v>137</v>
      </c>
      <c r="E56" s="87"/>
      <c r="I56" t="s">
        <v>46</v>
      </c>
      <c r="L56" t="s">
        <v>47</v>
      </c>
    </row>
    <row r="57" spans="1:15" x14ac:dyDescent="0.3">
      <c r="A57" t="s">
        <v>48</v>
      </c>
      <c r="B57">
        <v>3.1</v>
      </c>
      <c r="I57" t="s">
        <v>48</v>
      </c>
      <c r="J57">
        <v>3.1</v>
      </c>
    </row>
    <row r="58" spans="1:15" ht="15" x14ac:dyDescent="0.3">
      <c r="A58" t="s">
        <v>138</v>
      </c>
      <c r="B58">
        <v>3.1</v>
      </c>
      <c r="D58" t="s">
        <v>139</v>
      </c>
      <c r="E58" t="s">
        <v>140</v>
      </c>
      <c r="I58" t="s">
        <v>138</v>
      </c>
      <c r="J58">
        <v>3.1</v>
      </c>
      <c r="N58" s="38" t="s">
        <v>50</v>
      </c>
      <c r="O58" s="20">
        <f>+((J62-J57)/(J63/SQRT(J60)))</f>
        <v>2.8790574817593848</v>
      </c>
    </row>
    <row r="59" spans="1:15" x14ac:dyDescent="0.3">
      <c r="D59" t="s">
        <v>139</v>
      </c>
      <c r="E59" t="s">
        <v>141</v>
      </c>
    </row>
    <row r="60" spans="1:15" x14ac:dyDescent="0.3">
      <c r="A60" t="s">
        <v>51</v>
      </c>
      <c r="B60">
        <v>20</v>
      </c>
      <c r="D60" t="s">
        <v>139</v>
      </c>
      <c r="E60" t="s">
        <v>142</v>
      </c>
      <c r="F60" s="16">
        <f>+D67</f>
        <v>2.8790574817593848</v>
      </c>
      <c r="G60" t="s">
        <v>143</v>
      </c>
      <c r="I60" t="s">
        <v>51</v>
      </c>
      <c r="J60">
        <v>20</v>
      </c>
    </row>
    <row r="61" spans="1:15" x14ac:dyDescent="0.3">
      <c r="A61" t="s">
        <v>1</v>
      </c>
      <c r="B61">
        <v>0.05</v>
      </c>
      <c r="D61" t="s">
        <v>139</v>
      </c>
      <c r="E61">
        <v>1</v>
      </c>
      <c r="F61" t="s">
        <v>144</v>
      </c>
      <c r="G61" s="16">
        <f>+D67</f>
        <v>2.8790574817593848</v>
      </c>
      <c r="H61" t="s">
        <v>143</v>
      </c>
      <c r="I61" t="s">
        <v>1</v>
      </c>
      <c r="J61">
        <v>0.05</v>
      </c>
    </row>
    <row r="62" spans="1:15" x14ac:dyDescent="0.3">
      <c r="A62" t="s">
        <v>52</v>
      </c>
      <c r="B62">
        <v>4.5999999999999996</v>
      </c>
      <c r="D62" t="s">
        <v>139</v>
      </c>
      <c r="E62" s="16">
        <f>+_xlfn.T.DIST.RT(G61,19)</f>
        <v>4.8052789359411879E-3</v>
      </c>
      <c r="I62" t="s">
        <v>52</v>
      </c>
      <c r="J62" s="53">
        <v>4.5999999999999996</v>
      </c>
    </row>
    <row r="63" spans="1:15" ht="14.4" customHeight="1" x14ac:dyDescent="0.3">
      <c r="A63" t="s">
        <v>53</v>
      </c>
      <c r="B63">
        <v>2.33</v>
      </c>
      <c r="I63" t="s">
        <v>148</v>
      </c>
      <c r="J63" s="53">
        <v>2.33</v>
      </c>
      <c r="L63" t="s">
        <v>54</v>
      </c>
    </row>
    <row r="64" spans="1:15" x14ac:dyDescent="0.3">
      <c r="L64" t="s">
        <v>100</v>
      </c>
      <c r="M64" s="43">
        <f>+K68</f>
        <v>1.7291328115213698</v>
      </c>
      <c r="N64" s="44" t="s">
        <v>24</v>
      </c>
      <c r="O64" s="16">
        <f>+O58</f>
        <v>2.8790574817593848</v>
      </c>
    </row>
    <row r="65" spans="1:17" x14ac:dyDescent="0.3">
      <c r="A65" s="79" t="s">
        <v>47</v>
      </c>
      <c r="B65" s="79"/>
      <c r="C65" s="79"/>
      <c r="F65" t="s">
        <v>43</v>
      </c>
      <c r="L65" s="79" t="s">
        <v>56</v>
      </c>
      <c r="M65" s="79"/>
      <c r="N65" s="79"/>
      <c r="O65" s="79"/>
      <c r="P65" s="79"/>
      <c r="Q65" s="79"/>
    </row>
    <row r="66" spans="1:17" x14ac:dyDescent="0.3">
      <c r="A66" s="79"/>
      <c r="B66" s="79"/>
      <c r="C66" s="79"/>
      <c r="F66" t="s">
        <v>145</v>
      </c>
      <c r="I66" t="s">
        <v>101</v>
      </c>
      <c r="L66" s="79"/>
      <c r="M66" s="79"/>
      <c r="N66" s="79"/>
      <c r="O66" s="79"/>
      <c r="P66" s="79"/>
      <c r="Q66" s="79"/>
    </row>
    <row r="67" spans="1:17" x14ac:dyDescent="0.3">
      <c r="C67" s="38" t="s">
        <v>50</v>
      </c>
      <c r="D67" s="20">
        <f>+((B62-B57)/(B63/SQRT(B60)))</f>
        <v>2.8790574817593848</v>
      </c>
      <c r="F67" t="s">
        <v>146</v>
      </c>
      <c r="I67" t="s">
        <v>58</v>
      </c>
      <c r="J67" t="s">
        <v>59</v>
      </c>
      <c r="K67" t="s">
        <v>60</v>
      </c>
      <c r="L67" s="29"/>
      <c r="M67" s="29"/>
      <c r="N67" s="29"/>
      <c r="O67" s="29"/>
      <c r="P67" s="29"/>
      <c r="Q67" s="29"/>
    </row>
    <row r="68" spans="1:17" x14ac:dyDescent="0.3">
      <c r="I68" t="s">
        <v>58</v>
      </c>
      <c r="J68" t="s">
        <v>62</v>
      </c>
      <c r="K68" s="30">
        <f>+_xlfn.T.INV((1-J61),(19))</f>
        <v>1.7291328115213698</v>
      </c>
      <c r="L68" s="29"/>
      <c r="M68" s="29"/>
      <c r="N68" s="29"/>
      <c r="O68" s="29"/>
      <c r="P68" s="29"/>
      <c r="Q68" s="29"/>
    </row>
    <row r="69" spans="1:17" x14ac:dyDescent="0.3">
      <c r="K69" s="30"/>
      <c r="L69" t="s">
        <v>100</v>
      </c>
      <c r="M69" s="43">
        <f>+K68</f>
        <v>1.7291328115213698</v>
      </c>
      <c r="N69" s="44" t="s">
        <v>22</v>
      </c>
      <c r="O69" s="16">
        <f>+O58</f>
        <v>2.8790574817593848</v>
      </c>
    </row>
    <row r="70" spans="1:17" x14ac:dyDescent="0.3">
      <c r="L70" s="79" t="s">
        <v>63</v>
      </c>
      <c r="M70" s="79"/>
      <c r="N70" s="79"/>
      <c r="O70" s="79"/>
      <c r="P70" s="79"/>
      <c r="Q70" s="79"/>
    </row>
    <row r="71" spans="1:17" x14ac:dyDescent="0.3">
      <c r="L71" s="79"/>
      <c r="M71" s="79"/>
      <c r="N71" s="79"/>
      <c r="O71" s="79"/>
      <c r="P71" s="79"/>
      <c r="Q71" s="79"/>
    </row>
    <row r="78" spans="1:17" x14ac:dyDescent="0.3">
      <c r="A78" t="s">
        <v>46</v>
      </c>
      <c r="D78" t="s">
        <v>105</v>
      </c>
    </row>
    <row r="79" spans="1:17" x14ac:dyDescent="0.3">
      <c r="A79" t="s">
        <v>48</v>
      </c>
      <c r="B79">
        <v>3.1</v>
      </c>
      <c r="I79" s="42"/>
      <c r="J79" s="42"/>
      <c r="K79" s="42"/>
    </row>
    <row r="80" spans="1:17" ht="15.6" customHeight="1" x14ac:dyDescent="0.3">
      <c r="A80" t="s">
        <v>138</v>
      </c>
      <c r="B80">
        <v>3.1</v>
      </c>
      <c r="F80" s="23"/>
      <c r="G80" s="20"/>
      <c r="I80" s="42"/>
      <c r="J80" s="42"/>
      <c r="K80" s="42"/>
    </row>
    <row r="81" spans="1:11" x14ac:dyDescent="0.3">
      <c r="A81" t="s">
        <v>106</v>
      </c>
      <c r="B81">
        <v>4.6950000000000003</v>
      </c>
      <c r="I81" s="42"/>
      <c r="J81" s="42"/>
      <c r="K81" s="42"/>
    </row>
    <row r="82" spans="1:11" x14ac:dyDescent="0.3">
      <c r="A82" t="s">
        <v>51</v>
      </c>
      <c r="B82">
        <v>20</v>
      </c>
      <c r="D82" t="s">
        <v>107</v>
      </c>
      <c r="E82" s="13">
        <f>+B79+C91*(B85/SQRT(B82))</f>
        <v>3.956975053835833</v>
      </c>
      <c r="I82" s="42"/>
      <c r="J82" s="42"/>
      <c r="K82" s="42"/>
    </row>
    <row r="83" spans="1:11" x14ac:dyDescent="0.3">
      <c r="A83" t="s">
        <v>1</v>
      </c>
      <c r="B83">
        <v>0.05</v>
      </c>
      <c r="I83" s="42"/>
      <c r="J83" s="42"/>
      <c r="K83" s="42"/>
    </row>
    <row r="84" spans="1:11" x14ac:dyDescent="0.3">
      <c r="A84" t="s">
        <v>52</v>
      </c>
      <c r="B84">
        <v>4.5999999999999996</v>
      </c>
      <c r="D84" t="s">
        <v>102</v>
      </c>
      <c r="I84" s="42"/>
      <c r="J84" s="42"/>
      <c r="K84" s="42"/>
    </row>
    <row r="85" spans="1:11" ht="16.2" x14ac:dyDescent="0.35">
      <c r="A85" t="s">
        <v>53</v>
      </c>
      <c r="B85">
        <v>2.33</v>
      </c>
      <c r="D85" t="s">
        <v>108</v>
      </c>
      <c r="H85" s="9"/>
      <c r="I85" s="42"/>
      <c r="J85" s="42"/>
      <c r="K85" s="42"/>
    </row>
    <row r="86" spans="1:11" ht="15" x14ac:dyDescent="0.3">
      <c r="D86" s="11" t="s">
        <v>109</v>
      </c>
      <c r="E86" s="43">
        <f>+(E82-B81)/(B85/SQRT(B82))</f>
        <v>-1.4165441619860091</v>
      </c>
      <c r="F86" s="45" t="s">
        <v>110</v>
      </c>
      <c r="G86" s="46">
        <f>_xlfn.NORM.S.DIST(E86,TRUE)</f>
        <v>7.8308121893540986E-2</v>
      </c>
      <c r="H86" s="9"/>
      <c r="I86" s="42"/>
      <c r="J86" s="42"/>
      <c r="K86" s="42"/>
    </row>
    <row r="87" spans="1:11" x14ac:dyDescent="0.3">
      <c r="E87" s="42"/>
      <c r="F87" s="42"/>
      <c r="G87" s="42"/>
      <c r="H87" s="36"/>
      <c r="I87" s="42"/>
      <c r="J87" s="42"/>
      <c r="K87" s="42"/>
    </row>
    <row r="88" spans="1:11" x14ac:dyDescent="0.3">
      <c r="A88" t="s">
        <v>57</v>
      </c>
      <c r="D88" s="42"/>
      <c r="E88" s="42"/>
      <c r="F88" s="42"/>
      <c r="G88" s="42"/>
      <c r="H88" s="36"/>
      <c r="I88" s="42"/>
      <c r="J88" s="42"/>
      <c r="K88" s="42"/>
    </row>
    <row r="89" spans="1:11" x14ac:dyDescent="0.3">
      <c r="A89" t="s">
        <v>111</v>
      </c>
      <c r="B89" t="s">
        <v>61</v>
      </c>
      <c r="C89" t="s">
        <v>112</v>
      </c>
      <c r="D89" s="78" t="s">
        <v>103</v>
      </c>
      <c r="E89" s="78"/>
      <c r="F89" s="78"/>
      <c r="G89" s="29"/>
      <c r="H89" s="36"/>
      <c r="I89" s="42"/>
      <c r="J89" s="42"/>
      <c r="K89" s="42"/>
    </row>
    <row r="90" spans="1:11" ht="15" x14ac:dyDescent="0.3">
      <c r="A90" t="s">
        <v>111</v>
      </c>
      <c r="B90" t="s">
        <v>61</v>
      </c>
      <c r="C90" t="s">
        <v>113</v>
      </c>
      <c r="D90" s="47" t="s">
        <v>104</v>
      </c>
      <c r="E90" s="48">
        <f>1-G86</f>
        <v>0.92169187810645903</v>
      </c>
      <c r="F90" s="29"/>
      <c r="G90" s="29"/>
      <c r="H90" s="36"/>
      <c r="I90" s="42"/>
      <c r="J90" s="42"/>
      <c r="K90" s="42"/>
    </row>
    <row r="91" spans="1:11" x14ac:dyDescent="0.3">
      <c r="A91" t="s">
        <v>111</v>
      </c>
      <c r="B91" t="s">
        <v>61</v>
      </c>
      <c r="C91" s="30">
        <f>+_xlfn.NORM.S.INV(1-B83)</f>
        <v>1.6448536269514715</v>
      </c>
      <c r="E91" s="43"/>
      <c r="F91" s="44"/>
      <c r="G91" s="16"/>
      <c r="H91" s="9"/>
      <c r="I91" s="42"/>
      <c r="J91" s="42"/>
      <c r="K91" s="42"/>
    </row>
    <row r="92" spans="1:11" x14ac:dyDescent="0.3">
      <c r="D92" s="29"/>
      <c r="E92" s="29"/>
      <c r="F92" s="29"/>
      <c r="G92" s="29"/>
      <c r="H92" s="36"/>
      <c r="I92" s="42"/>
      <c r="J92" s="42"/>
      <c r="K92" s="42"/>
    </row>
    <row r="93" spans="1:11" ht="14.4" customHeight="1" x14ac:dyDescent="0.3">
      <c r="D93" s="79" t="s">
        <v>114</v>
      </c>
      <c r="E93" s="79"/>
      <c r="F93" s="79"/>
      <c r="G93" s="79"/>
      <c r="H93" s="36"/>
      <c r="I93" s="42"/>
      <c r="J93" s="42"/>
      <c r="K93" s="42"/>
    </row>
    <row r="94" spans="1:11" x14ac:dyDescent="0.3">
      <c r="D94" s="79"/>
      <c r="E94" s="79"/>
      <c r="F94" s="79"/>
      <c r="G94" s="79"/>
      <c r="I94" s="42"/>
      <c r="J94" s="42"/>
      <c r="K94" s="42"/>
    </row>
    <row r="95" spans="1:11" x14ac:dyDescent="0.3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</row>
    <row r="96" spans="1:11" x14ac:dyDescent="0.3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</row>
  </sheetData>
  <mergeCells count="8">
    <mergeCell ref="L70:Q71"/>
    <mergeCell ref="D89:F89"/>
    <mergeCell ref="D93:G94"/>
    <mergeCell ref="A54:C54"/>
    <mergeCell ref="D56:E56"/>
    <mergeCell ref="A65:C66"/>
    <mergeCell ref="L54:M54"/>
    <mergeCell ref="L65:Q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036B-B78F-478D-8856-A45253E06ADC}">
  <dimension ref="A17:O105"/>
  <sheetViews>
    <sheetView topLeftCell="A97" workbookViewId="0">
      <selection activeCell="A95" sqref="A95"/>
    </sheetView>
  </sheetViews>
  <sheetFormatPr baseColWidth="10" defaultRowHeight="14.4" x14ac:dyDescent="0.3"/>
  <sheetData>
    <row r="17" spans="1:8" x14ac:dyDescent="0.3">
      <c r="A17" s="8"/>
      <c r="B17" s="8"/>
      <c r="C17" s="8"/>
      <c r="D17" s="8"/>
      <c r="E17" s="8"/>
      <c r="F17" s="8"/>
      <c r="G17" s="8"/>
      <c r="H17" s="8"/>
    </row>
    <row r="18" spans="1:8" x14ac:dyDescent="0.3">
      <c r="A18" s="1" t="s">
        <v>174</v>
      </c>
    </row>
    <row r="19" spans="1:8" x14ac:dyDescent="0.3">
      <c r="A19" t="s">
        <v>29</v>
      </c>
    </row>
    <row r="20" spans="1:8" x14ac:dyDescent="0.3">
      <c r="A20" t="s">
        <v>30</v>
      </c>
    </row>
    <row r="21" spans="1:8" x14ac:dyDescent="0.3">
      <c r="B21" s="12"/>
    </row>
    <row r="22" spans="1:8" x14ac:dyDescent="0.3">
      <c r="A22" s="11" t="s">
        <v>15</v>
      </c>
      <c r="B22" s="14">
        <v>9</v>
      </c>
    </row>
    <row r="23" spans="1:8" x14ac:dyDescent="0.3">
      <c r="A23" s="11" t="s">
        <v>31</v>
      </c>
      <c r="B23" s="14">
        <v>59</v>
      </c>
    </row>
    <row r="24" spans="1:8" x14ac:dyDescent="0.3">
      <c r="A24" s="11" t="s">
        <v>1</v>
      </c>
      <c r="B24" s="14">
        <v>0.05</v>
      </c>
    </row>
    <row r="25" spans="1:8" x14ac:dyDescent="0.3">
      <c r="A25" s="11"/>
      <c r="B25" s="12"/>
    </row>
    <row r="26" spans="1:8" x14ac:dyDescent="0.3">
      <c r="A26" s="39" t="s">
        <v>32</v>
      </c>
      <c r="B26" s="39" t="s">
        <v>6</v>
      </c>
      <c r="C26" s="39" t="s">
        <v>33</v>
      </c>
      <c r="D26" s="39" t="s">
        <v>34</v>
      </c>
      <c r="E26" s="39" t="s">
        <v>35</v>
      </c>
      <c r="F26" s="39" t="s">
        <v>36</v>
      </c>
      <c r="G26" s="39" t="s">
        <v>37</v>
      </c>
    </row>
    <row r="27" spans="1:8" x14ac:dyDescent="0.3">
      <c r="A27" s="49">
        <v>1</v>
      </c>
      <c r="B27" s="40">
        <v>17</v>
      </c>
      <c r="C27" s="20">
        <f>+A27/$A$30</f>
        <v>0.25</v>
      </c>
      <c r="D27" s="20" t="e">
        <f>+(B27-$B$10)/$B$9</f>
        <v>#DIV/0!</v>
      </c>
      <c r="E27" s="20" t="e">
        <f>+_xlfn.NORM.S.DIST(D27,TRUE)</f>
        <v>#DIV/0!</v>
      </c>
      <c r="F27" s="20" t="e">
        <f>+ABS(+C27-E27)</f>
        <v>#DIV/0!</v>
      </c>
      <c r="G27" s="20" t="e">
        <f>+E27</f>
        <v>#DIV/0!</v>
      </c>
    </row>
    <row r="28" spans="1:8" x14ac:dyDescent="0.3">
      <c r="A28" s="49">
        <v>2</v>
      </c>
      <c r="B28" s="40">
        <v>24</v>
      </c>
      <c r="C28" s="20">
        <f t="shared" ref="C28:C30" si="0">+A28/$A$30</f>
        <v>0.5</v>
      </c>
      <c r="D28" s="20" t="e">
        <f t="shared" ref="D28:D32" si="1">+(B28-$B$10)/$B$9</f>
        <v>#DIV/0!</v>
      </c>
      <c r="E28" s="20" t="e">
        <f t="shared" ref="E28:E31" si="2">+_xlfn.NORM.S.DIST(D28,TRUE)</f>
        <v>#DIV/0!</v>
      </c>
      <c r="F28" s="20" t="e">
        <f t="shared" ref="F28:F32" si="3">+ABS(+C28-E28)</f>
        <v>#DIV/0!</v>
      </c>
      <c r="G28" s="20" t="e">
        <f>+ABS(C27-E28)</f>
        <v>#DIV/0!</v>
      </c>
    </row>
    <row r="29" spans="1:8" x14ac:dyDescent="0.3">
      <c r="A29" s="49">
        <v>3</v>
      </c>
      <c r="B29" s="40">
        <v>19</v>
      </c>
      <c r="C29" s="20">
        <f t="shared" si="0"/>
        <v>0.75</v>
      </c>
      <c r="D29" s="20" t="e">
        <f t="shared" si="1"/>
        <v>#DIV/0!</v>
      </c>
      <c r="E29" s="20" t="e">
        <f t="shared" si="2"/>
        <v>#DIV/0!</v>
      </c>
      <c r="F29" s="20" t="e">
        <f t="shared" si="3"/>
        <v>#DIV/0!</v>
      </c>
      <c r="G29" s="20" t="e">
        <f>+ABS(C28-E29)</f>
        <v>#DIV/0!</v>
      </c>
    </row>
    <row r="30" spans="1:8" x14ac:dyDescent="0.3">
      <c r="A30" s="49">
        <v>4</v>
      </c>
      <c r="B30" s="40">
        <v>20</v>
      </c>
      <c r="C30" s="20">
        <f t="shared" si="0"/>
        <v>1</v>
      </c>
      <c r="D30" s="20" t="e">
        <f t="shared" si="1"/>
        <v>#DIV/0!</v>
      </c>
      <c r="E30" s="20" t="e">
        <f t="shared" si="2"/>
        <v>#DIV/0!</v>
      </c>
      <c r="F30" s="20" t="e">
        <f t="shared" si="3"/>
        <v>#DIV/0!</v>
      </c>
      <c r="G30" s="20" t="e">
        <f t="shared" ref="G30:G31" si="4">+ABS(C29-E30)</f>
        <v>#DIV/0!</v>
      </c>
    </row>
    <row r="31" spans="1:8" x14ac:dyDescent="0.3">
      <c r="A31" s="49"/>
      <c r="B31" s="40"/>
      <c r="C31" s="20"/>
      <c r="D31" s="20" t="e">
        <f t="shared" si="1"/>
        <v>#DIV/0!</v>
      </c>
      <c r="E31" s="20" t="e">
        <f t="shared" si="2"/>
        <v>#DIV/0!</v>
      </c>
      <c r="F31" s="20" t="e">
        <f t="shared" si="3"/>
        <v>#DIV/0!</v>
      </c>
      <c r="G31" s="20" t="e">
        <f t="shared" si="4"/>
        <v>#DIV/0!</v>
      </c>
    </row>
    <row r="32" spans="1:8" x14ac:dyDescent="0.3">
      <c r="A32" s="70"/>
      <c r="B32" s="71"/>
      <c r="C32" s="72"/>
      <c r="D32" s="72" t="e">
        <f t="shared" si="1"/>
        <v>#DIV/0!</v>
      </c>
      <c r="E32" s="72">
        <v>1</v>
      </c>
      <c r="F32" s="72">
        <f t="shared" si="3"/>
        <v>1</v>
      </c>
      <c r="G32" s="72">
        <f>+ABS(C31-E32)</f>
        <v>1</v>
      </c>
    </row>
    <row r="33" spans="1:9" ht="14.4" customHeight="1" x14ac:dyDescent="0.3">
      <c r="A33" t="s">
        <v>12</v>
      </c>
      <c r="B33">
        <f>SUM(B27:B32)</f>
        <v>80</v>
      </c>
      <c r="E33" s="85" t="s">
        <v>38</v>
      </c>
    </row>
    <row r="34" spans="1:9" x14ac:dyDescent="0.3">
      <c r="E34" s="85"/>
    </row>
    <row r="35" spans="1:9" x14ac:dyDescent="0.3">
      <c r="A35" s="11" t="s">
        <v>39</v>
      </c>
      <c r="B35" s="13" t="e">
        <f>+MAX(F27:G32)</f>
        <v>#DIV/0!</v>
      </c>
    </row>
    <row r="36" spans="1:9" x14ac:dyDescent="0.3">
      <c r="A36" s="11" t="s">
        <v>40</v>
      </c>
    </row>
    <row r="37" spans="1:9" x14ac:dyDescent="0.3">
      <c r="A37" s="11"/>
    </row>
    <row r="38" spans="1:9" x14ac:dyDescent="0.3">
      <c r="A38" s="11" t="s">
        <v>41</v>
      </c>
      <c r="B38" s="12">
        <v>0.52100000000000002</v>
      </c>
    </row>
    <row r="39" spans="1:9" x14ac:dyDescent="0.3">
      <c r="A39" s="11" t="s">
        <v>42</v>
      </c>
    </row>
    <row r="41" spans="1:9" x14ac:dyDescent="0.3">
      <c r="A41" s="11" t="s">
        <v>43</v>
      </c>
    </row>
    <row r="42" spans="1:9" x14ac:dyDescent="0.3">
      <c r="A42" s="78" t="s">
        <v>98</v>
      </c>
      <c r="B42" s="78"/>
      <c r="C42" s="16" t="e">
        <f>+B35</f>
        <v>#DIV/0!</v>
      </c>
      <c r="D42" s="49" t="s">
        <v>22</v>
      </c>
      <c r="E42" s="12">
        <f>+B38</f>
        <v>0.52100000000000002</v>
      </c>
    </row>
    <row r="43" spans="1:9" ht="14.4" customHeight="1" x14ac:dyDescent="0.3">
      <c r="A43" s="79" t="s">
        <v>99</v>
      </c>
      <c r="B43" s="79"/>
      <c r="C43" s="79"/>
      <c r="D43" s="79"/>
      <c r="E43" s="79"/>
      <c r="F43" s="79"/>
      <c r="G43" s="79"/>
      <c r="H43" s="79"/>
      <c r="I43" s="79"/>
    </row>
    <row r="44" spans="1:9" x14ac:dyDescent="0.3">
      <c r="A44" s="79"/>
      <c r="B44" s="79"/>
      <c r="C44" s="79"/>
      <c r="D44" s="79"/>
      <c r="E44" s="79"/>
      <c r="F44" s="79"/>
      <c r="G44" s="79"/>
      <c r="H44" s="79"/>
      <c r="I44" s="79"/>
    </row>
    <row r="45" spans="1:9" x14ac:dyDescent="0.3">
      <c r="A45" s="79"/>
      <c r="B45" s="79"/>
      <c r="C45" s="79"/>
      <c r="D45" s="79"/>
      <c r="E45" s="79"/>
      <c r="F45" s="79"/>
      <c r="G45" s="79"/>
      <c r="H45" s="79"/>
      <c r="I45" s="79"/>
    </row>
    <row r="47" spans="1:9" x14ac:dyDescent="0.3">
      <c r="A47" s="78" t="s">
        <v>44</v>
      </c>
      <c r="B47" s="78"/>
      <c r="C47" s="16" t="e">
        <f>+B35</f>
        <v>#DIV/0!</v>
      </c>
      <c r="D47" s="49" t="s">
        <v>24</v>
      </c>
      <c r="E47" s="12">
        <f>+B38</f>
        <v>0.52100000000000002</v>
      </c>
    </row>
    <row r="48" spans="1:9" ht="14.4" customHeight="1" x14ac:dyDescent="0.3">
      <c r="A48" s="79" t="s">
        <v>45</v>
      </c>
      <c r="B48" s="79"/>
      <c r="C48" s="79"/>
      <c r="D48" s="79"/>
      <c r="E48" s="79"/>
      <c r="F48" s="79"/>
      <c r="G48" s="79"/>
      <c r="H48" s="79"/>
      <c r="I48" s="79"/>
    </row>
    <row r="49" spans="1:9" x14ac:dyDescent="0.3">
      <c r="A49" s="79"/>
      <c r="B49" s="79"/>
      <c r="C49" s="79"/>
      <c r="D49" s="79"/>
      <c r="E49" s="79"/>
      <c r="F49" s="79"/>
      <c r="G49" s="79"/>
      <c r="H49" s="79"/>
      <c r="I49" s="79"/>
    </row>
    <row r="50" spans="1:9" x14ac:dyDescent="0.3">
      <c r="A50" s="79"/>
      <c r="B50" s="79"/>
      <c r="C50" s="79"/>
      <c r="D50" s="79"/>
      <c r="E50" s="79"/>
      <c r="F50" s="79"/>
      <c r="G50" s="79"/>
      <c r="H50" s="79"/>
      <c r="I50" s="79"/>
    </row>
    <row r="52" spans="1:9" x14ac:dyDescent="0.3">
      <c r="A52" s="54"/>
      <c r="B52" s="8"/>
      <c r="C52" s="8"/>
      <c r="D52" s="8"/>
      <c r="E52" s="8"/>
      <c r="F52" s="8"/>
      <c r="G52" s="8"/>
      <c r="H52" s="8"/>
    </row>
    <row r="53" spans="1:9" x14ac:dyDescent="0.3">
      <c r="A53" s="8"/>
      <c r="B53" s="56"/>
      <c r="C53" s="55"/>
      <c r="D53" s="57"/>
      <c r="E53" s="8"/>
      <c r="F53" s="8"/>
      <c r="G53" s="8"/>
      <c r="H53" s="8"/>
    </row>
    <row r="54" spans="1:9" x14ac:dyDescent="0.3">
      <c r="A54" s="58"/>
      <c r="B54" s="58"/>
      <c r="C54" s="58"/>
      <c r="D54" s="58"/>
      <c r="E54" s="58"/>
      <c r="F54" s="58"/>
      <c r="G54" s="58"/>
      <c r="H54" s="58"/>
    </row>
    <row r="55" spans="1:9" x14ac:dyDescent="0.3">
      <c r="A55" s="58"/>
      <c r="B55" s="58"/>
      <c r="C55" s="58"/>
      <c r="D55" s="58"/>
      <c r="E55" s="58"/>
      <c r="F55" s="58"/>
      <c r="G55" s="58"/>
      <c r="H55" s="58"/>
    </row>
    <row r="56" spans="1:9" x14ac:dyDescent="0.3">
      <c r="A56" s="58"/>
      <c r="B56" s="58"/>
      <c r="C56" s="58"/>
      <c r="D56" s="58"/>
      <c r="E56" s="58"/>
      <c r="F56" s="58"/>
      <c r="G56" s="58"/>
      <c r="H56" s="58"/>
    </row>
    <row r="57" spans="1:9" x14ac:dyDescent="0.3">
      <c r="A57" s="54"/>
      <c r="B57" s="8"/>
      <c r="C57" s="8"/>
      <c r="D57" s="8"/>
      <c r="E57" s="8"/>
      <c r="F57" s="8"/>
      <c r="G57" s="8"/>
      <c r="H57" s="8"/>
    </row>
    <row r="58" spans="1:9" x14ac:dyDescent="0.3">
      <c r="B58" s="16"/>
      <c r="C58" s="17"/>
      <c r="D58" s="12"/>
    </row>
    <row r="59" spans="1:9" x14ac:dyDescent="0.3">
      <c r="A59" s="18"/>
      <c r="B59" s="18"/>
      <c r="C59" s="18"/>
      <c r="D59" s="18"/>
      <c r="E59" s="18"/>
      <c r="F59" s="18"/>
      <c r="G59" s="18"/>
      <c r="H59" s="18"/>
    </row>
    <row r="60" spans="1:9" x14ac:dyDescent="0.3">
      <c r="A60" s="18"/>
      <c r="B60" s="18"/>
      <c r="C60" s="18"/>
      <c r="D60" s="18"/>
      <c r="E60" s="18"/>
      <c r="F60" s="18"/>
      <c r="G60" s="18"/>
      <c r="H60" s="18"/>
    </row>
    <row r="62" spans="1:9" x14ac:dyDescent="0.3">
      <c r="A62" s="19"/>
    </row>
    <row r="80" spans="1:1" x14ac:dyDescent="0.3">
      <c r="A80" t="s">
        <v>115</v>
      </c>
    </row>
    <row r="81" spans="1:15" x14ac:dyDescent="0.3">
      <c r="A81" t="s">
        <v>116</v>
      </c>
      <c r="B81" s="12">
        <v>0.8</v>
      </c>
      <c r="D81" t="s">
        <v>152</v>
      </c>
      <c r="F81" s="13">
        <f>+(C90-B81)/(SQRT((B81*(1-B81))/(B84)))</f>
        <v>-2.5000000000000022</v>
      </c>
      <c r="I81" s="9"/>
      <c r="J81" s="9"/>
    </row>
    <row r="82" spans="1:15" x14ac:dyDescent="0.3">
      <c r="A82" t="s">
        <v>134</v>
      </c>
      <c r="B82" s="12">
        <v>0.8</v>
      </c>
      <c r="I82" s="9"/>
      <c r="J82" s="9"/>
    </row>
    <row r="83" spans="1:15" x14ac:dyDescent="0.3">
      <c r="I83" s="89"/>
      <c r="J83" s="89"/>
    </row>
    <row r="84" spans="1:15" ht="15.6" x14ac:dyDescent="0.3">
      <c r="A84" t="s">
        <v>51</v>
      </c>
      <c r="B84">
        <v>400</v>
      </c>
      <c r="I84" s="9"/>
      <c r="J84" s="9"/>
      <c r="L84" s="65"/>
      <c r="M84" s="65"/>
      <c r="N84" s="9"/>
      <c r="O84" s="9"/>
    </row>
    <row r="85" spans="1:15" x14ac:dyDescent="0.3">
      <c r="A85" t="s">
        <v>87</v>
      </c>
      <c r="B85">
        <v>300</v>
      </c>
      <c r="H85" s="9"/>
      <c r="I85" s="9"/>
      <c r="J85" s="9"/>
      <c r="K85" s="9"/>
      <c r="L85" s="9"/>
      <c r="M85" s="51"/>
      <c r="N85" s="9"/>
      <c r="O85" s="9"/>
    </row>
    <row r="86" spans="1:15" x14ac:dyDescent="0.3">
      <c r="A86" t="s">
        <v>1</v>
      </c>
      <c r="B86">
        <v>0.01</v>
      </c>
      <c r="E86" t="s">
        <v>153</v>
      </c>
      <c r="H86" s="9"/>
      <c r="I86" s="9"/>
      <c r="J86" s="9"/>
      <c r="K86" s="9"/>
      <c r="L86" s="9"/>
      <c r="M86" s="9"/>
      <c r="N86" s="51"/>
      <c r="O86" s="9"/>
    </row>
    <row r="87" spans="1:15" ht="15.6" x14ac:dyDescent="0.3">
      <c r="E87" t="s">
        <v>69</v>
      </c>
      <c r="F87" t="s">
        <v>154</v>
      </c>
      <c r="H87" s="9"/>
      <c r="I87" s="90"/>
      <c r="J87" s="90"/>
      <c r="K87" s="9"/>
      <c r="L87" s="9"/>
      <c r="M87" s="9"/>
      <c r="N87" s="9"/>
      <c r="O87" s="9"/>
    </row>
    <row r="88" spans="1:15" x14ac:dyDescent="0.3">
      <c r="A88" t="s">
        <v>117</v>
      </c>
      <c r="E88" t="s">
        <v>69</v>
      </c>
      <c r="F88" t="s">
        <v>155</v>
      </c>
      <c r="G88" s="16">
        <f>+-ABS(F81)</f>
        <v>-2.5000000000000022</v>
      </c>
      <c r="H88" s="9"/>
      <c r="I88" s="9"/>
      <c r="J88" s="9"/>
      <c r="K88" s="9"/>
      <c r="L88" s="9"/>
      <c r="M88" s="9"/>
      <c r="N88" s="9"/>
      <c r="O88" s="9"/>
    </row>
    <row r="89" spans="1:15" x14ac:dyDescent="0.3">
      <c r="E89" t="s">
        <v>69</v>
      </c>
      <c r="F89">
        <f>_xlfn.NORM.S.DIST(G88,TRUE)</f>
        <v>6.209665325776095E-3</v>
      </c>
      <c r="H89" s="9"/>
      <c r="I89" s="9"/>
      <c r="J89" s="9"/>
      <c r="K89" s="9"/>
      <c r="L89" s="9"/>
      <c r="M89" s="9"/>
      <c r="N89" s="9"/>
      <c r="O89" s="9"/>
    </row>
    <row r="90" spans="1:15" x14ac:dyDescent="0.3">
      <c r="A90" t="s">
        <v>118</v>
      </c>
      <c r="B90" t="s">
        <v>119</v>
      </c>
      <c r="C90">
        <f>+B85/B84</f>
        <v>0.75</v>
      </c>
      <c r="H90" s="9"/>
      <c r="I90" s="9"/>
      <c r="J90" s="9"/>
      <c r="K90" s="9"/>
      <c r="L90" s="9"/>
      <c r="M90" s="59"/>
      <c r="N90" s="60"/>
      <c r="O90" s="61"/>
    </row>
    <row r="91" spans="1:15" x14ac:dyDescent="0.3">
      <c r="H91" s="9"/>
      <c r="I91" s="9"/>
      <c r="J91" s="9"/>
      <c r="K91" s="66"/>
      <c r="L91" s="73"/>
      <c r="M91" s="59"/>
      <c r="N91" s="60"/>
      <c r="O91" s="62"/>
    </row>
    <row r="92" spans="1:15" x14ac:dyDescent="0.3">
      <c r="E92" t="s">
        <v>156</v>
      </c>
      <c r="H92" s="9"/>
      <c r="I92" s="9"/>
      <c r="J92" s="9"/>
      <c r="K92" s="9"/>
      <c r="L92" s="9"/>
      <c r="M92" s="62"/>
      <c r="N92" s="62"/>
      <c r="O92" s="62"/>
    </row>
    <row r="93" spans="1:15" x14ac:dyDescent="0.3">
      <c r="E93" t="s">
        <v>175</v>
      </c>
      <c r="H93" s="9"/>
      <c r="I93" s="9"/>
      <c r="J93" s="74"/>
      <c r="K93" s="9"/>
      <c r="L93" s="9"/>
      <c r="M93" s="63"/>
      <c r="N93" s="63"/>
      <c r="O93" s="36"/>
    </row>
    <row r="94" spans="1:15" x14ac:dyDescent="0.3">
      <c r="A94" t="s">
        <v>190</v>
      </c>
      <c r="B94">
        <f>+-_xlfn.NORM.S.INV(1-B86)</f>
        <v>-2.3263478740408408</v>
      </c>
      <c r="H94" s="9"/>
      <c r="I94" s="9"/>
      <c r="J94" s="9"/>
      <c r="K94" s="9"/>
      <c r="L94" s="9"/>
      <c r="M94" s="64"/>
      <c r="N94" s="36"/>
      <c r="O94" s="36"/>
    </row>
    <row r="95" spans="1:15" x14ac:dyDescent="0.3">
      <c r="E95" s="9"/>
      <c r="F95" t="s">
        <v>52</v>
      </c>
      <c r="G95">
        <f>300/400</f>
        <v>0.75</v>
      </c>
      <c r="H95" s="9"/>
      <c r="I95" s="9"/>
      <c r="J95" s="9"/>
      <c r="K95" s="9"/>
      <c r="L95" s="9"/>
      <c r="M95" s="31"/>
      <c r="N95" s="32"/>
      <c r="O95" s="33"/>
    </row>
    <row r="96" spans="1:15" x14ac:dyDescent="0.3">
      <c r="E96" s="9"/>
      <c r="H96" s="9"/>
      <c r="I96" s="9"/>
      <c r="J96" s="9"/>
      <c r="K96" s="9"/>
      <c r="L96" s="9"/>
      <c r="M96" s="36"/>
      <c r="N96" s="36"/>
      <c r="O96" s="36"/>
    </row>
    <row r="97" spans="1:15" x14ac:dyDescent="0.3">
      <c r="A97" s="25" t="s">
        <v>149</v>
      </c>
      <c r="B97" s="25"/>
      <c r="C97" s="16">
        <f>+B81+B94*SQRT((B81*(1-B81))/(B84))</f>
        <v>0.75347304251918323</v>
      </c>
      <c r="E97" s="9"/>
      <c r="H97" s="9"/>
      <c r="I97" s="59"/>
      <c r="J97" s="31"/>
      <c r="K97" s="60"/>
      <c r="L97" s="61"/>
      <c r="M97" s="36"/>
      <c r="N97" s="36"/>
      <c r="O97" s="36"/>
    </row>
    <row r="98" spans="1:15" x14ac:dyDescent="0.3">
      <c r="E98" s="9"/>
      <c r="H98" s="9"/>
      <c r="I98" s="9"/>
      <c r="J98" s="62"/>
      <c r="K98" s="62"/>
      <c r="L98" s="62"/>
      <c r="M98" s="36"/>
      <c r="N98" s="36"/>
      <c r="O98" s="36"/>
    </row>
    <row r="99" spans="1:15" x14ac:dyDescent="0.3">
      <c r="E99" s="9"/>
      <c r="H99" s="9"/>
      <c r="I99" s="62"/>
      <c r="J99" s="62"/>
      <c r="K99" s="62"/>
      <c r="L99" s="62"/>
      <c r="M99" s="9"/>
      <c r="N99" s="9"/>
      <c r="O99" s="9"/>
    </row>
    <row r="100" spans="1:15" x14ac:dyDescent="0.3">
      <c r="H100" s="9"/>
      <c r="I100" s="89"/>
      <c r="J100" s="89"/>
      <c r="K100" s="89"/>
      <c r="L100" s="36"/>
    </row>
    <row r="101" spans="1:15" x14ac:dyDescent="0.3">
      <c r="H101" s="9"/>
      <c r="I101" s="75"/>
      <c r="J101" s="64"/>
      <c r="K101" s="36"/>
      <c r="L101" s="36"/>
    </row>
    <row r="102" spans="1:15" x14ac:dyDescent="0.3">
      <c r="A102" t="s">
        <v>120</v>
      </c>
      <c r="H102" s="76"/>
      <c r="I102" s="9"/>
      <c r="J102" s="31"/>
      <c r="K102" s="32"/>
      <c r="L102" s="33"/>
    </row>
    <row r="103" spans="1:15" x14ac:dyDescent="0.3">
      <c r="H103" s="9"/>
      <c r="I103" s="36"/>
      <c r="J103" s="36"/>
      <c r="K103" s="36"/>
      <c r="L103" s="36"/>
    </row>
    <row r="104" spans="1:15" x14ac:dyDescent="0.3">
      <c r="H104" s="9"/>
      <c r="I104" s="88"/>
      <c r="J104" s="88"/>
      <c r="K104" s="88"/>
      <c r="L104" s="88"/>
    </row>
    <row r="105" spans="1:15" x14ac:dyDescent="0.3">
      <c r="H105" s="9"/>
      <c r="I105" s="88"/>
      <c r="J105" s="88"/>
      <c r="K105" s="88"/>
      <c r="L105" s="88"/>
    </row>
  </sheetData>
  <mergeCells count="9">
    <mergeCell ref="I104:L105"/>
    <mergeCell ref="I83:J83"/>
    <mergeCell ref="I87:J87"/>
    <mergeCell ref="E33:E34"/>
    <mergeCell ref="A42:B42"/>
    <mergeCell ref="A43:I45"/>
    <mergeCell ref="A47:B47"/>
    <mergeCell ref="A48:I50"/>
    <mergeCell ref="I100:K10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4AAA-8DAC-4B5E-8D5B-0CCAF69403D7}">
  <dimension ref="A8:Q119"/>
  <sheetViews>
    <sheetView workbookViewId="0">
      <selection activeCell="E117" sqref="E117"/>
    </sheetView>
  </sheetViews>
  <sheetFormatPr baseColWidth="10" defaultRowHeight="14.4" x14ac:dyDescent="0.3"/>
  <cols>
    <col min="1" max="1" width="14.33203125" customWidth="1"/>
    <col min="2" max="2" width="11.44140625" customWidth="1"/>
  </cols>
  <sheetData>
    <row r="8" spans="1:11" x14ac:dyDescent="0.3">
      <c r="K8" s="12"/>
    </row>
    <row r="9" spans="1:11" x14ac:dyDescent="0.3">
      <c r="J9" s="11"/>
      <c r="K9" s="12"/>
    </row>
    <row r="10" spans="1:11" x14ac:dyDescent="0.3">
      <c r="J10" s="11"/>
      <c r="K10" s="12"/>
    </row>
    <row r="11" spans="1:11" x14ac:dyDescent="0.3">
      <c r="J11" s="11"/>
      <c r="K11" s="12"/>
    </row>
    <row r="12" spans="1:11" x14ac:dyDescent="0.3">
      <c r="A12" t="s">
        <v>132</v>
      </c>
      <c r="J12" s="11"/>
      <c r="K12" s="12"/>
    </row>
    <row r="13" spans="1:11" x14ac:dyDescent="0.3">
      <c r="A13" t="s">
        <v>133</v>
      </c>
      <c r="J13" s="11" t="s">
        <v>150</v>
      </c>
      <c r="K13" s="12">
        <v>1</v>
      </c>
    </row>
    <row r="14" spans="1:11" x14ac:dyDescent="0.3">
      <c r="B14" s="12"/>
      <c r="J14" s="11" t="s">
        <v>18</v>
      </c>
      <c r="K14" s="12">
        <v>10</v>
      </c>
    </row>
    <row r="15" spans="1:11" x14ac:dyDescent="0.3">
      <c r="A15" s="11" t="s">
        <v>15</v>
      </c>
      <c r="B15" s="14">
        <v>9</v>
      </c>
      <c r="J15" s="11" t="s">
        <v>151</v>
      </c>
      <c r="K15" s="12">
        <v>1</v>
      </c>
    </row>
    <row r="16" spans="1:11" x14ac:dyDescent="0.3">
      <c r="A16" s="11"/>
      <c r="B16" s="14"/>
      <c r="J16" s="11"/>
      <c r="K16" s="12"/>
    </row>
    <row r="17" spans="1:11" x14ac:dyDescent="0.3">
      <c r="A17" s="11" t="s">
        <v>1</v>
      </c>
      <c r="B17" s="14">
        <v>0.05</v>
      </c>
      <c r="J17" s="11"/>
      <c r="K17" s="12"/>
    </row>
    <row r="18" spans="1:11" x14ac:dyDescent="0.3">
      <c r="A18" s="11"/>
      <c r="B18" s="12"/>
      <c r="J18" s="11"/>
      <c r="K18" s="12"/>
    </row>
    <row r="19" spans="1:11" x14ac:dyDescent="0.3">
      <c r="A19" s="37" t="s">
        <v>32</v>
      </c>
      <c r="B19" s="37" t="s">
        <v>6</v>
      </c>
      <c r="C19" s="37" t="s">
        <v>33</v>
      </c>
      <c r="D19" s="39" t="s">
        <v>35</v>
      </c>
      <c r="E19" s="39" t="s">
        <v>36</v>
      </c>
      <c r="F19" s="37" t="s">
        <v>37</v>
      </c>
    </row>
    <row r="20" spans="1:11" x14ac:dyDescent="0.3">
      <c r="A20" s="23">
        <v>1</v>
      </c>
      <c r="B20" s="40">
        <v>3.5</v>
      </c>
      <c r="C20" s="20">
        <f>+A20/$A$34</f>
        <v>6.6666666666666666E-2</v>
      </c>
      <c r="D20" s="20">
        <f>+(1+(B20/$K$14)^-$K$13)^-$K$15</f>
        <v>0.25925925925925924</v>
      </c>
      <c r="E20" s="20">
        <f t="shared" ref="E20:E34" si="0">+ABS(+C20-D20)</f>
        <v>0.19259259259259259</v>
      </c>
      <c r="F20" s="20">
        <f>+D20</f>
        <v>0.25925925925925924</v>
      </c>
    </row>
    <row r="21" spans="1:11" x14ac:dyDescent="0.3">
      <c r="A21" s="23">
        <v>2</v>
      </c>
      <c r="B21" s="40">
        <v>4</v>
      </c>
      <c r="C21" s="20">
        <f>+A21/$A$34</f>
        <v>0.13333333333333333</v>
      </c>
      <c r="D21" s="20">
        <f t="shared" ref="D21:D33" si="1">+(1+(B21/$K$14)^-$K$13)^-$K$15</f>
        <v>0.2857142857142857</v>
      </c>
      <c r="E21" s="20">
        <f t="shared" si="0"/>
        <v>0.15238095238095237</v>
      </c>
      <c r="F21" s="20">
        <f t="shared" ref="F21:F34" si="2">+ABS(C20-D21)</f>
        <v>0.21904761904761905</v>
      </c>
    </row>
    <row r="22" spans="1:11" x14ac:dyDescent="0.3">
      <c r="A22" s="23">
        <f>+A21+1</f>
        <v>3</v>
      </c>
      <c r="B22" s="40">
        <v>4.7</v>
      </c>
      <c r="C22" s="20">
        <f t="shared" ref="C22:C34" si="3">+A22/$A$34</f>
        <v>0.2</v>
      </c>
      <c r="D22" s="20">
        <f t="shared" si="1"/>
        <v>0.31972789115646261</v>
      </c>
      <c r="E22" s="20">
        <f t="shared" si="0"/>
        <v>0.1197278911564626</v>
      </c>
      <c r="F22" s="20">
        <f t="shared" si="2"/>
        <v>0.18639455782312928</v>
      </c>
    </row>
    <row r="23" spans="1:11" x14ac:dyDescent="0.3">
      <c r="A23" s="23">
        <f t="shared" ref="A23:A25" si="4">+A22+1</f>
        <v>4</v>
      </c>
      <c r="B23" s="40">
        <v>4.9000000000000004</v>
      </c>
      <c r="C23" s="20">
        <f t="shared" si="3"/>
        <v>0.26666666666666666</v>
      </c>
      <c r="D23" s="20">
        <f t="shared" si="1"/>
        <v>0.32885906040268459</v>
      </c>
      <c r="E23" s="20">
        <f t="shared" si="0"/>
        <v>6.2192393736017926E-2</v>
      </c>
      <c r="F23" s="20">
        <f t="shared" si="2"/>
        <v>0.12885906040268458</v>
      </c>
    </row>
    <row r="24" spans="1:11" x14ac:dyDescent="0.3">
      <c r="A24" s="23">
        <f t="shared" si="4"/>
        <v>5</v>
      </c>
      <c r="B24" s="40">
        <v>5.3</v>
      </c>
      <c r="C24" s="20">
        <f t="shared" si="3"/>
        <v>0.33333333333333331</v>
      </c>
      <c r="D24" s="20">
        <f t="shared" si="1"/>
        <v>0.34640522875816998</v>
      </c>
      <c r="E24" s="20">
        <f t="shared" si="0"/>
        <v>1.3071895424836666E-2</v>
      </c>
      <c r="F24" s="20">
        <f t="shared" si="2"/>
        <v>7.9738562091503318E-2</v>
      </c>
    </row>
    <row r="25" spans="1:11" x14ac:dyDescent="0.3">
      <c r="A25" s="21">
        <f t="shared" si="4"/>
        <v>6</v>
      </c>
      <c r="B25" s="41">
        <v>5.5</v>
      </c>
      <c r="C25" s="20">
        <f t="shared" si="3"/>
        <v>0.4</v>
      </c>
      <c r="D25" s="20">
        <f t="shared" si="1"/>
        <v>0.35483870967741932</v>
      </c>
      <c r="E25" s="22">
        <f t="shared" si="0"/>
        <v>4.5161290322580705E-2</v>
      </c>
      <c r="F25" s="22">
        <f t="shared" si="2"/>
        <v>2.1505376344086002E-2</v>
      </c>
    </row>
    <row r="26" spans="1:11" x14ac:dyDescent="0.3">
      <c r="A26" s="23">
        <v>7</v>
      </c>
      <c r="B26" s="41">
        <v>5.7</v>
      </c>
      <c r="C26" s="20">
        <f t="shared" si="3"/>
        <v>0.46666666666666667</v>
      </c>
      <c r="D26" s="20">
        <f t="shared" si="1"/>
        <v>0.36305732484076431</v>
      </c>
      <c r="E26" s="22">
        <f t="shared" si="0"/>
        <v>0.10360934182590237</v>
      </c>
      <c r="F26" s="22">
        <f t="shared" si="2"/>
        <v>3.6942675159235716E-2</v>
      </c>
    </row>
    <row r="27" spans="1:11" x14ac:dyDescent="0.3">
      <c r="A27" s="23">
        <v>8</v>
      </c>
      <c r="B27" s="41">
        <v>5.8</v>
      </c>
      <c r="C27" s="20">
        <f t="shared" si="3"/>
        <v>0.53333333333333333</v>
      </c>
      <c r="D27" s="20">
        <f t="shared" si="1"/>
        <v>0.36708860759493667</v>
      </c>
      <c r="E27" s="22">
        <f t="shared" si="0"/>
        <v>0.16624472573839666</v>
      </c>
      <c r="F27" s="22">
        <f t="shared" si="2"/>
        <v>9.9578059071730007E-2</v>
      </c>
    </row>
    <row r="28" spans="1:11" x14ac:dyDescent="0.3">
      <c r="A28" s="23">
        <v>9</v>
      </c>
      <c r="B28" s="41">
        <v>6.5</v>
      </c>
      <c r="C28" s="20">
        <f t="shared" si="3"/>
        <v>0.6</v>
      </c>
      <c r="D28" s="20">
        <f t="shared" si="1"/>
        <v>0.39393939393939398</v>
      </c>
      <c r="E28" s="22">
        <f t="shared" si="0"/>
        <v>0.206060606060606</v>
      </c>
      <c r="F28" s="22">
        <f t="shared" si="2"/>
        <v>0.13939393939393935</v>
      </c>
    </row>
    <row r="29" spans="1:11" x14ac:dyDescent="0.3">
      <c r="A29" s="23">
        <v>10</v>
      </c>
      <c r="B29" s="41">
        <v>6.8</v>
      </c>
      <c r="C29" s="20">
        <f t="shared" si="3"/>
        <v>0.66666666666666663</v>
      </c>
      <c r="D29" s="20">
        <f t="shared" si="1"/>
        <v>0.40476190476190477</v>
      </c>
      <c r="E29" s="22">
        <f t="shared" si="0"/>
        <v>0.26190476190476186</v>
      </c>
      <c r="F29" s="22">
        <f t="shared" si="2"/>
        <v>0.19523809523809521</v>
      </c>
    </row>
    <row r="30" spans="1:11" x14ac:dyDescent="0.3">
      <c r="A30" s="23">
        <v>11</v>
      </c>
      <c r="B30" s="41">
        <v>7</v>
      </c>
      <c r="C30" s="20">
        <f t="shared" si="3"/>
        <v>0.73333333333333328</v>
      </c>
      <c r="D30" s="20">
        <f t="shared" si="1"/>
        <v>0.41176470588235292</v>
      </c>
      <c r="E30" s="22">
        <f t="shared" si="0"/>
        <v>0.32156862745098036</v>
      </c>
      <c r="F30" s="22">
        <f t="shared" si="2"/>
        <v>0.25490196078431371</v>
      </c>
    </row>
    <row r="31" spans="1:11" x14ac:dyDescent="0.3">
      <c r="A31" s="23">
        <v>12</v>
      </c>
      <c r="B31" s="41">
        <v>7.2</v>
      </c>
      <c r="C31" s="20">
        <f t="shared" si="3"/>
        <v>0.8</v>
      </c>
      <c r="D31" s="20">
        <f t="shared" si="1"/>
        <v>0.41860465116279072</v>
      </c>
      <c r="E31" s="22">
        <f t="shared" si="0"/>
        <v>0.38139534883720932</v>
      </c>
      <c r="F31" s="22">
        <f t="shared" si="2"/>
        <v>0.31472868217054256</v>
      </c>
    </row>
    <row r="32" spans="1:11" x14ac:dyDescent="0.3">
      <c r="A32" s="23">
        <v>13</v>
      </c>
      <c r="B32" s="41">
        <v>7.4</v>
      </c>
      <c r="C32" s="20">
        <f t="shared" si="3"/>
        <v>0.8666666666666667</v>
      </c>
      <c r="D32" s="20">
        <f t="shared" si="1"/>
        <v>0.42528735632183906</v>
      </c>
      <c r="E32" s="22">
        <f t="shared" si="0"/>
        <v>0.44137931034482764</v>
      </c>
      <c r="F32" s="22">
        <f t="shared" si="2"/>
        <v>0.37471264367816098</v>
      </c>
    </row>
    <row r="33" spans="1:9" x14ac:dyDescent="0.3">
      <c r="A33" s="23">
        <v>14</v>
      </c>
      <c r="B33" s="41">
        <v>7.6</v>
      </c>
      <c r="C33" s="20">
        <f t="shared" si="3"/>
        <v>0.93333333333333335</v>
      </c>
      <c r="D33" s="20">
        <f t="shared" si="1"/>
        <v>0.43181818181818182</v>
      </c>
      <c r="E33" s="22">
        <f t="shared" si="0"/>
        <v>0.50151515151515147</v>
      </c>
      <c r="F33" s="22">
        <f t="shared" si="2"/>
        <v>0.43484848484848487</v>
      </c>
    </row>
    <row r="34" spans="1:9" x14ac:dyDescent="0.3">
      <c r="A34" s="23">
        <v>15</v>
      </c>
      <c r="B34" s="41">
        <v>8.6</v>
      </c>
      <c r="C34" s="20">
        <f t="shared" si="3"/>
        <v>1</v>
      </c>
      <c r="D34">
        <v>1</v>
      </c>
      <c r="E34" s="22">
        <f t="shared" si="0"/>
        <v>0</v>
      </c>
      <c r="F34" s="22">
        <f t="shared" si="2"/>
        <v>6.6666666666666652E-2</v>
      </c>
    </row>
    <row r="35" spans="1:9" ht="14.4" customHeight="1" x14ac:dyDescent="0.3">
      <c r="A35" t="s">
        <v>12</v>
      </c>
      <c r="B35">
        <f>SUM(B20:B34)</f>
        <v>90.499999999999986</v>
      </c>
      <c r="D35" s="85" t="s">
        <v>38</v>
      </c>
    </row>
    <row r="36" spans="1:9" x14ac:dyDescent="0.3">
      <c r="D36" s="85"/>
    </row>
    <row r="37" spans="1:9" x14ac:dyDescent="0.3">
      <c r="A37" s="11" t="s">
        <v>39</v>
      </c>
      <c r="B37" s="13">
        <f>+MAX(E20:F34)</f>
        <v>0.50151515151515147</v>
      </c>
    </row>
    <row r="38" spans="1:9" x14ac:dyDescent="0.3">
      <c r="A38" s="11" t="s">
        <v>40</v>
      </c>
    </row>
    <row r="39" spans="1:9" x14ac:dyDescent="0.3">
      <c r="A39" s="11"/>
    </row>
    <row r="40" spans="1:9" x14ac:dyDescent="0.3">
      <c r="A40" s="11" t="s">
        <v>41</v>
      </c>
      <c r="B40" s="12">
        <v>0.33750000000000002</v>
      </c>
    </row>
    <row r="41" spans="1:9" x14ac:dyDescent="0.3">
      <c r="A41" s="11" t="s">
        <v>42</v>
      </c>
    </row>
    <row r="43" spans="1:9" x14ac:dyDescent="0.3">
      <c r="A43" s="11" t="s">
        <v>43</v>
      </c>
    </row>
    <row r="44" spans="1:9" x14ac:dyDescent="0.3">
      <c r="A44" s="78" t="s">
        <v>98</v>
      </c>
      <c r="B44" s="78"/>
      <c r="C44" s="16">
        <f>+B37</f>
        <v>0.50151515151515147</v>
      </c>
      <c r="D44" s="23" t="s">
        <v>22</v>
      </c>
      <c r="E44" s="12">
        <f>+B40</f>
        <v>0.33750000000000002</v>
      </c>
    </row>
    <row r="45" spans="1:9" x14ac:dyDescent="0.3">
      <c r="A45" s="79" t="s">
        <v>99</v>
      </c>
      <c r="B45" s="79"/>
      <c r="C45" s="79"/>
      <c r="D45" s="79"/>
      <c r="E45" s="79"/>
      <c r="F45" s="79"/>
      <c r="G45" s="79"/>
      <c r="H45" s="79"/>
      <c r="I45" s="79"/>
    </row>
    <row r="46" spans="1:9" x14ac:dyDescent="0.3">
      <c r="A46" s="79"/>
      <c r="B46" s="79"/>
      <c r="C46" s="79"/>
      <c r="D46" s="79"/>
      <c r="E46" s="79"/>
      <c r="F46" s="79"/>
      <c r="G46" s="79"/>
      <c r="H46" s="79"/>
      <c r="I46" s="79"/>
    </row>
    <row r="47" spans="1:9" x14ac:dyDescent="0.3">
      <c r="A47" s="79"/>
      <c r="B47" s="79"/>
      <c r="C47" s="79"/>
      <c r="D47" s="79"/>
      <c r="E47" s="79"/>
      <c r="F47" s="79"/>
      <c r="G47" s="79"/>
      <c r="H47" s="79"/>
      <c r="I47" s="79"/>
    </row>
    <row r="50" spans="1:17" x14ac:dyDescent="0.3">
      <c r="I50" s="29"/>
    </row>
    <row r="51" spans="1:17" x14ac:dyDescent="0.3">
      <c r="I51" s="29"/>
    </row>
    <row r="52" spans="1:17" x14ac:dyDescent="0.3">
      <c r="I52" s="29"/>
    </row>
    <row r="54" spans="1:17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1:17" x14ac:dyDescent="0.3">
      <c r="A55" t="s">
        <v>66</v>
      </c>
      <c r="E55" t="s">
        <v>67</v>
      </c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1:17" x14ac:dyDescent="0.3">
      <c r="A56" t="s">
        <v>68</v>
      </c>
      <c r="B56">
        <v>7</v>
      </c>
      <c r="E56" t="s">
        <v>69</v>
      </c>
      <c r="F56" t="s">
        <v>70</v>
      </c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17" x14ac:dyDescent="0.3">
      <c r="A57" t="s">
        <v>160</v>
      </c>
      <c r="B57">
        <v>7</v>
      </c>
      <c r="E57" t="s">
        <v>69</v>
      </c>
      <c r="F57" t="s">
        <v>72</v>
      </c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1:17" x14ac:dyDescent="0.3">
      <c r="E58" t="s">
        <v>69</v>
      </c>
      <c r="F58" s="16">
        <f>2*_xlfn.BINOM.DIST(E61,A84,0.5,TRUE)</f>
        <v>0.17956542968750006</v>
      </c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17" x14ac:dyDescent="0.3">
      <c r="A59" t="s">
        <v>51</v>
      </c>
      <c r="B59">
        <v>15</v>
      </c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17" x14ac:dyDescent="0.3">
      <c r="A60" t="s">
        <v>1</v>
      </c>
      <c r="B60">
        <v>0.1</v>
      </c>
      <c r="E60" t="s">
        <v>73</v>
      </c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17" x14ac:dyDescent="0.3">
      <c r="E61">
        <f>+MIN(A78:A81)</f>
        <v>4</v>
      </c>
      <c r="H61" s="9"/>
      <c r="I61" s="9"/>
      <c r="J61" s="9"/>
      <c r="K61" s="9"/>
      <c r="L61" s="9"/>
      <c r="M61" s="9"/>
      <c r="N61" s="9"/>
      <c r="O61" s="9"/>
      <c r="P61" s="9"/>
      <c r="Q61" s="9"/>
    </row>
    <row r="62" spans="1:17" x14ac:dyDescent="0.3">
      <c r="H62" s="9"/>
      <c r="I62" s="9"/>
      <c r="J62" s="9"/>
      <c r="K62" s="9"/>
      <c r="L62" s="9"/>
      <c r="M62" s="9"/>
      <c r="N62" s="9"/>
      <c r="O62" s="9"/>
      <c r="P62" s="9"/>
      <c r="Q62" s="9"/>
    </row>
    <row r="63" spans="1:17" x14ac:dyDescent="0.3">
      <c r="A63" t="s">
        <v>74</v>
      </c>
      <c r="E63" t="s">
        <v>75</v>
      </c>
      <c r="H63" s="36"/>
      <c r="I63" s="36"/>
      <c r="J63" s="9"/>
      <c r="K63" s="9"/>
      <c r="L63" s="9"/>
      <c r="M63" s="9"/>
      <c r="N63" s="9"/>
      <c r="O63" s="9"/>
      <c r="P63" s="9"/>
      <c r="Q63" s="9"/>
    </row>
    <row r="64" spans="1:17" x14ac:dyDescent="0.3">
      <c r="B64" s="40">
        <v>3.5</v>
      </c>
      <c r="C64" s="41">
        <v>6.8</v>
      </c>
      <c r="E64" t="s">
        <v>78</v>
      </c>
      <c r="H64" s="36"/>
      <c r="I64" s="36"/>
      <c r="J64" s="9"/>
      <c r="K64" s="9"/>
      <c r="L64" s="9"/>
      <c r="M64" s="9"/>
      <c r="N64" s="9"/>
      <c r="O64" s="9"/>
      <c r="P64" s="9"/>
      <c r="Q64" s="9"/>
    </row>
    <row r="65" spans="1:17" x14ac:dyDescent="0.3">
      <c r="B65" s="40">
        <v>4</v>
      </c>
      <c r="C65" s="41">
        <v>7</v>
      </c>
      <c r="E65" s="25" t="s">
        <v>77</v>
      </c>
      <c r="F65" s="25"/>
      <c r="H65" s="36"/>
      <c r="I65" s="36"/>
      <c r="J65" s="9"/>
      <c r="K65" s="9"/>
      <c r="L65" s="9"/>
      <c r="M65" s="9"/>
      <c r="N65" s="9"/>
      <c r="O65" s="9"/>
      <c r="P65" s="9"/>
      <c r="Q65" s="9"/>
    </row>
    <row r="66" spans="1:17" x14ac:dyDescent="0.3">
      <c r="B66" s="40">
        <v>4.7</v>
      </c>
      <c r="C66" s="41">
        <v>7.2</v>
      </c>
      <c r="H66" s="36"/>
      <c r="I66" s="36"/>
      <c r="J66" s="9"/>
      <c r="K66" s="9"/>
      <c r="L66" s="9"/>
      <c r="M66" s="9"/>
      <c r="N66" s="9"/>
      <c r="O66" s="9"/>
      <c r="P66" s="9"/>
      <c r="Q66" s="9"/>
    </row>
    <row r="67" spans="1:17" x14ac:dyDescent="0.3">
      <c r="B67" s="40">
        <v>4.9000000000000004</v>
      </c>
      <c r="C67" s="41">
        <v>7.4</v>
      </c>
      <c r="H67" s="9"/>
      <c r="I67" s="9"/>
      <c r="J67" s="9"/>
      <c r="K67" s="9"/>
      <c r="L67" s="9"/>
      <c r="M67" s="9"/>
      <c r="N67" s="9"/>
      <c r="O67" s="9"/>
      <c r="P67" s="9"/>
      <c r="Q67" s="9"/>
    </row>
    <row r="68" spans="1:17" x14ac:dyDescent="0.3">
      <c r="B68" s="40">
        <v>5.3</v>
      </c>
      <c r="C68" s="41">
        <v>7.6</v>
      </c>
      <c r="H68" s="36"/>
      <c r="I68" s="36"/>
      <c r="J68" s="9"/>
      <c r="K68" s="9"/>
      <c r="L68" s="9"/>
      <c r="M68" s="9"/>
      <c r="N68" s="9"/>
      <c r="O68" s="9"/>
      <c r="P68" s="9"/>
      <c r="Q68" s="9"/>
    </row>
    <row r="69" spans="1:17" x14ac:dyDescent="0.3">
      <c r="B69" s="41">
        <v>5.5</v>
      </c>
      <c r="C69" s="41">
        <v>8.6</v>
      </c>
      <c r="H69" s="36"/>
      <c r="I69" s="36"/>
      <c r="J69" s="9"/>
      <c r="K69" s="9"/>
      <c r="L69" s="9"/>
      <c r="M69" s="9"/>
      <c r="N69" s="9"/>
      <c r="O69" s="9"/>
      <c r="P69" s="9"/>
      <c r="Q69" s="9"/>
    </row>
    <row r="70" spans="1:17" x14ac:dyDescent="0.3">
      <c r="A70" s="50"/>
      <c r="B70" s="41">
        <v>5.7</v>
      </c>
      <c r="H70" s="9"/>
      <c r="I70" s="9"/>
      <c r="J70" s="9"/>
      <c r="K70" s="9"/>
      <c r="L70" s="9"/>
      <c r="M70" s="9"/>
      <c r="N70" s="9"/>
      <c r="O70" s="9"/>
      <c r="P70" s="9"/>
      <c r="Q70" s="9"/>
    </row>
    <row r="71" spans="1:17" x14ac:dyDescent="0.3">
      <c r="B71" s="41">
        <v>5.8</v>
      </c>
      <c r="H71" s="9"/>
      <c r="I71" s="9"/>
      <c r="J71" s="9"/>
      <c r="K71" s="9"/>
      <c r="L71" s="9"/>
      <c r="M71" s="9"/>
      <c r="N71" s="9"/>
      <c r="O71" s="9"/>
      <c r="P71" s="9"/>
      <c r="Q71" s="9"/>
    </row>
    <row r="72" spans="1:17" x14ac:dyDescent="0.3">
      <c r="B72" s="41">
        <v>6.5</v>
      </c>
      <c r="H72" s="9"/>
      <c r="I72" s="9"/>
      <c r="J72" s="9"/>
      <c r="K72" s="9"/>
      <c r="L72" s="9"/>
      <c r="M72" s="9"/>
      <c r="N72" s="9"/>
      <c r="O72" s="9"/>
      <c r="P72" s="9"/>
      <c r="Q72" s="9"/>
    </row>
    <row r="73" spans="1:17" x14ac:dyDescent="0.3">
      <c r="H73" s="9"/>
      <c r="I73" s="9"/>
      <c r="J73" s="9"/>
      <c r="K73" s="9"/>
      <c r="L73" s="9"/>
      <c r="M73" s="9"/>
      <c r="N73" s="9"/>
      <c r="O73" s="9"/>
      <c r="P73" s="9"/>
      <c r="Q73" s="9"/>
    </row>
    <row r="74" spans="1:17" x14ac:dyDescent="0.3">
      <c r="A74" t="s">
        <v>79</v>
      </c>
      <c r="H74" s="9"/>
      <c r="I74" s="9"/>
      <c r="J74" s="9"/>
      <c r="K74" s="9"/>
      <c r="L74" s="9"/>
      <c r="M74" s="9"/>
      <c r="N74" s="9"/>
      <c r="O74" s="9"/>
      <c r="P74" s="9"/>
      <c r="Q74" s="9"/>
    </row>
    <row r="75" spans="1:17" x14ac:dyDescent="0.3">
      <c r="A75" t="s">
        <v>80</v>
      </c>
      <c r="D75">
        <f>+B56</f>
        <v>7</v>
      </c>
      <c r="H75" s="9"/>
      <c r="I75" s="9"/>
      <c r="J75" s="9"/>
      <c r="K75" s="9"/>
      <c r="L75" s="9"/>
      <c r="M75" s="9"/>
      <c r="N75" s="9"/>
      <c r="O75" s="9"/>
      <c r="P75" s="9"/>
      <c r="Q75" s="9"/>
    </row>
    <row r="76" spans="1:17" x14ac:dyDescent="0.3">
      <c r="H76" s="9"/>
      <c r="I76" s="9"/>
      <c r="J76" s="9"/>
      <c r="K76" s="9"/>
      <c r="L76" s="9"/>
      <c r="M76" s="9"/>
      <c r="N76" s="9"/>
      <c r="O76" s="9"/>
      <c r="P76" s="9"/>
      <c r="Q76" s="9"/>
    </row>
    <row r="77" spans="1:17" x14ac:dyDescent="0.3">
      <c r="A77" t="s">
        <v>81</v>
      </c>
    </row>
    <row r="78" spans="1:17" x14ac:dyDescent="0.3">
      <c r="A78">
        <v>10</v>
      </c>
    </row>
    <row r="80" spans="1:17" x14ac:dyDescent="0.3">
      <c r="A80" t="s">
        <v>82</v>
      </c>
    </row>
    <row r="81" spans="1:8" x14ac:dyDescent="0.3">
      <c r="A81">
        <v>4</v>
      </c>
    </row>
    <row r="83" spans="1:8" x14ac:dyDescent="0.3">
      <c r="A83" t="s">
        <v>83</v>
      </c>
    </row>
    <row r="84" spans="1:8" x14ac:dyDescent="0.3">
      <c r="A84">
        <v>14</v>
      </c>
    </row>
    <row r="86" spans="1:8" x14ac:dyDescent="0.3">
      <c r="A86" s="42"/>
      <c r="B86" s="42"/>
      <c r="C86" s="16"/>
      <c r="D86" s="23"/>
      <c r="E86" s="12"/>
    </row>
    <row r="87" spans="1:8" x14ac:dyDescent="0.3">
      <c r="A87" s="29"/>
      <c r="B87" s="29"/>
      <c r="C87" s="29"/>
      <c r="D87" s="29"/>
      <c r="E87" s="29"/>
      <c r="F87" s="29"/>
      <c r="G87" s="29"/>
      <c r="H87" s="29"/>
    </row>
    <row r="88" spans="1:8" x14ac:dyDescent="0.3">
      <c r="A88" s="29"/>
      <c r="B88" s="29"/>
      <c r="C88" s="29"/>
      <c r="D88" s="29"/>
      <c r="E88" s="29"/>
      <c r="F88" s="29"/>
      <c r="G88" s="29"/>
      <c r="H88" s="29"/>
    </row>
    <row r="89" spans="1:8" x14ac:dyDescent="0.3">
      <c r="A89" s="29"/>
      <c r="B89" s="29"/>
      <c r="C89" s="29"/>
      <c r="D89" s="29"/>
      <c r="E89" s="29"/>
      <c r="F89" s="29"/>
      <c r="G89" s="29"/>
      <c r="H89" s="29"/>
    </row>
    <row r="108" spans="1:10" x14ac:dyDescent="0.3">
      <c r="C108" s="78" t="s">
        <v>121</v>
      </c>
      <c r="D108" s="78"/>
      <c r="E108" s="38" t="s">
        <v>128</v>
      </c>
      <c r="F108" s="38" t="s">
        <v>129</v>
      </c>
      <c r="G108" t="s">
        <v>131</v>
      </c>
      <c r="H108" t="s">
        <v>161</v>
      </c>
      <c r="I108" t="s">
        <v>162</v>
      </c>
    </row>
    <row r="109" spans="1:10" x14ac:dyDescent="0.3">
      <c r="A109">
        <v>24</v>
      </c>
      <c r="B109" s="38"/>
      <c r="C109" s="38" t="s">
        <v>122</v>
      </c>
      <c r="D109" s="38">
        <v>28</v>
      </c>
      <c r="E109" s="38">
        <v>20</v>
      </c>
      <c r="F109" s="52">
        <f t="shared" ref="F109:F114" si="5">+E109/$E$115</f>
        <v>0.12345679012345678</v>
      </c>
      <c r="G109" s="20">
        <f>+(D109-A109)/($D$114-A109)</f>
        <v>0.16666666666666666</v>
      </c>
      <c r="H109" s="20">
        <f>+G109</f>
        <v>0.16666666666666666</v>
      </c>
      <c r="I109">
        <f>+H109*$E$115</f>
        <v>27</v>
      </c>
      <c r="J109">
        <f>+E109*LN(E109/I109)</f>
        <v>-6.0020918490067636</v>
      </c>
    </row>
    <row r="110" spans="1:10" x14ac:dyDescent="0.3">
      <c r="A110">
        <v>28</v>
      </c>
      <c r="B110" s="38"/>
      <c r="C110" s="38" t="s">
        <v>123</v>
      </c>
      <c r="D110" s="38">
        <v>32</v>
      </c>
      <c r="E110" s="38">
        <v>29</v>
      </c>
      <c r="F110" s="52">
        <f t="shared" si="5"/>
        <v>0.17901234567901234</v>
      </c>
      <c r="G110" s="20">
        <f>+(D110-$A$109)/($D$114-$A$109)</f>
        <v>0.33333333333333331</v>
      </c>
      <c r="H110" s="20">
        <f>+G110-G109</f>
        <v>0.16666666666666666</v>
      </c>
      <c r="I110">
        <f t="shared" ref="I110:I114" si="6">+H110*$E$115</f>
        <v>27</v>
      </c>
      <c r="J110">
        <f t="shared" ref="J110:J114" si="7">+E110*LN(E110/I110)</f>
        <v>2.0723099554822064</v>
      </c>
    </row>
    <row r="111" spans="1:10" x14ac:dyDescent="0.3">
      <c r="A111">
        <v>32</v>
      </c>
      <c r="B111" s="38"/>
      <c r="C111" s="38" t="s">
        <v>124</v>
      </c>
      <c r="D111" s="38">
        <v>36</v>
      </c>
      <c r="E111" s="38">
        <v>28</v>
      </c>
      <c r="F111" s="52">
        <f t="shared" si="5"/>
        <v>0.1728395061728395</v>
      </c>
      <c r="G111" s="20">
        <f t="shared" ref="G111:G114" si="8">+(D111-$A$109)/($D$114-$A$109)</f>
        <v>0.5</v>
      </c>
      <c r="H111" s="20">
        <f>+G111-G110</f>
        <v>0.16666666666666669</v>
      </c>
      <c r="I111">
        <f t="shared" si="6"/>
        <v>27.000000000000004</v>
      </c>
      <c r="J111">
        <f t="shared" si="7"/>
        <v>1.0182940367844941</v>
      </c>
    </row>
    <row r="112" spans="1:10" x14ac:dyDescent="0.3">
      <c r="A112">
        <v>36</v>
      </c>
      <c r="B112" s="38"/>
      <c r="C112" s="38" t="s">
        <v>125</v>
      </c>
      <c r="D112" s="38">
        <v>40</v>
      </c>
      <c r="E112" s="38">
        <v>28</v>
      </c>
      <c r="F112" s="52">
        <f t="shared" si="5"/>
        <v>0.1728395061728395</v>
      </c>
      <c r="G112" s="20">
        <f t="shared" si="8"/>
        <v>0.66666666666666663</v>
      </c>
      <c r="H112" s="20">
        <f>+G112-G111</f>
        <v>0.16666666666666663</v>
      </c>
      <c r="I112">
        <f t="shared" si="6"/>
        <v>26.999999999999993</v>
      </c>
      <c r="J112">
        <f t="shared" si="7"/>
        <v>1.0182940367845001</v>
      </c>
    </row>
    <row r="113" spans="1:10" x14ac:dyDescent="0.3">
      <c r="A113">
        <v>40</v>
      </c>
      <c r="B113" s="38"/>
      <c r="C113" s="38" t="s">
        <v>126</v>
      </c>
      <c r="D113" s="38">
        <v>44</v>
      </c>
      <c r="E113" s="38">
        <v>28</v>
      </c>
      <c r="F113" s="52">
        <f t="shared" si="5"/>
        <v>0.1728395061728395</v>
      </c>
      <c r="G113" s="20">
        <f t="shared" si="8"/>
        <v>0.83333333333333337</v>
      </c>
      <c r="H113" s="20">
        <f>+G113-G112</f>
        <v>0.16666666666666674</v>
      </c>
      <c r="I113">
        <f t="shared" si="6"/>
        <v>27.000000000000011</v>
      </c>
      <c r="J113">
        <f t="shared" si="7"/>
        <v>1.0182940367844824</v>
      </c>
    </row>
    <row r="114" spans="1:10" x14ac:dyDescent="0.3">
      <c r="A114">
        <v>44</v>
      </c>
      <c r="B114" s="38"/>
      <c r="C114" s="38" t="s">
        <v>127</v>
      </c>
      <c r="D114" s="38">
        <v>48</v>
      </c>
      <c r="E114" s="38">
        <v>29</v>
      </c>
      <c r="F114" s="52">
        <f t="shared" si="5"/>
        <v>0.17901234567901234</v>
      </c>
      <c r="G114" s="20">
        <f t="shared" si="8"/>
        <v>1</v>
      </c>
      <c r="H114" s="20">
        <f>+G114-G113</f>
        <v>0.16666666666666663</v>
      </c>
      <c r="I114">
        <f t="shared" si="6"/>
        <v>26.999999999999993</v>
      </c>
      <c r="J114">
        <f t="shared" si="7"/>
        <v>2.0723099554822122</v>
      </c>
    </row>
    <row r="115" spans="1:10" x14ac:dyDescent="0.3">
      <c r="B115" s="38"/>
      <c r="C115" s="38" t="s">
        <v>130</v>
      </c>
      <c r="D115" s="38"/>
      <c r="E115" s="38">
        <f>SUM(E109:E114)</f>
        <v>162</v>
      </c>
      <c r="F115" s="38"/>
      <c r="J115">
        <f>2*SUM(J109:J114)</f>
        <v>2.3948203446222633</v>
      </c>
    </row>
    <row r="117" spans="1:10" x14ac:dyDescent="0.3">
      <c r="A117" s="38" t="s">
        <v>163</v>
      </c>
      <c r="C117">
        <f>+_xlfn.CHISQ.INV(B118,4)</f>
        <v>9.4877290367811575</v>
      </c>
    </row>
    <row r="118" spans="1:10" x14ac:dyDescent="0.3">
      <c r="B118">
        <v>0.95</v>
      </c>
      <c r="E118" t="s">
        <v>20</v>
      </c>
    </row>
    <row r="119" spans="1:10" x14ac:dyDescent="0.3">
      <c r="E119" t="s">
        <v>164</v>
      </c>
    </row>
  </sheetData>
  <mergeCells count="4">
    <mergeCell ref="A44:B44"/>
    <mergeCell ref="A45:I47"/>
    <mergeCell ref="C108:D108"/>
    <mergeCell ref="D35:D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F2A0-7FFB-4746-97E7-0F8C5F92A25B}">
  <dimension ref="A22:G62"/>
  <sheetViews>
    <sheetView topLeftCell="A19" workbookViewId="0">
      <selection activeCell="F43" sqref="F43"/>
    </sheetView>
  </sheetViews>
  <sheetFormatPr baseColWidth="10" defaultRowHeight="14.4" x14ac:dyDescent="0.3"/>
  <sheetData>
    <row r="22" spans="1:7" x14ac:dyDescent="0.3">
      <c r="A22" t="s">
        <v>176</v>
      </c>
      <c r="B22">
        <v>0.2</v>
      </c>
      <c r="D22" t="s">
        <v>183</v>
      </c>
    </row>
    <row r="23" spans="1:7" x14ac:dyDescent="0.3">
      <c r="A23" t="s">
        <v>177</v>
      </c>
      <c r="B23">
        <v>0.2</v>
      </c>
      <c r="D23" t="s">
        <v>179</v>
      </c>
    </row>
    <row r="24" spans="1:7" x14ac:dyDescent="0.3">
      <c r="A24" t="s">
        <v>178</v>
      </c>
      <c r="B24">
        <v>0.1</v>
      </c>
    </row>
    <row r="25" spans="1:7" x14ac:dyDescent="0.3">
      <c r="E25" t="s">
        <v>180</v>
      </c>
      <c r="F25" t="s">
        <v>181</v>
      </c>
    </row>
    <row r="26" spans="1:7" x14ac:dyDescent="0.3">
      <c r="A26" t="s">
        <v>1</v>
      </c>
      <c r="B26">
        <v>0.05</v>
      </c>
      <c r="D26">
        <v>0</v>
      </c>
      <c r="E26">
        <f>+_xlfn.BINOM.DIST(D26,$B$27,$B$22,TRUE)</f>
        <v>1.2379400392853797E-3</v>
      </c>
      <c r="G26" t="s">
        <v>182</v>
      </c>
    </row>
    <row r="27" spans="1:7" x14ac:dyDescent="0.3">
      <c r="A27" t="s">
        <v>51</v>
      </c>
      <c r="B27">
        <v>30</v>
      </c>
      <c r="D27">
        <v>1</v>
      </c>
      <c r="E27">
        <f>+_xlfn.BINOM.DIST(D27,$B$27,$B$22,TRUE)</f>
        <v>1.0522490333925733E-2</v>
      </c>
    </row>
    <row r="28" spans="1:7" x14ac:dyDescent="0.3">
      <c r="D28">
        <v>2</v>
      </c>
      <c r="E28">
        <f t="shared" ref="E28" si="0">+_xlfn.BINOM.DIST(D28,$B$27,$B$22,TRUE)</f>
        <v>4.4178985151996995E-2</v>
      </c>
    </row>
    <row r="29" spans="1:7" x14ac:dyDescent="0.3">
      <c r="D29">
        <v>3</v>
      </c>
      <c r="F29">
        <f t="shared" ref="F29:F46" si="1">+_xlfn.BINOM.DIST(D29,$B$27,$B$22,TRUE)</f>
        <v>0.1227108063941633</v>
      </c>
    </row>
    <row r="30" spans="1:7" x14ac:dyDescent="0.3">
      <c r="D30">
        <v>4</v>
      </c>
      <c r="F30">
        <f t="shared" si="1"/>
        <v>0.25523325474031894</v>
      </c>
    </row>
    <row r="31" spans="1:7" x14ac:dyDescent="0.3">
      <c r="D31">
        <v>5</v>
      </c>
      <c r="F31">
        <f t="shared" si="1"/>
        <v>0.42751243759032115</v>
      </c>
    </row>
    <row r="32" spans="1:7" x14ac:dyDescent="0.3">
      <c r="D32">
        <v>6</v>
      </c>
      <c r="F32">
        <f t="shared" si="1"/>
        <v>0.60696991972574021</v>
      </c>
    </row>
    <row r="33" spans="1:6" x14ac:dyDescent="0.3">
      <c r="A33" t="s">
        <v>184</v>
      </c>
      <c r="D33">
        <v>7</v>
      </c>
      <c r="F33">
        <f t="shared" si="1"/>
        <v>0.76079061869895703</v>
      </c>
    </row>
    <row r="34" spans="1:6" x14ac:dyDescent="0.3">
      <c r="A34">
        <f>+E28</f>
        <v>4.4178985151996995E-2</v>
      </c>
      <c r="D34">
        <v>8</v>
      </c>
      <c r="F34">
        <f t="shared" si="1"/>
        <v>0.87134924608595599</v>
      </c>
    </row>
    <row r="35" spans="1:6" x14ac:dyDescent="0.3">
      <c r="D35">
        <v>9</v>
      </c>
      <c r="F35">
        <f t="shared" si="1"/>
        <v>0.93891285171134453</v>
      </c>
    </row>
    <row r="36" spans="1:6" x14ac:dyDescent="0.3">
      <c r="A36" t="s">
        <v>185</v>
      </c>
      <c r="D36">
        <v>10</v>
      </c>
      <c r="F36">
        <f t="shared" si="1"/>
        <v>0.97438374466467348</v>
      </c>
    </row>
    <row r="37" spans="1:6" x14ac:dyDescent="0.3">
      <c r="D37">
        <v>11</v>
      </c>
      <c r="F37">
        <f t="shared" si="1"/>
        <v>0.99050687782527747</v>
      </c>
    </row>
    <row r="38" spans="1:6" x14ac:dyDescent="0.3">
      <c r="D38">
        <v>12</v>
      </c>
      <c r="F38">
        <f t="shared" si="1"/>
        <v>0.99688895136801658</v>
      </c>
    </row>
    <row r="39" spans="1:6" x14ac:dyDescent="0.3">
      <c r="D39">
        <v>13</v>
      </c>
      <c r="F39">
        <f t="shared" si="1"/>
        <v>0.99909813067127251</v>
      </c>
    </row>
    <row r="40" spans="1:6" x14ac:dyDescent="0.3">
      <c r="D40">
        <v>14</v>
      </c>
      <c r="F40">
        <f t="shared" si="1"/>
        <v>0.99976877438833234</v>
      </c>
    </row>
    <row r="41" spans="1:6" x14ac:dyDescent="0.3">
      <c r="D41">
        <v>15</v>
      </c>
      <c r="F41">
        <f t="shared" si="1"/>
        <v>0.99994761271288157</v>
      </c>
    </row>
    <row r="42" spans="1:6" x14ac:dyDescent="0.3">
      <c r="D42">
        <v>16</v>
      </c>
      <c r="F42">
        <f t="shared" si="1"/>
        <v>0.9999895279451978</v>
      </c>
    </row>
    <row r="43" spans="1:6" x14ac:dyDescent="0.3">
      <c r="D43">
        <v>17</v>
      </c>
      <c r="F43">
        <f t="shared" si="1"/>
        <v>0.99999815755185106</v>
      </c>
    </row>
    <row r="44" spans="1:6" x14ac:dyDescent="0.3">
      <c r="D44">
        <v>18</v>
      </c>
      <c r="F44">
        <f t="shared" si="1"/>
        <v>0.99999971567527468</v>
      </c>
    </row>
    <row r="45" spans="1:6" x14ac:dyDescent="0.3">
      <c r="D45">
        <v>19</v>
      </c>
      <c r="F45">
        <f t="shared" si="1"/>
        <v>0.99999996169476257</v>
      </c>
    </row>
    <row r="46" spans="1:6" x14ac:dyDescent="0.3">
      <c r="D46">
        <v>20</v>
      </c>
      <c r="F46">
        <f t="shared" si="1"/>
        <v>0.99999999552244212</v>
      </c>
    </row>
    <row r="54" spans="1:4" x14ac:dyDescent="0.3">
      <c r="A54" t="s">
        <v>186</v>
      </c>
    </row>
    <row r="55" spans="1:4" x14ac:dyDescent="0.3">
      <c r="D55" t="s">
        <v>188</v>
      </c>
    </row>
    <row r="56" spans="1:4" x14ac:dyDescent="0.3">
      <c r="A56" t="s">
        <v>176</v>
      </c>
      <c r="B56">
        <v>0.2</v>
      </c>
      <c r="D56">
        <f>_xlfn.BINOM.DIST(5,30,0.2,TRUE)</f>
        <v>0.42751243759032115</v>
      </c>
    </row>
    <row r="57" spans="1:4" x14ac:dyDescent="0.3">
      <c r="A57" t="s">
        <v>177</v>
      </c>
      <c r="B57">
        <v>0.2</v>
      </c>
    </row>
    <row r="60" spans="1:4" x14ac:dyDescent="0.3">
      <c r="A60" t="s">
        <v>1</v>
      </c>
      <c r="B60">
        <v>0.05</v>
      </c>
    </row>
    <row r="61" spans="1:4" x14ac:dyDescent="0.3">
      <c r="A61" t="s">
        <v>51</v>
      </c>
      <c r="B61">
        <v>30</v>
      </c>
    </row>
    <row r="62" spans="1:4" x14ac:dyDescent="0.3">
      <c r="A62" t="s">
        <v>187</v>
      </c>
      <c r="B62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92E9-2152-46CD-96C6-2A66AD4A98BC}">
  <dimension ref="A1:M19"/>
  <sheetViews>
    <sheetView topLeftCell="F1" workbookViewId="0">
      <selection activeCell="L11" sqref="L11:L12"/>
    </sheetView>
  </sheetViews>
  <sheetFormatPr baseColWidth="10" defaultRowHeight="14.4" x14ac:dyDescent="0.3"/>
  <sheetData>
    <row r="1" spans="1:13" x14ac:dyDescent="0.3">
      <c r="A1" t="s">
        <v>135</v>
      </c>
      <c r="H1" t="s">
        <v>165</v>
      </c>
    </row>
    <row r="2" spans="1:13" x14ac:dyDescent="0.3">
      <c r="I2" s="12"/>
    </row>
    <row r="3" spans="1:13" x14ac:dyDescent="0.3">
      <c r="H3" s="11" t="s">
        <v>151</v>
      </c>
      <c r="I3" s="12">
        <v>0.25</v>
      </c>
      <c r="J3" t="s">
        <v>1</v>
      </c>
      <c r="K3">
        <v>0.01</v>
      </c>
    </row>
    <row r="4" spans="1:13" x14ac:dyDescent="0.3">
      <c r="H4" s="11" t="s">
        <v>87</v>
      </c>
      <c r="I4" t="s">
        <v>128</v>
      </c>
    </row>
    <row r="5" spans="1:13" x14ac:dyDescent="0.3">
      <c r="H5" s="11"/>
    </row>
    <row r="6" spans="1:13" x14ac:dyDescent="0.3">
      <c r="H6" s="79" t="s">
        <v>166</v>
      </c>
      <c r="I6" s="79"/>
      <c r="J6" s="91" t="s">
        <v>169</v>
      </c>
      <c r="K6" s="91" t="s">
        <v>167</v>
      </c>
      <c r="L6" s="78" t="s">
        <v>170</v>
      </c>
      <c r="M6" s="91" t="s">
        <v>171</v>
      </c>
    </row>
    <row r="7" spans="1:13" x14ac:dyDescent="0.3">
      <c r="H7" s="79"/>
      <c r="I7" s="79"/>
      <c r="J7" s="91"/>
      <c r="K7" s="91"/>
      <c r="L7" s="78"/>
      <c r="M7" s="91"/>
    </row>
    <row r="8" spans="1:13" x14ac:dyDescent="0.3">
      <c r="H8" s="78">
        <v>1</v>
      </c>
      <c r="I8" s="78"/>
      <c r="J8" s="67">
        <v>8</v>
      </c>
      <c r="K8" s="68">
        <f>+((1-$I$3)^(H8-1))*$I$3</f>
        <v>0.25</v>
      </c>
      <c r="L8" s="69">
        <f>+$J$14*K8</f>
        <v>7.5</v>
      </c>
      <c r="M8">
        <f>+((J8-L8)^2)/L8</f>
        <v>3.3333333333333333E-2</v>
      </c>
    </row>
    <row r="9" spans="1:13" x14ac:dyDescent="0.3">
      <c r="H9" s="78">
        <v>2</v>
      </c>
      <c r="I9" s="78"/>
      <c r="J9" s="67">
        <v>7</v>
      </c>
      <c r="K9" s="68">
        <f t="shared" ref="K9:K12" si="0">+((1-$I$3)^(H9-1))*$I$3</f>
        <v>0.1875</v>
      </c>
      <c r="L9" s="69">
        <f>+$J$14*K9</f>
        <v>5.625</v>
      </c>
      <c r="M9">
        <f t="shared" ref="M9:M13" si="1">+((J9-L9)^2)/L9</f>
        <v>0.33611111111111114</v>
      </c>
    </row>
    <row r="10" spans="1:13" x14ac:dyDescent="0.3">
      <c r="H10" s="78">
        <v>3</v>
      </c>
      <c r="I10" s="78"/>
      <c r="J10" s="67">
        <v>6</v>
      </c>
      <c r="K10" s="68">
        <f t="shared" si="0"/>
        <v>0.140625</v>
      </c>
      <c r="L10" s="69">
        <f>+$J$14*K10</f>
        <v>4.21875</v>
      </c>
      <c r="M10">
        <f t="shared" si="1"/>
        <v>0.75208333333333333</v>
      </c>
    </row>
    <row r="11" spans="1:13" x14ac:dyDescent="0.3">
      <c r="H11" s="78">
        <v>4</v>
      </c>
      <c r="I11" s="78"/>
      <c r="J11" s="67">
        <v>5</v>
      </c>
      <c r="K11" s="68">
        <f t="shared" si="0"/>
        <v>0.10546875</v>
      </c>
      <c r="L11" s="69">
        <f t="shared" ref="L11:L13" si="2">+$J$14*K11</f>
        <v>3.1640625</v>
      </c>
      <c r="M11">
        <f t="shared" si="1"/>
        <v>1.0652970679012346</v>
      </c>
    </row>
    <row r="12" spans="1:13" x14ac:dyDescent="0.3">
      <c r="H12" s="78">
        <v>5</v>
      </c>
      <c r="I12" s="78"/>
      <c r="J12" s="67">
        <v>3</v>
      </c>
      <c r="K12" s="68">
        <f t="shared" si="0"/>
        <v>7.91015625E-2</v>
      </c>
      <c r="L12" s="69">
        <f t="shared" si="2"/>
        <v>2.373046875</v>
      </c>
      <c r="M12">
        <f t="shared" si="1"/>
        <v>0.1656394675925926</v>
      </c>
    </row>
    <row r="13" spans="1:13" x14ac:dyDescent="0.3">
      <c r="H13" s="78" t="s">
        <v>168</v>
      </c>
      <c r="I13" s="78"/>
      <c r="J13" s="67">
        <v>1</v>
      </c>
      <c r="K13" s="68">
        <f>1-K12-K11-K10-K9-K8</f>
        <v>0.2373046875</v>
      </c>
      <c r="L13" s="69">
        <f t="shared" si="2"/>
        <v>7.119140625</v>
      </c>
      <c r="M13">
        <f t="shared" si="1"/>
        <v>5.2596070173182445</v>
      </c>
    </row>
    <row r="14" spans="1:13" x14ac:dyDescent="0.3">
      <c r="H14" s="78" t="s">
        <v>130</v>
      </c>
      <c r="I14" s="78"/>
      <c r="J14" s="67">
        <f>SUM(J8:J13)</f>
        <v>30</v>
      </c>
      <c r="M14">
        <f>SUM(M8:M13)</f>
        <v>7.6120713305898491</v>
      </c>
    </row>
    <row r="15" spans="1:13" x14ac:dyDescent="0.3">
      <c r="J15" s="67"/>
    </row>
    <row r="16" spans="1:13" x14ac:dyDescent="0.3">
      <c r="H16" s="49" t="s">
        <v>163</v>
      </c>
      <c r="K16" s="77">
        <f>+K11+K12+K10+K9+K8-1</f>
        <v>-0.2373046875</v>
      </c>
    </row>
    <row r="17" spans="8:9" x14ac:dyDescent="0.3">
      <c r="H17" s="49">
        <v>4</v>
      </c>
    </row>
    <row r="18" spans="8:9" x14ac:dyDescent="0.3">
      <c r="H18" t="s">
        <v>172</v>
      </c>
      <c r="I18">
        <f>1-K3</f>
        <v>0.99</v>
      </c>
    </row>
    <row r="19" spans="8:9" x14ac:dyDescent="0.3">
      <c r="H19" t="s">
        <v>173</v>
      </c>
      <c r="I19">
        <f>+_xlfn.CHISQ.INV(I18,H17)</f>
        <v>13.276704135987615</v>
      </c>
    </row>
  </sheetData>
  <mergeCells count="12">
    <mergeCell ref="M6:M7"/>
    <mergeCell ref="H6:I7"/>
    <mergeCell ref="H8:I8"/>
    <mergeCell ref="H9:I9"/>
    <mergeCell ref="H10:I10"/>
    <mergeCell ref="H13:I13"/>
    <mergeCell ref="H14:I14"/>
    <mergeCell ref="J6:J7"/>
    <mergeCell ref="K6:K7"/>
    <mergeCell ref="L6:L7"/>
    <mergeCell ref="H12:I12"/>
    <mergeCell ref="H11:I1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AE94-2DFA-4AA8-8AF9-7D51323DCE62}">
  <dimension ref="A1:I65"/>
  <sheetViews>
    <sheetView topLeftCell="A16" workbookViewId="0">
      <selection activeCell="J27" sqref="J27"/>
    </sheetView>
  </sheetViews>
  <sheetFormatPr baseColWidth="10" defaultRowHeight="14.4" x14ac:dyDescent="0.3"/>
  <sheetData>
    <row r="1" spans="1:7" x14ac:dyDescent="0.3">
      <c r="G1">
        <v>24</v>
      </c>
    </row>
    <row r="2" spans="1:7" x14ac:dyDescent="0.3">
      <c r="G2">
        <v>28</v>
      </c>
    </row>
    <row r="3" spans="1:7" x14ac:dyDescent="0.3">
      <c r="G3">
        <v>21</v>
      </c>
    </row>
    <row r="4" spans="1:7" x14ac:dyDescent="0.3">
      <c r="G4">
        <v>23</v>
      </c>
    </row>
    <row r="5" spans="1:7" x14ac:dyDescent="0.3">
      <c r="G5">
        <v>32</v>
      </c>
    </row>
    <row r="6" spans="1:7" x14ac:dyDescent="0.3">
      <c r="G6">
        <v>22</v>
      </c>
    </row>
    <row r="7" spans="1:7" x14ac:dyDescent="0.3">
      <c r="G7">
        <f>+AVERAGE(G1:G6)</f>
        <v>25</v>
      </c>
    </row>
    <row r="9" spans="1:7" x14ac:dyDescent="0.3">
      <c r="A9" t="s">
        <v>46</v>
      </c>
      <c r="D9" t="s">
        <v>47</v>
      </c>
    </row>
    <row r="10" spans="1:7" x14ac:dyDescent="0.3">
      <c r="A10" t="s">
        <v>48</v>
      </c>
      <c r="B10">
        <v>29</v>
      </c>
    </row>
    <row r="11" spans="1:7" x14ac:dyDescent="0.3">
      <c r="A11" t="s">
        <v>138</v>
      </c>
      <c r="B11">
        <v>29</v>
      </c>
      <c r="F11" s="38" t="s">
        <v>50</v>
      </c>
      <c r="G11" s="20">
        <f>+((B15-B10)/(B16/SQRT(B13)))</f>
        <v>-2.3354968324845684</v>
      </c>
    </row>
    <row r="13" spans="1:7" x14ac:dyDescent="0.3">
      <c r="A13" t="s">
        <v>51</v>
      </c>
      <c r="B13">
        <v>6</v>
      </c>
    </row>
    <row r="14" spans="1:7" x14ac:dyDescent="0.3">
      <c r="A14" t="s">
        <v>1</v>
      </c>
      <c r="B14">
        <v>0.01</v>
      </c>
    </row>
    <row r="15" spans="1:7" x14ac:dyDescent="0.3">
      <c r="A15" t="s">
        <v>52</v>
      </c>
      <c r="B15" s="53">
        <f>+G7</f>
        <v>25</v>
      </c>
    </row>
    <row r="16" spans="1:7" x14ac:dyDescent="0.3">
      <c r="A16" t="s">
        <v>148</v>
      </c>
      <c r="B16" s="53">
        <f>+_xlfn.STDEV.S(G1:G6)</f>
        <v>4.1952353926806065</v>
      </c>
      <c r="D16" t="s">
        <v>54</v>
      </c>
    </row>
    <row r="17" spans="1:9" x14ac:dyDescent="0.3">
      <c r="D17" t="s">
        <v>100</v>
      </c>
      <c r="E17" s="43">
        <f>+C21</f>
        <v>3.3649299989072183</v>
      </c>
      <c r="F17" s="44" t="s">
        <v>22</v>
      </c>
      <c r="G17" s="16">
        <f>+G11</f>
        <v>-2.3354968324845684</v>
      </c>
    </row>
    <row r="18" spans="1:9" x14ac:dyDescent="0.3">
      <c r="D18" s="79" t="s">
        <v>63</v>
      </c>
      <c r="E18" s="79"/>
      <c r="F18" s="79"/>
      <c r="G18" s="79"/>
      <c r="H18" s="79"/>
      <c r="I18" s="79"/>
    </row>
    <row r="19" spans="1:9" x14ac:dyDescent="0.3">
      <c r="A19" t="s">
        <v>101</v>
      </c>
      <c r="D19" s="79"/>
      <c r="E19" s="79"/>
      <c r="F19" s="79"/>
      <c r="G19" s="79"/>
      <c r="H19" s="79"/>
      <c r="I19" s="79"/>
    </row>
    <row r="20" spans="1:9" x14ac:dyDescent="0.3">
      <c r="A20" t="s">
        <v>58</v>
      </c>
      <c r="B20" t="s">
        <v>159</v>
      </c>
      <c r="C20" t="s">
        <v>158</v>
      </c>
      <c r="D20" s="29"/>
      <c r="E20" s="29"/>
      <c r="F20" s="29"/>
      <c r="G20" s="29"/>
      <c r="H20" s="29"/>
      <c r="I20" s="29"/>
    </row>
    <row r="21" spans="1:9" x14ac:dyDescent="0.3">
      <c r="A21" t="s">
        <v>58</v>
      </c>
      <c r="B21" t="s">
        <v>62</v>
      </c>
      <c r="C21" s="30">
        <f>+_xlfn.T.INV((1-B14),(B13-1))</f>
        <v>3.3649299989072183</v>
      </c>
      <c r="D21" s="29"/>
      <c r="E21" s="29"/>
      <c r="F21" s="29"/>
      <c r="G21" s="29"/>
      <c r="H21" s="29"/>
      <c r="I21" s="29"/>
    </row>
    <row r="22" spans="1:9" x14ac:dyDescent="0.3">
      <c r="C22" s="30"/>
    </row>
    <row r="33" spans="1:6" ht="18" x14ac:dyDescent="0.35">
      <c r="D33" s="92" t="s">
        <v>94</v>
      </c>
      <c r="E33" s="92"/>
    </row>
    <row r="36" spans="1:6" x14ac:dyDescent="0.3">
      <c r="A36" t="s">
        <v>66</v>
      </c>
      <c r="E36" t="s">
        <v>67</v>
      </c>
    </row>
    <row r="37" spans="1:6" x14ac:dyDescent="0.3">
      <c r="A37" t="s">
        <v>191</v>
      </c>
      <c r="B37">
        <v>29</v>
      </c>
      <c r="E37" t="s">
        <v>69</v>
      </c>
      <c r="F37" t="s">
        <v>95</v>
      </c>
    </row>
    <row r="38" spans="1:6" x14ac:dyDescent="0.3">
      <c r="A38" t="s">
        <v>96</v>
      </c>
      <c r="B38">
        <v>29</v>
      </c>
      <c r="E38" t="s">
        <v>69</v>
      </c>
      <c r="F38" t="s">
        <v>97</v>
      </c>
    </row>
    <row r="39" spans="1:6" x14ac:dyDescent="0.3">
      <c r="E39" t="s">
        <v>69</v>
      </c>
      <c r="F39" s="77">
        <f>1-_xlfn.BINOM.DIST(E42,A65,0.5,TRUE)</f>
        <v>0.890625</v>
      </c>
    </row>
    <row r="40" spans="1:6" x14ac:dyDescent="0.3">
      <c r="A40" t="s">
        <v>51</v>
      </c>
      <c r="B40">
        <v>6</v>
      </c>
    </row>
    <row r="41" spans="1:6" x14ac:dyDescent="0.3">
      <c r="A41" t="s">
        <v>1</v>
      </c>
      <c r="B41">
        <v>0.1</v>
      </c>
      <c r="E41" t="s">
        <v>73</v>
      </c>
    </row>
    <row r="42" spans="1:6" x14ac:dyDescent="0.3">
      <c r="E42">
        <f>+MIN(A59:A62)</f>
        <v>1</v>
      </c>
    </row>
    <row r="44" spans="1:6" x14ac:dyDescent="0.3">
      <c r="A44" t="s">
        <v>74</v>
      </c>
      <c r="E44" t="s">
        <v>75</v>
      </c>
    </row>
    <row r="45" spans="1:6" x14ac:dyDescent="0.3">
      <c r="A45">
        <v>21</v>
      </c>
      <c r="E45" t="s">
        <v>78</v>
      </c>
    </row>
    <row r="46" spans="1:6" x14ac:dyDescent="0.3">
      <c r="A46" s="9">
        <v>22</v>
      </c>
      <c r="E46" s="25" t="s">
        <v>77</v>
      </c>
      <c r="F46" s="25"/>
    </row>
    <row r="47" spans="1:6" x14ac:dyDescent="0.3">
      <c r="A47">
        <v>23</v>
      </c>
    </row>
    <row r="48" spans="1:6" x14ac:dyDescent="0.3">
      <c r="A48">
        <v>24</v>
      </c>
    </row>
    <row r="49" spans="1:4" x14ac:dyDescent="0.3">
      <c r="A49">
        <v>28</v>
      </c>
    </row>
    <row r="50" spans="1:4" x14ac:dyDescent="0.3">
      <c r="A50">
        <v>32</v>
      </c>
    </row>
    <row r="55" spans="1:4" x14ac:dyDescent="0.3">
      <c r="A55" t="s">
        <v>79</v>
      </c>
    </row>
    <row r="56" spans="1:4" x14ac:dyDescent="0.3">
      <c r="A56" t="s">
        <v>80</v>
      </c>
      <c r="D56">
        <f>+B37</f>
        <v>29</v>
      </c>
    </row>
    <row r="58" spans="1:4" x14ac:dyDescent="0.3">
      <c r="A58" t="s">
        <v>81</v>
      </c>
    </row>
    <row r="59" spans="1:4" x14ac:dyDescent="0.3">
      <c r="A59">
        <f>+COUNT(A45:A49)</f>
        <v>5</v>
      </c>
    </row>
    <row r="61" spans="1:4" x14ac:dyDescent="0.3">
      <c r="A61" t="s">
        <v>82</v>
      </c>
    </row>
    <row r="62" spans="1:4" x14ac:dyDescent="0.3">
      <c r="A62">
        <v>1</v>
      </c>
    </row>
    <row r="64" spans="1:4" x14ac:dyDescent="0.3">
      <c r="A64" t="s">
        <v>83</v>
      </c>
    </row>
    <row r="65" spans="1:1" x14ac:dyDescent="0.3">
      <c r="A65">
        <v>6</v>
      </c>
    </row>
  </sheetData>
  <sortState ref="A45:A50">
    <sortCondition ref="A45"/>
  </sortState>
  <mergeCells count="2">
    <mergeCell ref="D33:E33"/>
    <mergeCell ref="D18:I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872B-A560-46AA-A658-FA4051C71CC1}">
  <dimension ref="A6:H47"/>
  <sheetViews>
    <sheetView topLeftCell="A4" workbookViewId="0">
      <selection activeCell="F16" sqref="F16"/>
    </sheetView>
  </sheetViews>
  <sheetFormatPr baseColWidth="10" defaultRowHeight="14.4" x14ac:dyDescent="0.3"/>
  <sheetData>
    <row r="6" spans="1:8" x14ac:dyDescent="0.3">
      <c r="A6" t="s">
        <v>115</v>
      </c>
    </row>
    <row r="7" spans="1:8" x14ac:dyDescent="0.3">
      <c r="A7" t="s">
        <v>116</v>
      </c>
      <c r="B7" s="12">
        <v>0.4</v>
      </c>
      <c r="D7" t="s">
        <v>152</v>
      </c>
      <c r="F7" s="13">
        <f>+(C16-B7)/(SQRT((B7*(1-B7))/(B10)))</f>
        <v>-1.8333333333333339</v>
      </c>
    </row>
    <row r="8" spans="1:8" x14ac:dyDescent="0.3">
      <c r="A8" t="s">
        <v>134</v>
      </c>
      <c r="B8" s="12">
        <v>0.4</v>
      </c>
    </row>
    <row r="10" spans="1:8" x14ac:dyDescent="0.3">
      <c r="A10" t="s">
        <v>51</v>
      </c>
      <c r="B10">
        <v>150</v>
      </c>
    </row>
    <row r="11" spans="1:8" x14ac:dyDescent="0.3">
      <c r="A11" t="s">
        <v>87</v>
      </c>
      <c r="B11">
        <v>49</v>
      </c>
    </row>
    <row r="12" spans="1:8" x14ac:dyDescent="0.3">
      <c r="A12" t="s">
        <v>1</v>
      </c>
      <c r="B12">
        <v>0.01</v>
      </c>
      <c r="E12" t="s">
        <v>153</v>
      </c>
    </row>
    <row r="13" spans="1:8" x14ac:dyDescent="0.3">
      <c r="E13" t="s">
        <v>69</v>
      </c>
      <c r="F13" t="s">
        <v>154</v>
      </c>
    </row>
    <row r="14" spans="1:8" x14ac:dyDescent="0.3">
      <c r="A14" t="s">
        <v>117</v>
      </c>
      <c r="E14" t="s">
        <v>69</v>
      </c>
      <c r="F14" t="s">
        <v>155</v>
      </c>
      <c r="G14" s="16">
        <f>+-ABS(F7)</f>
        <v>-1.8333333333333339</v>
      </c>
      <c r="H14" t="s">
        <v>143</v>
      </c>
    </row>
    <row r="15" spans="1:8" x14ac:dyDescent="0.3">
      <c r="E15" t="s">
        <v>69</v>
      </c>
      <c r="F15">
        <f>_xlfn.NORM.S.DIST(G14,TRUE)</f>
        <v>3.3376507584817201E-2</v>
      </c>
    </row>
    <row r="16" spans="1:8" x14ac:dyDescent="0.3">
      <c r="A16" t="s">
        <v>118</v>
      </c>
      <c r="B16" t="s">
        <v>119</v>
      </c>
      <c r="C16">
        <f>+B11/B10</f>
        <v>0.32666666666666666</v>
      </c>
    </row>
    <row r="18" spans="5:5" x14ac:dyDescent="0.3">
      <c r="E18" t="s">
        <v>156</v>
      </c>
    </row>
    <row r="19" spans="5:5" x14ac:dyDescent="0.3">
      <c r="E19" t="s">
        <v>157</v>
      </c>
    </row>
    <row r="35" spans="1:2" x14ac:dyDescent="0.3">
      <c r="A35" t="s">
        <v>84</v>
      </c>
    </row>
    <row r="36" spans="1:2" x14ac:dyDescent="0.3">
      <c r="A36" t="s">
        <v>85</v>
      </c>
      <c r="B36" s="12">
        <v>0.3</v>
      </c>
    </row>
    <row r="37" spans="1:2" x14ac:dyDescent="0.3">
      <c r="A37" t="s">
        <v>93</v>
      </c>
      <c r="B37" s="12">
        <v>0.3</v>
      </c>
    </row>
    <row r="38" spans="1:2" x14ac:dyDescent="0.3">
      <c r="B38" s="12"/>
    </row>
    <row r="39" spans="1:2" x14ac:dyDescent="0.3">
      <c r="A39" t="s">
        <v>51</v>
      </c>
      <c r="B39" s="12">
        <v>12</v>
      </c>
    </row>
    <row r="40" spans="1:2" x14ac:dyDescent="0.3">
      <c r="A40" t="s">
        <v>87</v>
      </c>
      <c r="B40" s="12">
        <v>3</v>
      </c>
    </row>
    <row r="41" spans="1:2" x14ac:dyDescent="0.3">
      <c r="A41" t="s">
        <v>88</v>
      </c>
      <c r="B41" s="12">
        <v>0.05</v>
      </c>
    </row>
    <row r="43" spans="1:2" x14ac:dyDescent="0.3">
      <c r="A43" t="s">
        <v>89</v>
      </c>
    </row>
    <row r="44" spans="1:2" x14ac:dyDescent="0.3">
      <c r="A44" t="s">
        <v>90</v>
      </c>
      <c r="B44">
        <f>2*_xlfn.BINOM.DIST(B40,B39,B36,TRUE)</f>
        <v>0.98503154686999972</v>
      </c>
    </row>
    <row r="46" spans="1:2" x14ac:dyDescent="0.3">
      <c r="A46" t="s">
        <v>91</v>
      </c>
    </row>
    <row r="47" spans="1:2" x14ac:dyDescent="0.3">
      <c r="A47" t="s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pregunta 1</vt:lpstr>
      <vt:lpstr>pregunta 2 y 3</vt:lpstr>
      <vt:lpstr>pregunta 4 y 5</vt:lpstr>
      <vt:lpstr>pregunta 6 y 8</vt:lpstr>
      <vt:lpstr>pregunta 9</vt:lpstr>
      <vt:lpstr>pregunta 10</vt:lpstr>
      <vt:lpstr>pregunta 11 y 12</vt:lpstr>
      <vt:lpstr>pregunta 13 y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2022-04-23T21:12:57Z</dcterms:created>
  <dcterms:modified xsi:type="dcterms:W3CDTF">2022-06-06T21:44:47Z</dcterms:modified>
</cp:coreProperties>
</file>