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etodos\"/>
    </mc:Choice>
  </mc:AlternateContent>
  <xr:revisionPtr revIDLastSave="0" documentId="13_ncr:1_{4286F802-469E-4796-90A7-2EBB05F07CBA}" xr6:coauthVersionLast="37" xr6:coauthVersionMax="37" xr10:uidLastSave="{00000000-0000-0000-0000-000000000000}"/>
  <bookViews>
    <workbookView xWindow="0" yWindow="0" windowWidth="10668" windowHeight="5304" firstSheet="3" activeTab="9" xr2:uid="{1CA351AD-63A3-435B-8239-85BB8E260041}"/>
  </bookViews>
  <sheets>
    <sheet name="15" sheetId="1" r:id="rId1"/>
    <sheet name="16" sheetId="2" r:id="rId2"/>
    <sheet name="17" sheetId="3" r:id="rId3"/>
    <sheet name="18" sheetId="4" r:id="rId4"/>
    <sheet name="19" sheetId="5" r:id="rId5"/>
    <sheet name="20" sheetId="6" r:id="rId6"/>
    <sheet name="24" sheetId="10" r:id="rId7"/>
    <sheet name="25" sheetId="7" r:id="rId8"/>
    <sheet name="26" sheetId="8" r:id="rId9"/>
    <sheet name="27" sheetId="9" r:id="rId10"/>
    <sheet name="29" sheetId="11" r:id="rId11"/>
    <sheet name="31" sheetId="12" r:id="rId12"/>
  </sheets>
  <calcPr calcId="179021"/>
  <pivotCaches>
    <pivotCache cacheId="16" r:id="rId13"/>
    <pivotCache cacheId="17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9" l="1"/>
  <c r="G31" i="7"/>
  <c r="F44" i="10" l="1"/>
  <c r="A35" i="11" l="1"/>
  <c r="D35" i="11"/>
  <c r="C27" i="11"/>
  <c r="C26" i="11"/>
  <c r="F64" i="9"/>
  <c r="F59" i="9"/>
  <c r="F54" i="9"/>
  <c r="D61" i="9"/>
  <c r="C61" i="9"/>
  <c r="E60" i="9"/>
  <c r="E59" i="9"/>
  <c r="D56" i="9"/>
  <c r="C56" i="9"/>
  <c r="E55" i="9"/>
  <c r="E54" i="9"/>
  <c r="E56" i="9" s="1"/>
  <c r="D102" i="5"/>
  <c r="B103" i="5"/>
  <c r="A103" i="5"/>
  <c r="B100" i="5"/>
  <c r="D96" i="5"/>
  <c r="E96" i="5"/>
  <c r="C98" i="5"/>
  <c r="B98" i="5"/>
  <c r="C97" i="5"/>
  <c r="B97" i="5"/>
  <c r="C96" i="5"/>
  <c r="B96" i="5"/>
  <c r="F73" i="5"/>
  <c r="D75" i="5"/>
  <c r="D73" i="5"/>
  <c r="B74" i="5"/>
  <c r="I68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53" i="5"/>
  <c r="E57" i="5"/>
  <c r="E56" i="5"/>
  <c r="E61" i="5"/>
  <c r="E59" i="5"/>
  <c r="E60" i="5"/>
  <c r="E64" i="5"/>
  <c r="E67" i="5"/>
  <c r="C70" i="5"/>
  <c r="B70" i="5"/>
  <c r="C69" i="5"/>
  <c r="B69" i="5"/>
  <c r="C68" i="5"/>
  <c r="B68" i="5"/>
  <c r="E29" i="5"/>
  <c r="E27" i="5"/>
  <c r="B42" i="5"/>
  <c r="E32" i="5" s="1"/>
  <c r="F32" i="5" s="1"/>
  <c r="C42" i="5"/>
  <c r="G30" i="5" s="1"/>
  <c r="H30" i="5" s="1"/>
  <c r="G26" i="5"/>
  <c r="H26" i="5" s="1"/>
  <c r="G28" i="5"/>
  <c r="H28" i="5" s="1"/>
  <c r="G37" i="5"/>
  <c r="H37" i="5" s="1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26" i="5"/>
  <c r="D41" i="5" s="1"/>
  <c r="C41" i="5"/>
  <c r="C43" i="5"/>
  <c r="B43" i="5"/>
  <c r="B41" i="5"/>
  <c r="B44" i="3"/>
  <c r="G44" i="3"/>
  <c r="F44" i="3"/>
  <c r="F45" i="3"/>
  <c r="G40" i="3"/>
  <c r="G33" i="3"/>
  <c r="E41" i="10"/>
  <c r="E38" i="10"/>
  <c r="E37" i="10"/>
  <c r="I27" i="5" l="1"/>
  <c r="G35" i="5"/>
  <c r="H35" i="5" s="1"/>
  <c r="G33" i="5"/>
  <c r="H33" i="5" s="1"/>
  <c r="G40" i="5"/>
  <c r="H40" i="5" s="1"/>
  <c r="G32" i="5"/>
  <c r="H32" i="5" s="1"/>
  <c r="G36" i="5"/>
  <c r="H36" i="5" s="1"/>
  <c r="G34" i="5"/>
  <c r="H34" i="5" s="1"/>
  <c r="G29" i="5"/>
  <c r="G39" i="5"/>
  <c r="H39" i="5" s="1"/>
  <c r="G31" i="5"/>
  <c r="H31" i="5" s="1"/>
  <c r="G27" i="5"/>
  <c r="G38" i="5"/>
  <c r="H38" i="5" s="1"/>
  <c r="E26" i="5"/>
  <c r="E39" i="5"/>
  <c r="E31" i="5"/>
  <c r="E38" i="5"/>
  <c r="I38" i="5" s="1"/>
  <c r="E30" i="5"/>
  <c r="I30" i="5" s="1"/>
  <c r="E37" i="5"/>
  <c r="I37" i="5" s="1"/>
  <c r="E36" i="5"/>
  <c r="E28" i="5"/>
  <c r="I28" i="5" s="1"/>
  <c r="E35" i="5"/>
  <c r="I35" i="5" s="1"/>
  <c r="E34" i="5"/>
  <c r="I34" i="5" s="1"/>
  <c r="E33" i="5"/>
  <c r="I33" i="5" s="1"/>
  <c r="E40" i="5"/>
  <c r="D66" i="8"/>
  <c r="C66" i="8"/>
  <c r="B68" i="8"/>
  <c r="B67" i="8"/>
  <c r="B66" i="8"/>
  <c r="B65" i="8"/>
  <c r="G28" i="3"/>
  <c r="F31" i="3"/>
  <c r="F30" i="3"/>
  <c r="F29" i="3"/>
  <c r="F28" i="3"/>
  <c r="F40" i="5" l="1"/>
  <c r="I40" i="5"/>
  <c r="F26" i="5"/>
  <c r="I26" i="5"/>
  <c r="F31" i="5"/>
  <c r="I31" i="5"/>
  <c r="I29" i="5"/>
  <c r="H29" i="5"/>
  <c r="F39" i="5"/>
  <c r="I39" i="5"/>
  <c r="I36" i="5"/>
  <c r="G41" i="5"/>
  <c r="H27" i="5"/>
  <c r="I32" i="5"/>
  <c r="E41" i="5"/>
  <c r="F29" i="5"/>
  <c r="F35" i="5"/>
  <c r="F38" i="5"/>
  <c r="F36" i="5"/>
  <c r="F37" i="5"/>
  <c r="F27" i="5"/>
  <c r="F30" i="5"/>
  <c r="F34" i="5"/>
  <c r="F33" i="5"/>
  <c r="F28" i="5"/>
  <c r="D31" i="9"/>
  <c r="C31" i="9"/>
  <c r="C35" i="9"/>
  <c r="C32" i="9"/>
  <c r="D32" i="9"/>
  <c r="D28" i="9"/>
  <c r="C28" i="9"/>
  <c r="D27" i="9"/>
  <c r="F23" i="9"/>
  <c r="C27" i="9" s="1"/>
  <c r="F22" i="9"/>
  <c r="F21" i="9"/>
  <c r="E23" i="9"/>
  <c r="D23" i="9"/>
  <c r="F75" i="8"/>
  <c r="E76" i="8"/>
  <c r="E75" i="8"/>
  <c r="I49" i="8"/>
  <c r="C67" i="8"/>
  <c r="G63" i="8"/>
  <c r="F63" i="8"/>
  <c r="H63" i="8" s="1"/>
  <c r="H62" i="8"/>
  <c r="H61" i="8"/>
  <c r="I33" i="8"/>
  <c r="D50" i="8"/>
  <c r="D46" i="8"/>
  <c r="D42" i="8"/>
  <c r="D38" i="8"/>
  <c r="D34" i="8"/>
  <c r="D30" i="8"/>
  <c r="D26" i="8"/>
  <c r="D22" i="8"/>
  <c r="G45" i="8"/>
  <c r="G43" i="8"/>
  <c r="F43" i="8"/>
  <c r="I41" i="8" s="1"/>
  <c r="H42" i="8"/>
  <c r="G42" i="8"/>
  <c r="G46" i="8" s="1"/>
  <c r="G41" i="8"/>
  <c r="F42" i="8"/>
  <c r="F46" i="8" s="1"/>
  <c r="H46" i="8" s="1"/>
  <c r="F41" i="8"/>
  <c r="H41" i="8" s="1"/>
  <c r="G39" i="8"/>
  <c r="F39" i="8"/>
  <c r="I37" i="8" s="1"/>
  <c r="H38" i="8"/>
  <c r="H37" i="8"/>
  <c r="B23" i="8"/>
  <c r="A23" i="8"/>
  <c r="C23" i="8" s="1"/>
  <c r="B22" i="8"/>
  <c r="B24" i="8" s="1"/>
  <c r="A22" i="8"/>
  <c r="C22" i="8" s="1"/>
  <c r="B27" i="8"/>
  <c r="B46" i="8"/>
  <c r="B42" i="8" s="1"/>
  <c r="B38" i="8" s="1"/>
  <c r="B34" i="8" s="1"/>
  <c r="B30" i="8" s="1"/>
  <c r="B26" i="8" s="1"/>
  <c r="B28" i="8" s="1"/>
  <c r="B47" i="8"/>
  <c r="B43" i="8" s="1"/>
  <c r="B39" i="8" s="1"/>
  <c r="B35" i="8" s="1"/>
  <c r="B31" i="8" s="1"/>
  <c r="A47" i="8"/>
  <c r="C47" i="8" s="1"/>
  <c r="A46" i="8"/>
  <c r="A48" i="8" s="1"/>
  <c r="C51" i="8"/>
  <c r="C50" i="8"/>
  <c r="B52" i="8"/>
  <c r="A52" i="8"/>
  <c r="G31" i="8"/>
  <c r="F31" i="8"/>
  <c r="I29" i="8" s="1"/>
  <c r="H30" i="8"/>
  <c r="H29" i="8"/>
  <c r="G35" i="8"/>
  <c r="F35" i="8"/>
  <c r="H34" i="8"/>
  <c r="H33" i="8"/>
  <c r="D17" i="8"/>
  <c r="C17" i="8"/>
  <c r="E17" i="8" s="1"/>
  <c r="E16" i="8"/>
  <c r="E15" i="8"/>
  <c r="C38" i="7"/>
  <c r="C40" i="7"/>
  <c r="D34" i="7"/>
  <c r="D31" i="7"/>
  <c r="D32" i="7"/>
  <c r="C32" i="7"/>
  <c r="E32" i="7"/>
  <c r="E31" i="7"/>
  <c r="C31" i="7"/>
  <c r="D28" i="7"/>
  <c r="E26" i="7"/>
  <c r="D26" i="7"/>
  <c r="C26" i="7"/>
  <c r="C25" i="7"/>
  <c r="E25" i="7"/>
  <c r="D25" i="7"/>
  <c r="D23" i="7"/>
  <c r="E23" i="7"/>
  <c r="C23" i="7"/>
  <c r="F23" i="7" s="1"/>
  <c r="F22" i="7"/>
  <c r="F21" i="7"/>
  <c r="I76" i="4"/>
  <c r="I66" i="4"/>
  <c r="I67" i="4"/>
  <c r="I68" i="4"/>
  <c r="I69" i="4"/>
  <c r="I70" i="4"/>
  <c r="I71" i="4"/>
  <c r="I72" i="4"/>
  <c r="I73" i="4"/>
  <c r="I74" i="4"/>
  <c r="I75" i="4"/>
  <c r="I65" i="4"/>
  <c r="H66" i="4"/>
  <c r="H67" i="4"/>
  <c r="H68" i="4"/>
  <c r="H69" i="4"/>
  <c r="H70" i="4"/>
  <c r="H71" i="4"/>
  <c r="H72" i="4"/>
  <c r="H73" i="4"/>
  <c r="H74" i="4"/>
  <c r="H75" i="4"/>
  <c r="H65" i="4"/>
  <c r="G66" i="4"/>
  <c r="G67" i="4"/>
  <c r="G65" i="4"/>
  <c r="E66" i="4"/>
  <c r="E65" i="4"/>
  <c r="E57" i="4"/>
  <c r="D59" i="4"/>
  <c r="D58" i="4"/>
  <c r="B52" i="4"/>
  <c r="E52" i="4"/>
  <c r="B51" i="4"/>
  <c r="D36" i="4"/>
  <c r="I33" i="4"/>
  <c r="I30" i="4"/>
  <c r="I21" i="4"/>
  <c r="I22" i="4"/>
  <c r="I23" i="4"/>
  <c r="I24" i="4"/>
  <c r="I25" i="4"/>
  <c r="I26" i="4"/>
  <c r="I27" i="4"/>
  <c r="I28" i="4"/>
  <c r="I29" i="4"/>
  <c r="I20" i="4"/>
  <c r="F33" i="4"/>
  <c r="H33" i="4"/>
  <c r="D33" i="4"/>
  <c r="C33" i="4"/>
  <c r="B33" i="4"/>
  <c r="C32" i="4"/>
  <c r="B32" i="4"/>
  <c r="H21" i="4"/>
  <c r="H22" i="4"/>
  <c r="H23" i="4"/>
  <c r="H24" i="4"/>
  <c r="H25" i="4"/>
  <c r="H26" i="4"/>
  <c r="H27" i="4"/>
  <c r="H28" i="4"/>
  <c r="H29" i="4"/>
  <c r="H30" i="4"/>
  <c r="H20" i="4"/>
  <c r="F21" i="4"/>
  <c r="F22" i="4"/>
  <c r="F23" i="4"/>
  <c r="F24" i="4"/>
  <c r="F25" i="4"/>
  <c r="F26" i="4"/>
  <c r="F27" i="4"/>
  <c r="F28" i="4"/>
  <c r="F29" i="4"/>
  <c r="F30" i="4"/>
  <c r="F20" i="4"/>
  <c r="G21" i="4"/>
  <c r="G22" i="4"/>
  <c r="G23" i="4"/>
  <c r="G24" i="4"/>
  <c r="G25" i="4"/>
  <c r="G26" i="4"/>
  <c r="G27" i="4"/>
  <c r="G28" i="4"/>
  <c r="G29" i="4"/>
  <c r="G30" i="4"/>
  <c r="G20" i="4"/>
  <c r="E21" i="4"/>
  <c r="E22" i="4"/>
  <c r="E23" i="4"/>
  <c r="E24" i="4"/>
  <c r="E25" i="4"/>
  <c r="E26" i="4"/>
  <c r="E27" i="4"/>
  <c r="E28" i="4"/>
  <c r="E29" i="4"/>
  <c r="E30" i="4"/>
  <c r="E20" i="4"/>
  <c r="C31" i="4"/>
  <c r="B31" i="4"/>
  <c r="D21" i="4"/>
  <c r="D22" i="4"/>
  <c r="D23" i="4"/>
  <c r="D24" i="4"/>
  <c r="D25" i="4"/>
  <c r="D26" i="4"/>
  <c r="D27" i="4"/>
  <c r="D28" i="4"/>
  <c r="D29" i="4"/>
  <c r="D30" i="4"/>
  <c r="D20" i="4"/>
  <c r="D84" i="2"/>
  <c r="C60" i="2"/>
  <c r="D37" i="2"/>
  <c r="B30" i="2"/>
  <c r="E29" i="2"/>
  <c r="F41" i="5" l="1"/>
  <c r="H41" i="5"/>
  <c r="I41" i="5"/>
  <c r="C45" i="5" s="1"/>
  <c r="F45" i="8"/>
  <c r="F47" i="8" s="1"/>
  <c r="G47" i="8"/>
  <c r="H45" i="8"/>
  <c r="A24" i="8"/>
  <c r="B32" i="8"/>
  <c r="B36" i="8"/>
  <c r="B40" i="8"/>
  <c r="B44" i="8"/>
  <c r="A43" i="8"/>
  <c r="B48" i="8"/>
  <c r="A42" i="8"/>
  <c r="C46" i="8"/>
  <c r="C82" i="2"/>
  <c r="B82" i="2"/>
  <c r="C81" i="2"/>
  <c r="B81" i="2"/>
  <c r="D78" i="2"/>
  <c r="D80" i="2"/>
  <c r="D73" i="2"/>
  <c r="D74" i="2"/>
  <c r="D77" i="2"/>
  <c r="D79" i="2"/>
  <c r="D76" i="2"/>
  <c r="D75" i="2"/>
  <c r="C61" i="2"/>
  <c r="D27" i="2"/>
  <c r="D26" i="2"/>
  <c r="C58" i="2"/>
  <c r="B58" i="2"/>
  <c r="C57" i="2"/>
  <c r="B57" i="2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H49" i="2"/>
  <c r="G49" i="2"/>
  <c r="D49" i="2"/>
  <c r="E49" i="2" s="1"/>
  <c r="C27" i="2"/>
  <c r="B27" i="2"/>
  <c r="C26" i="2"/>
  <c r="B26" i="2"/>
  <c r="D19" i="2"/>
  <c r="D20" i="2"/>
  <c r="D21" i="2"/>
  <c r="D22" i="2"/>
  <c r="D23" i="2"/>
  <c r="D24" i="2"/>
  <c r="D25" i="2"/>
  <c r="D18" i="2"/>
  <c r="A75" i="1"/>
  <c r="C72" i="1"/>
  <c r="A72" i="1"/>
  <c r="B67" i="1"/>
  <c r="B66" i="1"/>
  <c r="B65" i="1"/>
  <c r="E61" i="1"/>
  <c r="E62" i="1"/>
  <c r="E63" i="1"/>
  <c r="E60" i="1"/>
  <c r="B57" i="1"/>
  <c r="B47" i="1"/>
  <c r="B42" i="1"/>
  <c r="B31" i="1"/>
  <c r="D39" i="1"/>
  <c r="E35" i="1"/>
  <c r="E34" i="1"/>
  <c r="D36" i="1"/>
  <c r="C36" i="1"/>
  <c r="I45" i="8" l="1"/>
  <c r="G22" i="8" s="1"/>
  <c r="C43" i="8"/>
  <c r="A39" i="8"/>
  <c r="A44" i="8"/>
  <c r="A38" i="8"/>
  <c r="A34" i="8" s="1"/>
  <c r="A30" i="8" s="1"/>
  <c r="A26" i="8" s="1"/>
  <c r="C42" i="8"/>
  <c r="D81" i="2"/>
  <c r="D82" i="2"/>
  <c r="D58" i="2"/>
  <c r="D57" i="2"/>
  <c r="E36" i="1"/>
  <c r="C26" i="8" l="1"/>
  <c r="C30" i="8"/>
  <c r="C34" i="8"/>
  <c r="C39" i="8"/>
  <c r="A35" i="8"/>
  <c r="A40" i="8"/>
  <c r="C38" i="8"/>
  <c r="C35" i="8" l="1"/>
  <c r="A31" i="8"/>
  <c r="A27" i="8" s="1"/>
  <c r="A36" i="8"/>
  <c r="C27" i="8" l="1"/>
  <c r="A28" i="8"/>
  <c r="C31" i="8"/>
  <c r="A32" i="8"/>
</calcChain>
</file>

<file path=xl/sharedStrings.xml><?xml version="1.0" encoding="utf-8"?>
<sst xmlns="http://schemas.openxmlformats.org/spreadsheetml/2006/main" count="345" uniqueCount="180">
  <si>
    <t>a) Porque la prueba de macnemar se enfoca en la muestras pareadas de antes y despues con la informacion que se encuentra en las celdas (1,2) y (2,1) es decir en las que se logra apreciar el cambio de opinion  de los entrevistados.</t>
  </si>
  <si>
    <t xml:space="preserve">b) </t>
  </si>
  <si>
    <t>H0: Opinio positiva de Lavolve antes = opinion  positiva de Lavolpe despues</t>
  </si>
  <si>
    <t>H0: Opinio positiva de Lavolve antes diferente opinion  positiva de Lavolpe despues</t>
  </si>
  <si>
    <t>alfa=</t>
  </si>
  <si>
    <t>antes</t>
  </si>
  <si>
    <t>grupo</t>
  </si>
  <si>
    <t>positiva</t>
  </si>
  <si>
    <t>negativa</t>
  </si>
  <si>
    <t>despues</t>
  </si>
  <si>
    <t>total</t>
  </si>
  <si>
    <t>en este caso los pares discordantes son:</t>
  </si>
  <si>
    <t>Calcular chi cuadrado tabular</t>
  </si>
  <si>
    <t>1=alfa=</t>
  </si>
  <si>
    <t>x2t= x2ta,1gl</t>
  </si>
  <si>
    <t>Uno de los supuestos que debe complir Macnemar es que los pares discordantes sean mayores o iguales a 20</t>
  </si>
  <si>
    <t>chi cuadrado calculada</t>
  </si>
  <si>
    <t>x-c^2=</t>
  </si>
  <si>
    <t>como el chi cuadrado calculado es mayor a chi cuadrado tabular rechazo ho</t>
  </si>
  <si>
    <t>c)</t>
  </si>
  <si>
    <t>diferencia</t>
  </si>
  <si>
    <t>frecuencia</t>
  </si>
  <si>
    <t>r+=</t>
  </si>
  <si>
    <t>r-=</t>
  </si>
  <si>
    <t>n*=</t>
  </si>
  <si>
    <t xml:space="preserve">Pvalue=P(R&lt;= MIN(R-,R+)| n=20, P=0,5) + P(R&gt;= max(r+,r-)|n=20, P=0,5) </t>
  </si>
  <si>
    <t xml:space="preserve">Pvalue=P(R&lt;= 2| n=20, P=0,5) + P(R&gt;= 18|n=20, P=0,5) </t>
  </si>
  <si>
    <t>como p value&lt; alfa rechazo la hipotesis</t>
  </si>
  <si>
    <t>ho: miu1=miu2</t>
  </si>
  <si>
    <t>miud = 0</t>
  </si>
  <si>
    <t>h1: miu1&gt;miu2</t>
  </si>
  <si>
    <t>miud &gt; 0</t>
  </si>
  <si>
    <t>Acreedor</t>
  </si>
  <si>
    <t>diferencias</t>
  </si>
  <si>
    <t xml:space="preserve">promedio </t>
  </si>
  <si>
    <t>sd</t>
  </si>
  <si>
    <t xml:space="preserve">alfa= </t>
  </si>
  <si>
    <t>tt=t(1-alfa,n-1gl)=</t>
  </si>
  <si>
    <t>como t calculado mayor a t tabular se rechaza h0</t>
  </si>
  <si>
    <t>t pareada</t>
  </si>
  <si>
    <t>prueba de wilcoxon</t>
  </si>
  <si>
    <t>dif abs</t>
  </si>
  <si>
    <t>rango</t>
  </si>
  <si>
    <t>rango*</t>
  </si>
  <si>
    <t>rango signo</t>
  </si>
  <si>
    <t>suma de enteros positivos S+=</t>
  </si>
  <si>
    <t>suma de enteros negativos S-=</t>
  </si>
  <si>
    <t>w= min(|-1|, |34|)=</t>
  </si>
  <si>
    <t>wt=</t>
  </si>
  <si>
    <t>como w &lt; wt se rechaza ho</t>
  </si>
  <si>
    <t>prueba de signos</t>
  </si>
  <si>
    <t xml:space="preserve"> +</t>
  </si>
  <si>
    <t xml:space="preserve"> -</t>
  </si>
  <si>
    <t>p value menor a alfa se rechaza</t>
  </si>
  <si>
    <t>como p value menor a alfa se rechaza la hipotesis</t>
  </si>
  <si>
    <t>a)</t>
  </si>
  <si>
    <t>ingreso</t>
  </si>
  <si>
    <t>consumo</t>
  </si>
  <si>
    <t>x</t>
  </si>
  <si>
    <t>y</t>
  </si>
  <si>
    <t>xy</t>
  </si>
  <si>
    <t>xi-xbarra</t>
  </si>
  <si>
    <t>(xi-xbarra)^2</t>
  </si>
  <si>
    <t>yi-ybarra</t>
  </si>
  <si>
    <t>(yi-ybarra)^2</t>
  </si>
  <si>
    <t>prom</t>
  </si>
  <si>
    <t>ds</t>
  </si>
  <si>
    <t>suma</t>
  </si>
  <si>
    <t>(Xi-xbarra)*(Yi-ybarra)</t>
  </si>
  <si>
    <t>la asociacion entre … y … es moderada y positiva, a medidad de que aumenta la glucosa aunmenta la emoglobina</t>
  </si>
  <si>
    <t>prueba de hipotesis</t>
  </si>
  <si>
    <t>t tabular=</t>
  </si>
  <si>
    <t>t calculad0=</t>
  </si>
  <si>
    <t>se rechaza la hipotesis t calculado&gt; t tabular</t>
  </si>
  <si>
    <t>p value menor a alfa, se rechaza</t>
  </si>
  <si>
    <t>rango x</t>
  </si>
  <si>
    <t>rango x*</t>
  </si>
  <si>
    <t>rango y</t>
  </si>
  <si>
    <t>rango y*</t>
  </si>
  <si>
    <t>d1</t>
  </si>
  <si>
    <t>d1^2</t>
  </si>
  <si>
    <t>si</t>
  </si>
  <si>
    <t>no</t>
  </si>
  <si>
    <t>depresion</t>
  </si>
  <si>
    <t>nuclear</t>
  </si>
  <si>
    <t>unipersonal</t>
  </si>
  <si>
    <t>extendido</t>
  </si>
  <si>
    <t>esperadas</t>
  </si>
  <si>
    <t>chi cuadrado calculdo=</t>
  </si>
  <si>
    <t>gl</t>
  </si>
  <si>
    <t>prueba x2</t>
  </si>
  <si>
    <t>NO SE RECHAZA</t>
  </si>
  <si>
    <t>CON EL METODO DEL P VALUE</t>
  </si>
  <si>
    <t>P value mayor a alfa no se rechaza</t>
  </si>
  <si>
    <t>b)Si porque los valores esperados son mayores a 5 y la muestra es grande</t>
  </si>
  <si>
    <t>C=</t>
  </si>
  <si>
    <t>acociacion debil</t>
  </si>
  <si>
    <t>d)</t>
  </si>
  <si>
    <t>V=</t>
  </si>
  <si>
    <t>p value=</t>
  </si>
  <si>
    <t>como p value mayor a alfa no se rechaza ho</t>
  </si>
  <si>
    <t>H0: El nucleo familiar y la depresion son idependientes</t>
  </si>
  <si>
    <t>H0: El nucleo familiar y la depresion son no son idependientes</t>
  </si>
  <si>
    <t>b)</t>
  </si>
  <si>
    <t>deprimido| hogares extendidos</t>
  </si>
  <si>
    <t>1-deprimido| hogares extendidos</t>
  </si>
  <si>
    <t>deprimido| hogares unipersonales</t>
  </si>
  <si>
    <t>1-deprimido| hogares unipersonales</t>
  </si>
  <si>
    <t>e) segun yo si (REVISAR DOC)</t>
  </si>
  <si>
    <t>Gusto la muestra</t>
  </si>
  <si>
    <t>a</t>
  </si>
  <si>
    <t>b</t>
  </si>
  <si>
    <t>frecuencias esperadas</t>
  </si>
  <si>
    <t>V de cramer=</t>
  </si>
  <si>
    <t>que los odds de de estar deprimido en los hogares expendidos son 0,64  veces los ods de estar deprimidos en hogares unipersonales</t>
  </si>
  <si>
    <t>h0:OR=1</t>
  </si>
  <si>
    <r>
      <t>h1:OR</t>
    </r>
    <r>
      <rPr>
        <sz val="11"/>
        <color theme="1"/>
        <rFont val="Calibri"/>
        <family val="2"/>
      </rPr>
      <t>≠1</t>
    </r>
  </si>
  <si>
    <t>a) como es una variable cuali y otra cuanti es prefefible usar la prueba eta</t>
  </si>
  <si>
    <t>hombres casados</t>
  </si>
  <si>
    <t>mujeres casadas</t>
  </si>
  <si>
    <t>hombres solteros</t>
  </si>
  <si>
    <t>mujeres solteras</t>
  </si>
  <si>
    <t>demo</t>
  </si>
  <si>
    <t>Total general</t>
  </si>
  <si>
    <t>Etiquetas de fila</t>
  </si>
  <si>
    <t>Cuenta de consumo</t>
  </si>
  <si>
    <t>Promedio de consumo2</t>
  </si>
  <si>
    <t>Var de consumo3</t>
  </si>
  <si>
    <t>id</t>
  </si>
  <si>
    <t>numerador</t>
  </si>
  <si>
    <t>denominador</t>
  </si>
  <si>
    <t>eta=</t>
  </si>
  <si>
    <t>h0: eta =0</t>
  </si>
  <si>
    <t>h1: eta dif 0</t>
  </si>
  <si>
    <t xml:space="preserve">F tabular </t>
  </si>
  <si>
    <t>f calculado</t>
  </si>
  <si>
    <t>no se rechaza</t>
  </si>
  <si>
    <t>metodo del p value</t>
  </si>
  <si>
    <t>unidad</t>
  </si>
  <si>
    <t>vida</t>
  </si>
  <si>
    <t>humedad</t>
  </si>
  <si>
    <t>coeficiente de correlacion de pearson</t>
  </si>
  <si>
    <t>promedio</t>
  </si>
  <si>
    <t>Xi-xbarra</t>
  </si>
  <si>
    <t>(Xi-xbarra)^2</t>
  </si>
  <si>
    <t>Yi-ybarra</t>
  </si>
  <si>
    <t>(Yi-ybarra)^2</t>
  </si>
  <si>
    <t>r de person=</t>
  </si>
  <si>
    <t>La asociacion entre la vida y la humedad es alta y negativa, a medida de que aumente la vida disminuye la humedad</t>
  </si>
  <si>
    <t>r de spearman</t>
  </si>
  <si>
    <t>Rango x</t>
  </si>
  <si>
    <t>Rango x*</t>
  </si>
  <si>
    <t>Rango y</t>
  </si>
  <si>
    <t>Rango y*</t>
  </si>
  <si>
    <t>d2^2</t>
  </si>
  <si>
    <t>n=</t>
  </si>
  <si>
    <t>tx=</t>
  </si>
  <si>
    <t>ty=</t>
  </si>
  <si>
    <t>tau de kendall</t>
  </si>
  <si>
    <t>S+</t>
  </si>
  <si>
    <t>S-</t>
  </si>
  <si>
    <t>s=</t>
  </si>
  <si>
    <t>DENOMINADOR</t>
  </si>
  <si>
    <t>Genero</t>
  </si>
  <si>
    <t>hombre</t>
  </si>
  <si>
    <t>mujer</t>
  </si>
  <si>
    <t>felicidad</t>
  </si>
  <si>
    <t>Cuenta de felicidad</t>
  </si>
  <si>
    <t>Promedio de felicidad2</t>
  </si>
  <si>
    <t>Var de felicidad3</t>
  </si>
  <si>
    <t>marca A|Que le guste</t>
  </si>
  <si>
    <t>1-marca A|Que le guste</t>
  </si>
  <si>
    <t>porque Macnemar se basa en los resultados de antes y despues de una prueba o experimento</t>
  </si>
  <si>
    <t>chi cuadrado tabluat=</t>
  </si>
  <si>
    <t>chi cuadrdo calculado=</t>
  </si>
  <si>
    <t>rechazo</t>
  </si>
  <si>
    <t>20 signos positivos</t>
  </si>
  <si>
    <t>4 signos negativos</t>
  </si>
  <si>
    <t>menor a alfa se rechaza</t>
  </si>
  <si>
    <t>PRUEBA DE SIGNOS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</si>
</sst>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0" xfId="0" applyFont="1" applyFill="1"/>
    <xf numFmtId="0" fontId="0" fillId="0" borderId="1" xfId="0" applyFill="1" applyBorder="1"/>
    <xf numFmtId="0" fontId="0" fillId="0" borderId="0" xfId="0" applyFont="1" applyFill="1"/>
    <xf numFmtId="0" fontId="0" fillId="0" borderId="0" xfId="0" applyFill="1"/>
    <xf numFmtId="0" fontId="0" fillId="0" borderId="0" xfId="0" applyBorder="1"/>
    <xf numFmtId="0" fontId="0" fillId="3" borderId="0" xfId="0" applyFill="1" applyBorder="1"/>
    <xf numFmtId="0" fontId="0" fillId="0" borderId="0" xfId="0" applyFill="1" applyBorder="1"/>
    <xf numFmtId="2" fontId="0" fillId="0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4" borderId="5" xfId="0" applyFill="1" applyBorder="1"/>
    <xf numFmtId="0" fontId="0" fillId="4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5" borderId="0" xfId="0" applyFill="1"/>
    <xf numFmtId="0" fontId="2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Border="1"/>
    <xf numFmtId="0" fontId="0" fillId="6" borderId="1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53340</xdr:colOff>
      <xdr:row>12</xdr:row>
      <xdr:rowOff>182580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583CF-D3A2-49DB-803D-EC586A5EC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08220" cy="2377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156210</xdr:rowOff>
    </xdr:from>
    <xdr:to>
      <xdr:col>6</xdr:col>
      <xdr:colOff>115901</xdr:colOff>
      <xdr:row>19</xdr:row>
      <xdr:rowOff>93745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E7A419-A576-4F42-B5C7-FA386570D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50770"/>
          <a:ext cx="4870781" cy="12176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121920</xdr:rowOff>
    </xdr:to>
    <xdr:sp macro="" textlink="">
      <xdr:nvSpPr>
        <xdr:cNvPr id="1025" name="AutoShape 1" descr="data:image/png;base64,iVBORw0KGgoAAAANSUhEUgAAAbEAAACPCAYAAAB01+XYAAAAAXNSR0IArs4c6QAAIABJREFUeF7t3QWYncXVB/ATNNiHu2txlxanuGvRAsW1OIUiLVBaKFagQIsUL8W1uLu7uxO0WCAEQvI9v3kzcLncu7s3bJLdzUyefXZz7/vOO/OfmfM/58yZ8/b6sl//QRERb/fpEzNNP60/SykIFAQKAgWBgkCXRODrr7+Or7766ru29eosEnvyyYhjjokYMCBil10iFlqoc/rft2/EoYdGvPxyxNJLR+ywQ8RII3VO3UOzli+/jDj11IiNN46YeOL2n/TNNxHHHRex+uoRP/tZ29cPHBjxj39ELLlkxFxztV93T7uiX7+IE0+M+NWvIqYtetd3w/v++xFPPx2xzDLVR++9F3HJJRFbbBExxhjdbxZYQ8ceG/HooxELLBCx554Ro476fT8uvbRaW4svHtGr15D1jywkt9ZcM2KOOSKuuipikUUi7r03YqaZqs+GdXnggYhBgyJ694545ZWItdYasv6p4/rrIz7+OGL99SM+/zzippsill8+4qKLIjbaKGKssTqnd9bkSSdFrLde+2uyf/+I006LWGWViOmnb/35Q43EclNMLCQD+M4s77wTccYZEfvsEzHKKJ1Zc8fqQs4mwXjjdWxCuXb//SN+97uIqaZq+xkI7MADI37xi2oxtVW04w9/iJhzzmoS5sV7xx0R114bcdhh1d3fflsR3ZFHVpPqzDMjZpihcc0UhQ03jKCIzDdfxOmnR0wwQeNrP/ss4plnIg44oKoz9+3DDyO23DLiscciVl65EgyNFggC/uCDiKuvjnj99arfeTzV98c/VgJXGxZdNOKeeyI23zyCsNl224h9960EmedpA4ynnrpjY9jVrtKnnXaqBIuxMb+nm27IW/nqqxG33VaRlgLfE06IOOigzhNWQ966Ib/T2j/++IiDD44YffTv69E388+aaYvEzO/RRqt+aos1us021Rqdf/7qG4ok2XXXXRHTTBOxxBKttRtxmN/Wz5DKqSuvrEjMXNCOHXfsmMypban7EdUbb0TstVf1DaXGHNt552p9MjbIs84oMN5774hdd42YddaqRvP7668j/u//fvgEhGfd/+Y3lRxrtbREYg89FDH77BFjjtnxx9STmIVlYigrrBCx0koRL7wQQcvKE4e2QTjPMksF8uOPV99tsMH3k7aexO6+OwJwtBYTGHjjjFN9dvLJEW++WYE077yN2/7FFxE331wJSdoDAth662ryuV+bRh65EpQEN0GgXYstVlk/BPZbb0U8/HDVF78JWXgRSv/9b8Qkk1QTZeyxI55/PuLWW6v79PWGGyphb2HR/kx87fVMRZ1//3tEnz6VkGaBEu433hjx4osR2233/SL56KNqgfv+r3+t7v/f/yqS2X33iDvvrP7fTLHQHtoR0jn77Ijxx68swkZFPxGV9h99dCVELJjzzqs0x7XXrjD79a8rLOqLSX355ZWiA+M99vjxYkem2mzxEjTapX36QkDTlJVnn63ITt9bmaPufeqpapHpi7/XXbeqF2YW4RVXVBo+HMwv42n8aOewz1aPOa1QGnxvfnTU6kHoxtn8MA8vuyzi8MO/nwMdXXXG4pprKsv8008rjM45p5qTFAFjQqBaM/A3p/RVe11LUBJm+j7hhBXu/n/BBdX6UmA/5ZTVc9zPWwB/9c8zT4T1ZJ3DxZxHyoSmtWTu8cxssklHe/TD6+pJTH0IzG9jMdts1fXPPRfxz39Wfy+7bGVxkCcXXhgx2WQVKWy22ffXW/PGbbXVvn+etWVOU5LMKXi89lplESo//3nlAYAjRSyvSXJmnXWqNcsD88tfVsJ7v/0qOWAewwImvDOUxU8+qZROc5tFoi/W0LvvVmuKPPO3OdesUICtAWMxxRQR229fPZf80/fddvueRLSZPCZnKaJ+k23kPLlpzRnn7N3QD5a9uWJ9mEPkD9yUPM5PPFG1YaKJKqWM/Lj99oi//a2Sa8beeFhLnnvKKZWcdS1833474qWXqvlrrZGr5lHmhx/LkBbciQZvueUqjV4jOuLGqycxE81gmOQ0nj//uZoAOo2NDQKhR1tgTbh+q60qoAgZ4Cn1JGayErgWlcWorLFG5XrkdrTIDIiJQwiaFLkAionNqiNstQNJEOasG4LFIv7TnypBbHIafAvHpMva4H33Vbgw2Q2wOhGTYmIeckg1ibg89NPfhJyJvPDC1d+0kiOOqEg4a0U+s9g23bTqUy5ws5gy2fpcmwnxpZaq3C60ofy55xszP+ofd9zmiyF/Y6wtVIusWbH4TOC//OV7S4xgQ5JcBJ4H07aKRYe860mMUIGnxUwQ5OKZ+uCZhKkCDy4mC7dVt49ns/DMOYvOXKAAUDJo3+bO+edXY4DkuJcsOmNOKPqbNkvgU3AIcNf7f70GTjFpz91F+9ZH495KQfjGjMCwHgglmCjmI7ertUVZsmZYZzAmRAgQ68tYWXfut361wxwjeF2nv2QBDd54mZMs/N/+tsLF+iWYzTdYElIsaqRoHplPuSBuP7WlPXyaWWL/+U/1PIqxtpIvxrHemuXmIkhrtzjMHVY8rBBcWwU2cEBs1jdy939rnyVH+bQGYaYumMK6th3mCuV3wQUrOQIzMpC1h2zbK/W4mU9w8xzyyrjUln/9q2N1UyRznyhTMDz33AjzkcwiHylX5g+XLmIzX+rnMzyNOTmqT8p110U88khF5LVFvdYapQZ5k5VkoLEjO2Dlu7zO67FpyRLLNxs0bEkzsajb8qPWkxghmxcBVieEkdpRR1UNRW4+py0SjLQRE9/ipOlwHymNSIzGYfEQ3hYTAWRhAdEA2w8wUdTPisqFBsIFwXpYccVK27SgaQ0EG83kllsqLd2EbIvEYGNB1wuuehLzbJONwEWMyEYbCR3uQYIwk5j9P4sCAddq9e4nKEy07O6jPSFFrkj9ySQGV0KJ8PEMGjfibFYoDCarNiGjetdL7X31JEZBgBmFwkI3EX//+7aFQyMSI3T5yi0Q/UHyirYRWMYtf5bbQ9FAdvWftycUkJgxYoUTgOaduigaBH9eiOoxxhQAwpJmbI5wb1GYLHIWDkENF9qjttbsOyfhNvPMzVvkfpooDb8VixLuWVgSRPXuxEYkRojShlkf1of5bZ5YDzPOWCmEXJIEFY3Y2uWSgkd2Q+k/Ld+ada//23Oxno2dsUWq+mRtUsq0j8VknpARiFSxhpFAM4GV134jd2ItiamPtWwNIx3KQCanRiRmzK1F3oT2SIyAtjb059//rp5j/Vmz1qMxMxdWXbVa2/UkZi2aA6xTspNcoXhYt+SWuWJcsoeh0UwxDizrXCjGcCMLEGLtVgEskATSbo8gkZg+GW/WmPlMNusPgke8WR4af3PGvLPGecryHuVPITEEjRytYdxAUVR3szJEJGZhm2QEocFryyKrJTEEBuCsBTG1gW4ALBQarsVhI5rmjbAIFQIMiSES2nd7JMZ9x6SlHdPUTWBahaJez+QeyoXQsygakRhBSZDSKgg6E7yzSIxQ0Ue/CQETGjHRQmCcSYwrgCVw1lk/VBgIXUoA7S+TGM2H75vwsBj83wSErcnAMoCNuriqajfGaydJ3iQ3kdqzuOtJTLvgbgEQhBQHk5Fga2aBNLPEtMniNqnNHXOIsDCp+c9r66PRsTLg0apvvRUSy+TOAkFiCA95wNlctdAtbq5FWMCcWy8XJMhSblQIeRorgdGW4tDoXsKK1qrvnU1ilFVzyTpBjuZTMxKDvz4bMwLdHDOXzSNzEhlaU8bROjRmxk6xvhDh3HM3F1odscTy3QiT9k+xZAlqRyMSM04sBEpfWyQGYxhwlbHQbRkY+1ZIDAaUOmQ/+eSVwsuChI/6Wccw4eVpFtRFDppHuVCKEBvPlnHJ+1D5e2PBEmyFxKw7so4rGrmT98gViSFbBgICoxSTF5SFbPX/FBLTZuuAq5J7GifUKpH1M6MlEnvwwUrYmqAdFRK1JKZjGN7AMRs1ksYHWANrEhEAeSPa87gRaRVZq9WpZiRGoyR0gUwroekZaIKGH1rhh63fWPQ5i6ERiRHCTGl+ftdop0li0VkYSG7SSSvt32LpqCXGkjUxEC1tF5GpF8nCzHMEV7CE4Jb3F7TDhPc817J2TDYLIu+f6Y/6ay0xGFAaaIYEqkWIVBT9U0/eP1AfovcMQshekDFTtNWkRkwKzFkOBA9iMclZeHCwJwEfQo/AJ5hovNzDhKxxhiPlBLHCj/uREmMfgrVMWLIeKToEBq03Wwqez4LIblGaMQFFG85KC1w9j1XVlouxFRKjrVIUtFF/YMTq8GztRSQEdN7raC6Of/gNDZ33AX7ar715D9czkQhrvK1gD5jBhxYPf3OFsFF+iiVmLnJ7qZfg4s0gB7ia6i0xfWd5WWc8GuYal37GmCJC4Jn7rRJ1XvvtWWLmOM+NtpId1i5ioChyT8OJIs5itsYV7dMe3phmxXxFwMjR3jRlhaeCKxGB1FtiLHGWjLUKB4qNuUwRst+mDeavbRryjpULH9aZ9rZlkTZqI3mJzNRnDlnDFEhr0FhRhvPaaHS/eWatkMsMB/tqZKm2MQ7IbWNHWTP/yQOWE/li74zRoTQiMbEPvBrmN5luLiHuendivp9HSv+t37Y8Ei2RmMYDvFZYtrdATSAlWxUWqqAGQPoxYJllaVgGuzYSDvgWn89cl60CHRfAgEBo41kAIznPMsF8rn7CjYWjEOKeUV9c5zkG3LW0I89QF3ce0xrwFoN20C4NnL0fANOEEI86AF9vcVhMrkWm6ib8YEHrowXSTnO96kH2JmDeU6OhmQQWD5eizV1tcK/BNiG4c/Jztd14wUfx/NxeC9n9eRyRhIXNolA83wJTh7YSmpn41SEQg+tFQXgIMxdCy2R2L9y1FwFmEjTh7RWpDwHpl+tgkQuc4W4+eJ5+IkN7j/BnmeY9zTye+kp4Eti1rjr1szph2ZbwJ/TU6bnu8QxtNi7mUq2wdZ226bv5Qgial8be4jXGxhqBdDSoQ9/rsTA3CBEFPnnfCcbNirZZM+aw+WQc8vXq517TPu31t7lrvK1ra1X/8zqHt3lq7ptHMLHm4OFzQtlzrE2f53u1Oc9XdZtvMIJZdi9rW7OI1/Zkij7Z6Pec2nUGf3Pa3LKezWHzT2GZZEGoTWSQNpqrGR/9N38ocG0dVckyTL/c6z790SZzBrbmLUw9E37WrmIeZ7mX5RJ55HPYmDfGkAzJa7c9PGq/t76Mv/lszloLxjEHW2VluVmdSMx6oZTBR7uynCAH1avP5kBe4zkIzLOyfM7yzhzJa0fb1M9yUwfMjJ9rrSXzoXad+UwxX9vaQ26JxFoBc1hfi8TyntiwfvbQeB5hSLNjLbUXpGCy0fZoXzZbWy186yZJs+if2vpYGiZhtohbfRahYpG0t5faSr0EKdcoiyBr1fl+AoS2zJKoDcdupf6ucC0C4GKxz1LK0EPA/LT/bL40i2Qeek8fujUjEV4XZMkL0sgYqd0TG7qt6bzaewyJ8SOzGlo1vzsPylJTQaAgUBDo3ghQCHkfWGDdpXQKiek40zK7H5iQ7YUQ1wLEnOTCYJ7ThJARN83wKNkNx2/dXkBDffvywUZuBGa3/vjhaoFNW77oXBcLLJ8V4qaAZSOs8kbw8MCo/plcFPrGxcR91ooLrb5v3DDGPtdHW6RBcg911kFMz+RSMi7Z/dMKjtpDm81uNL+bBcg0q5f1bM4bR3UZ5yE9DNtK2xtda/yGdM3BMbsM814r95JxtGdSq+3Xuvtq5zu3UQ5w+Kl9KfePeAh0ConZ3ON/tklqQ18kXysbtgSUzUSuEpuJhKBN8eFR+H1FBYn66wjp1LYRATmfIQDBxr/NT4EKAh9suDpz1p5r0Ia5Q9euFYhho7i2EBBcZwIACMCuUASo2NAVHKJ/Dim2WigAQnvtK9jbs4Hs//YF8j4PXDurcKGKduRqbCWM3fMJY2eK7EXqu73Etg6gNiMO0Yz2X/x2Jqa9TC6d1ffaehCyuY5EzLlWCxzvv7/a33QWiSsOKZMDiF1QQJYFggME5oh4E6CUsbRWrB1HYlodi1bbW67veQi0RGKECa3LxGel2JBkcYlQs+krdF6Ej9DqVoI/1OeMh30WPlnWC0LMYbf5N2tGvbXt0Ib8LAshByP4LAdn+FzJ9+uDEHARODkwQH8QBEK1+PLCc6//Z8vS9+qlSbteW2qvJ9T404WgEsR5j4qJjqiFz7d1yNh1IpNEc4muyucjYMRK9VyRX5nE9FcbtSnv+WQc9Dnj4373an/+3G/X6qv+1fbVtXCCi3pz+G8+71TbZ9GUQsZFGBKG9eG99UJTHXCrbbMNbUKQMM9WjTNvrC99EHwiijW3X7+1Wdv81r9cb+6zZ8Asn2PJ87XROKvPnKkNHNK+XK8+wEnbWMrCtQloQSpIt1WFQltFi1krIn6Nszr0T3+0UXty/3ye5zElL/dZ//IB9jxn8xp1jWuNpSwclCNHOjLueU7pm+vUAytY5Lr8P6+JjFvt9YITsgIrU0jteR5RfCKEa8/sGWdh7KILawM7RNLyfrQXAt7zRHDp0U9FoCUSs6EvxJebS7SNCLq2znP81MYR1kJhRavRfoVmCnRAlLQ/woSmLhSVa8b1FqiF53yF82EWr1B+G+OEK22P8CB4LTDar4AAvy++uKqX8BDp5jdryHECobGEA83dIVQRQK6ndVrkIscaRT3WYsCyEA0lZL2VQlAJXKEoiABi2WlXTpypXSKmch5JbckkLoDCPQ5wC4vXZ/uHBK+Na9ixKkTCOeKQMxYQ0saY4BQhiaQIW5YyYUvJcNi3VZcrDByB4DKEq/EkTJE7jNsKLjGuBCNCE91EeDo0qh/qFXGm3zDWbyH7+qxv9kqNMxIS3iwNjnEjTH0m2ERQiLHhFoU3CwvmBGwmeHN+SN2l7Y25Oe78j3lO2JtjrDTCPo+3iELnsOBkDjv7B0sWkQOzSF+fXcfyERxkTTiiwcvASnYMwpEH1+i/YB3EQok018wffbe2pL+ydhxNMfeF7fMWUNRY321tG2g/K099tZ4ZlpcgrNpQdhGurtXf7hyA094Yl+87H4GWSMzjCRI/FhVyaZZTrzOaipQIINqd8xPIxyJn7RC+FhBhZZE4a4REsvAigC00bXUdAWeRE5YWFKuIW6PevUeQOO9DmKsvn/txr0WJtAi6XG92LbHs2tuzoanah2nVbcPSRZjcX9mK1D4ETeggVQIGqQkl1z6uvdqDkgQagcSCc7AYGSAvxFVPYoSe/tLaCXGKC9cZAUPQE6JtFS5BWQpgl4vD284FqaM2G4nvKSPIzDmktsLgM4khJMSKDBESN6PxNC8IdPOGa9qc4b7yeb1721iaC5nEWJGuhQcL0PX5TJT5A2duZrh3JF3XkMx/c0nbtcHc0z5KB5KFpTM+2om4RJeZ9xQXZMwt6QAtbPLcZNmyjLm0KWfmX336r+zGtZZzxKlzZsKfWVA8JMiKmy/Xax6Ze7Boy+OiP8626VM+YgEX9yPC2nlkP40rnjtyeLhVh2S8yj1dA4GWSIx2KA8aTZ4gtNiGNokRaqwGz7S4nONw+M1+Vd4IJ8C0i7XgoKyFrn0WnzNNfgghwodwboXECAgpW9SFKCw8bg8LUV0WNmKy2NsjMe5BAhvptFIIDPuOBFDtnphDjX6y4Ofeylm2ndBnsdGoWU0EPiLLGTtyFpJGJKaN+smiYWlxiSIKeBOGwvkRpbNijbRmWDt3xjrOhcVOs2cREFS1qcpcz0oitDtCYogUWcOFVc7ipsWrW3vsGTpugIRYG8iHtYeIswurnsT02TzSbwqRPVlEAncWj1B92CP0oUliiDwTDZxzUlZKI4ULoeYD4drCgsokhtB8rw7WE9c0YmiVxFi45ip3OwWKQsALY75bW/42z9ojMQqfA/zaXvv6IVawbYOc1MAcQXjqM1ZDcj6qlfVUru1ZCLREYiY2VyLLiCDi9miLxCx82rzJOiTnl2hw9SRG4ySMWDP5HAciQTCIy0JgsdjrcmCPYNQGmh83i2wKSIwAIIjbs8QMN5cmoUybtIdBUKjH4kZciIC23x6JcdHZ0K5Npqtt9gGc+G9WCFzWEuIhtLVdf7mHnKLP+STdT3CwRghzwSTcTDR0v1lzCBnhc+doPyGobtixlghwrjoY1+ZkZAEaT1F0BCRhzwVXHz2pDYQqpaM2X6Dr1MsSZKXV9jdbWNy9bb3qIl9H4Gmr9qkHoekDS8UYEf4I1t6O52oPYY7Qs/u7nsTUjfSRlnnN1YXYjLc5pB4BSwJt2iIx84wgNj9ylpiOigz9akRiLGrjhqjzoXPYsmj1y76U/vNUIAhKFfLQDmsEiWmXFE/1yVcbWWI5sbQ+WyOIlBJEMWK5kgOe2R6JIUNtglut29ln1nWtWz0rqfrRqou6o/iW63omAi2RGJPfxKWJIQh7BXzuzSKzCAGCxrUi9VotXEW0Mm4OLioCm4ZssVuM9kYUbhOaHk2atYE0bWZzJ1pw3IP2AWjW3C0Ek0WIiFkBFo7vFYI6R1BlF1R+nQtrJIf+2xsi0Gj2hB7Xlb42SoacX8shP6R210ZgISBBHPaX2ipIC4mxRPWflqwexGSvSiHEuYX0xxgRPtyc2gQXwoNgsZ+C6OHBxURZgCvBiGD0iQaurawPwoYrUH+RneKetgI4mvWFe1L7WEjInCCGM+WIe4zwrXU91daTScy8kl/Qvg53lYLQCUv7WdrNCiO0YYbE9I+rORch4LBDdtmiz68PYRXm84aCbCgBlA+WqTawZpsVbmuubs9t1aIwzxxGzZG52se1xpLm4oS5+UqJZHUjXURlbxGeOWu8sTVOLDNrhqJiH8/95qD1lN/Dpj+IG+b5FSb6Zr641nwzT/L+of1lmFPszMFme+KwlGKIopQVRdYw69m6tlZz9K/xzEplZ708t1VZU67vvgi0RGKtdtPkpJHS2ltd0K0+q/Z6GqsF2VYOtJ9Sf6v3ssAQBJdkveXCmtHO9jJnt/rM+usJpexO/Kl1Da37CUaEbH+sUUaQTGLZnTi02vFT6hX4wJrN7tefUldH76VwsJBYoK0eC+noM1q5joJo79O6R8B530wkJ2WUcpmtVBYYRZiia8xbPW/XSrvKtT0TgaFKYsMSMsIjJ7RlTdCeWzmrNizbOjyexZ3EeiRAumtBYvanWCdtvaaiu/avlXaz7nMWeAqQ/ar6lFut1FeuLQh0VwR6DIl11wEo7S4IFAQKAgWBIUdgqJGYN+Q6k8U3Tkv0uoLOKPaDRPcJVBAiz5c+vNL1dEZ/Sh0FgYJAQaAgMOQIDDUSy02qf7PzkDf1h3fWv9m5s+ot9RQECgIFgYJA90GgJRKzMSsIoZUUO/Uk5qCmkGhF9JRINVFQ2cLyeX5FtzNfNnxFM9nvEu2Uo//qSUw0mAgtmRsUEVciFoWcswJlbxCdx3orpSBQECgIFAR6BgItkZjzJyL/vIxO1FHteadmcNSTGPeikF2Ri0KB/SgOqjrk6WyPM1fCxZGOKCaBGtyTIpkcbFXqSUyaIESlHqHHMmMLRRZi7n4hxMKF1T20IwF7xtQovSgIFAQKAl0fgZZILHfHGRtZqhGU80uNDrzma+tJTKi5My4OTzqL4ywMy86+mbxuLDLnSYTbyovHUhMuL7JOzrWc1b0RieWXYnp5IGvOeTGWlxRUDigL75VxovY8TNcfotLCgkBBoCBQEGiGQEskxnpi5Th4yQqTDqq9UktiMgE4XCrgIx90dUCY2086Gwc9ZSdwiNLZEpkSXMeF6YyTc0Q531ojEhOCLSuDVEwsPodb1eHwqtdpl1IQKAgUBAoCPQuBlkhMyiMn/6WQ6ui+WC2JsbAQjMwB6pBxQnYIGRace2F1SReVXYb2s3wnCwIyky0kk1EjEhOxyEqUWUH2BhYicpTVwOeKw8W+L6UgUBAoCBQEuj8CLZFYV+6uPbHsTuzK7SxtKwgUBAoCBYHOQ6CQWOdhWWoqCBQECgIFgWGMQI8hsWGMW3lcQaAgUBAoCHQBBAqJNRiEAQMGxPXXXx+LLbZYjNfe+1W6wCCWJhQECgIFgREVgUJiDUa+f//+8cc//jF23HHHmMYrbkspCBQECgIFgS6JQCGxmmH53//+FxdccEGMNdZY8fDDD8eee+6ZSOztt9+Oq666KoC1xRZbxDjjjBNvvfVW+uyrr76KhRZaKBZffPHo06dPPPvss/HZZ5/Fq6++GhtttFFMNtlk8dhjj8VUU02VrLpHHnkk5p577ujdu3e61/M8d/31148pp5wyPvroo7jiiivi008/jdlnnz1W7Crvk+mS07c0qiBQEBjRESgkVjMDTjzxxJh33nkTwfzhD3+If/zjHzHaaKPFTjvtFAceeGC89NJL0bdv39h8883DtQsssEAip//7v/+LcccdN+67775Yc80145JLLomBAwfG/fffH7vttluq55e//GXMNNNMcfTRRycLzzO23nrr+M1vfhNjjDFG3HzzzbHvvvvGv//975h88sljzjnnTGQ6gTMIpRQECgIFgYJAQwQKiQ2GxT7YcccdlwhmpJFG+s6dyLI6+eSTk6XEwnrllVfi0EMPjYsvvjhZUuOPP3784he/iEkmmSSRGMvqyCOPjG+++SaOOOKI2GOPPeKMM874EYl98MEHscEGG6TvPe/222+Pww47LFmAzz//fLLKFlxwweLOLAu3IFAQKAi0gUAhscHgfPnll8lK2muvvX5AYi+88EKyjlhNI488ckw88cQxwwwzRK9eveK9995L1tajjz4av//975OrMJMYi+2QQw6Jgw8+uCGJcRtuuummibhYZWOPPXbMOuusMcoooySXIhfkHXfcEfvtt1+MPvroZRIXBAoCBYGCQAMEConVgHLCCSckghLYwfo65ZRTkqvvd7/7XbLEuA1ZXNyC3H++Y5098cQTsfvuuycSQzqCQh588MFEeIicsvNKAAAgAElEQVTqX//6VyIpP2efffZ39e6zzz7x85//PFlb9tnsganXddrw0EMPxa677lpIrCzdgkBBoCDQBIFCYjXAZMvKPheLaOaZZ05E9eGHHyaLC7FMO+20Mf/886f/v/POO4lgFl544URY3IlIyr6Y+wV7+P7999+PBx54IO11jTnmmIkERx111BQowo34+eefp72vRRddNJ566ql47bXXktWX99zK7C0IFAQKAgWBxggUEuvEmVG7J4bESikIFAQKAgWBoYtAIbFOxPfdd9+NF198MR2SFqxRSkGgIFAQKAgMXQQKiQ1dfH9Q+7fffpvITVBIdy76wd1ZSkGgIFAQGN4IFBIbRiMgAGSHHXaIP//5zzHddNMNo6d2/mPsD4qodMzAfmEpBYGCQEFgeCIw1EjMOSmC7le/+lU6uDuil0GDBqUADgeYu7oVo62nn356Oqc2zzzz/GDoHOJ2HEE/urtFOaLPydL/gkBPQKAlEvvkk0/S2SfRdv4+5phj0qFcRLXIIoukVEvIS3aLK6+8Ms4888wUsi7y7qCDDkp/i7w79thj01ko/3cuS1HXyy+/nP52v8jArlAuvPDC+O9//5siC0UOHnDAAelw85133hmnnnpqyswhNH777bdP0YbC67/44ovkNsx9dv9//vOfFOV47rnnxkQTTZTOk8Fqk002Sdc6PC3cnqvub3/7WzqDJtRe2H+zc2KyhkiJ9frrr6e6ZBJZaaWV4tZbbw3thvEKK6wQW265ZTjM7diAYwDSX+UxETXpGYjJZ6wsRwJkHdFO4f8OgOujzy699NKUnURdin559q9//evUf+TnOIL9QYe9HQiHkTrdV0pBoCBQEOhMBFoiMRp6/pHdAtFIpyTzhDRNcghedNFFKYxczj9plJyTkspJIUj333//WHnllWPppZeOf/7zn0nbF7aOzLjahLd3pYIMkBdiRRjnn39+aisBLWUUciO4pafSf3279957U87E2iI8nwIgDZVwfHVxL8rmIdz+6quvTspA3jMj/P/0pz+lZzVLPQU/hIQ0Hn/88aQ0wHzvvfdOB7eRINKVFUR+Roend95553SQ+pprrkljYUxEUsrVuNVWW8Xf//731PaTTjopkaow/9rCLaq/+qH4PwVEnsmPP/44BbYsu+yyiYxZnA59r7vuuin1FqWllIJAQaAg0JkItERiBCGt/bbbbksJcAlKJCbRrc9p7SwKQnmVVVb5EYn169cvkRrLwcFhKZsIdlo+YYoYCGOf/exnP+vMfg5xXUiM5Un4v/HGG4l0kIS2OoisD+edd17qk0PRhLdDzEjKNXn/q57ENAhmkgG7drbZZktkL60VcmHJsGAuu+yypiTGEqRIUAgcuGYd7bLLLrH22msnokROCMk4wVWdrLXnnnsu1audPtdOZ96kwnLYuhUS0w8ZTRC4tmsPsvKMv/zlL/Hmm28mJYDFV0hsiKdhubEgUBBogkBLJHbttdcmQYiI7HfR0puR2GqrrRZ//etfE5llS4wVRyNnqW222WbfhaHT1u2v2GfhemMpsCC6QkFid911Vxx11FHJ0kEMLLDjjz8+ue4cXD788MNTWD3inWKKKVKzkZ1rudn0rRGJwRIBGgQWl+tlCUEEDlCzbhFaM0usEYmx3mQPYSnNN99830H45JNPJhevjCLclQgLxiwoxMd1iOBYWaxLh7btZTrY3ZYl5jvjhQwpKbBhTZofa621ViJxc4EbtZBYV5jRpQ0FgZ6FQEskxhLbeOONk9uIZcLlxP1kv4PAJfy8TJIw5lLiWlp99dUTYtyP+bUiXF6XX355TDjhhCkbPKtsu+22S1o7wYsA5BPsCgWJyarxzDPPpNyGCEDbtBWZIyL9IbztRXERKrJvsLQQtgJofXUd6y0Xe1DIMBOOTPmwsEe14YYbfrf3VntPvlfbuGLtR0oazNWJpDKZaLM9S4QkXZb8jpQEr5PJrl0ELS8kEkac9jWRsnZwE9vf00bWnULhsDeG8HIRsIIMuSO1RZFPkoUuMGSdddaJG2+8Mc2VEtHYFWZ1aUNBoOcg0BKJ9Zxud7wnte7Ejt/Vta/M1h9CLaUgUBAoCHRnBAqJtTN6ovFEFW677bbdeZyT+5B7j1txueWWS+69bCV2646VxhcECgIjNAKFxEbo4S+dLwgUBAoC3RuBLk9i9lucwRLgIIqxrWIfSUCD/TpRf6UUBAoCBYGCQM9GoMuTmPNSIua83kSQgiKoQpBJfTYJEYDcZA74Tj311N1i5AR/CA4RzZf7JrBCv0VrijbsyoeEhfbfc889KWRfgE8+5+dloiI4BZk4cuHloJNOOmm3GJPSyIJAQaD7IDDUSMxrSUS6iYYT4XbWWWclYSzTh7BzZ4ocIBYBl0PvRTsqzh2J1hPR5iyWCLwc+i3MXSQkwhLdaK+K9eXsmswSyMu1CE90nig5EZXC3J9++ulEgN7ztc0226SwcFF/BLDovWFd4CPaUXi7Pik33HBDOkAsGlCU5hprrDFc2tZRLGQFcc7NcQo/SMx4GidRpyITnfszBl0lC0tH+1auKwgUBLo+AkONxByaRUbCqhEaknG41pkkGSScQXI4V8YOZ6ukopKyqT7YAFkhu9/+9rffWVeyTbAAhLbXFumPHLAV/u18EmvmyCOPTOHfskdoi/BywlXHWToEL9ejTBvDsrAkCXfBFjJ8CH9XkMKqq64aSy21VMIFiXf1QjExrrDPlphAEtazc3TwzenFunpfSvsKAgWB7oXAUCWxPn36JKvLeTF7WtJKsZrk20MkSA65SEskq4OzYwSiDBI5X+BPITEZL84555yYY4450vkk1l8+t8btyDpEJlx5w5LEZPUQ5j7XXHOlM2cswUxiMlsg6HzmThaQrpaKq36K15MYS4wFbj/TOMKasjDLLLN0r9VRWlsQKAh0eQSGKokhDQdpuQXlVGR5OAxsH4hgJsjtk0ibpMj04Dr7KTljRyMSc6Cam7A9S0ydzz77bEq2K2kvFyW3IUvulltuSYd4uR6lyxqWJKZPrEMHjVmL3IfciVycp512Wgpg4fJEsuOMM04i+a5c6klM/ygGXMUsbv1A1nI8lsz3XXkkS9sKAt0PgaFKYtJUyTtIgLHE7FfJaoFUPJgrURZ3yWftDfnNnSjruu+URiRmD4blgvQIey5CFl29O9H9MlMIKrDvhEAl6mX1sfbcL8mtbBcCKCTMHdYl5zHMlpgUThLqEvbw4k6UB7GrFomLWdT3339/SlElK4vMHbL8S6Ele4t0U5SZnJKrq/altKsgUBDofggMVRLL7sTuB0tpcUGgIFAQKAh0BwQKiXWHUSptLAgUBAoCBYGGCAw1EhNUYYO/q7/FuMyLgkBBoCBQEOi+CAw1EhsekNgTk3Heq1/sgZVSECgIFAQKAj0bgR5FYg5VC95wDi2/w6y7Dd9NN92UzlQhZJk78pGArtIPkYasa0cnchElKqpUVKUD2g6hy/7vtTCKIxVe81JKQaAgUBDobASGGok57CqX4XvvvZcyOjgT5eCr8vDDD6e3JHuJpDcai8RzyPeOO+5IAtCZLgdkRQ+KchO1ON5446V3XrmPIPUmZVkt1EF4St3k0LADzCIWRTkK/XYOLL+M0f8RnTB7qZJ85xyTF3t2lfeXwUFYvdB7YepC74dH1GT9RBNl6oiEiEn4iQitL45MwF+WEdc7PiG4Z7311kskV6ITO3v5lvoKAgWBoUZiMnbI0CELh8O9V1xxRXoxpsO8yGbJJZdMrj8vgCS0hdg7x+Wli65z8JlAdB7M/poXPrKypIkiLF9++eUUnk+oys6BkKSRuvjii2PvvfdOnyEEYd4ODCvehCwThu8eeeSRVK+DuOrRnq5UEDccWDPC1LtKoWjAvhGJwVKYfW2i5nfeeSedfxOGTxEppSBQECgIdCYCQ5XEcog9Ytpss83iqKOOSgeMWUosMOfIJOuV55AAJLBZSoQeAe58FIuLNXfllVemFE3Oj3U07ZQzYtJZsQRYWtddd116s7JCuL711lupLm8jHpaHndsbQJkunL9C2Plt2O3dM6y+b0RiDz30UFJYjI8ciaxpxbizmr3lOr+5eli1szynIFAQGDEQGOYk5lCxRLBcfIgFoXnppCwcDvbWkpgEuSwyWR/uvvvupP23QmKGUFYMiX+lnkKK3I9eDClBLcEqr6NchV2FxGR9lyprgQUWSFZNV8tw0ZYlJjOLBMsOq3OHUiCQcCGwEUOYlF4WBIYHAsOUxLyag9YuQwaN3Ss6JphggqSx2/vhLnzwwQdDNnuWiLcqIzpvIuYW5AqUokpWi6uuuiplgbD3xU1F2DfK2IEUBB7MOuusyRrkopQxxJ6NDOsCEXznb3tww7twu9rfW2211VJ2EVGWXYHIuIQpG5QJ1rGUUiwue4rctvmVOXI+IjHJnblBV1lllTTO+tEV8B3e41ueXxAoCHQuAkONxARgsKq4DZEL1+EyyyyT9r+49VhHOQiA4JP0VmTe9NNPH2effXbav3KtKDdBIojspZdeSsKdMCTsCVNW2vLLL58+s8cl/RGrS4LhXOzD+Z51gxCkskKQXIqsMG0hbAWUDO8i4MSeocLNyhXaFfbE7NHBzN6jok1yOsqBaSyMjcANyoDv7Hfaz1RYwPpR/4aC4Y11eX5BoCDQ/REYaiQ2pNB4n5as7qw2GnwpBYGCQEGgIFAQaIZAlyAxlhG3Hm1e+PbOO+9ctPYyZwsCBYGCQEGgXQS6BIm128pyQUGgIFAQKAgUBBogUEhsGE6L+++POPvsiD328O60CAkt+vSJ2GCDiB126JyGvPtuxMEHR7zySoSjb/vv3zn1llqGPgJffBFx0kkRTiiYE2ONNfSfWZ5QEOjuCBQSqxnBp56KQDRbbTXkw3r11RHjjFMRSG15+eWIv/0t4o9/FOjw/TfXXefMWsSWWw75Mxvd+dBDEQ88ELHjjp1bb1et7fnnI4xfZ74/tF+/COfk4ahMO23EscdGTDFFBMI55JCIrbeOmHnm6vszz4zw8upFF/0hSrfeGrHvvt9/dtllEXfcUc0HBWkddVTE7LN7f17EWWdVc2jDDSN69eqqiJd2FQS6BgItkdhVV0WMOWbEAgtEtJd84ZxzvFU5gvD+xS8iCNV//CPiq68qC+S55yph8Ne/Rojf8FtWqosuipC799RTI7yj8p//jLjyyurvE06ohMe550YQ/pttFnHGGZV1M910EbvuWj1vwICI886LmHTSiAMOiJh33ojjj4/YfPOInXduDPwNN1QC65NPIqaZJmKNNSL22ivi668jLrwwQn8++ijitNOq+pDVMcdEfPNNxMYbRzhDjaAuv1zkXiWYWEErrFC1h5BaZ52In/3sh8+vJzHtJ/AQ26yzVv1X58CBEeuvXwm1//63EpyCKV375psR3iH6hz9EjD9+VX89iT34YMQFF0R8+GHExx9H/OUvEXPMEfHeexF//nPEI49ELLZYxIEHVli3Uq69tuofLFZeuWrT449XQt7zllsu4re/rZ576KHVuBPi8PnlLyMOPzxixhmrfpofxk4bnnwy4qCDIgREwtf4Gf9TTqn6MtpoETvtVGFz5JERn38eMfnk1djtuedPJwDPQiQnnljNidqC2IwNZWXw+fk47LBqbsAgF3PmX/+q5lLtCQ5kqE5zor6YL5657bbVGJdSECgINEegJRL78suIO++MuPvuiPnnj1hrreYV0yanmqoiq7nnjrjkkojdd68WNBJcffXvF/Xbb0f86U8Re+8dMf30lSBdccWKQB5+uHK/0WYJs3nmibjppkrbve++iiy4XVZdtRJmCOS44yphIucsYnI/64cQnXrq5m1W3403Vs/PBRmcfnolpLWToFUfYbzQQhGrrPLD+vQbkRCkuSBGZIosxh23bRIjwAg7Gjm3oPYT7LBBxL17VwJ8k00qIYq8kA9ie+ON7y2vRiTmGn174omqH5QJ/VhqqYpM1K9Piy/e8SXTt2/Vzn32qZQPhQVjPLlI4U0Jef/9iKWXjiTo4UA4Iz14+IwVArMXXqjIe9Cgqg4KgnlEyYGFMTL/ECUschHN77v23LIUq3oX6+9/X/W7vjQjMeNBeaKgUKgQJtJtRGKw0HZWIgUKBkpbJJZJWY7lKafs+FiUKwsCIyICLZFYBoj2fv75ERdfHME10uitJ6wXwog2TdCywmjNhDFCGJwLOFWJHBBFJg/Ci/VG4NDm85EvgpLmi9iQ1GuvVZo5gbjsspUwZcmNPHJlMSExzyKkOpJ+sBGJIV8uI8TECqI5E1bqYzEQUKwaZOb7RiSGPBEGi6M9ErOn5XnPPFMR9PXXR0wwQaWZzzlnZSnCm9BV53bbVVbZ7bdX48E6ZNk2IjHWGPeiuk8+ubIc/R8psGooA56zxBIdXwosR1YqjEcfvbpPG48+umqfsbnnnohrronYdNNKiTFO2cJAZKyo9darXHG5fPZZpegYY1jr43/+U803pIZAaktHSQwBsXJry2STVR6GRiS29toRXJXaIOcxIrWPecUVlcUFR+2kCDQisVwn5YRyRRnTDziYDzBfbbVqDuU9sExiCLwtpavjo1SuLAj0XARaIjGuEQvRokcy883XHJhGJMaCIWgJEsIgE0szErMvQItHblnrZtk1IrFPP60sNdou4lpkkbZJDDlxa+lHLlxgrJVaTZ3AZzkQ7rUu1A8+qKw7rjwWDIuGENdepdYSY1UdcURlPc0www8xq3cncqPae2ENIRnkgMTeequywBSuOaRDELoWgSNvgpLgU+pJjPuLC5R7jgICK+4qpKcOrspad1d226mbJd2sGEuuMmTImlL0F2b6y31qrwg2lApCvyMk9u23FSkgCpZ7LnfdVQl8ykLt3iKFxxnx9vYWEdCll/6wNxQQHoBGJNbInWjMWLNIB9maA4jYPKh3J/JesMYoJOYoBcUasj6auRP13TXGp1XXbs8VVaVnBYHGCLREYjTIlVb6ft+lLVCRFQHGjUII2cfgTuQesZC5YSaZpBK+NGtCafDrp5KQ+vnPKxcXAeg+goBgpLXav+FWfP317y0xQp/A8x1B6fl+u7+WMHObWYRzzVXtq+VCIG+zTdWmNdes9toIX4JTtBgS5+LhxiOgaeOEE4uMJq4gB0LxsccqIbzLLpVl+PTTFRGyUGr3OezFEaz2exTCmPbPTactLDHEyPpC5txRiEUhFH/1q2p/iZWg/kxEiB6RsdQUVhhr2Bguv3xFZNn64ILjHiMwfW4PSz8ESey2W4VFW0VfjYv9L333DNanvykBXKl+Xn212uvUj4wB4kWk+pwDJPKzuCBZOZSL2WaLuPnmitApIPBXuPIQM9czAocXq87Y/dQsYoic9YhQskWEoI0h0qbUsCS1AdmZJ/YlFXOb0mGvFjbGX2GJUZz+/vfKK6EgQ/u9G21UuVH1k4WLxEpgR9tzr3xbEGiJxApcPw0BgTGIZfvtqwCEYVmQWHYnduS5lAaClvu01vXbkXvLNUOGACWKhcYFzxvQXvDUkD2l3FUQ6FkIFBIbhuNJy+Z+onl3ZI+uM5vWKolpK0tEW4s10Jkj0byugvmwwbk8pWchUEisZ41n6U1BoCBQEBihECgkNkINd+lsQaAgUBDoWQgUEutZ41l6UxAoCBQERigEComNUMNdOlsQKAgUBHoWAoXEetZ4lt4UBAoCBYERCoFCYiPUcJfOFgQKAgWBnoVAIbGeNZ6lNwWBgkBBYIRCoJDYCDXcpbMFgYJAQaBnIVBIrGeNZ+lNQaAgUBAYoRAoJDZCDXfpbEGgIFAQ6FkIFBLrWeNZelMQKAgUBEYoBAqJDefhfuyxx2KyySZLP51Rvvjii3j99ddj1llnjZEapHF/6aWXYswxx4wpvIemm5Rvv/029WnaaaeNkb0SoJSCQEGgIDAYgUJiw3kq/P73v4+VVloplsrvcvmJ7XnxxRfjpJNOir/+9a8xmpeO1ZVDDz00Zpxxxthwww2jVzfJ7NuvX7/Upx133DHGqH2PzU/EqtxeECgIdH8EejSJHXDAAUlz/+Mf/xjXX399XHXVVXHssccm4f7ZZ58l7X7gwIHJKpl44oljl112id122y1mmGGGOO+882LxxRePaaaZJvr27RuvvfZasAhmm222GGWUUeK9994LVs94440X//vf/5IlNc4448Sbb76Z/q/MMsssyer54IMP0j2e5/rpvGRqcLnyyitjvvnmi6kHv7Dqq6++ildeeSUMzAQTTJCe36wgrP322y9YV1NOOWX861//Sv0i8PfYY4/46KOPYtxxx011aLvr1IvEtLWtoq0ff/xxjD766AkPv7/55pt42YuuwnvUJkyEMuqoo6brJp100kA26tdH2GhfvnaqqaZK98MC5p988kmyrP5v8Gu733333fCjz7BAsBmLQYMGxdVXXx2//e1vG5KYOm+++eZ48skn41e/+lVMNNFE4XnKp59+Gq+++moaB/02H/JnvnedZz7//PPxhz/8ITbYYIOYaaaZ4mc/+1khzO4v30oPRgAEMomRP0qvL/v1H+SPt/v0iZmmn7ZbQ3DwwQcnYer3f/7zn0REiO3zzz+PP/3pTzHzzDMngYtEZp999thiiy2SUGXFXHrppYnECHvXIi8EtdBCC8Vyyy0X++67bxLuTzzxxHeksM0228Sdd96ZhPF9990XiyyySPz617+Ogw46KAlu5PX2228nUm1WPJfQnWSSSVK9iy66aMNLEeX+++8fu+66a3IdDhgwIAl+BLjZZpvFeuutl4j50UcfTeRMsN90001x4403xlprrRUrrLBC0zZo4wknnJDqhc8vf/nLRALnnHNOImLtuuKKK2LnnXdOCgDCZ1EiERivu+66qQ933XVXwvryyy9P9xoLbWEFvvPOO7HAAgvEsssum+4744wzYs4550ztVS8SOfPMMxMxagM8Dz/88B8RC4J77rnn4pJLLkkkrT7Kw8ILL5wUjWOOOSaNs/bohzFFVohy/PHHjwUXXDCRFlyOOuqoNLaIbdVVV03kVkpBoCDQtRHIJGZrpseR2GGHHZYEESFFW+/Tp0/stNNOceuttyZhuffee/9gj4UlQxAiNaRA4LE8WEv77LNPfPjhh4ncdt999/jnP/8Zm2yySRLgBB+hjiBZPDT9hx56KJ5++ul07YknnpgEKCHdXiG433///dhyyy0TgbKAGhV9uO2225JArt0nqncnnnzyyTHHHHOkvijai9AyiX355ZeJXBR7aAQ7gjzkkEMSPkjdjz55FkJn3fm95JJLNiUx5OIeluFWW20V2qHAjVKR3YLInXWMMCkI//3vfxP2iPCII45ImOpfe+5E44nodvCa6sGF9Y3gNt5443j22WfjggsuSAoKpYL79uc//3nqLyu5f//+yQo3PzoyTu2NY/m+IFAQGDYI9GgSo7kvtthiyRr697//HQ8//HASclxTb7zxRnJP1QY/nHXWWbHyyivHqaeeGr17906uqaeeeuo7Dd21c801VyyzzDKJmOpJbPvtt4+jjz463YvwWGqtkphhJ3gvvvjiVA9Li8uuvjz44IOJaPQru+Rc0wqJIRqC//bbb0/Vjz322PGb3/wm/WZBIXWW3XbbbZfch8cff3wiMu1qi8TWXnvtuOGGG5JV6lptvOaaaxqSGNI3Tqy/7Do1BoiSZeS7ISUxygfSnnfeedOz559//mSpsVi1jXuZBb755psn4iwkNmyETnlKQaAzEejxJIZoJp988rQfc8oppyQS4+7jOvz73/+ehFguSGyjjTaKBx54ILnHCF/E5VrusBxBaK/GvfUkxiK76KKL4sgjj0wWG/djqySGNFkC9uEQ4u9+97uGezMIiKXEVYZkcmmFxJpNJHXYY+NCPPfcc5O1xWrh5kP8SHPuuedOxFTrTuRO5Z7bdtttE8khB65ApHThhRc2JDEfXnfddckC+9vf/vYdYcOY25X7kXWMQLWlWWCHa+65557kSs3FPhdL7vTTT/9uD5CVadIbS9Y5ZcS+IqJkuXO1FkusM0VMqasgMHQR6NEkZp+Di4ogRWJ33313cqtxH3H1nX322WnPhVvMHtL999+fhLBrL7vsshQ1yN1EQLJKuN3stbDQ7Pe4lnVnD8a+DhIjrNWjvhdeeCGWXnrpZGW4Bpm2V+zd3XvvvUmYc4PZN2pWtJ3VqH1cj6L3BK2wMtZYY43UT332XFahws3J0uK+a1YyafjedVtvvXWqF7khb9YoRQBu3HKUA+TL4nUdy8ceFFISvIEAH3/88UQQLMhVVlnlR9bltddeG34Ue2a/+MUv0n4jRcK+oDZ7ViOr1D0msjHiNuQOZlGyuNRx2mmnpXqXWGKJ5Nbl2tR+hSKQg2qME3ejgpD1s5SCQEGgayPQo0msa0PfvVuX3YmddTSge6NRWl8QKAgMLwQKiQ0v5Lv5c7lNBYzUumO7eZdK8wsCBYFuiEAhsW44aKXJBYGCQEGgIFAhUEiszISCQEGgIFAQ6LYIFBLrtkNXGl4QKAgUBAoChcTKHCgIFAQKAgWBbotAIbFuO3Sl4QWBgkBBoCBQSKzMgYJAQaAgUBDotggUEuu2Q1caXhAoCBQECgKFxMocKAgUBAoCBYFui0AhsW47dKXhBYGCQEGgIFBIrMyBgkBBoCBQEOi2CBQS67ZDVxpeECgIFAQKAkNMYl4zIlu6jOO17+QaXpB6nYcXLiqyp08//fSd0hTZ6r3XSpHh3BuHSykIFAQKAgWBroHAEJOYV154bYiXJHrlR33xvquPPvqozbcTdzYEXqHiPWBeCZJfhNgZz/DiRsToBZteEVJKQaAgUBAoCHQNBFoiMa+S98p37+maZ5554uWXX04k5v1T3jOlrLnmmukdWt7Z5P1OLJeJJpoovbdpuummS28K9rJHxfu6vFvKCwmVK664IpGedz4NSaknMUTKWvSOL39vtUOC/gsAABLySURBVNVWKfO6d4WtsMIKMcEEE6Q3+nrHlndeeQeWfuQXYbpWaURiN998c7rOG5iXX3759K4sxUsXjzvuuPRmZy+09D6tUgoCBYGCQEFg6CDQEol5waBXurN2/vGPf8R7772XSOyzzz5Lb/v129t4Dz300PRW4H333Tc23XTTH1hFhDyi8oLJffbZJ1078cQTp96py9/eHjwkpRGJff755+l5Xl555plnxjHHHBMXXHBB9O/fP73sUR+8OHLttdeOI444Ir1MUdv33HPP2H///RMJNSKx7bffPmaaaab0IkrXabO2e9uzNwR7OeT555+f+ujvUgoCBYGCQEGg8xFoicQuvfTS9KbjZZZZJr1BN7sTWTPnnXdevPHGG+mH660ZibnW23pZPd58zGrJJPZTu9fInYikvJ7+/fffT8R5wgknJCuJNXjQQQfFTTfdlN6J5e3Hxx57bLKevD3Y/tdss82WyK0RiSFD1hfr8vjjj4+ZZ545vSF4o402Sm9+Vt56662EBRItpSBQEBg6CLw94M34fNBn8fWg/vHtoAExIL6Nb2NADBjkrwHfPXSMXmPG14O+jlF7jRaj9Ro1xu01fkw08iTxfyONO3QaVmodJgi0RGLIZ7LJJotll132OxJjlR1wwAGx3HLLJRfjSSedlFyHjUgMgbne6+a575DGXnvtNdRITOcOPvjgZA2yyM4999w48sgjk2V06qmnJgtR4MZOO+2U3IqITXt8j8QWWGCBWHHFFdskMcR14IEHxhJLLJGIjAXHldq7d+9EhmOPPXb06tVrmAxmeUhBYERA4NOBn8Sd/W6JG/tfGQ9+c2N8NahvDIyBETEo/VOq3/l/FSq9wjr0ub96xUgxcvo3ycgzxPKjrROLjr50zD3afDHGSGOOCDD2mD62RGJPP/10csUR1iwxAR3cZV5Vz5oSEXjLLbfEeuutF0suuWTai3r++edjmmmmSdbbFFNMkayf8cYbL2accca47bbbYtVVV017Y8p+++2X6tl9992HCOB6S0znEKU9OdbUfffdF9ttt10suOCC8eKLL8Ypp5yS2pqDNc4666xkrY0++ujRp0+f5Cq0b9bIEuM2nXTSSdNe27vvvpvI2d4eIhxrrLGSe1V/7e8hs1IKAgWB1hD4atBX8eaA1+LFAU/FqwOej1cGvBgvD3g+nh/wcAyMb1qrrINXj9Vr/Jh9lAVjulFmiqlGniaR46sDXkx3rzbGRrFU7xU6WFO5bFgh0BKJCewQWt+vX79kkdlXmmSSSZLg5x5kdSAAhQD/6quvElkoiGzccceNL7/8MgWEEPSsNQQx5ZRTpmuQAWJEOkNSMqEgyTHGGCNVIUISIWmbQAzt02aWl+dpZw4s0Tb9YDmxsGrdgFyQ2utHQVYsSmQ11VRTpb4piFTwCmA9055aVziCMCR4lnsKAsMDgU8Gfhw39rs6Lut3erzx7fPxycCP4pvoPzya8oNn/nqMPePA8arjNqV0HQRaIrGu0+zh35K8JzbDDDMM/8aUFhQEujgC9qbsRw0cxLYZmHat0s7VoG/ii0FfRN+Bn8ZLA56J+/vfFbf0vyQ+G/RRl+tRIbEuNySpQYXEhnBcXnvtteROzBbfEFZTbisI9EgE7Fs9/fXj8fQ3j8UzAx6OTwb1SST27aBvE4klGhv0bXwT38SXg/rG5wM/jc8HfRyD0t5W1yyFxLrmuPQoEtMZrkMuws7ah/r000+Ty9PeWH3xOZckMmt04LtrDnkkN7BAlyF123bVfmkXl/LHH3+c9l25cbm+uXcV4zThhBP26ECbTz75JN5+++3UX16CYaFkiQLsO+jz+HjgB/Fw//vilq+ujVu+vqAurKIrz5qOta2QWMdwGtZX9SgSs18nutCBZftenVEEpwjP33nnnX9UHYEhCOUvf/lLCtHvLuW5555LB74Fo3RGgY+gGOfuHMHIh8x9pji20Fa6LqR64oknhsAhQTbO6g2pUmBPUnTo5ptvnvZdTzvttERis8wySwromWuuuTqFxN555510tEIwkn3RrlIkHhAwdfXVV6e2LbTQQkO1aRd8cVY88s3t8eqAF+LlAc9E30EfV8/rF/HlkRGjTxox8nbtNOGriH5HR4w6XsQoOw2+VhDhDRHv3xgxySYRMd/3dfQ/I+KTJyMmPTAixpeNIKLvuRFfPB4x5hwR42wWETmWql9VT6xZ04YvIz44LGLgFxETrB0x6hLVd98+H/HhyRG9RomYZO+IqI6vflcKiQ3VqTTElXeYxGi3Ml44yCuQYZdddknnpFZfffX0cMEdBIggCcLj1ltvjQcffDBFL/qOYNl1112TcBJA4cHC0P2waNxLmNEcfU8wCLDo27dv+l69AiUU19GyXSfQIh8mRiqes9tuu30XYOJa2riiXW1ZaISvtgr6UL/nycjhrNkWW2yRPtc+wSGCVvzkdrUVRq/96hUY496sHcNAH3zmfr99BiP1aru++U4f/F/RLte4VlGH/2d89CPjVtvnjMXrr78e11xzTaeQmHN+F110UbJwEJG5oZ/OCzpD5/c666yThCpLqFGR99Ih+PXXXz8JXmfzWk3v5Zm5z45SIEL9pXzsscceicQybkO8WgbfKDJVdK65K6/mkChM2macjKHxbXYUwzXG3rPMSf+3VsyLPH/q57Z5SrFaeeWVvyMxczUHXXm2+pLgrpmbAplykFNHMZq1z8g/dgFabrtGhCQ+j0XEwxGxY5Mav4qIfSPi8Ih4JiJujoi9IuKFiHg9IpaNiJMiYksLOCJOiIilmZmDr3NfrQ5Bb1o8ImYc/Lz7B7fj3JrnnxIRq0TEVDWfvRURhw6+tkkwcSGxjs6KYXtdSyRGIBAwzk/JfkGzRWKyYZxxxhlpMQuRd+D3scceSxkwCCXnsTKJWfyEDOFK8CA22qOD1DR6UYHPPPNMyvYhlJ82j0Bp6X/+85+Tpo9AheXff//9qS0EVqNisdOWCXll3XXXTQebmxWppKS+0gdCWQ5GAvbss89ORwYISc+XnUM6q9tvvz1FWrL8uK+aFX1D6AiXZqzt+iTTB7L2PNaRg9HnnHNO6tN8882XDmazKFyDdB5//PF0QFwOx2222SaRBuuT8JEthYJBILIe4WVwEYf2wsKRAmSK8Agyxx06o1AejAnBicRqywcffJDGJ8+P+ucRyg888EAaZyTmGMS2227b0H3bVltZlo8++miag/YrYXvJJZckDJdaaqnkOt14443T0Y7OKPC2HoaUxBz9ePLJJ5OFagz1mZVYX4yTrDbOKy6++OIBT/N0gw02iHvvvTcdaeE+dLzFGUUk1IjEHIOx1vKxE2cbFeclrTv9cdbR+m4lmnaxd6eLDwdhm5ry0GACWnfwZwhk7cEkVN/BJyPi+YhYb/AXZ0TEOhFxeUQsGRHyeN8bETLTzRIRcnwjPeWOwdbSbDWVXh8R8w/+/J2IuC4i+kbELoOvseV2ekSMGfF5v4hx1o8IuQjOjoipI/o+HTH23IOfXdfWQmKdsXI6v46WSIwQpLkJLbenohDINN0tt9wyCd5c7rnnnqSFy+phwRLkzl2xzKRmWmSRRZKrZ84550xCVWi7hUgjt1AJXweoCTmCmcB2Dz8/YnLA2mJDhM1cTwQAq4ywyXkQ24IQ6WpbDvl3LUIgJAgAfT/88MOTy5I1pX7/911bJObgNCLaYYcdvns8QXTHHXckInEMgKDy04jE7MdlHB555JGUHQVhIQaYyd1IcMGB1Wg8HDqneeeUWHB1Zo+CQUlA1s3cicjITy6UCenG6gkqf9+MxIyNOeN+B+SbFcRKeFIKRH06fN5KMRelLGMhUY6kRGM5s7qRPQxmnXXWNquEmbbmYg4Yn2bWY2eQGBc04pb2zFEUbW5UKInmofkh9RsrDOHlOUGx0WfzzHcdJTFkr079puRQxsztbLHltpj3LG4Y5wJPisOGoy7xYxK7KZ0nrqwo5bSIWCMiGnn47x5MMivWXOvv8yOCG3GKiHgkIh6NiJUj4t8RwdWnIDdFTu5bI17aLmKm4wilysWYLLjtBxPU1oOv/fR7C27QqxG91L1VRNDnJosYtGVEryMjgoOpxoXp7kJirazKYXdtSySGkHISYJocgYlouBkPOeSQlEswF1oirRAhOWPlx0FjQsVDacwsCDkIWSVcXNxPAinsNxAeCMviJDB8Rkj5DKFlTbI9qCxA7i4aq3RQBH6zQnAjGtZWLrV7YoQD8mhGYtppsWurwo1GeCNbFgbSmX/++RNerAT1IU39pynDsBGJESo0ZpYGq9LZM+1gDSMICZdzgSOLU/YUAo1Fad9OkmNBKCy79vbEXOsnFwS92mqrfeeurMevEYkRiuaLcWRFNCvmk76xUFkllBxuMImhO5rphCVjblCWKBd5T6wVEpO55amnnvqumdx7xi+fC6xvf2eQmLOTnkGhsW/HYpUijRdDkdWGNwBZ6RvCQxyus3Yohix07kbttFZaITGEaP6xVClAc889d1qf9Uqh52sTz0cu1ohEBSv2nfPHJOayPhFR5cSOYIn5u9oN+GHRVXE3rC/lzMHXXjKYBKeLCPXZI2OJnRoR+wy+9q6IkSYYJaaZa5aYepTpY7KRp4gJL5wlYvKB0XvkMePBax6I3tP3jpdvey3mWnn2WHmDleO9T9+OC049L6bbfaL4oO+78eZRr8X7+70eQWfbvLLGkmX48mCXY01rC4k1XcbD9YuWSEy2Dpq8m5ATVxrhZvH4myWTfeqZxFhArCaLK1saLBiElt0WNM1GJMb1yNXGdSJ9lGe1QmIEvgVOkFuAMvDXapP1yDvATKhKm5VLKyTWbCRhw42FyLkMETDXoOdxo0kUbO8NvpnEWF8EOgFPWWCh0JRZK94i0IzE9JnFSzkgBHNBXNdee22yTFl/9kho7o0Ky9BPLsaOFdbM4q0nMUIPbsaZkKzdZ7n88suTJcjNrGQtnwJDoOuj6FJEjOQpBZ7Lmm62X6PPrC19Qy7cznBrhcS41PQjF89EMs363IzEEKHnI51mVpxn+N7cFPRiLBEJd16zwiq0Tlje3hQBW+NnjlgnyM98ao/ErAHE5917cOPGVE975x1Z8uZv/ZxY6sOZfkxi3HeI5piIeHowCbGI+ka8/7uISRh0OQ6Kp9//7UfJi8AduGdEPDuYCOlnDORfDybBEyImX3GWWGLaleL+fZ+Iw44+LKaZbIYYa6SxQm7EAw84MJExD5ExhbG3aVDesruWPNp1z13juVeejccffCwW3WahuPm8W+KZd5+K17d8LN475qVqzwxp1pQjx/t3rDHGxsNVYJeH/xiBDpOY/SD7QF5hQpjQfoWzL7zwwkkQITDEhTBoxYQkkrKhToByL5pI7rWAWUY0fMKMoECKOfuHBUPTI/h9z+1BKCMilhJBjtjaKwQN0qLlEkiEd1th5fpIoNirUAhU/WQd0jr1E9lwfREWrA3/X2ONNZIbq1khXLQ5Z8dndaiLxWDPTd8kImaJSRpMCFqIBLvF6D5khwD0m6WHoAghAr9+L4V7jlDXb5iqz7ggBO2gbRufnKi4PRzb+p5FmaMQXcfyRKKEqmAORT/0zXgbd6SuDbnAF7EbZ0SW9zhhRNgiF3ukbQUdsFLlxWSVIo88T+2JsWCauUKHpO8sYFZQLkhFm7WPy5YShETbIzFuavMLZlyJbUVksqIpOLA11ygKCAk+9pzNEVl0KA0K74O9VZa6wn2s3V5iiwApo0jefLNerT9rGSm2cjyl4Z6YB34Z0feAiDEmjxg564RfRvzvmIgJRCvWRv6JZDwwYtQJI0bNAbP2rq6IePeqXjH/DtPH1ItNF8uPvkEsPeqKcfrhZyZCJ0eQr/7oA+XIVoe9wdwHAo71av3mwCfyiFyAF+U4e16MGbf5ppttGvOuOVf0HySQqsrFKGnwtKPMEL17VQExpXQdBDpMYl2nyT2vJbXuxLzQel4vW+8RS4wWTRgLIuoOhVUkxJ2F0xbpEsDZndgd+tWsjU1J7Cd2qnevMWPZ0daPxXovE/OPtmhMPvKU0btXlUqulIJALQKFxLrAfGAxCnJhkTXbg+kCzSxN6EQEBOewBIb0BbCd2JSfVFVHSGykGCX+r9f4MfZI48SYvcaK3r3GiWlGmj3GH3nCGD16J+tmzF7jxJgjjRWTjTRFTD3KtDHlKFMn92ApBYH2ECgk1h5C5fuCQEGgKQJtkdgUI80Ui462XMwz+kIxyyhzxyQjTZaIa4xiUZUZ1YkIFBLrRDBLVQWBEQ2BFd6fOz4a+Ebqtnd0jdFrrFi995ax0hhrxVyjzTf4HV4jGiqlv8MSgUJiwxLt8qyCQA9D4PUBr8Y3g6rMMaP2GjUmGXmy4gbsYWPc1btTSKyrj1BpX0GgIFAQKAg0RaCQWJkcBYGCQEGgINBtESgk1m2HrjS8IFAQKAgUBAqJlTlQECgIFAQKAt0WgUJi3XboSsMLAgWBgkBBoJ7E/h+XdUXCOR9eBQAAAABJRU5ErkJggg==">
          <a:extLst>
            <a:ext uri="{FF2B5EF4-FFF2-40B4-BE49-F238E27FC236}">
              <a16:creationId xmlns:a16="http://schemas.microsoft.com/office/drawing/2014/main" id="{FFD4A42F-DF82-4E8C-88AE-7E439EF1B32F}"/>
            </a:ext>
          </a:extLst>
        </xdr:cNvPr>
        <xdr:cNvSpPr>
          <a:spLocks noChangeAspect="1" noChangeArrowheads="1"/>
        </xdr:cNvSpPr>
      </xdr:nvSpPr>
      <xdr:spPr bwMode="auto">
        <a:xfrm>
          <a:off x="5547360" y="566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736878</xdr:colOff>
      <xdr:row>39</xdr:row>
      <xdr:rowOff>120516</xdr:rowOff>
    </xdr:from>
    <xdr:to>
      <xdr:col>10</xdr:col>
      <xdr:colOff>21934</xdr:colOff>
      <xdr:row>46</xdr:row>
      <xdr:rowOff>170707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D84095-AADB-4FAF-AA24-313601C7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8856" y="7305087"/>
          <a:ext cx="4058023" cy="133973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213361</xdr:colOff>
      <xdr:row>0</xdr:row>
      <xdr:rowOff>0</xdr:rowOff>
    </xdr:from>
    <xdr:to>
      <xdr:col>6</xdr:col>
      <xdr:colOff>335281</xdr:colOff>
      <xdr:row>17</xdr:row>
      <xdr:rowOff>87238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5FDFAE-C57F-4595-9E53-58C0849F0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1" y="0"/>
          <a:ext cx="4876800" cy="3196198"/>
        </a:xfrm>
        <a:prstGeom prst="rect">
          <a:avLst/>
        </a:prstGeom>
      </xdr:spPr>
    </xdr:pic>
    <xdr:clientData/>
  </xdr:twoCellAnchor>
  <xdr:twoCellAnchor editAs="oneCell">
    <xdr:from>
      <xdr:col>0</xdr:col>
      <xdr:colOff>289560</xdr:colOff>
      <xdr:row>40</xdr:row>
      <xdr:rowOff>30480</xdr:rowOff>
    </xdr:from>
    <xdr:to>
      <xdr:col>5</xdr:col>
      <xdr:colOff>716660</xdr:colOff>
      <xdr:row>41</xdr:row>
      <xdr:rowOff>152426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AEA0A4-49C3-43EA-894A-13A550435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7345680"/>
          <a:ext cx="4389500" cy="3048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5</xdr:col>
      <xdr:colOff>282308</xdr:colOff>
      <xdr:row>51</xdr:row>
      <xdr:rowOff>144824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F8CC0A2-8088-418C-A389-0DDD02DFD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61120"/>
          <a:ext cx="4244708" cy="5105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457720</xdr:colOff>
      <xdr:row>21</xdr:row>
      <xdr:rowOff>91781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2F2C26-20CE-488C-AE69-50F998031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5080" cy="393226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434858</xdr:colOff>
      <xdr:row>19</xdr:row>
      <xdr:rowOff>46025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D6896A-FE81-4812-BEA2-2184EE0B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82218" cy="3520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7620</xdr:rowOff>
    </xdr:from>
    <xdr:to>
      <xdr:col>6</xdr:col>
      <xdr:colOff>217358</xdr:colOff>
      <xdr:row>11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0AC55C-D5A2-428D-B894-D695ABA3F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7620"/>
          <a:ext cx="5292278" cy="2103120"/>
        </a:xfrm>
        <a:prstGeom prst="rect">
          <a:avLst/>
        </a:prstGeom>
      </xdr:spPr>
    </xdr:pic>
    <xdr:clientData/>
  </xdr:twoCellAnchor>
  <xdr:twoCellAnchor editAs="oneCell">
    <xdr:from>
      <xdr:col>2</xdr:col>
      <xdr:colOff>563880</xdr:colOff>
      <xdr:row>27</xdr:row>
      <xdr:rowOff>167640</xdr:rowOff>
    </xdr:from>
    <xdr:to>
      <xdr:col>4</xdr:col>
      <xdr:colOff>0</xdr:colOff>
      <xdr:row>32</xdr:row>
      <xdr:rowOff>107922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5CB1D1-F295-4E26-8227-FFF30CD1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9360" y="5105400"/>
          <a:ext cx="1021080" cy="854682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29</xdr:row>
      <xdr:rowOff>167640</xdr:rowOff>
    </xdr:from>
    <xdr:to>
      <xdr:col>9</xdr:col>
      <xdr:colOff>472812</xdr:colOff>
      <xdr:row>38</xdr:row>
      <xdr:rowOff>122059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9E664AF-86D6-42F7-AAA5-A3CD3046F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5220" y="5471160"/>
          <a:ext cx="4290432" cy="160033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63</xdr:row>
      <xdr:rowOff>55286</xdr:rowOff>
    </xdr:from>
    <xdr:to>
      <xdr:col>10</xdr:col>
      <xdr:colOff>549033</xdr:colOff>
      <xdr:row>67</xdr:row>
      <xdr:rowOff>144861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3EAB0AD-E333-4C80-BE09-A95AF9469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4420" y="11576726"/>
          <a:ext cx="3939933" cy="821095"/>
        </a:xfrm>
        <a:prstGeom prst="rect">
          <a:avLst/>
        </a:prstGeom>
      </xdr:spPr>
    </xdr:pic>
    <xdr:clientData/>
  </xdr:twoCellAnchor>
  <xdr:twoCellAnchor editAs="oneCell">
    <xdr:from>
      <xdr:col>5</xdr:col>
      <xdr:colOff>259080</xdr:colOff>
      <xdr:row>72</xdr:row>
      <xdr:rowOff>137160</xdr:rowOff>
    </xdr:from>
    <xdr:to>
      <xdr:col>11</xdr:col>
      <xdr:colOff>107079</xdr:colOff>
      <xdr:row>81</xdr:row>
      <xdr:rowOff>91579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58576C8-B03D-4B56-AA15-F1B999049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13304520"/>
          <a:ext cx="4602879" cy="16003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594360</xdr:colOff>
      <xdr:row>15</xdr:row>
      <xdr:rowOff>133322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2B3B5-12E5-4660-AF53-2F7570273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92140" cy="28765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725541</xdr:colOff>
      <xdr:row>15</xdr:row>
      <xdr:rowOff>172367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340C98-82DB-4EBB-A7FA-F17DA9DD7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80421" cy="29155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50071</xdr:colOff>
      <xdr:row>40</xdr:row>
      <xdr:rowOff>169574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4B625F-2692-4A99-91E3-9CA550BBC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17920"/>
          <a:ext cx="1635031" cy="12668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3</xdr:col>
      <xdr:colOff>556187</xdr:colOff>
      <xdr:row>49</xdr:row>
      <xdr:rowOff>26419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8CCD0AE-3FC3-4206-BCEE-51DCA7BB1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29600"/>
          <a:ext cx="2933627" cy="757939"/>
        </a:xfrm>
        <a:prstGeom prst="rect">
          <a:avLst/>
        </a:prstGeom>
      </xdr:spPr>
    </xdr:pic>
    <xdr:clientData/>
  </xdr:twoCellAnchor>
  <xdr:twoCellAnchor editAs="oneCell">
    <xdr:from>
      <xdr:col>3</xdr:col>
      <xdr:colOff>769620</xdr:colOff>
      <xdr:row>37</xdr:row>
      <xdr:rowOff>76200</xdr:rowOff>
    </xdr:from>
    <xdr:to>
      <xdr:col>8</xdr:col>
      <xdr:colOff>655653</xdr:colOff>
      <xdr:row>47</xdr:row>
      <xdr:rowOff>15393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CE7904-18E7-45E3-B698-7D0C85693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7060" y="6842760"/>
          <a:ext cx="3848433" cy="17679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5</xdr:col>
      <xdr:colOff>145067</xdr:colOff>
      <xdr:row>98</xdr:row>
      <xdr:rowOff>91543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4BD5509-16C3-454B-881D-DD54189BD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" y="16824960"/>
          <a:ext cx="3314987" cy="11888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5</xdr:col>
      <xdr:colOff>38378</xdr:colOff>
      <xdr:row>82</xdr:row>
      <xdr:rowOff>76302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C8880A8-8A5B-4081-A493-6753CC315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" y="13898880"/>
          <a:ext cx="3208298" cy="11735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7</xdr:col>
      <xdr:colOff>82507</xdr:colOff>
      <xdr:row>21</xdr:row>
      <xdr:rowOff>141999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411542-EF4D-4577-9250-7A8E21340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4898347" cy="398247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13</xdr:col>
      <xdr:colOff>350874</xdr:colOff>
      <xdr:row>51</xdr:row>
      <xdr:rowOff>106832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0D31A87-C4A5-4F0A-A583-3D190F545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7680960"/>
          <a:ext cx="4084674" cy="17527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10</xdr:col>
      <xdr:colOff>190800</xdr:colOff>
      <xdr:row>104</xdr:row>
      <xdr:rowOff>122026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D4E1651-5818-4A06-BFA2-7A75FBA84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66160" y="17922240"/>
          <a:ext cx="3467400" cy="121930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12</xdr:col>
      <xdr:colOff>457495</xdr:colOff>
      <xdr:row>74</xdr:row>
      <xdr:rowOff>30562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E2DF231-540E-47DD-A4C9-C4B4A335F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2618720"/>
          <a:ext cx="3398815" cy="9449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770989</xdr:colOff>
      <xdr:row>15</xdr:row>
      <xdr:rowOff>137809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484C38-14AB-4EE0-A25F-F212E6F5B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25869" cy="2881009"/>
        </a:xfrm>
        <a:prstGeom prst="rect">
          <a:avLst/>
        </a:prstGeom>
      </xdr:spPr>
    </xdr:pic>
    <xdr:clientData/>
  </xdr:twoCellAnchor>
  <xdr:twoCellAnchor editAs="oneCell">
    <xdr:from>
      <xdr:col>0</xdr:col>
      <xdr:colOff>91439</xdr:colOff>
      <xdr:row>15</xdr:row>
      <xdr:rowOff>105216</xdr:rowOff>
    </xdr:from>
    <xdr:to>
      <xdr:col>6</xdr:col>
      <xdr:colOff>784860</xdr:colOff>
      <xdr:row>18</xdr:row>
      <xdr:rowOff>111735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A095FE-3C97-4C8F-A9BF-10E68B94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39" y="2848416"/>
          <a:ext cx="5448301" cy="5551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7</xdr:col>
      <xdr:colOff>587272</xdr:colOff>
      <xdr:row>48</xdr:row>
      <xdr:rowOff>175560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0E1F8FA-4D4A-4E2F-B42D-FDC5713CD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486400"/>
          <a:ext cx="6134632" cy="3467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945335</xdr:colOff>
      <xdr:row>27</xdr:row>
      <xdr:rowOff>23290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74FD73-EBA6-4A75-BBB9-1778FCA32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50635" cy="4961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381514</xdr:colOff>
      <xdr:row>17</xdr:row>
      <xdr:rowOff>45993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6D9D5A-94DC-4BA8-A9CD-BB85C0CCF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28874" cy="315495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427240</xdr:colOff>
      <xdr:row>10</xdr:row>
      <xdr:rowOff>137330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A3205F-23D9-441F-B4F2-EE9BB5D1E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5080" cy="1966130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55</xdr:row>
      <xdr:rowOff>175260</xdr:rowOff>
    </xdr:from>
    <xdr:to>
      <xdr:col>6</xdr:col>
      <xdr:colOff>678646</xdr:colOff>
      <xdr:row>57</xdr:row>
      <xdr:rowOff>160050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00ACFC-750A-4819-904A-D946F980B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" y="10386060"/>
          <a:ext cx="5380186" cy="350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6</xdr:col>
      <xdr:colOff>610068</xdr:colOff>
      <xdr:row>73</xdr:row>
      <xdr:rowOff>7652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17F91B-850F-4903-9F23-FE059FF75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136880"/>
          <a:ext cx="5395428" cy="37341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13.439429282407" createdVersion="6" refreshedVersion="6" minRefreshableVersion="3" recordCount="20" xr:uid="{F992340C-061A-4E37-A0BD-FFE14A4E803A}">
  <cacheSource type="worksheet">
    <worksheetSource ref="B19:D39" sheet="17"/>
  </cacheSource>
  <cacheFields count="3">
    <cacheField name="id" numFmtId="0">
      <sharedItems containsSemiMixedTypes="0" containsString="0" containsNumber="1" containsInteger="1" minValue="1" maxValue="20"/>
    </cacheField>
    <cacheField name="demo" numFmtId="0">
      <sharedItems count="4">
        <s v="hombres casados"/>
        <s v="mujeres casadas"/>
        <s v="hombres solteros"/>
        <s v="mujeres solteras"/>
      </sharedItems>
    </cacheField>
    <cacheField name="consumo" numFmtId="0">
      <sharedItems containsSemiMixedTypes="0" containsString="0" containsNumber="1" containsInteger="1" minValue="11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13.597168171298" createdVersion="6" refreshedVersion="6" minRefreshableVersion="3" recordCount="24" xr:uid="{0E6531BE-1677-4658-8D6C-68398C9EE2AE}">
  <cacheSource type="worksheet">
    <worksheetSource ref="A30:C54" sheet="24"/>
  </cacheSource>
  <cacheFields count="3">
    <cacheField name="id" numFmtId="0">
      <sharedItems containsSemiMixedTypes="0" containsString="0" containsNumber="1" containsInteger="1" minValue="1" maxValue="24"/>
    </cacheField>
    <cacheField name="Genero" numFmtId="0">
      <sharedItems count="2">
        <s v="hombre"/>
        <s v="mujer"/>
      </sharedItems>
    </cacheField>
    <cacheField name="felicidad" numFmtId="0">
      <sharedItems containsSemiMixedTypes="0" containsString="0" containsNumber="1" minValue="2" maxValue="9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n v="50"/>
  </r>
  <r>
    <n v="2"/>
    <x v="0"/>
    <n v="17"/>
  </r>
  <r>
    <n v="3"/>
    <x v="0"/>
    <n v="23"/>
  </r>
  <r>
    <n v="4"/>
    <x v="0"/>
    <n v="48"/>
  </r>
  <r>
    <n v="5"/>
    <x v="0"/>
    <n v="63"/>
  </r>
  <r>
    <n v="6"/>
    <x v="1"/>
    <n v="20"/>
  </r>
  <r>
    <n v="7"/>
    <x v="1"/>
    <n v="23"/>
  </r>
  <r>
    <n v="8"/>
    <x v="1"/>
    <n v="82"/>
  </r>
  <r>
    <n v="9"/>
    <x v="1"/>
    <n v="46"/>
  </r>
  <r>
    <n v="10"/>
    <x v="1"/>
    <n v="13"/>
  </r>
  <r>
    <n v="11"/>
    <x v="2"/>
    <n v="19"/>
  </r>
  <r>
    <n v="12"/>
    <x v="2"/>
    <n v="32"/>
  </r>
  <r>
    <n v="13"/>
    <x v="2"/>
    <n v="66"/>
  </r>
  <r>
    <n v="14"/>
    <x v="2"/>
    <n v="72"/>
  </r>
  <r>
    <n v="15"/>
    <x v="2"/>
    <n v="41"/>
  </r>
  <r>
    <n v="16"/>
    <x v="3"/>
    <n v="87"/>
  </r>
  <r>
    <n v="17"/>
    <x v="3"/>
    <n v="20"/>
  </r>
  <r>
    <n v="18"/>
    <x v="3"/>
    <n v="95"/>
  </r>
  <r>
    <n v="19"/>
    <x v="3"/>
    <n v="34"/>
  </r>
  <r>
    <n v="20"/>
    <x v="3"/>
    <n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x v="0"/>
    <n v="9"/>
  </r>
  <r>
    <n v="2"/>
    <x v="0"/>
    <n v="4.5"/>
  </r>
  <r>
    <n v="3"/>
    <x v="0"/>
    <n v="6.3"/>
  </r>
  <r>
    <n v="4"/>
    <x v="0"/>
    <n v="5.8"/>
  </r>
  <r>
    <n v="5"/>
    <x v="0"/>
    <n v="8.3000000000000007"/>
  </r>
  <r>
    <n v="6"/>
    <x v="0"/>
    <n v="3.1"/>
  </r>
  <r>
    <n v="7"/>
    <x v="0"/>
    <n v="2.5"/>
  </r>
  <r>
    <n v="8"/>
    <x v="0"/>
    <n v="9.1"/>
  </r>
  <r>
    <n v="9"/>
    <x v="0"/>
    <n v="7.4"/>
  </r>
  <r>
    <n v="10"/>
    <x v="0"/>
    <n v="3.3"/>
  </r>
  <r>
    <n v="11"/>
    <x v="0"/>
    <n v="4.0999999999999996"/>
  </r>
  <r>
    <n v="12"/>
    <x v="0"/>
    <n v="2.1"/>
  </r>
  <r>
    <n v="13"/>
    <x v="1"/>
    <n v="6.6"/>
  </r>
  <r>
    <n v="14"/>
    <x v="1"/>
    <n v="2.7"/>
  </r>
  <r>
    <n v="15"/>
    <x v="1"/>
    <n v="5.2"/>
  </r>
  <r>
    <n v="16"/>
    <x v="1"/>
    <n v="8"/>
  </r>
  <r>
    <n v="17"/>
    <x v="1"/>
    <n v="3.6"/>
  </r>
  <r>
    <n v="18"/>
    <x v="1"/>
    <n v="5.9"/>
  </r>
  <r>
    <n v="19"/>
    <x v="1"/>
    <n v="2.4"/>
  </r>
  <r>
    <n v="20"/>
    <x v="1"/>
    <n v="6"/>
  </r>
  <r>
    <n v="21"/>
    <x v="1"/>
    <n v="2"/>
  </r>
  <r>
    <n v="22"/>
    <x v="1"/>
    <n v="3.6"/>
  </r>
  <r>
    <n v="23"/>
    <x v="1"/>
    <n v="3"/>
  </r>
  <r>
    <n v="24"/>
    <x v="1"/>
    <n v="5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328BC-31DD-4BDE-90CA-5D9B59AB7B09}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20:I25" firstHeaderRow="0" firstDataRow="1" firstDataCol="1"/>
  <pivotFields count="3"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consumo" fld="2" subtotal="count" baseField="1" baseItem="0"/>
    <dataField name="Promedio de consumo2" fld="2" subtotal="average" baseField="1" baseItem="0"/>
    <dataField name="Var de consumo3" fld="2" subtotal="var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97B1A-918F-4B35-B4D8-D5153D92DC8A}" name="TablaDiná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31:H34" firstHeaderRow="0" firstDataRow="1" firstDataCol="1"/>
  <pivotFields count="3"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felicidad" fld="2" subtotal="count" baseField="1" baseItem="0"/>
    <dataField name="Promedio de felicidad2" fld="2" subtotal="average" baseField="1" baseItem="0"/>
    <dataField name="Var de felicidad3" fld="2" subtotal="var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F4F4-212C-4601-B823-8C525416E774}">
  <dimension ref="A22:J76"/>
  <sheetViews>
    <sheetView zoomScale="91" workbookViewId="0">
      <selection activeCell="H32" sqref="H32"/>
    </sheetView>
  </sheetViews>
  <sheetFormatPr baseColWidth="10" defaultRowHeight="14.4" x14ac:dyDescent="0.3"/>
  <sheetData>
    <row r="22" spans="1:10" ht="14.4" customHeight="1" x14ac:dyDescent="0.3">
      <c r="A22" s="43" t="s">
        <v>0</v>
      </c>
      <c r="B22" s="43"/>
      <c r="C22" s="43"/>
      <c r="D22" s="43"/>
      <c r="E22" s="43"/>
      <c r="F22" s="43"/>
      <c r="G22" s="43"/>
      <c r="H22" s="43"/>
      <c r="I22" s="43"/>
      <c r="J22" s="43"/>
    </row>
    <row r="23" spans="1:10" x14ac:dyDescent="0.3">
      <c r="A23" s="43"/>
      <c r="B23" s="43"/>
      <c r="C23" s="43"/>
      <c r="D23" s="43"/>
      <c r="E23" s="43"/>
      <c r="F23" s="43"/>
      <c r="G23" s="43"/>
      <c r="H23" s="43"/>
      <c r="I23" s="43"/>
      <c r="J23" s="43"/>
    </row>
    <row r="26" spans="1:10" x14ac:dyDescent="0.3">
      <c r="A26" t="s">
        <v>1</v>
      </c>
    </row>
    <row r="27" spans="1:10" x14ac:dyDescent="0.3">
      <c r="A27" t="s">
        <v>2</v>
      </c>
    </row>
    <row r="28" spans="1:10" x14ac:dyDescent="0.3">
      <c r="A28" t="s">
        <v>3</v>
      </c>
    </row>
    <row r="30" spans="1:10" x14ac:dyDescent="0.3">
      <c r="A30" t="s">
        <v>4</v>
      </c>
      <c r="B30">
        <v>0.01</v>
      </c>
    </row>
    <row r="31" spans="1:10" x14ac:dyDescent="0.3">
      <c r="A31" t="s">
        <v>13</v>
      </c>
      <c r="B31">
        <f>1-B30</f>
        <v>0.99</v>
      </c>
      <c r="C31" s="44" t="s">
        <v>9</v>
      </c>
      <c r="D31" s="44"/>
    </row>
    <row r="32" spans="1:10" x14ac:dyDescent="0.3">
      <c r="C32" s="44"/>
      <c r="D32" s="44"/>
      <c r="E32" t="s">
        <v>10</v>
      </c>
    </row>
    <row r="33" spans="1:5" x14ac:dyDescent="0.3">
      <c r="B33" t="s">
        <v>6</v>
      </c>
      <c r="C33" t="s">
        <v>7</v>
      </c>
      <c r="D33" t="s">
        <v>8</v>
      </c>
    </row>
    <row r="34" spans="1:5" x14ac:dyDescent="0.3">
      <c r="A34" s="42" t="s">
        <v>5</v>
      </c>
      <c r="B34" t="s">
        <v>7</v>
      </c>
      <c r="C34">
        <v>48</v>
      </c>
      <c r="D34">
        <v>18</v>
      </c>
      <c r="E34">
        <f>SUM(C34:D34)</f>
        <v>66</v>
      </c>
    </row>
    <row r="35" spans="1:5" x14ac:dyDescent="0.3">
      <c r="A35" s="42"/>
      <c r="B35" t="s">
        <v>8</v>
      </c>
      <c r="C35">
        <v>2</v>
      </c>
      <c r="D35">
        <v>132</v>
      </c>
      <c r="E35">
        <f>SUM(C35:D35)</f>
        <v>134</v>
      </c>
    </row>
    <row r="36" spans="1:5" x14ac:dyDescent="0.3">
      <c r="B36" t="s">
        <v>10</v>
      </c>
      <c r="C36">
        <f>SUM(C34:C35)</f>
        <v>50</v>
      </c>
      <c r="D36">
        <f>SUM(D34:D35)</f>
        <v>150</v>
      </c>
      <c r="E36">
        <f>SUM(E34:E35)</f>
        <v>200</v>
      </c>
    </row>
    <row r="38" spans="1:5" x14ac:dyDescent="0.3">
      <c r="A38" t="s">
        <v>15</v>
      </c>
    </row>
    <row r="39" spans="1:5" x14ac:dyDescent="0.3">
      <c r="A39" t="s">
        <v>11</v>
      </c>
      <c r="D39">
        <f>+C35+D34</f>
        <v>20</v>
      </c>
    </row>
    <row r="41" spans="1:5" x14ac:dyDescent="0.3">
      <c r="A41" t="s">
        <v>12</v>
      </c>
    </row>
    <row r="42" spans="1:5" x14ac:dyDescent="0.3">
      <c r="A42" t="s">
        <v>14</v>
      </c>
      <c r="B42">
        <f>+_xlfn.CHISQ.INV(B31,1)</f>
        <v>6.6348966010212118</v>
      </c>
    </row>
    <row r="45" spans="1:5" x14ac:dyDescent="0.3">
      <c r="A45" t="s">
        <v>16</v>
      </c>
    </row>
    <row r="47" spans="1:5" x14ac:dyDescent="0.3">
      <c r="A47" t="s">
        <v>17</v>
      </c>
      <c r="B47">
        <f>+(D34-C35)^2/((D34+C35))</f>
        <v>12.8</v>
      </c>
    </row>
    <row r="49" spans="1:6" x14ac:dyDescent="0.3">
      <c r="A49" t="s">
        <v>18</v>
      </c>
    </row>
    <row r="52" spans="1:6" x14ac:dyDescent="0.3">
      <c r="A52" t="s">
        <v>19</v>
      </c>
    </row>
    <row r="53" spans="1:6" x14ac:dyDescent="0.3">
      <c r="A53" t="s">
        <v>2</v>
      </c>
    </row>
    <row r="54" spans="1:6" x14ac:dyDescent="0.3">
      <c r="A54" t="s">
        <v>3</v>
      </c>
    </row>
    <row r="56" spans="1:6" x14ac:dyDescent="0.3">
      <c r="A56" t="s">
        <v>4</v>
      </c>
      <c r="B56">
        <v>0.01</v>
      </c>
    </row>
    <row r="57" spans="1:6" x14ac:dyDescent="0.3">
      <c r="A57" t="s">
        <v>13</v>
      </c>
      <c r="B57">
        <f>1-B56</f>
        <v>0.99</v>
      </c>
      <c r="C57" s="44" t="s">
        <v>9</v>
      </c>
      <c r="D57" s="44"/>
    </row>
    <row r="58" spans="1:6" x14ac:dyDescent="0.3">
      <c r="C58" s="44"/>
      <c r="D58" s="44"/>
      <c r="E58" t="s">
        <v>20</v>
      </c>
      <c r="F58" t="s">
        <v>21</v>
      </c>
    </row>
    <row r="59" spans="1:6" x14ac:dyDescent="0.3">
      <c r="B59" t="s">
        <v>6</v>
      </c>
      <c r="C59" t="s">
        <v>7</v>
      </c>
      <c r="D59" t="s">
        <v>8</v>
      </c>
    </row>
    <row r="60" spans="1:6" x14ac:dyDescent="0.3">
      <c r="A60" s="42" t="s">
        <v>5</v>
      </c>
      <c r="B60" t="s">
        <v>7</v>
      </c>
      <c r="C60">
        <v>1</v>
      </c>
      <c r="D60">
        <v>1</v>
      </c>
      <c r="E60">
        <f>+C60-D60</f>
        <v>0</v>
      </c>
      <c r="F60">
        <v>48</v>
      </c>
    </row>
    <row r="61" spans="1:6" x14ac:dyDescent="0.3">
      <c r="A61" s="42"/>
      <c r="B61" t="s">
        <v>8</v>
      </c>
      <c r="C61">
        <v>1</v>
      </c>
      <c r="D61">
        <v>0</v>
      </c>
      <c r="E61">
        <f t="shared" ref="E61:E63" si="0">+C61-D61</f>
        <v>1</v>
      </c>
      <c r="F61">
        <v>18</v>
      </c>
    </row>
    <row r="62" spans="1:6" x14ac:dyDescent="0.3">
      <c r="B62" t="s">
        <v>7</v>
      </c>
      <c r="C62">
        <v>0</v>
      </c>
      <c r="D62">
        <v>1</v>
      </c>
      <c r="E62">
        <f t="shared" si="0"/>
        <v>-1</v>
      </c>
      <c r="F62">
        <v>2</v>
      </c>
    </row>
    <row r="63" spans="1:6" x14ac:dyDescent="0.3">
      <c r="B63" t="s">
        <v>8</v>
      </c>
      <c r="C63">
        <v>0</v>
      </c>
      <c r="D63">
        <v>0</v>
      </c>
      <c r="E63">
        <f t="shared" si="0"/>
        <v>0</v>
      </c>
      <c r="F63">
        <v>132</v>
      </c>
    </row>
    <row r="65" spans="1:3" x14ac:dyDescent="0.3">
      <c r="A65" t="s">
        <v>22</v>
      </c>
      <c r="B65">
        <f>+F61</f>
        <v>18</v>
      </c>
    </row>
    <row r="66" spans="1:3" x14ac:dyDescent="0.3">
      <c r="A66" t="s">
        <v>23</v>
      </c>
      <c r="B66">
        <f>+F62</f>
        <v>2</v>
      </c>
    </row>
    <row r="67" spans="1:3" x14ac:dyDescent="0.3">
      <c r="A67" t="s">
        <v>24</v>
      </c>
      <c r="B67">
        <f>+B65+B66</f>
        <v>20</v>
      </c>
    </row>
    <row r="70" spans="1:3" x14ac:dyDescent="0.3">
      <c r="A70" t="s">
        <v>25</v>
      </c>
    </row>
    <row r="71" spans="1:3" x14ac:dyDescent="0.3">
      <c r="A71" t="s">
        <v>26</v>
      </c>
    </row>
    <row r="72" spans="1:3" x14ac:dyDescent="0.3">
      <c r="A72">
        <f>+_xlfn.BINOM.DIST(B66,B67,0.5,TRUE)</f>
        <v>2.0122528076171875E-4</v>
      </c>
      <c r="C72">
        <f>+_xlfn.BINOM.DIST(B65,B67,0.5,TRUE)</f>
        <v>0.99997997283935547</v>
      </c>
    </row>
    <row r="75" spans="1:3" x14ac:dyDescent="0.3">
      <c r="A75">
        <f>+A72+1-C72</f>
        <v>2.2125244140625E-4</v>
      </c>
    </row>
    <row r="76" spans="1:3" x14ac:dyDescent="0.3">
      <c r="A76" t="s">
        <v>27</v>
      </c>
    </row>
  </sheetData>
  <mergeCells count="5">
    <mergeCell ref="A60:A61"/>
    <mergeCell ref="A22:J23"/>
    <mergeCell ref="A34:A35"/>
    <mergeCell ref="C31:D32"/>
    <mergeCell ref="C57:D5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878D-5D23-4409-9AFA-517DBA3BCE78}">
  <dimension ref="A20:F66"/>
  <sheetViews>
    <sheetView tabSelected="1" topLeftCell="A15" workbookViewId="0">
      <selection activeCell="B39" sqref="B39"/>
    </sheetView>
  </sheetViews>
  <sheetFormatPr baseColWidth="10" defaultRowHeight="14.4" x14ac:dyDescent="0.3"/>
  <cols>
    <col min="2" max="2" width="8.109375" customWidth="1"/>
    <col min="3" max="3" width="15" customWidth="1"/>
  </cols>
  <sheetData>
    <row r="20" spans="1:6" x14ac:dyDescent="0.3">
      <c r="C20" t="s">
        <v>109</v>
      </c>
      <c r="D20" t="s">
        <v>110</v>
      </c>
      <c r="E20" t="s">
        <v>111</v>
      </c>
      <c r="F20" t="s">
        <v>10</v>
      </c>
    </row>
    <row r="21" spans="1:6" x14ac:dyDescent="0.3">
      <c r="C21" t="s">
        <v>81</v>
      </c>
      <c r="D21">
        <v>19</v>
      </c>
      <c r="E21">
        <v>14</v>
      </c>
      <c r="F21">
        <f>SUM(D21:E21)</f>
        <v>33</v>
      </c>
    </row>
    <row r="22" spans="1:6" x14ac:dyDescent="0.3">
      <c r="C22" t="s">
        <v>82</v>
      </c>
      <c r="D22">
        <v>1</v>
      </c>
      <c r="E22">
        <v>0</v>
      </c>
      <c r="F22">
        <f>SUM(D22:E22)</f>
        <v>1</v>
      </c>
    </row>
    <row r="23" spans="1:6" x14ac:dyDescent="0.3">
      <c r="C23" t="s">
        <v>10</v>
      </c>
      <c r="D23">
        <f>SUM(D21:D22)</f>
        <v>20</v>
      </c>
      <c r="E23">
        <f>SUM(E21:E22)</f>
        <v>14</v>
      </c>
      <c r="F23">
        <f>SUM(F21:F22)</f>
        <v>34</v>
      </c>
    </row>
    <row r="27" spans="1:6" x14ac:dyDescent="0.3">
      <c r="A27" t="s">
        <v>112</v>
      </c>
      <c r="C27">
        <f>+D23*$F$21/$F$23</f>
        <v>19.411764705882351</v>
      </c>
      <c r="D27">
        <f>+E23*$F$21/$F$23</f>
        <v>13.588235294117647</v>
      </c>
    </row>
    <row r="28" spans="1:6" x14ac:dyDescent="0.3">
      <c r="C28">
        <f>+D23*$F$22/$F$23</f>
        <v>0.58823529411764708</v>
      </c>
      <c r="D28">
        <f>+E23*$F$22/$F$23</f>
        <v>0.41176470588235292</v>
      </c>
    </row>
    <row r="31" spans="1:6" x14ac:dyDescent="0.3">
      <c r="C31">
        <f>+(D21-C27)^2/C27</f>
        <v>8.7344028520498496E-3</v>
      </c>
      <c r="D31">
        <f>+(E21-D27)^2/D27</f>
        <v>1.247771836007132E-2</v>
      </c>
    </row>
    <row r="32" spans="1:6" x14ac:dyDescent="0.3">
      <c r="C32">
        <f>+(D22-C28)^2/C28</f>
        <v>0.28823529411764703</v>
      </c>
      <c r="D32">
        <f>+(E22-D28)^2/D28</f>
        <v>0.41176470588235292</v>
      </c>
    </row>
    <row r="35" spans="1:3" x14ac:dyDescent="0.3">
      <c r="C35">
        <f>+SUM(C31:D32)</f>
        <v>0.72121212121212119</v>
      </c>
    </row>
    <row r="38" spans="1:3" x14ac:dyDescent="0.3">
      <c r="A38" t="s">
        <v>113</v>
      </c>
      <c r="B38">
        <f>+SQRT(C35/34)</f>
        <v>0.14564381625088382</v>
      </c>
    </row>
    <row r="41" spans="1:3" x14ac:dyDescent="0.3">
      <c r="A41" t="s">
        <v>103</v>
      </c>
    </row>
    <row r="44" spans="1:3" x14ac:dyDescent="0.3">
      <c r="B44" t="s">
        <v>170</v>
      </c>
    </row>
    <row r="45" spans="1:3" x14ac:dyDescent="0.3">
      <c r="B45" t="s">
        <v>171</v>
      </c>
    </row>
    <row r="53" spans="2:6" x14ac:dyDescent="0.3">
      <c r="B53" t="s">
        <v>109</v>
      </c>
      <c r="C53" t="s">
        <v>110</v>
      </c>
      <c r="D53" t="s">
        <v>111</v>
      </c>
      <c r="E53" t="s">
        <v>10</v>
      </c>
    </row>
    <row r="54" spans="2:6" x14ac:dyDescent="0.3">
      <c r="B54" t="s">
        <v>81</v>
      </c>
      <c r="C54">
        <v>19</v>
      </c>
      <c r="D54">
        <v>14</v>
      </c>
      <c r="E54">
        <f>SUM(C54:D54)</f>
        <v>33</v>
      </c>
      <c r="F54">
        <f>+(COMBIN(C56,C54)*COMBIN(D56,D54))/COMBIN(34,E54)</f>
        <v>0.58823529411764708</v>
      </c>
    </row>
    <row r="55" spans="2:6" x14ac:dyDescent="0.3">
      <c r="B55" t="s">
        <v>82</v>
      </c>
      <c r="C55">
        <v>1</v>
      </c>
      <c r="D55">
        <v>0</v>
      </c>
      <c r="E55">
        <f>SUM(C55:D55)</f>
        <v>1</v>
      </c>
    </row>
    <row r="56" spans="2:6" x14ac:dyDescent="0.3">
      <c r="B56" t="s">
        <v>10</v>
      </c>
      <c r="C56">
        <f>SUM(C54:C55)</f>
        <v>20</v>
      </c>
      <c r="D56">
        <f>SUM(D54:D55)</f>
        <v>14</v>
      </c>
      <c r="E56">
        <f>SUM(E54:E55)</f>
        <v>34</v>
      </c>
    </row>
    <row r="59" spans="2:6" x14ac:dyDescent="0.3">
      <c r="C59">
        <v>20</v>
      </c>
      <c r="D59">
        <v>13</v>
      </c>
      <c r="E59">
        <f>SUM(C59:D59)</f>
        <v>33</v>
      </c>
      <c r="F59">
        <f>+(COMBIN(C59,C61)*COMBIN(D61,D59))/COMBIN(E56,E59)</f>
        <v>0.41176470588235292</v>
      </c>
    </row>
    <row r="60" spans="2:6" x14ac:dyDescent="0.3">
      <c r="C60">
        <v>0</v>
      </c>
      <c r="D60">
        <v>1</v>
      </c>
      <c r="E60">
        <f>SUM(C60:D60)</f>
        <v>1</v>
      </c>
    </row>
    <row r="61" spans="2:6" x14ac:dyDescent="0.3">
      <c r="C61">
        <f>SUM(C59:C60)</f>
        <v>20</v>
      </c>
      <c r="D61">
        <f>SUM(D59:D60)</f>
        <v>14</v>
      </c>
    </row>
    <row r="64" spans="2:6" x14ac:dyDescent="0.3">
      <c r="F64">
        <f>SUM(F54:F59)</f>
        <v>1</v>
      </c>
    </row>
    <row r="66" spans="6:6" x14ac:dyDescent="0.3">
      <c r="F66" t="s">
        <v>136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1BBD-F867-4B5E-B7FC-6BF68C369724}">
  <dimension ref="A24:D36"/>
  <sheetViews>
    <sheetView topLeftCell="A25" workbookViewId="0">
      <selection activeCell="D36" sqref="D36"/>
    </sheetView>
  </sheetViews>
  <sheetFormatPr baseColWidth="10" defaultRowHeight="14.4" x14ac:dyDescent="0.3"/>
  <sheetData>
    <row r="24" spans="1:3" x14ac:dyDescent="0.3">
      <c r="A24" t="s">
        <v>172</v>
      </c>
    </row>
    <row r="26" spans="1:3" x14ac:dyDescent="0.3">
      <c r="A26" t="s">
        <v>173</v>
      </c>
      <c r="C26">
        <f>+_xlfn.CHISQ.INV(0.9,1)</f>
        <v>2.7055434540954142</v>
      </c>
    </row>
    <row r="27" spans="1:3" x14ac:dyDescent="0.3">
      <c r="A27" t="s">
        <v>174</v>
      </c>
      <c r="C27">
        <f>+(20-4)^2/((4+20))</f>
        <v>10.666666666666666</v>
      </c>
    </row>
    <row r="29" spans="1:3" x14ac:dyDescent="0.3">
      <c r="B29" t="s">
        <v>175</v>
      </c>
    </row>
    <row r="31" spans="1:3" x14ac:dyDescent="0.3">
      <c r="A31" t="s">
        <v>179</v>
      </c>
    </row>
    <row r="32" spans="1:3" x14ac:dyDescent="0.3">
      <c r="A32" t="s">
        <v>176</v>
      </c>
    </row>
    <row r="33" spans="1:4" x14ac:dyDescent="0.3">
      <c r="A33" t="s">
        <v>177</v>
      </c>
    </row>
    <row r="35" spans="1:4" x14ac:dyDescent="0.3">
      <c r="A35">
        <f>2*_xlfn.BINOM.DIST(4,24,0.5,TRUE)</f>
        <v>1.5438795089721682E-3</v>
      </c>
      <c r="D35">
        <f>+A35+A36</f>
        <v>1.5438795089721682E-3</v>
      </c>
    </row>
    <row r="36" spans="1:4" x14ac:dyDescent="0.3">
      <c r="D36" t="s">
        <v>178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38F3-2135-46A3-903D-F4C0C662B06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55CA-4438-4B60-A10F-D3AAA0F2E14C}">
  <dimension ref="A14:H85"/>
  <sheetViews>
    <sheetView topLeftCell="C57" workbookViewId="0">
      <selection activeCell="G76" sqref="G76"/>
    </sheetView>
  </sheetViews>
  <sheetFormatPr baseColWidth="10" defaultRowHeight="14.4" x14ac:dyDescent="0.3"/>
  <cols>
    <col min="1" max="1" width="16.6640625" customWidth="1"/>
  </cols>
  <sheetData>
    <row r="14" spans="1:8" x14ac:dyDescent="0.3">
      <c r="A14" t="s">
        <v>28</v>
      </c>
      <c r="B14" t="s">
        <v>29</v>
      </c>
    </row>
    <row r="15" spans="1:8" x14ac:dyDescent="0.3">
      <c r="A15" t="s">
        <v>30</v>
      </c>
      <c r="B15" t="s">
        <v>31</v>
      </c>
      <c r="C15" t="s">
        <v>39</v>
      </c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 t="s">
        <v>32</v>
      </c>
      <c r="B17" s="1" t="s">
        <v>5</v>
      </c>
      <c r="C17" s="1" t="s">
        <v>9</v>
      </c>
      <c r="D17" s="1" t="s">
        <v>33</v>
      </c>
      <c r="E17" s="4"/>
      <c r="F17" s="4"/>
      <c r="G17" s="4"/>
      <c r="H17" s="4"/>
    </row>
    <row r="18" spans="1:8" x14ac:dyDescent="0.3">
      <c r="A18">
        <v>1</v>
      </c>
      <c r="B18">
        <v>18</v>
      </c>
      <c r="C18">
        <v>12</v>
      </c>
      <c r="D18">
        <f t="shared" ref="D18:D25" si="0">+B18-C18</f>
        <v>6</v>
      </c>
      <c r="E18" s="5"/>
      <c r="F18" s="6"/>
      <c r="G18" s="6"/>
      <c r="H18" s="6"/>
    </row>
    <row r="19" spans="1:8" x14ac:dyDescent="0.3">
      <c r="A19">
        <v>2</v>
      </c>
      <c r="B19">
        <v>27</v>
      </c>
      <c r="C19">
        <v>22</v>
      </c>
      <c r="D19">
        <f t="shared" si="0"/>
        <v>5</v>
      </c>
      <c r="E19" s="5"/>
      <c r="F19" s="6"/>
      <c r="G19" s="6"/>
      <c r="H19" s="6"/>
    </row>
    <row r="20" spans="1:8" x14ac:dyDescent="0.3">
      <c r="A20">
        <v>3</v>
      </c>
      <c r="B20">
        <v>32</v>
      </c>
      <c r="C20">
        <v>31</v>
      </c>
      <c r="D20">
        <f t="shared" si="0"/>
        <v>1</v>
      </c>
      <c r="E20" s="6"/>
      <c r="F20" s="6"/>
      <c r="G20" s="6"/>
      <c r="H20" s="6"/>
    </row>
    <row r="21" spans="1:8" x14ac:dyDescent="0.3">
      <c r="A21">
        <v>4</v>
      </c>
      <c r="B21">
        <v>23</v>
      </c>
      <c r="C21">
        <v>24</v>
      </c>
      <c r="D21">
        <f t="shared" si="0"/>
        <v>-1</v>
      </c>
      <c r="E21" s="6"/>
      <c r="F21" s="6"/>
      <c r="G21" s="6"/>
      <c r="H21" s="6"/>
    </row>
    <row r="22" spans="1:8" x14ac:dyDescent="0.3">
      <c r="A22">
        <v>5</v>
      </c>
      <c r="B22">
        <v>31</v>
      </c>
      <c r="C22">
        <v>28</v>
      </c>
      <c r="D22">
        <f t="shared" si="0"/>
        <v>3</v>
      </c>
      <c r="E22" s="6"/>
      <c r="F22" s="6"/>
      <c r="G22" s="6"/>
      <c r="H22" s="6"/>
    </row>
    <row r="23" spans="1:8" x14ac:dyDescent="0.3">
      <c r="A23" s="7">
        <v>6</v>
      </c>
      <c r="B23" s="7">
        <v>36</v>
      </c>
      <c r="C23" s="7">
        <v>24</v>
      </c>
      <c r="D23" s="7">
        <f t="shared" si="0"/>
        <v>12</v>
      </c>
      <c r="E23" s="6"/>
      <c r="F23" s="6"/>
      <c r="G23" s="6"/>
      <c r="H23" s="6"/>
    </row>
    <row r="24" spans="1:8" x14ac:dyDescent="0.3">
      <c r="A24">
        <v>7</v>
      </c>
      <c r="B24">
        <v>18</v>
      </c>
      <c r="C24">
        <v>16</v>
      </c>
      <c r="D24">
        <f t="shared" si="0"/>
        <v>2</v>
      </c>
      <c r="E24" s="6"/>
      <c r="F24" s="6"/>
      <c r="G24" s="6"/>
      <c r="H24" s="6"/>
    </row>
    <row r="25" spans="1:8" x14ac:dyDescent="0.3">
      <c r="A25" s="1">
        <v>8</v>
      </c>
      <c r="B25" s="1">
        <v>35</v>
      </c>
      <c r="C25" s="1">
        <v>25</v>
      </c>
      <c r="D25" s="1">
        <f t="shared" si="0"/>
        <v>10</v>
      </c>
      <c r="E25" s="4"/>
      <c r="F25" s="4"/>
      <c r="G25" s="4"/>
      <c r="H25" s="4"/>
    </row>
    <row r="26" spans="1:8" x14ac:dyDescent="0.3">
      <c r="A26" t="s">
        <v>34</v>
      </c>
      <c r="B26">
        <f>+AVERAGE(B18:B25)</f>
        <v>27.5</v>
      </c>
      <c r="C26">
        <f t="shared" ref="C26" si="1">+AVERAGE(C18:C25)</f>
        <v>22.75</v>
      </c>
      <c r="D26">
        <f>+AVERAGE(D18:D25)</f>
        <v>4.75</v>
      </c>
    </row>
    <row r="27" spans="1:8" x14ac:dyDescent="0.3">
      <c r="A27" s="1" t="s">
        <v>35</v>
      </c>
      <c r="B27" s="2">
        <f>+_xlfn.STDEV.S(B17:B25)</f>
        <v>7.1912645420875538</v>
      </c>
      <c r="C27" s="2">
        <f t="shared" ref="C27" si="2">+_xlfn.STDEV.S(C17:C25)</f>
        <v>6.1586176556571059</v>
      </c>
      <c r="D27" s="2">
        <f>+_xlfn.STDEV.S(D17:D25)</f>
        <v>4.4641428548570694</v>
      </c>
      <c r="E27" s="1"/>
      <c r="F27" s="1"/>
      <c r="G27" s="1"/>
      <c r="H27" s="1"/>
    </row>
    <row r="29" spans="1:8" x14ac:dyDescent="0.3">
      <c r="A29" t="s">
        <v>36</v>
      </c>
      <c r="B29">
        <v>0.05</v>
      </c>
      <c r="E29">
        <f>+D26/(D27/SQRT(A25))</f>
        <v>3.0095427676394464</v>
      </c>
    </row>
    <row r="30" spans="1:8" x14ac:dyDescent="0.3">
      <c r="A30" t="s">
        <v>37</v>
      </c>
      <c r="B30">
        <f>+_xlfn.T.INV(1-B29,7)</f>
        <v>1.8945786050900069</v>
      </c>
    </row>
    <row r="34" spans="1:8" x14ac:dyDescent="0.3">
      <c r="A34" t="s">
        <v>38</v>
      </c>
    </row>
    <row r="37" spans="1:8" x14ac:dyDescent="0.3">
      <c r="D37">
        <f>1-_xlfn.T.DIST(E29,7,TRUE)</f>
        <v>9.8374239771072958E-3</v>
      </c>
    </row>
    <row r="40" spans="1:8" x14ac:dyDescent="0.3">
      <c r="F40" t="s">
        <v>53</v>
      </c>
    </row>
    <row r="42" spans="1:8" x14ac:dyDescent="0.3">
      <c r="A42" t="s">
        <v>40</v>
      </c>
    </row>
    <row r="45" spans="1:8" x14ac:dyDescent="0.3">
      <c r="A45" t="s">
        <v>28</v>
      </c>
      <c r="B45" t="s">
        <v>29</v>
      </c>
    </row>
    <row r="46" spans="1:8" x14ac:dyDescent="0.3">
      <c r="A46" t="s">
        <v>30</v>
      </c>
      <c r="B46" t="s">
        <v>31</v>
      </c>
      <c r="C46" t="s">
        <v>39</v>
      </c>
    </row>
    <row r="47" spans="1:8" x14ac:dyDescent="0.3">
      <c r="A47" s="1"/>
      <c r="B47" s="1"/>
      <c r="C47" s="1"/>
      <c r="D47" s="1"/>
      <c r="E47" s="1"/>
      <c r="F47" s="1"/>
      <c r="G47" s="1"/>
      <c r="H47" s="1"/>
    </row>
    <row r="48" spans="1:8" x14ac:dyDescent="0.3">
      <c r="A48" s="1" t="s">
        <v>32</v>
      </c>
      <c r="B48" s="1" t="s">
        <v>5</v>
      </c>
      <c r="C48" s="1" t="s">
        <v>9</v>
      </c>
      <c r="D48" s="1" t="s">
        <v>33</v>
      </c>
      <c r="E48" s="1" t="s">
        <v>41</v>
      </c>
      <c r="F48" s="1" t="s">
        <v>42</v>
      </c>
      <c r="G48" s="1" t="s">
        <v>43</v>
      </c>
      <c r="H48" s="1" t="s">
        <v>44</v>
      </c>
    </row>
    <row r="49" spans="1:8" x14ac:dyDescent="0.3">
      <c r="A49">
        <v>3</v>
      </c>
      <c r="B49">
        <v>32</v>
      </c>
      <c r="C49">
        <v>31</v>
      </c>
      <c r="D49">
        <f t="shared" ref="D49:D56" si="3">+B49-C49</f>
        <v>1</v>
      </c>
      <c r="E49" s="3">
        <f t="shared" ref="E49:E56" si="4">+ABS(D49)</f>
        <v>1</v>
      </c>
      <c r="F49">
        <v>1</v>
      </c>
      <c r="G49">
        <f>+(1+1)/2</f>
        <v>1</v>
      </c>
      <c r="H49">
        <f>+(1+1)/2</f>
        <v>1</v>
      </c>
    </row>
    <row r="50" spans="1:8" x14ac:dyDescent="0.3">
      <c r="A50">
        <v>4</v>
      </c>
      <c r="B50">
        <v>23</v>
      </c>
      <c r="C50">
        <v>24</v>
      </c>
      <c r="D50">
        <f t="shared" si="3"/>
        <v>-1</v>
      </c>
      <c r="E50" s="3">
        <f t="shared" si="4"/>
        <v>1</v>
      </c>
      <c r="F50">
        <v>2</v>
      </c>
      <c r="G50">
        <v>1</v>
      </c>
      <c r="H50">
        <v>-1</v>
      </c>
    </row>
    <row r="51" spans="1:8" x14ac:dyDescent="0.3">
      <c r="A51">
        <v>7</v>
      </c>
      <c r="B51">
        <v>18</v>
      </c>
      <c r="C51">
        <v>16</v>
      </c>
      <c r="D51">
        <f t="shared" si="3"/>
        <v>2</v>
      </c>
      <c r="E51">
        <f t="shared" si="4"/>
        <v>2</v>
      </c>
      <c r="F51">
        <v>3</v>
      </c>
      <c r="G51">
        <v>3</v>
      </c>
      <c r="H51">
        <v>3</v>
      </c>
    </row>
    <row r="52" spans="1:8" x14ac:dyDescent="0.3">
      <c r="A52">
        <v>5</v>
      </c>
      <c r="B52">
        <v>31</v>
      </c>
      <c r="C52">
        <v>28</v>
      </c>
      <c r="D52">
        <f t="shared" si="3"/>
        <v>3</v>
      </c>
      <c r="E52">
        <f t="shared" si="4"/>
        <v>3</v>
      </c>
      <c r="F52">
        <v>4</v>
      </c>
      <c r="G52">
        <v>4</v>
      </c>
      <c r="H52">
        <v>4</v>
      </c>
    </row>
    <row r="53" spans="1:8" x14ac:dyDescent="0.3">
      <c r="A53">
        <v>2</v>
      </c>
      <c r="B53">
        <v>27</v>
      </c>
      <c r="C53">
        <v>22</v>
      </c>
      <c r="D53">
        <f t="shared" si="3"/>
        <v>5</v>
      </c>
      <c r="E53">
        <f t="shared" si="4"/>
        <v>5</v>
      </c>
      <c r="F53">
        <v>5</v>
      </c>
      <c r="G53">
        <v>5</v>
      </c>
      <c r="H53">
        <v>5</v>
      </c>
    </row>
    <row r="54" spans="1:8" x14ac:dyDescent="0.3">
      <c r="A54">
        <v>1</v>
      </c>
      <c r="B54">
        <v>18</v>
      </c>
      <c r="C54">
        <v>12</v>
      </c>
      <c r="D54">
        <f t="shared" si="3"/>
        <v>6</v>
      </c>
      <c r="E54">
        <f t="shared" si="4"/>
        <v>6</v>
      </c>
      <c r="F54">
        <v>6</v>
      </c>
      <c r="G54">
        <v>6</v>
      </c>
      <c r="H54">
        <v>6</v>
      </c>
    </row>
    <row r="55" spans="1:8" x14ac:dyDescent="0.3">
      <c r="A55">
        <v>8</v>
      </c>
      <c r="B55">
        <v>35</v>
      </c>
      <c r="C55">
        <v>25</v>
      </c>
      <c r="D55">
        <f t="shared" si="3"/>
        <v>10</v>
      </c>
      <c r="E55">
        <f t="shared" si="4"/>
        <v>10</v>
      </c>
      <c r="F55">
        <v>7</v>
      </c>
      <c r="G55">
        <v>7</v>
      </c>
      <c r="H55">
        <v>7</v>
      </c>
    </row>
    <row r="56" spans="1:8" x14ac:dyDescent="0.3">
      <c r="A56" s="1">
        <v>6</v>
      </c>
      <c r="B56" s="1">
        <v>36</v>
      </c>
      <c r="C56" s="1">
        <v>24</v>
      </c>
      <c r="D56" s="1">
        <f t="shared" si="3"/>
        <v>12</v>
      </c>
      <c r="E56" s="1">
        <f t="shared" si="4"/>
        <v>12</v>
      </c>
      <c r="F56" s="1">
        <v>8</v>
      </c>
      <c r="G56" s="1">
        <v>8</v>
      </c>
      <c r="H56" s="1">
        <v>8</v>
      </c>
    </row>
    <row r="57" spans="1:8" x14ac:dyDescent="0.3">
      <c r="A57" t="s">
        <v>34</v>
      </c>
      <c r="B57">
        <f>+AVERAGE(B49:B56)</f>
        <v>27.5</v>
      </c>
      <c r="C57">
        <f t="shared" ref="C57" si="5">+AVERAGE(C49:C56)</f>
        <v>22.75</v>
      </c>
      <c r="D57">
        <f t="shared" ref="D57" si="6">+AVERAGE(D49:D56)</f>
        <v>4.75</v>
      </c>
    </row>
    <row r="58" spans="1:8" x14ac:dyDescent="0.3">
      <c r="A58" s="1" t="s">
        <v>35</v>
      </c>
      <c r="B58" s="2">
        <f>+_xlfn.STDEV.S(B48:B56)</f>
        <v>7.1912645420875538</v>
      </c>
      <c r="C58" s="2">
        <f t="shared" ref="C58:D58" si="7">+_xlfn.STDEV.S(C48:C56)</f>
        <v>6.1586176556571059</v>
      </c>
      <c r="D58" s="2">
        <f t="shared" si="7"/>
        <v>4.4641428548570694</v>
      </c>
      <c r="E58" s="1"/>
      <c r="F58" s="1"/>
      <c r="G58" s="1"/>
      <c r="H58" s="1"/>
    </row>
    <row r="60" spans="1:8" x14ac:dyDescent="0.3">
      <c r="A60" t="s">
        <v>45</v>
      </c>
      <c r="C60">
        <f>+H49+H51+H52+H53+H54+H55+H56</f>
        <v>34</v>
      </c>
      <c r="E60" t="s">
        <v>24</v>
      </c>
      <c r="F60">
        <v>8</v>
      </c>
    </row>
    <row r="61" spans="1:8" x14ac:dyDescent="0.3">
      <c r="A61" t="s">
        <v>46</v>
      </c>
      <c r="C61">
        <f>+H50</f>
        <v>-1</v>
      </c>
      <c r="E61" t="s">
        <v>47</v>
      </c>
      <c r="G61">
        <v>1</v>
      </c>
    </row>
    <row r="63" spans="1:8" x14ac:dyDescent="0.3">
      <c r="B63" t="s">
        <v>4</v>
      </c>
      <c r="C63">
        <v>0.05</v>
      </c>
      <c r="E63" t="s">
        <v>48</v>
      </c>
      <c r="F63">
        <v>5</v>
      </c>
    </row>
    <row r="66" spans="1:6" x14ac:dyDescent="0.3">
      <c r="C66" t="s">
        <v>49</v>
      </c>
    </row>
    <row r="69" spans="1:6" x14ac:dyDescent="0.3">
      <c r="A69" s="6" t="s">
        <v>50</v>
      </c>
      <c r="B69" s="6"/>
      <c r="C69" s="6"/>
      <c r="D69" s="6"/>
      <c r="E69" s="6"/>
      <c r="F69" s="6"/>
    </row>
    <row r="70" spans="1:6" x14ac:dyDescent="0.3">
      <c r="A70" s="6" t="s">
        <v>28</v>
      </c>
      <c r="B70" s="6" t="s">
        <v>29</v>
      </c>
      <c r="C70" s="6"/>
      <c r="D70" s="6"/>
      <c r="E70" s="6"/>
      <c r="F70" s="6"/>
    </row>
    <row r="71" spans="1:6" x14ac:dyDescent="0.3">
      <c r="A71" s="6" t="s">
        <v>30</v>
      </c>
      <c r="B71" s="6" t="s">
        <v>31</v>
      </c>
      <c r="C71" s="6"/>
      <c r="D71" s="6"/>
      <c r="E71" s="6"/>
      <c r="F71" s="6"/>
    </row>
    <row r="72" spans="1:6" x14ac:dyDescent="0.3">
      <c r="A72" s="4" t="s">
        <v>32</v>
      </c>
      <c r="B72" s="4" t="s">
        <v>5</v>
      </c>
      <c r="C72" s="4" t="s">
        <v>9</v>
      </c>
      <c r="D72" s="4" t="s">
        <v>33</v>
      </c>
      <c r="E72" s="4" t="s">
        <v>41</v>
      </c>
      <c r="F72" s="6"/>
    </row>
    <row r="73" spans="1:6" x14ac:dyDescent="0.3">
      <c r="A73" s="6">
        <v>1</v>
      </c>
      <c r="B73" s="6">
        <v>18</v>
      </c>
      <c r="C73" s="6">
        <v>12</v>
      </c>
      <c r="D73" s="6">
        <f t="shared" ref="D73:D80" si="8">+B73-C73</f>
        <v>6</v>
      </c>
      <c r="E73" s="6" t="s">
        <v>51</v>
      </c>
      <c r="F73" s="6"/>
    </row>
    <row r="74" spans="1:6" x14ac:dyDescent="0.3">
      <c r="A74" s="6">
        <v>2</v>
      </c>
      <c r="B74" s="6">
        <v>27</v>
      </c>
      <c r="C74" s="6">
        <v>22</v>
      </c>
      <c r="D74" s="6">
        <f t="shared" si="8"/>
        <v>5</v>
      </c>
      <c r="E74" s="6" t="s">
        <v>51</v>
      </c>
      <c r="F74" s="6"/>
    </row>
    <row r="75" spans="1:6" x14ac:dyDescent="0.3">
      <c r="A75" s="6">
        <v>3</v>
      </c>
      <c r="B75" s="6">
        <v>32</v>
      </c>
      <c r="C75" s="6">
        <v>31</v>
      </c>
      <c r="D75" s="6">
        <f t="shared" si="8"/>
        <v>1</v>
      </c>
      <c r="E75" s="6" t="s">
        <v>51</v>
      </c>
      <c r="F75" s="6"/>
    </row>
    <row r="76" spans="1:6" x14ac:dyDescent="0.3">
      <c r="A76" s="6">
        <v>4</v>
      </c>
      <c r="B76" s="6">
        <v>23</v>
      </c>
      <c r="C76" s="6">
        <v>24</v>
      </c>
      <c r="D76" s="6">
        <f t="shared" si="8"/>
        <v>-1</v>
      </c>
      <c r="E76" s="6" t="s">
        <v>52</v>
      </c>
      <c r="F76" s="6"/>
    </row>
    <row r="77" spans="1:6" x14ac:dyDescent="0.3">
      <c r="A77" s="6">
        <v>5</v>
      </c>
      <c r="B77" s="6">
        <v>31</v>
      </c>
      <c r="C77" s="6">
        <v>28</v>
      </c>
      <c r="D77" s="6">
        <f t="shared" si="8"/>
        <v>3</v>
      </c>
      <c r="E77" s="6" t="s">
        <v>51</v>
      </c>
      <c r="F77" s="6"/>
    </row>
    <row r="78" spans="1:6" x14ac:dyDescent="0.3">
      <c r="A78" s="9">
        <v>6</v>
      </c>
      <c r="B78" s="9">
        <v>36</v>
      </c>
      <c r="C78" s="9">
        <v>24</v>
      </c>
      <c r="D78" s="9">
        <f t="shared" si="8"/>
        <v>12</v>
      </c>
      <c r="E78" s="6" t="s">
        <v>51</v>
      </c>
      <c r="F78" s="6"/>
    </row>
    <row r="79" spans="1:6" x14ac:dyDescent="0.3">
      <c r="A79" s="6">
        <v>7</v>
      </c>
      <c r="B79" s="6">
        <v>18</v>
      </c>
      <c r="C79" s="6">
        <v>16</v>
      </c>
      <c r="D79" s="6">
        <f t="shared" si="8"/>
        <v>2</v>
      </c>
      <c r="E79" s="6" t="s">
        <v>51</v>
      </c>
      <c r="F79" s="6"/>
    </row>
    <row r="80" spans="1:6" x14ac:dyDescent="0.3">
      <c r="A80" s="4">
        <v>8</v>
      </c>
      <c r="B80" s="4">
        <v>35</v>
      </c>
      <c r="C80" s="4">
        <v>25</v>
      </c>
      <c r="D80" s="4">
        <f t="shared" si="8"/>
        <v>10</v>
      </c>
      <c r="E80" s="6" t="s">
        <v>51</v>
      </c>
      <c r="F80" s="6"/>
    </row>
    <row r="81" spans="1:6" x14ac:dyDescent="0.3">
      <c r="A81" s="6" t="s">
        <v>34</v>
      </c>
      <c r="B81" s="6">
        <f>+AVERAGE(B73:B80)</f>
        <v>27.5</v>
      </c>
      <c r="C81" s="6">
        <f t="shared" ref="C81" si="9">+AVERAGE(C73:C80)</f>
        <v>22.75</v>
      </c>
      <c r="D81" s="6">
        <f t="shared" ref="D81" si="10">+AVERAGE(D73:D80)</f>
        <v>4.75</v>
      </c>
      <c r="E81" s="6"/>
      <c r="F81" s="6"/>
    </row>
    <row r="82" spans="1:6" x14ac:dyDescent="0.3">
      <c r="A82" s="4" t="s">
        <v>35</v>
      </c>
      <c r="B82" s="10">
        <f>+_xlfn.STDEV.S(B72:B80)</f>
        <v>7.1912645420875538</v>
      </c>
      <c r="C82" s="10">
        <f t="shared" ref="C82:D82" si="11">+_xlfn.STDEV.S(C72:C80)</f>
        <v>6.1586176556571059</v>
      </c>
      <c r="D82" s="10">
        <f t="shared" si="11"/>
        <v>4.4641428548570694</v>
      </c>
      <c r="E82" s="4"/>
      <c r="F82" s="6"/>
    </row>
    <row r="83" spans="1:6" x14ac:dyDescent="0.3">
      <c r="A83" s="6"/>
      <c r="B83" s="6"/>
      <c r="C83" s="6"/>
      <c r="D83" s="6"/>
      <c r="E83" s="6"/>
      <c r="F83" s="6"/>
    </row>
    <row r="84" spans="1:6" x14ac:dyDescent="0.3">
      <c r="A84" s="6" t="s">
        <v>4</v>
      </c>
      <c r="B84" s="6">
        <v>0.05</v>
      </c>
      <c r="C84" s="6"/>
      <c r="D84" s="6">
        <f>1-_xlfn.BINOM.DIST(6,B85,0.5,TRUE)</f>
        <v>3.515625E-2</v>
      </c>
      <c r="E84" s="6"/>
      <c r="F84" s="6"/>
    </row>
    <row r="85" spans="1:6" x14ac:dyDescent="0.3">
      <c r="A85" t="s">
        <v>24</v>
      </c>
      <c r="B85">
        <v>8</v>
      </c>
      <c r="D85" t="s">
        <v>54</v>
      </c>
    </row>
  </sheetData>
  <sortState ref="A73:E80">
    <sortCondition ref="A73:A80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CCBF-B2E5-4F1E-8913-F2F431BE5F21}">
  <dimension ref="A17:I47"/>
  <sheetViews>
    <sheetView topLeftCell="A28" workbookViewId="0">
      <selection activeCell="E52" sqref="E52"/>
    </sheetView>
  </sheetViews>
  <sheetFormatPr baseColWidth="10" defaultRowHeight="14.4" x14ac:dyDescent="0.3"/>
  <cols>
    <col min="6" max="6" width="16.5546875" bestFit="1" customWidth="1"/>
    <col min="7" max="7" width="17.88671875" bestFit="1" customWidth="1"/>
    <col min="8" max="8" width="21.21875" bestFit="1" customWidth="1"/>
    <col min="9" max="9" width="15.6640625" bestFit="1" customWidth="1"/>
  </cols>
  <sheetData>
    <row r="17" spans="1:9" x14ac:dyDescent="0.3">
      <c r="A17" t="s">
        <v>117</v>
      </c>
    </row>
    <row r="19" spans="1:9" x14ac:dyDescent="0.3">
      <c r="A19" t="s">
        <v>1</v>
      </c>
      <c r="B19" t="s">
        <v>128</v>
      </c>
      <c r="C19" t="s">
        <v>122</v>
      </c>
      <c r="D19" t="s">
        <v>57</v>
      </c>
    </row>
    <row r="20" spans="1:9" x14ac:dyDescent="0.3">
      <c r="B20">
        <v>1</v>
      </c>
      <c r="C20" t="s">
        <v>118</v>
      </c>
      <c r="D20">
        <v>50</v>
      </c>
      <c r="F20" s="33" t="s">
        <v>124</v>
      </c>
      <c r="G20" t="s">
        <v>125</v>
      </c>
      <c r="H20" t="s">
        <v>126</v>
      </c>
      <c r="I20" t="s">
        <v>127</v>
      </c>
    </row>
    <row r="21" spans="1:9" x14ac:dyDescent="0.3">
      <c r="B21">
        <v>2</v>
      </c>
      <c r="C21" t="s">
        <v>118</v>
      </c>
      <c r="D21">
        <v>17</v>
      </c>
      <c r="F21" s="34" t="s">
        <v>118</v>
      </c>
      <c r="G21" s="35">
        <v>5</v>
      </c>
      <c r="H21" s="35">
        <v>40.200000000000003</v>
      </c>
      <c r="I21" s="35">
        <v>377.70000000000005</v>
      </c>
    </row>
    <row r="22" spans="1:9" x14ac:dyDescent="0.3">
      <c r="B22">
        <v>3</v>
      </c>
      <c r="C22" t="s">
        <v>118</v>
      </c>
      <c r="D22">
        <v>23</v>
      </c>
      <c r="F22" s="34" t="s">
        <v>120</v>
      </c>
      <c r="G22" s="35">
        <v>5</v>
      </c>
      <c r="H22" s="35">
        <v>46</v>
      </c>
      <c r="I22" s="35">
        <v>506.5</v>
      </c>
    </row>
    <row r="23" spans="1:9" x14ac:dyDescent="0.3">
      <c r="B23">
        <v>4</v>
      </c>
      <c r="C23" t="s">
        <v>118</v>
      </c>
      <c r="D23">
        <v>48</v>
      </c>
      <c r="F23" s="34" t="s">
        <v>119</v>
      </c>
      <c r="G23" s="35">
        <v>5</v>
      </c>
      <c r="H23" s="35">
        <v>36.799999999999997</v>
      </c>
      <c r="I23" s="35">
        <v>791.7</v>
      </c>
    </row>
    <row r="24" spans="1:9" x14ac:dyDescent="0.3">
      <c r="B24">
        <v>5</v>
      </c>
      <c r="C24" t="s">
        <v>118</v>
      </c>
      <c r="D24">
        <v>63</v>
      </c>
      <c r="F24" s="34" t="s">
        <v>121</v>
      </c>
      <c r="G24" s="35">
        <v>5</v>
      </c>
      <c r="H24" s="35">
        <v>49.4</v>
      </c>
      <c r="I24" s="35">
        <v>1517.3000000000002</v>
      </c>
    </row>
    <row r="25" spans="1:9" x14ac:dyDescent="0.3">
      <c r="B25">
        <v>6</v>
      </c>
      <c r="C25" t="s">
        <v>119</v>
      </c>
      <c r="D25">
        <v>20</v>
      </c>
      <c r="F25" s="34" t="s">
        <v>123</v>
      </c>
      <c r="G25" s="35">
        <v>20</v>
      </c>
      <c r="H25" s="35">
        <v>43.1</v>
      </c>
      <c r="I25" s="35">
        <v>697.56842105263172</v>
      </c>
    </row>
    <row r="26" spans="1:9" x14ac:dyDescent="0.3">
      <c r="B26">
        <v>7</v>
      </c>
      <c r="C26" t="s">
        <v>119</v>
      </c>
      <c r="D26">
        <v>23</v>
      </c>
    </row>
    <row r="27" spans="1:9" x14ac:dyDescent="0.3">
      <c r="B27">
        <v>8</v>
      </c>
      <c r="C27" t="s">
        <v>119</v>
      </c>
      <c r="D27">
        <v>82</v>
      </c>
      <c r="F27" s="34" t="s">
        <v>129</v>
      </c>
      <c r="G27" t="s">
        <v>130</v>
      </c>
    </row>
    <row r="28" spans="1:9" x14ac:dyDescent="0.3">
      <c r="B28">
        <v>9</v>
      </c>
      <c r="C28" t="s">
        <v>119</v>
      </c>
      <c r="D28">
        <v>46</v>
      </c>
      <c r="F28">
        <f>+GETPIVOTDATA("Cuenta de consumo",$F$20,"demo","hombres casados")*(GETPIVOTDATA("Promedio de consumo2",$F$20,"demo","hombres casados")-GETPIVOTDATA("Promedio de consumo2",$F$20))^2</f>
        <v>42.049999999999955</v>
      </c>
      <c r="G28">
        <f>+GETPIVOTDATA("Var de consumo3",$F$20)*(GETPIVOTDATA("Cuenta de consumo",$F$20)-1)</f>
        <v>13253.800000000003</v>
      </c>
    </row>
    <row r="29" spans="1:9" x14ac:dyDescent="0.3">
      <c r="B29">
        <v>10</v>
      </c>
      <c r="C29" t="s">
        <v>119</v>
      </c>
      <c r="D29">
        <v>13</v>
      </c>
      <c r="F29">
        <f>+GETPIVOTDATA("Cuenta de consumo",$F$20,"demo","hombres casados")*(GETPIVOTDATA("Promedio de consumo2",$F$20,"demo","hombres solteros")-GETPIVOTDATA("Promedio de consumo2",$F$20))^2</f>
        <v>42.049999999999955</v>
      </c>
    </row>
    <row r="30" spans="1:9" x14ac:dyDescent="0.3">
      <c r="B30">
        <v>11</v>
      </c>
      <c r="C30" t="s">
        <v>120</v>
      </c>
      <c r="D30">
        <v>19</v>
      </c>
      <c r="F30">
        <f>+GETPIVOTDATA("Cuenta de consumo",$F$20,"demo","mujeres casadas")*(GETPIVOTDATA("Promedio de consumo2",$F$20,"demo","mujeres casadas")-GETPIVOTDATA("Promedio de consumo2",$F$20))^2</f>
        <v>198.45000000000027</v>
      </c>
    </row>
    <row r="31" spans="1:9" x14ac:dyDescent="0.3">
      <c r="B31">
        <v>12</v>
      </c>
      <c r="C31" t="s">
        <v>120</v>
      </c>
      <c r="D31">
        <v>32</v>
      </c>
      <c r="F31">
        <f>+GETPIVOTDATA("Cuenta de consumo",$F$20,"demo","mujeres solteras")*(GETPIVOTDATA("Promedio de consumo2",$F$20,"demo","mujeres solteras")-GETPIVOTDATA("Promedio de consumo2",$F$20))^2</f>
        <v>198.44999999999982</v>
      </c>
    </row>
    <row r="32" spans="1:9" x14ac:dyDescent="0.3">
      <c r="B32">
        <v>13</v>
      </c>
      <c r="C32" t="s">
        <v>120</v>
      </c>
      <c r="D32">
        <v>66</v>
      </c>
    </row>
    <row r="33" spans="2:7" x14ac:dyDescent="0.3">
      <c r="B33">
        <v>14</v>
      </c>
      <c r="C33" t="s">
        <v>120</v>
      </c>
      <c r="D33">
        <v>72</v>
      </c>
      <c r="F33" t="s">
        <v>131</v>
      </c>
      <c r="G33">
        <f>+SQRT((F28+F29+F30+F31)/G28)</f>
        <v>0.19050322482905149</v>
      </c>
    </row>
    <row r="34" spans="2:7" x14ac:dyDescent="0.3">
      <c r="B34">
        <v>15</v>
      </c>
      <c r="C34" t="s">
        <v>120</v>
      </c>
      <c r="D34">
        <v>41</v>
      </c>
    </row>
    <row r="35" spans="2:7" x14ac:dyDescent="0.3">
      <c r="B35">
        <v>16</v>
      </c>
      <c r="C35" t="s">
        <v>121</v>
      </c>
      <c r="D35">
        <v>87</v>
      </c>
    </row>
    <row r="36" spans="2:7" x14ac:dyDescent="0.3">
      <c r="B36">
        <v>17</v>
      </c>
      <c r="C36" t="s">
        <v>121</v>
      </c>
      <c r="D36">
        <v>20</v>
      </c>
    </row>
    <row r="37" spans="2:7" x14ac:dyDescent="0.3">
      <c r="B37">
        <v>18</v>
      </c>
      <c r="C37" t="s">
        <v>121</v>
      </c>
      <c r="D37">
        <v>95</v>
      </c>
      <c r="F37" t="s">
        <v>132</v>
      </c>
    </row>
    <row r="38" spans="2:7" x14ac:dyDescent="0.3">
      <c r="B38">
        <v>19</v>
      </c>
      <c r="C38" t="s">
        <v>121</v>
      </c>
      <c r="D38">
        <v>34</v>
      </c>
      <c r="F38" t="s">
        <v>133</v>
      </c>
    </row>
    <row r="39" spans="2:7" x14ac:dyDescent="0.3">
      <c r="B39">
        <v>20</v>
      </c>
      <c r="C39" t="s">
        <v>121</v>
      </c>
      <c r="D39">
        <v>11</v>
      </c>
    </row>
    <row r="40" spans="2:7" x14ac:dyDescent="0.3">
      <c r="F40" t="s">
        <v>134</v>
      </c>
      <c r="G40">
        <f>+_xlfn.F.INV(1-G41,3,19)</f>
        <v>3.1273500051133976</v>
      </c>
    </row>
    <row r="41" spans="2:7" x14ac:dyDescent="0.3">
      <c r="F41" t="s">
        <v>4</v>
      </c>
      <c r="G41">
        <v>0.05</v>
      </c>
    </row>
    <row r="43" spans="2:7" x14ac:dyDescent="0.3">
      <c r="B43" t="s">
        <v>137</v>
      </c>
      <c r="F43" t="s">
        <v>135</v>
      </c>
    </row>
    <row r="44" spans="2:7" x14ac:dyDescent="0.3">
      <c r="B44">
        <f>1-_xlfn.F.DIST(G44,3,17,TRUE)</f>
        <v>0.89435792018084082</v>
      </c>
      <c r="F44">
        <f>+(G33^2)/(1-G33^2)</f>
        <v>3.7658148565702113E-2</v>
      </c>
      <c r="G44">
        <f>+F44*F45</f>
        <v>0.20084345901707792</v>
      </c>
    </row>
    <row r="45" spans="2:7" x14ac:dyDescent="0.3">
      <c r="F45">
        <f>+(20-4)/(4-1)</f>
        <v>5.333333333333333</v>
      </c>
    </row>
    <row r="47" spans="2:7" x14ac:dyDescent="0.3">
      <c r="F47" t="s">
        <v>136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EC91-D7CF-497A-90AE-7614F420DA36}">
  <dimension ref="A18:I90"/>
  <sheetViews>
    <sheetView topLeftCell="A58" workbookViewId="0">
      <selection activeCell="B77" sqref="B77"/>
    </sheetView>
  </sheetViews>
  <sheetFormatPr baseColWidth="10" defaultRowHeight="14.4" x14ac:dyDescent="0.3"/>
  <sheetData>
    <row r="18" spans="1:9" x14ac:dyDescent="0.3">
      <c r="A18" t="s">
        <v>55</v>
      </c>
      <c r="B18" t="s">
        <v>58</v>
      </c>
      <c r="C18" t="s">
        <v>59</v>
      </c>
      <c r="D18" t="s">
        <v>60</v>
      </c>
      <c r="E18" t="s">
        <v>61</v>
      </c>
      <c r="F18" t="s">
        <v>62</v>
      </c>
      <c r="G18" t="s">
        <v>63</v>
      </c>
      <c r="H18" t="s">
        <v>64</v>
      </c>
      <c r="I18" s="11" t="s">
        <v>68</v>
      </c>
    </row>
    <row r="19" spans="1:9" x14ac:dyDescent="0.3">
      <c r="B19" s="11" t="s">
        <v>56</v>
      </c>
      <c r="C19" s="11" t="s">
        <v>57</v>
      </c>
    </row>
    <row r="20" spans="1:9" x14ac:dyDescent="0.3">
      <c r="B20" s="11">
        <v>97</v>
      </c>
      <c r="C20" s="11">
        <v>55</v>
      </c>
      <c r="D20">
        <f>+B20*C20</f>
        <v>5335</v>
      </c>
      <c r="E20">
        <f>+B20-$B$31</f>
        <v>34.454545454545453</v>
      </c>
      <c r="F20">
        <f>+E20*E20</f>
        <v>1187.1157024793388</v>
      </c>
      <c r="G20">
        <f t="shared" ref="G20:G30" si="0">+C20-$C$31</f>
        <v>5.7272727272727266</v>
      </c>
      <c r="H20">
        <f>+G20*G20</f>
        <v>32.801652892561975</v>
      </c>
      <c r="I20">
        <f>+E20*G20</f>
        <v>197.33057851239667</v>
      </c>
    </row>
    <row r="21" spans="1:9" x14ac:dyDescent="0.3">
      <c r="B21" s="11">
        <v>58</v>
      </c>
      <c r="C21" s="11">
        <v>63</v>
      </c>
      <c r="D21">
        <f t="shared" ref="D21:D30" si="1">+B21*C21</f>
        <v>3654</v>
      </c>
      <c r="E21">
        <f t="shared" ref="E21:E30" si="2">+B21-$B$31</f>
        <v>-4.5454545454545467</v>
      </c>
      <c r="F21">
        <f t="shared" ref="F21:F30" si="3">+E21*E21</f>
        <v>20.6611570247934</v>
      </c>
      <c r="G21">
        <f t="shared" si="0"/>
        <v>13.727272727272727</v>
      </c>
      <c r="H21">
        <f t="shared" ref="H21:H30" si="4">+G21*G21</f>
        <v>188.4380165289256</v>
      </c>
      <c r="I21">
        <f t="shared" ref="I21:I29" si="5">+E21*G21</f>
        <v>-62.39669421487605</v>
      </c>
    </row>
    <row r="22" spans="1:9" x14ac:dyDescent="0.3">
      <c r="B22" s="11">
        <v>69</v>
      </c>
      <c r="C22" s="11">
        <v>54</v>
      </c>
      <c r="D22">
        <f t="shared" si="1"/>
        <v>3726</v>
      </c>
      <c r="E22">
        <f t="shared" si="2"/>
        <v>6.4545454545454533</v>
      </c>
      <c r="F22">
        <f t="shared" si="3"/>
        <v>41.661157024793368</v>
      </c>
      <c r="G22">
        <f t="shared" si="0"/>
        <v>4.7272727272727266</v>
      </c>
      <c r="H22">
        <f t="shared" si="4"/>
        <v>22.347107438016522</v>
      </c>
      <c r="I22">
        <f t="shared" si="5"/>
        <v>30.512396694214864</v>
      </c>
    </row>
    <row r="23" spans="1:9" x14ac:dyDescent="0.3">
      <c r="B23" s="11">
        <v>47</v>
      </c>
      <c r="C23" s="11">
        <v>37</v>
      </c>
      <c r="D23">
        <f t="shared" si="1"/>
        <v>1739</v>
      </c>
      <c r="E23">
        <f t="shared" si="2"/>
        <v>-15.545454545454547</v>
      </c>
      <c r="F23">
        <f t="shared" si="3"/>
        <v>241.66115702479343</v>
      </c>
      <c r="G23">
        <f t="shared" si="0"/>
        <v>-12.272727272727273</v>
      </c>
      <c r="H23">
        <f t="shared" si="4"/>
        <v>150.61983471074382</v>
      </c>
      <c r="I23">
        <f t="shared" si="5"/>
        <v>190.78512396694217</v>
      </c>
    </row>
    <row r="24" spans="1:9" x14ac:dyDescent="0.3">
      <c r="B24" s="11">
        <v>58</v>
      </c>
      <c r="C24" s="11">
        <v>45</v>
      </c>
      <c r="D24">
        <f t="shared" si="1"/>
        <v>2610</v>
      </c>
      <c r="E24">
        <f t="shared" si="2"/>
        <v>-4.5454545454545467</v>
      </c>
      <c r="F24">
        <f t="shared" si="3"/>
        <v>20.6611570247934</v>
      </c>
      <c r="G24">
        <f t="shared" si="0"/>
        <v>-4.2727272727272734</v>
      </c>
      <c r="H24">
        <f t="shared" si="4"/>
        <v>18.256198347107443</v>
      </c>
      <c r="I24">
        <f t="shared" si="5"/>
        <v>19.421487603305792</v>
      </c>
    </row>
    <row r="25" spans="1:9" x14ac:dyDescent="0.3">
      <c r="B25" s="11">
        <v>38</v>
      </c>
      <c r="C25" s="11">
        <v>38</v>
      </c>
      <c r="D25">
        <f t="shared" si="1"/>
        <v>1444</v>
      </c>
      <c r="E25">
        <f t="shared" si="2"/>
        <v>-24.545454545454547</v>
      </c>
      <c r="F25">
        <f t="shared" si="3"/>
        <v>602.47933884297527</v>
      </c>
      <c r="G25">
        <f t="shared" si="0"/>
        <v>-11.272727272727273</v>
      </c>
      <c r="H25">
        <f t="shared" si="4"/>
        <v>127.07438016528927</v>
      </c>
      <c r="I25">
        <f t="shared" si="5"/>
        <v>276.69421487603307</v>
      </c>
    </row>
    <row r="26" spans="1:9" x14ac:dyDescent="0.3">
      <c r="B26" s="11">
        <v>91</v>
      </c>
      <c r="C26" s="11">
        <v>71</v>
      </c>
      <c r="D26">
        <f t="shared" si="1"/>
        <v>6461</v>
      </c>
      <c r="E26">
        <f t="shared" si="2"/>
        <v>28.454545454545453</v>
      </c>
      <c r="F26">
        <f t="shared" si="3"/>
        <v>809.66115702479328</v>
      </c>
      <c r="G26">
        <f t="shared" si="0"/>
        <v>21.727272727272727</v>
      </c>
      <c r="H26">
        <f t="shared" si="4"/>
        <v>472.07438016528926</v>
      </c>
      <c r="I26">
        <f t="shared" si="5"/>
        <v>618.23966942148752</v>
      </c>
    </row>
    <row r="27" spans="1:9" x14ac:dyDescent="0.3">
      <c r="B27" s="11">
        <v>67</v>
      </c>
      <c r="C27" s="11">
        <v>52</v>
      </c>
      <c r="D27">
        <f t="shared" si="1"/>
        <v>3484</v>
      </c>
      <c r="E27">
        <f t="shared" si="2"/>
        <v>4.4545454545454533</v>
      </c>
      <c r="F27">
        <f t="shared" si="3"/>
        <v>19.842975206611559</v>
      </c>
      <c r="G27">
        <f t="shared" si="0"/>
        <v>2.7272727272727266</v>
      </c>
      <c r="H27">
        <f t="shared" si="4"/>
        <v>7.4380165289256164</v>
      </c>
      <c r="I27">
        <f t="shared" si="5"/>
        <v>12.148760330578506</v>
      </c>
    </row>
    <row r="28" spans="1:9" x14ac:dyDescent="0.3">
      <c r="B28" s="11">
        <v>68</v>
      </c>
      <c r="C28" s="11">
        <v>53</v>
      </c>
      <c r="D28">
        <f t="shared" si="1"/>
        <v>3604</v>
      </c>
      <c r="E28">
        <f t="shared" si="2"/>
        <v>5.4545454545454533</v>
      </c>
      <c r="F28">
        <f t="shared" si="3"/>
        <v>29.752066115702466</v>
      </c>
      <c r="G28">
        <f t="shared" si="0"/>
        <v>3.7272727272727266</v>
      </c>
      <c r="H28">
        <f t="shared" si="4"/>
        <v>13.892561983471069</v>
      </c>
      <c r="I28">
        <f t="shared" si="5"/>
        <v>20.330578512396684</v>
      </c>
    </row>
    <row r="29" spans="1:9" x14ac:dyDescent="0.3">
      <c r="B29" s="11">
        <v>47</v>
      </c>
      <c r="C29" s="11">
        <v>37</v>
      </c>
      <c r="D29">
        <f t="shared" si="1"/>
        <v>1739</v>
      </c>
      <c r="E29">
        <f t="shared" si="2"/>
        <v>-15.545454545454547</v>
      </c>
      <c r="F29">
        <f t="shared" si="3"/>
        <v>241.66115702479343</v>
      </c>
      <c r="G29">
        <f t="shared" si="0"/>
        <v>-12.272727272727273</v>
      </c>
      <c r="H29">
        <f t="shared" si="4"/>
        <v>150.61983471074382</v>
      </c>
      <c r="I29">
        <f t="shared" si="5"/>
        <v>190.78512396694217</v>
      </c>
    </row>
    <row r="30" spans="1:9" x14ac:dyDescent="0.3">
      <c r="A30" s="1"/>
      <c r="B30" s="12">
        <v>48</v>
      </c>
      <c r="C30" s="12">
        <v>37</v>
      </c>
      <c r="D30" s="1">
        <f t="shared" si="1"/>
        <v>1776</v>
      </c>
      <c r="E30" s="1">
        <f t="shared" si="2"/>
        <v>-14.545454545454547</v>
      </c>
      <c r="F30" s="1">
        <f t="shared" si="3"/>
        <v>211.57024793388433</v>
      </c>
      <c r="G30" s="1">
        <f t="shared" si="0"/>
        <v>-12.272727272727273</v>
      </c>
      <c r="H30" s="1">
        <f t="shared" si="4"/>
        <v>150.61983471074382</v>
      </c>
      <c r="I30">
        <f>+E30*G30</f>
        <v>178.51239669421491</v>
      </c>
    </row>
    <row r="31" spans="1:9" x14ac:dyDescent="0.3">
      <c r="A31" t="s">
        <v>65</v>
      </c>
      <c r="B31">
        <f>+AVERAGE(B20:B30)</f>
        <v>62.545454545454547</v>
      </c>
      <c r="C31">
        <f>+AVERAGE(C20:C30)</f>
        <v>49.272727272727273</v>
      </c>
    </row>
    <row r="32" spans="1:9" x14ac:dyDescent="0.3">
      <c r="A32" t="s">
        <v>66</v>
      </c>
      <c r="B32">
        <f>+_xlfn.STDEV.S(B20:B30)</f>
        <v>18.511421535709438</v>
      </c>
      <c r="C32">
        <f>+_xlfn.STDEV.S(C20:C30)</f>
        <v>11.550678846638494</v>
      </c>
    </row>
    <row r="33" spans="1:9" x14ac:dyDescent="0.3">
      <c r="A33" t="s">
        <v>67</v>
      </c>
      <c r="B33">
        <f>+SUM(B20:B30)</f>
        <v>688</v>
      </c>
      <c r="C33">
        <f>+SUM(C20:C30)</f>
        <v>542</v>
      </c>
      <c r="D33">
        <f>+SUM(D20:D30)</f>
        <v>35572</v>
      </c>
      <c r="F33">
        <f t="shared" ref="F33:I33" si="6">+SUM(F20:F30)</f>
        <v>3426.7272727272725</v>
      </c>
      <c r="H33">
        <f t="shared" si="6"/>
        <v>1334.1818181818182</v>
      </c>
      <c r="I33">
        <f t="shared" si="6"/>
        <v>1672.363636363636</v>
      </c>
    </row>
    <row r="36" spans="1:9" x14ac:dyDescent="0.3">
      <c r="D36">
        <f>+I33/SQRT(F33*H33)</f>
        <v>0.78213808959519149</v>
      </c>
      <c r="F36" t="s">
        <v>69</v>
      </c>
    </row>
    <row r="44" spans="1:9" x14ac:dyDescent="0.3">
      <c r="A44" t="s">
        <v>70</v>
      </c>
    </row>
    <row r="51" spans="1:9" x14ac:dyDescent="0.3">
      <c r="A51" t="s">
        <v>71</v>
      </c>
      <c r="B51">
        <f>+_xlfn.T.INV(0.95,9)</f>
        <v>1.8331129326562368</v>
      </c>
    </row>
    <row r="52" spans="1:9" x14ac:dyDescent="0.3">
      <c r="A52" t="s">
        <v>72</v>
      </c>
      <c r="B52">
        <f>+D36/E52</f>
        <v>3.7656795593130341</v>
      </c>
      <c r="E52">
        <f>+SQRT((1-D36^2)/(11-2))</f>
        <v>0.20770171154389871</v>
      </c>
    </row>
    <row r="54" spans="1:9" x14ac:dyDescent="0.3">
      <c r="A54" t="s">
        <v>73</v>
      </c>
    </row>
    <row r="57" spans="1:9" x14ac:dyDescent="0.3">
      <c r="E57">
        <f>+D58+D59</f>
        <v>4.4459380265185278E-3</v>
      </c>
    </row>
    <row r="58" spans="1:9" x14ac:dyDescent="0.3">
      <c r="D58">
        <f>+_xlfn.T.DIST(-B52,9,TRUE)</f>
        <v>2.2229690132592817E-3</v>
      </c>
      <c r="E58" t="s">
        <v>74</v>
      </c>
    </row>
    <row r="59" spans="1:9" x14ac:dyDescent="0.3">
      <c r="D59">
        <f>1-_xlfn.T.DIST(B52,9,TRUE)</f>
        <v>2.2229690132592461E-3</v>
      </c>
    </row>
    <row r="63" spans="1:9" x14ac:dyDescent="0.3">
      <c r="B63" t="s">
        <v>58</v>
      </c>
      <c r="C63" t="s">
        <v>59</v>
      </c>
      <c r="D63" t="s">
        <v>75</v>
      </c>
      <c r="E63" t="s">
        <v>76</v>
      </c>
      <c r="F63" t="s">
        <v>77</v>
      </c>
      <c r="G63" t="s">
        <v>78</v>
      </c>
      <c r="H63" t="s">
        <v>79</v>
      </c>
      <c r="I63" t="s">
        <v>80</v>
      </c>
    </row>
    <row r="64" spans="1:9" x14ac:dyDescent="0.3">
      <c r="B64" s="11" t="s">
        <v>56</v>
      </c>
      <c r="C64" s="11" t="s">
        <v>57</v>
      </c>
    </row>
    <row r="65" spans="2:9" x14ac:dyDescent="0.3">
      <c r="B65" s="14">
        <v>47</v>
      </c>
      <c r="C65" s="14">
        <v>37</v>
      </c>
      <c r="D65">
        <v>2</v>
      </c>
      <c r="E65">
        <f>+(2+3)/2</f>
        <v>2.5</v>
      </c>
      <c r="F65">
        <v>1</v>
      </c>
      <c r="G65">
        <f>+(1+2+3)/3</f>
        <v>2</v>
      </c>
      <c r="H65">
        <f>+E65-G65</f>
        <v>0.5</v>
      </c>
      <c r="I65">
        <f>+H65*H65</f>
        <v>0.25</v>
      </c>
    </row>
    <row r="66" spans="2:9" x14ac:dyDescent="0.3">
      <c r="B66" s="14">
        <v>47</v>
      </c>
      <c r="C66" s="14">
        <v>37</v>
      </c>
      <c r="D66">
        <v>3</v>
      </c>
      <c r="E66">
        <f>+(2+3)/2</f>
        <v>2.5</v>
      </c>
      <c r="F66">
        <v>2</v>
      </c>
      <c r="G66">
        <f t="shared" ref="G66:G67" si="7">+(1+2+3)/3</f>
        <v>2</v>
      </c>
      <c r="H66">
        <f t="shared" ref="H66:H75" si="8">+E66-G66</f>
        <v>0.5</v>
      </c>
      <c r="I66">
        <f t="shared" ref="I66:I75" si="9">+H66*H66</f>
        <v>0.25</v>
      </c>
    </row>
    <row r="67" spans="2:9" x14ac:dyDescent="0.3">
      <c r="B67" s="13">
        <v>48</v>
      </c>
      <c r="C67" s="15">
        <v>37</v>
      </c>
      <c r="D67">
        <v>4</v>
      </c>
      <c r="E67">
        <v>4</v>
      </c>
      <c r="F67">
        <v>3</v>
      </c>
      <c r="G67">
        <f t="shared" si="7"/>
        <v>2</v>
      </c>
      <c r="H67">
        <f t="shared" si="8"/>
        <v>2</v>
      </c>
      <c r="I67">
        <f t="shared" si="9"/>
        <v>4</v>
      </c>
    </row>
    <row r="68" spans="2:9" x14ac:dyDescent="0.3">
      <c r="B68" s="11">
        <v>38</v>
      </c>
      <c r="C68" s="11">
        <v>38</v>
      </c>
      <c r="D68">
        <v>1</v>
      </c>
      <c r="E68">
        <v>1</v>
      </c>
      <c r="F68">
        <v>4</v>
      </c>
      <c r="G68">
        <v>4</v>
      </c>
      <c r="H68">
        <f t="shared" si="8"/>
        <v>-3</v>
      </c>
      <c r="I68">
        <f t="shared" si="9"/>
        <v>9</v>
      </c>
    </row>
    <row r="69" spans="2:9" x14ac:dyDescent="0.3">
      <c r="B69" s="14">
        <v>58</v>
      </c>
      <c r="C69" s="11">
        <v>45</v>
      </c>
      <c r="D69">
        <v>6</v>
      </c>
      <c r="E69">
        <v>5.5</v>
      </c>
      <c r="F69">
        <v>5</v>
      </c>
      <c r="G69">
        <v>5</v>
      </c>
      <c r="H69">
        <f t="shared" si="8"/>
        <v>0.5</v>
      </c>
      <c r="I69">
        <f t="shared" si="9"/>
        <v>0.25</v>
      </c>
    </row>
    <row r="70" spans="2:9" x14ac:dyDescent="0.3">
      <c r="B70" s="11">
        <v>67</v>
      </c>
      <c r="C70" s="11">
        <v>52</v>
      </c>
      <c r="D70">
        <v>7</v>
      </c>
      <c r="E70">
        <v>7</v>
      </c>
      <c r="F70">
        <v>6</v>
      </c>
      <c r="G70">
        <v>6</v>
      </c>
      <c r="H70">
        <f t="shared" si="8"/>
        <v>1</v>
      </c>
      <c r="I70">
        <f t="shared" si="9"/>
        <v>1</v>
      </c>
    </row>
    <row r="71" spans="2:9" x14ac:dyDescent="0.3">
      <c r="B71" s="11">
        <v>68</v>
      </c>
      <c r="C71" s="11">
        <v>53</v>
      </c>
      <c r="D71">
        <v>8</v>
      </c>
      <c r="E71">
        <v>8</v>
      </c>
      <c r="F71">
        <v>7</v>
      </c>
      <c r="G71">
        <v>7</v>
      </c>
      <c r="H71">
        <f t="shared" si="8"/>
        <v>1</v>
      </c>
      <c r="I71">
        <f t="shared" si="9"/>
        <v>1</v>
      </c>
    </row>
    <row r="72" spans="2:9" x14ac:dyDescent="0.3">
      <c r="B72" s="11">
        <v>69</v>
      </c>
      <c r="C72" s="11">
        <v>54</v>
      </c>
      <c r="D72">
        <v>9</v>
      </c>
      <c r="E72">
        <v>9</v>
      </c>
      <c r="F72">
        <v>8</v>
      </c>
      <c r="G72">
        <v>8</v>
      </c>
      <c r="H72">
        <f t="shared" si="8"/>
        <v>1</v>
      </c>
      <c r="I72">
        <f t="shared" si="9"/>
        <v>1</v>
      </c>
    </row>
    <row r="73" spans="2:9" x14ac:dyDescent="0.3">
      <c r="B73" s="13">
        <v>97</v>
      </c>
      <c r="C73" s="13">
        <v>55</v>
      </c>
      <c r="D73">
        <v>11</v>
      </c>
      <c r="E73">
        <v>11</v>
      </c>
      <c r="F73">
        <v>9</v>
      </c>
      <c r="G73">
        <v>9</v>
      </c>
      <c r="H73">
        <f t="shared" si="8"/>
        <v>2</v>
      </c>
      <c r="I73">
        <f t="shared" si="9"/>
        <v>4</v>
      </c>
    </row>
    <row r="74" spans="2:9" x14ac:dyDescent="0.3">
      <c r="B74" s="14">
        <v>58</v>
      </c>
      <c r="C74" s="11">
        <v>63</v>
      </c>
      <c r="D74">
        <v>5</v>
      </c>
      <c r="E74">
        <v>5.5</v>
      </c>
      <c r="F74">
        <v>10</v>
      </c>
      <c r="G74">
        <v>10</v>
      </c>
      <c r="H74">
        <f t="shared" si="8"/>
        <v>-4.5</v>
      </c>
      <c r="I74">
        <f t="shared" si="9"/>
        <v>20.25</v>
      </c>
    </row>
    <row r="75" spans="2:9" x14ac:dyDescent="0.3">
      <c r="B75" s="12">
        <v>91</v>
      </c>
      <c r="C75" s="12">
        <v>71</v>
      </c>
      <c r="D75">
        <v>10</v>
      </c>
      <c r="E75">
        <v>10</v>
      </c>
      <c r="F75">
        <v>11</v>
      </c>
      <c r="G75">
        <v>11</v>
      </c>
      <c r="H75">
        <f t="shared" si="8"/>
        <v>-1</v>
      </c>
      <c r="I75">
        <f t="shared" si="9"/>
        <v>1</v>
      </c>
    </row>
    <row r="76" spans="2:9" x14ac:dyDescent="0.3">
      <c r="I76">
        <f>SUM(I65:I75)</f>
        <v>42</v>
      </c>
    </row>
    <row r="80" spans="2:9" x14ac:dyDescent="0.3">
      <c r="B80" s="11"/>
      <c r="C80" s="11"/>
    </row>
    <row r="81" spans="2:3" x14ac:dyDescent="0.3">
      <c r="B81" s="11"/>
      <c r="C81" s="11"/>
    </row>
    <row r="82" spans="2:3" x14ac:dyDescent="0.3">
      <c r="B82" s="11"/>
      <c r="C82" s="13"/>
    </row>
    <row r="83" spans="2:3" x14ac:dyDescent="0.3">
      <c r="B83" s="13"/>
      <c r="C83" s="11"/>
    </row>
    <row r="84" spans="2:3" x14ac:dyDescent="0.3">
      <c r="B84" s="11"/>
      <c r="C84" s="11"/>
    </row>
    <row r="85" spans="2:3" x14ac:dyDescent="0.3">
      <c r="B85" s="11"/>
      <c r="C85" s="11"/>
    </row>
    <row r="86" spans="2:3" x14ac:dyDescent="0.3">
      <c r="B86" s="11"/>
      <c r="C86" s="11"/>
    </row>
    <row r="87" spans="2:3" x14ac:dyDescent="0.3">
      <c r="B87" s="11"/>
      <c r="C87" s="11"/>
    </row>
    <row r="88" spans="2:3" x14ac:dyDescent="0.3">
      <c r="B88" s="11"/>
      <c r="C88" s="11"/>
    </row>
    <row r="89" spans="2:3" x14ac:dyDescent="0.3">
      <c r="B89" s="11"/>
      <c r="C89" s="11"/>
    </row>
    <row r="90" spans="2:3" x14ac:dyDescent="0.3">
      <c r="B90" s="12"/>
      <c r="C90" s="12"/>
    </row>
  </sheetData>
  <sortState ref="B65:E75">
    <sortCondition ref="C65:C7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9AAE-5706-459C-A687-CB77EEC32A14}">
  <dimension ref="A23:I103"/>
  <sheetViews>
    <sheetView topLeftCell="A61" workbookViewId="0">
      <selection activeCell="I70" sqref="I70"/>
    </sheetView>
  </sheetViews>
  <sheetFormatPr baseColWidth="10" defaultRowHeight="14.4" x14ac:dyDescent="0.3"/>
  <cols>
    <col min="3" max="3" width="9.5546875" customWidth="1"/>
    <col min="4" max="4" width="9.44140625" customWidth="1"/>
    <col min="5" max="5" width="9.88671875" customWidth="1"/>
    <col min="6" max="6" width="9.44140625" customWidth="1"/>
    <col min="7" max="7" width="9.33203125" customWidth="1"/>
    <col min="8" max="8" width="9.21875" customWidth="1"/>
    <col min="9" max="9" width="8.21875" customWidth="1"/>
  </cols>
  <sheetData>
    <row r="23" spans="1:9" x14ac:dyDescent="0.3">
      <c r="A23" t="s">
        <v>141</v>
      </c>
    </row>
    <row r="24" spans="1:9" x14ac:dyDescent="0.3">
      <c r="B24" t="s">
        <v>58</v>
      </c>
      <c r="C24" t="s">
        <v>59</v>
      </c>
      <c r="D24" t="s">
        <v>60</v>
      </c>
      <c r="E24" s="11" t="s">
        <v>143</v>
      </c>
      <c r="F24" s="11" t="s">
        <v>144</v>
      </c>
      <c r="G24" s="11" t="s">
        <v>145</v>
      </c>
      <c r="H24" s="11" t="s">
        <v>146</v>
      </c>
      <c r="I24" s="11" t="s">
        <v>68</v>
      </c>
    </row>
    <row r="25" spans="1:9" x14ac:dyDescent="0.3">
      <c r="A25" t="s">
        <v>138</v>
      </c>
      <c r="B25" t="s">
        <v>139</v>
      </c>
      <c r="C25" t="s">
        <v>140</v>
      </c>
    </row>
    <row r="26" spans="1:9" x14ac:dyDescent="0.3">
      <c r="A26">
        <v>1</v>
      </c>
      <c r="B26">
        <v>8</v>
      </c>
      <c r="C26">
        <v>95</v>
      </c>
      <c r="D26">
        <f>+B26*C26</f>
        <v>760</v>
      </c>
      <c r="E26">
        <f>+B26-$B$42</f>
        <v>-3.4000000000000004</v>
      </c>
      <c r="F26">
        <f>+E26*E26</f>
        <v>11.560000000000002</v>
      </c>
      <c r="G26">
        <f>+C26-$C$42</f>
        <v>35</v>
      </c>
      <c r="H26">
        <f>+G26*G26</f>
        <v>1225</v>
      </c>
      <c r="I26">
        <f>+E26*G26</f>
        <v>-119.00000000000001</v>
      </c>
    </row>
    <row r="27" spans="1:9" x14ac:dyDescent="0.3">
      <c r="A27">
        <v>2</v>
      </c>
      <c r="B27">
        <v>7</v>
      </c>
      <c r="C27">
        <v>90</v>
      </c>
      <c r="D27">
        <f t="shared" ref="D27:D40" si="0">+B27*C27</f>
        <v>630</v>
      </c>
      <c r="E27">
        <f>+B27-$B$42</f>
        <v>-4.4000000000000004</v>
      </c>
      <c r="F27">
        <f t="shared" ref="F27:F40" si="1">+E27*E27</f>
        <v>19.360000000000003</v>
      </c>
      <c r="G27">
        <f t="shared" ref="G27:G40" si="2">+C27-$C$42</f>
        <v>30</v>
      </c>
      <c r="H27">
        <f t="shared" ref="H27:H40" si="3">+G27*G27</f>
        <v>900</v>
      </c>
      <c r="I27">
        <f t="shared" ref="I27:I40" si="4">+E27*G27</f>
        <v>-132</v>
      </c>
    </row>
    <row r="28" spans="1:9" x14ac:dyDescent="0.3">
      <c r="A28">
        <v>3</v>
      </c>
      <c r="B28">
        <v>7</v>
      </c>
      <c r="C28">
        <v>85</v>
      </c>
      <c r="D28">
        <f t="shared" si="0"/>
        <v>595</v>
      </c>
      <c r="E28">
        <f t="shared" ref="E28:E40" si="5">+B28-$B$42</f>
        <v>-4.4000000000000004</v>
      </c>
      <c r="F28">
        <f t="shared" si="1"/>
        <v>19.360000000000003</v>
      </c>
      <c r="G28">
        <f t="shared" si="2"/>
        <v>25</v>
      </c>
      <c r="H28">
        <f t="shared" si="3"/>
        <v>625</v>
      </c>
      <c r="I28">
        <f t="shared" si="4"/>
        <v>-110.00000000000001</v>
      </c>
    </row>
    <row r="29" spans="1:9" x14ac:dyDescent="0.3">
      <c r="A29">
        <v>4</v>
      </c>
      <c r="B29">
        <v>8</v>
      </c>
      <c r="C29">
        <v>80</v>
      </c>
      <c r="D29">
        <f t="shared" si="0"/>
        <v>640</v>
      </c>
      <c r="E29">
        <f>+B29-$B$42</f>
        <v>-3.4000000000000004</v>
      </c>
      <c r="F29">
        <f t="shared" si="1"/>
        <v>11.560000000000002</v>
      </c>
      <c r="G29">
        <f>+C29-$C$42</f>
        <v>20</v>
      </c>
      <c r="H29">
        <f t="shared" si="3"/>
        <v>400</v>
      </c>
      <c r="I29">
        <f t="shared" si="4"/>
        <v>-68</v>
      </c>
    </row>
    <row r="30" spans="1:9" x14ac:dyDescent="0.3">
      <c r="A30">
        <v>5</v>
      </c>
      <c r="B30">
        <v>9</v>
      </c>
      <c r="C30">
        <v>75</v>
      </c>
      <c r="D30">
        <f t="shared" si="0"/>
        <v>675</v>
      </c>
      <c r="E30">
        <f t="shared" si="5"/>
        <v>-2.4000000000000004</v>
      </c>
      <c r="F30">
        <f t="shared" si="1"/>
        <v>5.7600000000000016</v>
      </c>
      <c r="G30">
        <f t="shared" si="2"/>
        <v>15</v>
      </c>
      <c r="H30">
        <f t="shared" si="3"/>
        <v>225</v>
      </c>
      <c r="I30">
        <f t="shared" si="4"/>
        <v>-36.000000000000007</v>
      </c>
    </row>
    <row r="31" spans="1:9" x14ac:dyDescent="0.3">
      <c r="A31">
        <v>6</v>
      </c>
      <c r="B31">
        <v>10</v>
      </c>
      <c r="C31">
        <v>70</v>
      </c>
      <c r="D31">
        <f t="shared" si="0"/>
        <v>700</v>
      </c>
      <c r="E31">
        <f t="shared" si="5"/>
        <v>-1.4000000000000004</v>
      </c>
      <c r="F31">
        <f t="shared" si="1"/>
        <v>1.9600000000000011</v>
      </c>
      <c r="G31">
        <f t="shared" si="2"/>
        <v>10</v>
      </c>
      <c r="H31">
        <f t="shared" si="3"/>
        <v>100</v>
      </c>
      <c r="I31">
        <f t="shared" si="4"/>
        <v>-14.000000000000004</v>
      </c>
    </row>
    <row r="32" spans="1:9" x14ac:dyDescent="0.3">
      <c r="A32">
        <v>7</v>
      </c>
      <c r="B32">
        <v>14</v>
      </c>
      <c r="C32">
        <v>65</v>
      </c>
      <c r="D32">
        <f t="shared" si="0"/>
        <v>910</v>
      </c>
      <c r="E32">
        <f t="shared" si="5"/>
        <v>2.5999999999999996</v>
      </c>
      <c r="F32">
        <f t="shared" si="1"/>
        <v>6.759999999999998</v>
      </c>
      <c r="G32">
        <f t="shared" si="2"/>
        <v>5</v>
      </c>
      <c r="H32">
        <f t="shared" si="3"/>
        <v>25</v>
      </c>
      <c r="I32">
        <f t="shared" si="4"/>
        <v>12.999999999999998</v>
      </c>
    </row>
    <row r="33" spans="1:9" x14ac:dyDescent="0.3">
      <c r="A33">
        <v>8</v>
      </c>
      <c r="B33">
        <v>12</v>
      </c>
      <c r="C33">
        <v>60</v>
      </c>
      <c r="D33">
        <f t="shared" si="0"/>
        <v>720</v>
      </c>
      <c r="E33">
        <f t="shared" si="5"/>
        <v>0.59999999999999964</v>
      </c>
      <c r="F33">
        <f t="shared" si="1"/>
        <v>0.3599999999999996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9" x14ac:dyDescent="0.3">
      <c r="A34">
        <v>9</v>
      </c>
      <c r="B34">
        <v>12</v>
      </c>
      <c r="C34">
        <v>55</v>
      </c>
      <c r="D34">
        <f t="shared" si="0"/>
        <v>660</v>
      </c>
      <c r="E34">
        <f t="shared" si="5"/>
        <v>0.59999999999999964</v>
      </c>
      <c r="F34">
        <f t="shared" si="1"/>
        <v>0.3599999999999996</v>
      </c>
      <c r="G34">
        <f t="shared" si="2"/>
        <v>-5</v>
      </c>
      <c r="H34">
        <f t="shared" si="3"/>
        <v>25</v>
      </c>
      <c r="I34">
        <f t="shared" si="4"/>
        <v>-2.9999999999999982</v>
      </c>
    </row>
    <row r="35" spans="1:9" x14ac:dyDescent="0.3">
      <c r="A35">
        <v>10</v>
      </c>
      <c r="B35">
        <v>13</v>
      </c>
      <c r="C35">
        <v>50</v>
      </c>
      <c r="D35">
        <f t="shared" si="0"/>
        <v>650</v>
      </c>
      <c r="E35">
        <f t="shared" si="5"/>
        <v>1.5999999999999996</v>
      </c>
      <c r="F35">
        <f t="shared" si="1"/>
        <v>2.5599999999999987</v>
      </c>
      <c r="G35">
        <f t="shared" si="2"/>
        <v>-10</v>
      </c>
      <c r="H35">
        <f t="shared" si="3"/>
        <v>100</v>
      </c>
      <c r="I35">
        <f t="shared" si="4"/>
        <v>-15.999999999999996</v>
      </c>
    </row>
    <row r="36" spans="1:9" x14ac:dyDescent="0.3">
      <c r="A36">
        <v>11</v>
      </c>
      <c r="B36">
        <v>14</v>
      </c>
      <c r="C36">
        <v>45</v>
      </c>
      <c r="D36">
        <f t="shared" si="0"/>
        <v>630</v>
      </c>
      <c r="E36">
        <f t="shared" si="5"/>
        <v>2.5999999999999996</v>
      </c>
      <c r="F36">
        <f t="shared" si="1"/>
        <v>6.759999999999998</v>
      </c>
      <c r="G36">
        <f t="shared" si="2"/>
        <v>-15</v>
      </c>
      <c r="H36">
        <f t="shared" si="3"/>
        <v>225</v>
      </c>
      <c r="I36">
        <f t="shared" si="4"/>
        <v>-38.999999999999993</v>
      </c>
    </row>
    <row r="37" spans="1:9" x14ac:dyDescent="0.3">
      <c r="A37">
        <v>12</v>
      </c>
      <c r="B37">
        <v>14</v>
      </c>
      <c r="C37">
        <v>40</v>
      </c>
      <c r="D37">
        <f t="shared" si="0"/>
        <v>560</v>
      </c>
      <c r="E37">
        <f t="shared" si="5"/>
        <v>2.5999999999999996</v>
      </c>
      <c r="F37">
        <f t="shared" si="1"/>
        <v>6.759999999999998</v>
      </c>
      <c r="G37">
        <f t="shared" si="2"/>
        <v>-20</v>
      </c>
      <c r="H37">
        <f t="shared" si="3"/>
        <v>400</v>
      </c>
      <c r="I37">
        <f t="shared" si="4"/>
        <v>-51.999999999999993</v>
      </c>
    </row>
    <row r="38" spans="1:9" x14ac:dyDescent="0.3">
      <c r="A38" s="7">
        <v>13</v>
      </c>
      <c r="B38" s="7">
        <v>11</v>
      </c>
      <c r="C38" s="7">
        <v>35</v>
      </c>
      <c r="D38">
        <f t="shared" si="0"/>
        <v>385</v>
      </c>
      <c r="E38">
        <f t="shared" si="5"/>
        <v>-0.40000000000000036</v>
      </c>
      <c r="F38">
        <f t="shared" si="1"/>
        <v>0.16000000000000028</v>
      </c>
      <c r="G38">
        <f t="shared" si="2"/>
        <v>-25</v>
      </c>
      <c r="H38">
        <f t="shared" si="3"/>
        <v>625</v>
      </c>
      <c r="I38">
        <f t="shared" si="4"/>
        <v>10.000000000000009</v>
      </c>
    </row>
    <row r="39" spans="1:9" x14ac:dyDescent="0.3">
      <c r="A39" s="7">
        <v>14</v>
      </c>
      <c r="B39" s="7">
        <v>16</v>
      </c>
      <c r="C39" s="7">
        <v>30</v>
      </c>
      <c r="D39">
        <f t="shared" si="0"/>
        <v>480</v>
      </c>
      <c r="E39">
        <f t="shared" si="5"/>
        <v>4.5999999999999996</v>
      </c>
      <c r="F39">
        <f t="shared" si="1"/>
        <v>21.159999999999997</v>
      </c>
      <c r="G39">
        <f t="shared" si="2"/>
        <v>-30</v>
      </c>
      <c r="H39">
        <f t="shared" si="3"/>
        <v>900</v>
      </c>
      <c r="I39">
        <f t="shared" si="4"/>
        <v>-138</v>
      </c>
    </row>
    <row r="40" spans="1:9" x14ac:dyDescent="0.3">
      <c r="A40" s="1">
        <v>15</v>
      </c>
      <c r="B40" s="1">
        <v>16</v>
      </c>
      <c r="C40" s="1">
        <v>25</v>
      </c>
      <c r="D40" s="1">
        <f t="shared" si="0"/>
        <v>400</v>
      </c>
      <c r="E40" s="1">
        <f t="shared" si="5"/>
        <v>4.5999999999999996</v>
      </c>
      <c r="F40" s="1">
        <f t="shared" si="1"/>
        <v>21.159999999999997</v>
      </c>
      <c r="G40" s="1">
        <f t="shared" si="2"/>
        <v>-35</v>
      </c>
      <c r="H40" s="1">
        <f t="shared" si="3"/>
        <v>1225</v>
      </c>
      <c r="I40">
        <f t="shared" si="4"/>
        <v>-161</v>
      </c>
    </row>
    <row r="41" spans="1:9" x14ac:dyDescent="0.3">
      <c r="A41" t="s">
        <v>67</v>
      </c>
      <c r="B41">
        <f>+SUM(B26:B40)</f>
        <v>171</v>
      </c>
      <c r="C41">
        <f>+SUM(C26:C40)</f>
        <v>900</v>
      </c>
      <c r="D41">
        <f t="shared" ref="D41:H41" si="6">SUM(D26:D40)</f>
        <v>9395</v>
      </c>
      <c r="E41">
        <f t="shared" si="6"/>
        <v>0</v>
      </c>
      <c r="F41">
        <f>SUM(F26:F40)</f>
        <v>135.6</v>
      </c>
      <c r="G41">
        <f t="shared" si="6"/>
        <v>0</v>
      </c>
      <c r="H41">
        <f t="shared" si="6"/>
        <v>7000</v>
      </c>
      <c r="I41">
        <f>SUM(I26:I40)</f>
        <v>-865</v>
      </c>
    </row>
    <row r="42" spans="1:9" x14ac:dyDescent="0.3">
      <c r="A42" t="s">
        <v>142</v>
      </c>
      <c r="B42">
        <f>+AVERAGE(B26:B40)</f>
        <v>11.4</v>
      </c>
      <c r="C42">
        <f>+AVERAGE(C26:C40)</f>
        <v>60</v>
      </c>
    </row>
    <row r="43" spans="1:9" x14ac:dyDescent="0.3">
      <c r="A43" t="s">
        <v>66</v>
      </c>
      <c r="B43">
        <f>+_xlfn.STDEV.S(B26:B40)</f>
        <v>3.1121880222303857</v>
      </c>
      <c r="C43">
        <f>+_xlfn.STDEV.S(C26:C40)</f>
        <v>22.360679774997898</v>
      </c>
    </row>
    <row r="45" spans="1:9" x14ac:dyDescent="0.3">
      <c r="B45" t="s">
        <v>147</v>
      </c>
      <c r="C45">
        <f>+I41/SQRT(F41*H41)</f>
        <v>-0.88784518283843983</v>
      </c>
    </row>
    <row r="46" spans="1:9" x14ac:dyDescent="0.3">
      <c r="B46" t="s">
        <v>148</v>
      </c>
    </row>
    <row r="50" spans="1:9" x14ac:dyDescent="0.3">
      <c r="A50" t="s">
        <v>149</v>
      </c>
    </row>
    <row r="51" spans="1:9" x14ac:dyDescent="0.3">
      <c r="B51" t="s">
        <v>58</v>
      </c>
      <c r="C51" t="s">
        <v>59</v>
      </c>
      <c r="D51" t="s">
        <v>150</v>
      </c>
      <c r="E51" t="s">
        <v>151</v>
      </c>
      <c r="F51" t="s">
        <v>152</v>
      </c>
      <c r="G51" t="s">
        <v>153</v>
      </c>
      <c r="H51" t="s">
        <v>79</v>
      </c>
      <c r="I51" t="s">
        <v>154</v>
      </c>
    </row>
    <row r="52" spans="1:9" x14ac:dyDescent="0.3">
      <c r="A52" t="s">
        <v>138</v>
      </c>
      <c r="B52" t="s">
        <v>139</v>
      </c>
      <c r="C52" t="s">
        <v>140</v>
      </c>
    </row>
    <row r="53" spans="1:9" x14ac:dyDescent="0.3">
      <c r="A53" s="7">
        <v>15</v>
      </c>
      <c r="B53" s="40">
        <v>16</v>
      </c>
      <c r="C53" s="7">
        <v>25</v>
      </c>
      <c r="D53">
        <v>15</v>
      </c>
      <c r="E53">
        <v>14.5</v>
      </c>
      <c r="F53">
        <v>1</v>
      </c>
      <c r="G53">
        <v>1</v>
      </c>
      <c r="H53">
        <f>+E53-G53</f>
        <v>13.5</v>
      </c>
      <c r="I53">
        <f>+H53*H53</f>
        <v>182.25</v>
      </c>
    </row>
    <row r="54" spans="1:9" x14ac:dyDescent="0.3">
      <c r="A54" s="7">
        <v>14</v>
      </c>
      <c r="B54" s="40">
        <v>16</v>
      </c>
      <c r="C54" s="7">
        <v>30</v>
      </c>
      <c r="D54">
        <v>14</v>
      </c>
      <c r="E54">
        <v>14.5</v>
      </c>
      <c r="F54">
        <v>2</v>
      </c>
      <c r="G54">
        <v>2</v>
      </c>
      <c r="H54">
        <f t="shared" ref="H54:H67" si="7">+E54-G54</f>
        <v>12.5</v>
      </c>
      <c r="I54">
        <f t="shared" ref="I54:I67" si="8">+H54*H54</f>
        <v>156.25</v>
      </c>
    </row>
    <row r="55" spans="1:9" x14ac:dyDescent="0.3">
      <c r="A55" s="7">
        <v>13</v>
      </c>
      <c r="B55" s="7">
        <v>11</v>
      </c>
      <c r="C55" s="7">
        <v>35</v>
      </c>
      <c r="D55">
        <v>7</v>
      </c>
      <c r="E55">
        <v>7</v>
      </c>
      <c r="F55">
        <v>3</v>
      </c>
      <c r="G55">
        <v>3</v>
      </c>
      <c r="H55">
        <f t="shared" si="7"/>
        <v>4</v>
      </c>
      <c r="I55">
        <f t="shared" si="8"/>
        <v>16</v>
      </c>
    </row>
    <row r="56" spans="1:9" x14ac:dyDescent="0.3">
      <c r="A56">
        <v>12</v>
      </c>
      <c r="B56" s="39">
        <v>14</v>
      </c>
      <c r="C56">
        <v>40</v>
      </c>
      <c r="D56">
        <v>13</v>
      </c>
      <c r="E56">
        <f>+(11+12+13)/3</f>
        <v>12</v>
      </c>
      <c r="F56">
        <v>4</v>
      </c>
      <c r="G56">
        <v>4</v>
      </c>
      <c r="H56">
        <f t="shared" si="7"/>
        <v>8</v>
      </c>
      <c r="I56">
        <f t="shared" si="8"/>
        <v>64</v>
      </c>
    </row>
    <row r="57" spans="1:9" x14ac:dyDescent="0.3">
      <c r="A57">
        <v>11</v>
      </c>
      <c r="B57" s="39">
        <v>14</v>
      </c>
      <c r="C57">
        <v>45</v>
      </c>
      <c r="D57">
        <v>12</v>
      </c>
      <c r="E57">
        <f>+(11+12+13)/3</f>
        <v>12</v>
      </c>
      <c r="F57">
        <v>5</v>
      </c>
      <c r="G57">
        <v>5</v>
      </c>
      <c r="H57">
        <f t="shared" si="7"/>
        <v>7</v>
      </c>
      <c r="I57">
        <f t="shared" si="8"/>
        <v>49</v>
      </c>
    </row>
    <row r="58" spans="1:9" x14ac:dyDescent="0.3">
      <c r="A58">
        <v>10</v>
      </c>
      <c r="B58">
        <v>13</v>
      </c>
      <c r="C58">
        <v>50</v>
      </c>
      <c r="D58">
        <v>10</v>
      </c>
      <c r="E58">
        <v>10</v>
      </c>
      <c r="F58">
        <v>6</v>
      </c>
      <c r="G58">
        <v>6</v>
      </c>
      <c r="H58">
        <f t="shared" si="7"/>
        <v>4</v>
      </c>
      <c r="I58">
        <f t="shared" si="8"/>
        <v>16</v>
      </c>
    </row>
    <row r="59" spans="1:9" x14ac:dyDescent="0.3">
      <c r="A59">
        <v>9</v>
      </c>
      <c r="B59" s="38">
        <v>12</v>
      </c>
      <c r="C59">
        <v>55</v>
      </c>
      <c r="D59">
        <v>9</v>
      </c>
      <c r="E59">
        <f>+(8+9)/2</f>
        <v>8.5</v>
      </c>
      <c r="F59">
        <v>7</v>
      </c>
      <c r="G59">
        <v>7</v>
      </c>
      <c r="H59">
        <f t="shared" si="7"/>
        <v>1.5</v>
      </c>
      <c r="I59">
        <f t="shared" si="8"/>
        <v>2.25</v>
      </c>
    </row>
    <row r="60" spans="1:9" x14ac:dyDescent="0.3">
      <c r="A60">
        <v>8</v>
      </c>
      <c r="B60" s="38">
        <v>12</v>
      </c>
      <c r="C60">
        <v>60</v>
      </c>
      <c r="D60">
        <v>8</v>
      </c>
      <c r="E60">
        <f>+(8+9)/2</f>
        <v>8.5</v>
      </c>
      <c r="F60">
        <v>8</v>
      </c>
      <c r="G60">
        <v>8</v>
      </c>
      <c r="H60">
        <f t="shared" si="7"/>
        <v>0.5</v>
      </c>
      <c r="I60">
        <f t="shared" si="8"/>
        <v>0.25</v>
      </c>
    </row>
    <row r="61" spans="1:9" x14ac:dyDescent="0.3">
      <c r="A61">
        <v>7</v>
      </c>
      <c r="B61" s="39">
        <v>14</v>
      </c>
      <c r="C61">
        <v>65</v>
      </c>
      <c r="D61">
        <v>11</v>
      </c>
      <c r="E61">
        <f>+(11+12+13)/3</f>
        <v>12</v>
      </c>
      <c r="F61">
        <v>9</v>
      </c>
      <c r="G61">
        <v>9</v>
      </c>
      <c r="H61">
        <f t="shared" si="7"/>
        <v>3</v>
      </c>
      <c r="I61">
        <f t="shared" si="8"/>
        <v>9</v>
      </c>
    </row>
    <row r="62" spans="1:9" x14ac:dyDescent="0.3">
      <c r="A62">
        <v>6</v>
      </c>
      <c r="B62">
        <v>10</v>
      </c>
      <c r="C62">
        <v>70</v>
      </c>
      <c r="D62">
        <v>6</v>
      </c>
      <c r="E62">
        <v>6</v>
      </c>
      <c r="F62">
        <v>10</v>
      </c>
      <c r="G62">
        <v>10</v>
      </c>
      <c r="H62">
        <f t="shared" si="7"/>
        <v>-4</v>
      </c>
      <c r="I62">
        <f t="shared" si="8"/>
        <v>16</v>
      </c>
    </row>
    <row r="63" spans="1:9" x14ac:dyDescent="0.3">
      <c r="A63">
        <v>5</v>
      </c>
      <c r="B63">
        <v>9</v>
      </c>
      <c r="C63">
        <v>75</v>
      </c>
      <c r="D63">
        <v>5</v>
      </c>
      <c r="E63">
        <v>5</v>
      </c>
      <c r="F63">
        <v>11</v>
      </c>
      <c r="G63">
        <v>11</v>
      </c>
      <c r="H63">
        <f t="shared" si="7"/>
        <v>-6</v>
      </c>
      <c r="I63">
        <f t="shared" si="8"/>
        <v>36</v>
      </c>
    </row>
    <row r="64" spans="1:9" x14ac:dyDescent="0.3">
      <c r="A64">
        <v>4</v>
      </c>
      <c r="B64" s="37">
        <v>8</v>
      </c>
      <c r="C64">
        <v>80</v>
      </c>
      <c r="D64">
        <v>4</v>
      </c>
      <c r="E64">
        <f>+(3+4)/2</f>
        <v>3.5</v>
      </c>
      <c r="F64">
        <v>12</v>
      </c>
      <c r="G64">
        <v>12</v>
      </c>
      <c r="H64">
        <f t="shared" si="7"/>
        <v>-8.5</v>
      </c>
      <c r="I64">
        <f t="shared" si="8"/>
        <v>72.25</v>
      </c>
    </row>
    <row r="65" spans="1:9" x14ac:dyDescent="0.3">
      <c r="A65">
        <v>3</v>
      </c>
      <c r="B65" s="36">
        <v>7</v>
      </c>
      <c r="C65">
        <v>85</v>
      </c>
      <c r="D65">
        <v>2</v>
      </c>
      <c r="E65">
        <v>1.5</v>
      </c>
      <c r="F65">
        <v>13</v>
      </c>
      <c r="G65">
        <v>13</v>
      </c>
      <c r="H65">
        <f t="shared" si="7"/>
        <v>-11.5</v>
      </c>
      <c r="I65">
        <f t="shared" si="8"/>
        <v>132.25</v>
      </c>
    </row>
    <row r="66" spans="1:9" x14ac:dyDescent="0.3">
      <c r="A66">
        <v>2</v>
      </c>
      <c r="B66" s="36">
        <v>7</v>
      </c>
      <c r="C66">
        <v>90</v>
      </c>
      <c r="D66">
        <v>1</v>
      </c>
      <c r="E66">
        <v>1.5</v>
      </c>
      <c r="F66">
        <v>14</v>
      </c>
      <c r="G66">
        <v>14</v>
      </c>
      <c r="H66">
        <f t="shared" si="7"/>
        <v>-12.5</v>
      </c>
      <c r="I66">
        <f t="shared" si="8"/>
        <v>156.25</v>
      </c>
    </row>
    <row r="67" spans="1:9" x14ac:dyDescent="0.3">
      <c r="A67" s="1">
        <v>1</v>
      </c>
      <c r="B67" s="41">
        <v>8</v>
      </c>
      <c r="C67" s="1">
        <v>95</v>
      </c>
      <c r="D67">
        <v>3</v>
      </c>
      <c r="E67">
        <f>+(3+4)/2</f>
        <v>3.5</v>
      </c>
      <c r="F67">
        <v>15</v>
      </c>
      <c r="G67">
        <v>15</v>
      </c>
      <c r="H67">
        <f t="shared" si="7"/>
        <v>-11.5</v>
      </c>
      <c r="I67">
        <f t="shared" si="8"/>
        <v>132.25</v>
      </c>
    </row>
    <row r="68" spans="1:9" x14ac:dyDescent="0.3">
      <c r="A68" t="s">
        <v>67</v>
      </c>
      <c r="B68">
        <f>+SUM(B53:B67)</f>
        <v>171</v>
      </c>
      <c r="C68">
        <f>+SUM(C53:C67)</f>
        <v>900</v>
      </c>
      <c r="I68">
        <f>SUM(I53:I67)</f>
        <v>1040</v>
      </c>
    </row>
    <row r="69" spans="1:9" x14ac:dyDescent="0.3">
      <c r="A69" t="s">
        <v>142</v>
      </c>
      <c r="B69">
        <f>+AVERAGE(B53:B67)</f>
        <v>11.4</v>
      </c>
      <c r="C69">
        <f>+AVERAGE(C53:C67)</f>
        <v>60</v>
      </c>
    </row>
    <row r="70" spans="1:9" x14ac:dyDescent="0.3">
      <c r="A70" t="s">
        <v>66</v>
      </c>
      <c r="B70">
        <f>+_xlfn.STDEV.S(B53:B67)</f>
        <v>3.1121880222303857</v>
      </c>
      <c r="C70">
        <f>+_xlfn.STDEV.S(C53:C67)</f>
        <v>22.360679774997898</v>
      </c>
    </row>
    <row r="72" spans="1:9" x14ac:dyDescent="0.3">
      <c r="D72" t="s">
        <v>129</v>
      </c>
      <c r="F72" t="s">
        <v>149</v>
      </c>
    </row>
    <row r="73" spans="1:9" x14ac:dyDescent="0.3">
      <c r="A73" t="s">
        <v>155</v>
      </c>
      <c r="B73">
        <v>15</v>
      </c>
      <c r="D73">
        <f>+(B73^3-B73)/6-I68-B74</f>
        <v>-484</v>
      </c>
      <c r="F73">
        <f>+D73/D75</f>
        <v>-0.87052612539179319</v>
      </c>
    </row>
    <row r="74" spans="1:9" x14ac:dyDescent="0.3">
      <c r="A74" t="s">
        <v>156</v>
      </c>
      <c r="B74">
        <f>+((2^3-2)+(2^3-2)+(2^3-2)+(2^3-2)+(3^3-3))/12</f>
        <v>4</v>
      </c>
      <c r="D74" t="s">
        <v>130</v>
      </c>
    </row>
    <row r="75" spans="1:9" x14ac:dyDescent="0.3">
      <c r="A75" t="s">
        <v>157</v>
      </c>
      <c r="B75">
        <v>0</v>
      </c>
      <c r="D75">
        <f>+SQRT(((B73^3-B73)/6-2*B74)*((B73^3-B73)/6-2*B75))</f>
        <v>555.98561132460975</v>
      </c>
    </row>
    <row r="78" spans="1:9" x14ac:dyDescent="0.3">
      <c r="A78" t="s">
        <v>158</v>
      </c>
    </row>
    <row r="80" spans="1:9" x14ac:dyDescent="0.3">
      <c r="A80" t="s">
        <v>138</v>
      </c>
      <c r="B80" t="s">
        <v>139</v>
      </c>
      <c r="C80" t="s">
        <v>140</v>
      </c>
      <c r="D80" t="s">
        <v>159</v>
      </c>
      <c r="E80" t="s">
        <v>160</v>
      </c>
    </row>
    <row r="81" spans="1:5" x14ac:dyDescent="0.3">
      <c r="A81" s="7">
        <v>15</v>
      </c>
      <c r="B81" s="7">
        <v>16</v>
      </c>
      <c r="C81" s="7">
        <v>25</v>
      </c>
      <c r="D81" s="9">
        <v>0</v>
      </c>
      <c r="E81" s="9">
        <v>13</v>
      </c>
    </row>
    <row r="82" spans="1:5" x14ac:dyDescent="0.3">
      <c r="A82" s="7">
        <v>14</v>
      </c>
      <c r="B82" s="7">
        <v>16</v>
      </c>
      <c r="C82" s="7">
        <v>30</v>
      </c>
      <c r="D82" s="9">
        <v>0</v>
      </c>
      <c r="E82" s="9">
        <v>13</v>
      </c>
    </row>
    <row r="83" spans="1:5" x14ac:dyDescent="0.3">
      <c r="A83" s="7">
        <v>13</v>
      </c>
      <c r="B83" s="7">
        <v>11</v>
      </c>
      <c r="C83" s="7">
        <v>35</v>
      </c>
      <c r="D83" s="9">
        <v>6</v>
      </c>
      <c r="E83" s="9">
        <v>6</v>
      </c>
    </row>
    <row r="84" spans="1:5" x14ac:dyDescent="0.3">
      <c r="A84">
        <v>12</v>
      </c>
      <c r="B84">
        <v>14</v>
      </c>
      <c r="C84">
        <v>40</v>
      </c>
      <c r="D84" s="9">
        <v>0</v>
      </c>
      <c r="E84" s="9">
        <v>9</v>
      </c>
    </row>
    <row r="85" spans="1:5" x14ac:dyDescent="0.3">
      <c r="A85">
        <v>11</v>
      </c>
      <c r="B85">
        <v>14</v>
      </c>
      <c r="C85">
        <v>45</v>
      </c>
      <c r="D85" s="9">
        <v>0</v>
      </c>
      <c r="E85" s="9">
        <v>9</v>
      </c>
    </row>
    <row r="86" spans="1:5" x14ac:dyDescent="0.3">
      <c r="A86">
        <v>10</v>
      </c>
      <c r="B86">
        <v>13</v>
      </c>
      <c r="C86">
        <v>50</v>
      </c>
      <c r="D86" s="9">
        <v>1</v>
      </c>
      <c r="E86" s="9">
        <v>8</v>
      </c>
    </row>
    <row r="87" spans="1:5" x14ac:dyDescent="0.3">
      <c r="A87">
        <v>9</v>
      </c>
      <c r="B87">
        <v>12</v>
      </c>
      <c r="C87">
        <v>55</v>
      </c>
      <c r="D87" s="9">
        <v>1</v>
      </c>
      <c r="E87" s="9">
        <v>6</v>
      </c>
    </row>
    <row r="88" spans="1:5" x14ac:dyDescent="0.3">
      <c r="A88">
        <v>8</v>
      </c>
      <c r="B88">
        <v>12</v>
      </c>
      <c r="C88">
        <v>60</v>
      </c>
      <c r="D88" s="9">
        <v>1</v>
      </c>
      <c r="E88" s="9">
        <v>6</v>
      </c>
    </row>
    <row r="89" spans="1:5" x14ac:dyDescent="0.3">
      <c r="A89">
        <v>7</v>
      </c>
      <c r="B89">
        <v>14</v>
      </c>
      <c r="C89">
        <v>65</v>
      </c>
      <c r="D89" s="9">
        <v>0</v>
      </c>
      <c r="E89" s="9">
        <v>6</v>
      </c>
    </row>
    <row r="90" spans="1:5" x14ac:dyDescent="0.3">
      <c r="A90">
        <v>6</v>
      </c>
      <c r="B90">
        <v>10</v>
      </c>
      <c r="C90">
        <v>70</v>
      </c>
      <c r="D90" s="9">
        <v>0</v>
      </c>
      <c r="E90" s="9">
        <v>5</v>
      </c>
    </row>
    <row r="91" spans="1:5" x14ac:dyDescent="0.3">
      <c r="A91">
        <v>5</v>
      </c>
      <c r="B91">
        <v>9</v>
      </c>
      <c r="C91">
        <v>75</v>
      </c>
      <c r="D91" s="9">
        <v>0</v>
      </c>
      <c r="E91" s="9">
        <v>4</v>
      </c>
    </row>
    <row r="92" spans="1:5" x14ac:dyDescent="0.3">
      <c r="A92">
        <v>4</v>
      </c>
      <c r="B92">
        <v>8</v>
      </c>
      <c r="C92">
        <v>80</v>
      </c>
      <c r="D92" s="9">
        <v>0</v>
      </c>
      <c r="E92" s="9">
        <v>2</v>
      </c>
    </row>
    <row r="93" spans="1:5" x14ac:dyDescent="0.3">
      <c r="A93">
        <v>3</v>
      </c>
      <c r="B93">
        <v>7</v>
      </c>
      <c r="C93">
        <v>85</v>
      </c>
      <c r="D93" s="9">
        <v>1</v>
      </c>
      <c r="E93" s="9">
        <v>0</v>
      </c>
    </row>
    <row r="94" spans="1:5" x14ac:dyDescent="0.3">
      <c r="A94">
        <v>2</v>
      </c>
      <c r="B94">
        <v>7</v>
      </c>
      <c r="C94">
        <v>90</v>
      </c>
      <c r="D94" s="9">
        <v>1</v>
      </c>
      <c r="E94" s="9">
        <v>0</v>
      </c>
    </row>
    <row r="95" spans="1:5" x14ac:dyDescent="0.3">
      <c r="A95" s="1">
        <v>1</v>
      </c>
      <c r="B95" s="1">
        <v>8</v>
      </c>
      <c r="C95" s="1">
        <v>95</v>
      </c>
      <c r="D95" s="9">
        <v>0</v>
      </c>
      <c r="E95" s="9">
        <v>0</v>
      </c>
    </row>
    <row r="96" spans="1:5" x14ac:dyDescent="0.3">
      <c r="A96" t="s">
        <v>67</v>
      </c>
      <c r="B96">
        <f>+SUM(B81:B95)</f>
        <v>171</v>
      </c>
      <c r="C96">
        <f>+SUM(C81:C95)</f>
        <v>900</v>
      </c>
      <c r="D96">
        <f>SUM(D81:D95)</f>
        <v>11</v>
      </c>
      <c r="E96">
        <f>SUM(E81:E95)</f>
        <v>87</v>
      </c>
    </row>
    <row r="97" spans="1:4" x14ac:dyDescent="0.3">
      <c r="A97" t="s">
        <v>142</v>
      </c>
      <c r="B97">
        <f>+AVERAGE(B81:B95)</f>
        <v>11.4</v>
      </c>
      <c r="C97">
        <f>+AVERAGE(C81:C95)</f>
        <v>60</v>
      </c>
    </row>
    <row r="98" spans="1:4" x14ac:dyDescent="0.3">
      <c r="A98" t="s">
        <v>66</v>
      </c>
      <c r="B98">
        <f>+_xlfn.STDEV.S(B81:B95)</f>
        <v>3.1121880222303857</v>
      </c>
      <c r="C98">
        <f>+_xlfn.STDEV.S(C81:C95)</f>
        <v>22.360679774997898</v>
      </c>
    </row>
    <row r="100" spans="1:4" x14ac:dyDescent="0.3">
      <c r="A100" t="s">
        <v>161</v>
      </c>
      <c r="B100">
        <f>+D96-E96</f>
        <v>-76</v>
      </c>
    </row>
    <row r="102" spans="1:4" x14ac:dyDescent="0.3">
      <c r="A102" t="s">
        <v>162</v>
      </c>
      <c r="D102">
        <f>+B100/(A103*B103)</f>
        <v>-0.73800321854944828</v>
      </c>
    </row>
    <row r="103" spans="1:4" x14ac:dyDescent="0.3">
      <c r="A103">
        <f>+SQRT(0.5*15*14-B74)</f>
        <v>10.04987562112089</v>
      </c>
      <c r="B103">
        <f>+SQRT(0.5*15*14-B75)</f>
        <v>10.246950765959598</v>
      </c>
    </row>
  </sheetData>
  <sortState ref="A81:C95">
    <sortCondition ref="C81:C9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A243-2852-44A1-9509-19818ECCF780}">
  <dimension ref="A1"/>
  <sheetViews>
    <sheetView topLeftCell="A31" workbookViewId="0">
      <selection activeCell="A31" sqref="A3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A336-839E-4C04-B5B6-F65AEC0B5E7F}">
  <dimension ref="A30:H54"/>
  <sheetViews>
    <sheetView topLeftCell="D28" workbookViewId="0">
      <selection activeCell="F45" sqref="F45"/>
    </sheetView>
  </sheetViews>
  <sheetFormatPr baseColWidth="10" defaultRowHeight="14.4" x14ac:dyDescent="0.3"/>
  <cols>
    <col min="5" max="5" width="16.5546875" bestFit="1" customWidth="1"/>
    <col min="6" max="6" width="17.21875" bestFit="1" customWidth="1"/>
    <col min="7" max="7" width="20.44140625" bestFit="1" customWidth="1"/>
    <col min="8" max="8" width="15" bestFit="1" customWidth="1"/>
  </cols>
  <sheetData>
    <row r="30" spans="1:8" x14ac:dyDescent="0.3">
      <c r="A30" t="s">
        <v>128</v>
      </c>
      <c r="B30" t="s">
        <v>163</v>
      </c>
      <c r="C30" t="s">
        <v>166</v>
      </c>
    </row>
    <row r="31" spans="1:8" x14ac:dyDescent="0.3">
      <c r="A31">
        <v>1</v>
      </c>
      <c r="B31" t="s">
        <v>164</v>
      </c>
      <c r="C31">
        <v>9</v>
      </c>
      <c r="E31" s="33" t="s">
        <v>124</v>
      </c>
      <c r="F31" t="s">
        <v>167</v>
      </c>
      <c r="G31" t="s">
        <v>168</v>
      </c>
      <c r="H31" t="s">
        <v>169</v>
      </c>
    </row>
    <row r="32" spans="1:8" x14ac:dyDescent="0.3">
      <c r="A32">
        <v>2</v>
      </c>
      <c r="B32" t="s">
        <v>164</v>
      </c>
      <c r="C32">
        <v>4.5</v>
      </c>
      <c r="E32" s="34" t="s">
        <v>164</v>
      </c>
      <c r="F32" s="35">
        <v>12</v>
      </c>
      <c r="G32" s="35">
        <v>5.458333333333333</v>
      </c>
      <c r="H32" s="35">
        <v>6.4990151515151577</v>
      </c>
    </row>
    <row r="33" spans="1:8" x14ac:dyDescent="0.3">
      <c r="A33">
        <v>3</v>
      </c>
      <c r="B33" t="s">
        <v>164</v>
      </c>
      <c r="C33">
        <v>6.3</v>
      </c>
      <c r="E33" s="34" t="s">
        <v>165</v>
      </c>
      <c r="F33" s="35">
        <v>12</v>
      </c>
      <c r="G33" s="35">
        <v>4.5166666666666666</v>
      </c>
      <c r="H33" s="35">
        <v>3.6015151515151498</v>
      </c>
    </row>
    <row r="34" spans="1:8" x14ac:dyDescent="0.3">
      <c r="A34">
        <v>4</v>
      </c>
      <c r="B34" t="s">
        <v>164</v>
      </c>
      <c r="C34">
        <v>5.8</v>
      </c>
      <c r="E34" s="34" t="s">
        <v>123</v>
      </c>
      <c r="F34" s="35">
        <v>24</v>
      </c>
      <c r="G34" s="35">
        <v>4.9874999999999998</v>
      </c>
      <c r="H34" s="35">
        <v>5.0620108695652215</v>
      </c>
    </row>
    <row r="35" spans="1:8" x14ac:dyDescent="0.3">
      <c r="A35">
        <v>5</v>
      </c>
      <c r="B35" t="s">
        <v>164</v>
      </c>
      <c r="C35">
        <v>8.3000000000000007</v>
      </c>
    </row>
    <row r="36" spans="1:8" x14ac:dyDescent="0.3">
      <c r="A36">
        <v>6</v>
      </c>
      <c r="B36" t="s">
        <v>164</v>
      </c>
      <c r="C36">
        <v>3.1</v>
      </c>
      <c r="E36" s="34" t="s">
        <v>129</v>
      </c>
    </row>
    <row r="37" spans="1:8" x14ac:dyDescent="0.3">
      <c r="A37">
        <v>7</v>
      </c>
      <c r="B37" t="s">
        <v>164</v>
      </c>
      <c r="C37">
        <v>2.5</v>
      </c>
      <c r="E37">
        <f>+GETPIVOTDATA("Cuenta de felicidad",$E$31,"Genero","hombre")*(GETPIVOTDATA("Promedio de felicidad2",$E$31,"Genero","hombre")-GETPIVOTDATA("Promedio de felicidad2",$E$31))^2</f>
        <v>2.660208333333332</v>
      </c>
    </row>
    <row r="38" spans="1:8" x14ac:dyDescent="0.3">
      <c r="A38">
        <v>8</v>
      </c>
      <c r="B38" t="s">
        <v>164</v>
      </c>
      <c r="C38">
        <v>9.1</v>
      </c>
      <c r="E38">
        <f>+GETPIVOTDATA("Cuenta de felicidad",$E$31,"Genero","mujer")*(GETPIVOTDATA("Promedio de felicidad2",$E$31,"Genero","mujer")-GETPIVOTDATA("Promedio de felicidad2",$E$31))^2</f>
        <v>2.660208333333332</v>
      </c>
    </row>
    <row r="39" spans="1:8" x14ac:dyDescent="0.3">
      <c r="A39">
        <v>9</v>
      </c>
      <c r="B39" t="s">
        <v>164</v>
      </c>
      <c r="C39">
        <v>7.4</v>
      </c>
    </row>
    <row r="40" spans="1:8" x14ac:dyDescent="0.3">
      <c r="A40">
        <v>10</v>
      </c>
      <c r="B40" t="s">
        <v>164</v>
      </c>
      <c r="C40">
        <v>3.3</v>
      </c>
      <c r="E40" t="s">
        <v>130</v>
      </c>
    </row>
    <row r="41" spans="1:8" x14ac:dyDescent="0.3">
      <c r="A41">
        <v>11</v>
      </c>
      <c r="B41" t="s">
        <v>164</v>
      </c>
      <c r="C41">
        <v>4.0999999999999996</v>
      </c>
      <c r="E41">
        <f>+GETPIVOTDATA("Var de felicidad3",$E$31)*23</f>
        <v>116.4262500000001</v>
      </c>
    </row>
    <row r="42" spans="1:8" x14ac:dyDescent="0.3">
      <c r="A42">
        <v>12</v>
      </c>
      <c r="B42" t="s">
        <v>164</v>
      </c>
      <c r="C42">
        <v>2.1</v>
      </c>
    </row>
    <row r="43" spans="1:8" x14ac:dyDescent="0.3">
      <c r="A43">
        <v>13</v>
      </c>
      <c r="B43" t="s">
        <v>165</v>
      </c>
      <c r="C43">
        <v>6.6</v>
      </c>
    </row>
    <row r="44" spans="1:8" x14ac:dyDescent="0.3">
      <c r="A44">
        <v>14</v>
      </c>
      <c r="B44" t="s">
        <v>165</v>
      </c>
      <c r="C44">
        <v>2.7</v>
      </c>
      <c r="E44" t="s">
        <v>131</v>
      </c>
      <c r="F44">
        <f>+SQRT((E37+E38)/E41)</f>
        <v>0.21377030059653876</v>
      </c>
    </row>
    <row r="45" spans="1:8" x14ac:dyDescent="0.3">
      <c r="A45">
        <v>15</v>
      </c>
      <c r="B45" t="s">
        <v>165</v>
      </c>
      <c r="C45">
        <v>5.2</v>
      </c>
    </row>
    <row r="46" spans="1:8" x14ac:dyDescent="0.3">
      <c r="A46">
        <v>16</v>
      </c>
      <c r="B46" t="s">
        <v>165</v>
      </c>
      <c r="C46">
        <v>8</v>
      </c>
    </row>
    <row r="47" spans="1:8" x14ac:dyDescent="0.3">
      <c r="A47">
        <v>17</v>
      </c>
      <c r="B47" t="s">
        <v>165</v>
      </c>
      <c r="C47">
        <v>3.6</v>
      </c>
    </row>
    <row r="48" spans="1:8" x14ac:dyDescent="0.3">
      <c r="A48">
        <v>18</v>
      </c>
      <c r="B48" t="s">
        <v>165</v>
      </c>
      <c r="C48">
        <v>5.9</v>
      </c>
    </row>
    <row r="49" spans="1:3" x14ac:dyDescent="0.3">
      <c r="A49">
        <v>19</v>
      </c>
      <c r="B49" t="s">
        <v>165</v>
      </c>
      <c r="C49">
        <v>2.4</v>
      </c>
    </row>
    <row r="50" spans="1:3" x14ac:dyDescent="0.3">
      <c r="A50">
        <v>20</v>
      </c>
      <c r="B50" t="s">
        <v>165</v>
      </c>
      <c r="C50">
        <v>6</v>
      </c>
    </row>
    <row r="51" spans="1:3" x14ac:dyDescent="0.3">
      <c r="A51">
        <v>21</v>
      </c>
      <c r="B51" t="s">
        <v>165</v>
      </c>
      <c r="C51">
        <v>2</v>
      </c>
    </row>
    <row r="52" spans="1:3" x14ac:dyDescent="0.3">
      <c r="A52">
        <v>22</v>
      </c>
      <c r="B52" t="s">
        <v>165</v>
      </c>
      <c r="C52">
        <v>3.6</v>
      </c>
    </row>
    <row r="53" spans="1:3" x14ac:dyDescent="0.3">
      <c r="A53">
        <v>23</v>
      </c>
      <c r="B53" t="s">
        <v>165</v>
      </c>
      <c r="C53">
        <v>3</v>
      </c>
    </row>
    <row r="54" spans="1:3" x14ac:dyDescent="0.3">
      <c r="A54">
        <v>24</v>
      </c>
      <c r="B54" t="s">
        <v>165</v>
      </c>
      <c r="C54">
        <v>5.2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BF41-C3CA-4599-9D82-34BBDFAA8EC6}">
  <dimension ref="A19:H40"/>
  <sheetViews>
    <sheetView topLeftCell="A15" workbookViewId="0">
      <selection activeCell="G32" sqref="G32"/>
    </sheetView>
  </sheetViews>
  <sheetFormatPr baseColWidth="10" defaultRowHeight="14.4" x14ac:dyDescent="0.3"/>
  <sheetData>
    <row r="19" spans="1:8" x14ac:dyDescent="0.3">
      <c r="A19" t="s">
        <v>55</v>
      </c>
    </row>
    <row r="20" spans="1:8" x14ac:dyDescent="0.3">
      <c r="B20" t="s">
        <v>83</v>
      </c>
      <c r="C20" t="s">
        <v>84</v>
      </c>
      <c r="D20" t="s">
        <v>85</v>
      </c>
      <c r="E20" t="s">
        <v>86</v>
      </c>
      <c r="F20" t="s">
        <v>10</v>
      </c>
    </row>
    <row r="21" spans="1:8" x14ac:dyDescent="0.3">
      <c r="B21" t="s">
        <v>81</v>
      </c>
      <c r="C21">
        <v>190</v>
      </c>
      <c r="D21">
        <v>13</v>
      </c>
      <c r="E21">
        <v>25</v>
      </c>
      <c r="F21">
        <f>SUM(C21:E21)</f>
        <v>228</v>
      </c>
      <c r="H21" t="s">
        <v>89</v>
      </c>
    </row>
    <row r="22" spans="1:8" x14ac:dyDescent="0.3">
      <c r="B22" t="s">
        <v>82</v>
      </c>
      <c r="C22">
        <v>60</v>
      </c>
      <c r="D22">
        <v>3</v>
      </c>
      <c r="E22">
        <v>9</v>
      </c>
      <c r="F22">
        <f t="shared" ref="F22:F23" si="0">SUM(C22:E22)</f>
        <v>72</v>
      </c>
      <c r="H22">
        <v>2</v>
      </c>
    </row>
    <row r="23" spans="1:8" x14ac:dyDescent="0.3">
      <c r="B23" t="s">
        <v>10</v>
      </c>
      <c r="C23">
        <f>SUM(C21:C22)</f>
        <v>250</v>
      </c>
      <c r="D23">
        <f t="shared" ref="D23:E23" si="1">SUM(D21:D22)</f>
        <v>16</v>
      </c>
      <c r="E23">
        <f t="shared" si="1"/>
        <v>34</v>
      </c>
      <c r="F23">
        <f t="shared" si="0"/>
        <v>300</v>
      </c>
    </row>
    <row r="25" spans="1:8" x14ac:dyDescent="0.3">
      <c r="B25" t="s">
        <v>87</v>
      </c>
      <c r="C25">
        <f>+C23*$F$21/$F$23</f>
        <v>190</v>
      </c>
      <c r="D25">
        <f>+D23*$F$21/$F$23</f>
        <v>12.16</v>
      </c>
      <c r="E25">
        <f>+E23*$F$21/$F$23</f>
        <v>25.84</v>
      </c>
    </row>
    <row r="26" spans="1:8" x14ac:dyDescent="0.3">
      <c r="C26">
        <f>+C23*$F$22/$F$23</f>
        <v>60</v>
      </c>
      <c r="D26">
        <f t="shared" ref="D26" si="2">+D23*$F$22/$F$23</f>
        <v>3.84</v>
      </c>
      <c r="E26">
        <f>+E23*$F$22/$F$23</f>
        <v>8.16</v>
      </c>
      <c r="H26" s="16" t="s">
        <v>91</v>
      </c>
    </row>
    <row r="28" spans="1:8" x14ac:dyDescent="0.3">
      <c r="B28" t="s">
        <v>88</v>
      </c>
      <c r="D28">
        <f>+_xlfn.CHISQ.INV(0.95,2)</f>
        <v>5.9914645471079799</v>
      </c>
    </row>
    <row r="30" spans="1:8" x14ac:dyDescent="0.3">
      <c r="B30" t="s">
        <v>90</v>
      </c>
      <c r="G30" t="s">
        <v>92</v>
      </c>
    </row>
    <row r="31" spans="1:8" x14ac:dyDescent="0.3">
      <c r="C31">
        <f>+(C21-C25)^2/C25</f>
        <v>0</v>
      </c>
      <c r="D31">
        <f>+(D21-D25)^2/D25</f>
        <v>5.8026315789473669E-2</v>
      </c>
      <c r="E31">
        <f t="shared" ref="E31:E32" si="3">+(E21-E25)^2/E25</f>
        <v>2.7306501547987607E-2</v>
      </c>
      <c r="G31">
        <f>1-_xlfn.CHISQ.DIST(D34,H22,TRUE)</f>
        <v>0.83712933126711186</v>
      </c>
    </row>
    <row r="32" spans="1:8" x14ac:dyDescent="0.3">
      <c r="C32">
        <f>+(C22-C26)^2/C26</f>
        <v>0</v>
      </c>
      <c r="D32">
        <f>+(D22-D26)^2/D26</f>
        <v>0.18374999999999994</v>
      </c>
      <c r="E32">
        <f t="shared" si="3"/>
        <v>8.6470588235294091E-2</v>
      </c>
      <c r="G32" t="s">
        <v>93</v>
      </c>
    </row>
    <row r="34" spans="1:5" x14ac:dyDescent="0.3">
      <c r="D34">
        <f>+SUM(C31:E32)</f>
        <v>0.35555340557275528</v>
      </c>
    </row>
    <row r="36" spans="1:5" x14ac:dyDescent="0.3">
      <c r="A36" t="s">
        <v>94</v>
      </c>
    </row>
    <row r="38" spans="1:5" x14ac:dyDescent="0.3">
      <c r="A38" t="s">
        <v>19</v>
      </c>
      <c r="B38" t="s">
        <v>95</v>
      </c>
      <c r="C38">
        <f>+SQRT(D34/(D34+300))</f>
        <v>3.4406031948280673E-2</v>
      </c>
      <c r="E38" t="s">
        <v>96</v>
      </c>
    </row>
    <row r="40" spans="1:5" x14ac:dyDescent="0.3">
      <c r="A40" t="s">
        <v>97</v>
      </c>
      <c r="B40" t="s">
        <v>98</v>
      </c>
      <c r="C40">
        <f>+SQRT(D34/(300))</f>
        <v>3.4426414547202716E-2</v>
      </c>
      <c r="E40" t="s">
        <v>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94A4-C7B7-47F6-B13C-40F62CEE80AE}">
  <dimension ref="A14:I79"/>
  <sheetViews>
    <sheetView topLeftCell="A54" workbookViewId="0">
      <selection activeCell="F21" sqref="F21"/>
    </sheetView>
  </sheetViews>
  <sheetFormatPr baseColWidth="10" defaultRowHeight="14.4" x14ac:dyDescent="0.3"/>
  <cols>
    <col min="4" max="4" width="12" bestFit="1" customWidth="1"/>
  </cols>
  <sheetData>
    <row r="14" spans="2:5" x14ac:dyDescent="0.3">
      <c r="B14" t="s">
        <v>83</v>
      </c>
      <c r="C14" t="s">
        <v>85</v>
      </c>
      <c r="D14" t="s">
        <v>86</v>
      </c>
      <c r="E14" t="s">
        <v>10</v>
      </c>
    </row>
    <row r="15" spans="2:5" x14ac:dyDescent="0.3">
      <c r="B15" t="s">
        <v>81</v>
      </c>
      <c r="C15">
        <v>13</v>
      </c>
      <c r="D15">
        <v>25</v>
      </c>
      <c r="E15">
        <f>SUM(C15:D15)</f>
        <v>38</v>
      </c>
    </row>
    <row r="16" spans="2:5" x14ac:dyDescent="0.3">
      <c r="B16" t="s">
        <v>82</v>
      </c>
      <c r="C16">
        <v>3</v>
      </c>
      <c r="D16">
        <v>9</v>
      </c>
      <c r="E16">
        <f>SUM(C16:D16)</f>
        <v>12</v>
      </c>
    </row>
    <row r="17" spans="1:9" x14ac:dyDescent="0.3">
      <c r="B17" t="s">
        <v>10</v>
      </c>
      <c r="C17">
        <f t="shared" ref="C17:D17" si="0">SUM(C15:C16)</f>
        <v>16</v>
      </c>
      <c r="D17">
        <f t="shared" si="0"/>
        <v>34</v>
      </c>
      <c r="E17">
        <f>SUM(C17:D17)</f>
        <v>50</v>
      </c>
    </row>
    <row r="19" spans="1:9" x14ac:dyDescent="0.3">
      <c r="A19" t="s">
        <v>101</v>
      </c>
      <c r="F19" t="s">
        <v>115</v>
      </c>
    </row>
    <row r="20" spans="1:9" x14ac:dyDescent="0.3">
      <c r="A20" t="s">
        <v>102</v>
      </c>
      <c r="F20" t="s">
        <v>116</v>
      </c>
    </row>
    <row r="21" spans="1:9" ht="15" thickBot="1" x14ac:dyDescent="0.35">
      <c r="G21" t="s">
        <v>99</v>
      </c>
    </row>
    <row r="22" spans="1:9" x14ac:dyDescent="0.3">
      <c r="A22" s="17">
        <f>+A26-1</f>
        <v>4</v>
      </c>
      <c r="B22" s="18">
        <f>+B26+1</f>
        <v>34</v>
      </c>
      <c r="C22" s="19">
        <f>SUM(A22:B22)</f>
        <v>38</v>
      </c>
      <c r="D22">
        <f>+COMBIN(A24,A22)*COMBIN(B24,B22)/COMBIN($E$17,C22)</f>
        <v>1.4991805853715508E-8</v>
      </c>
      <c r="G22">
        <f>+D22+I37+I41+I33+D50+D46+D42+D38+D34+D30+D26+I45</f>
        <v>0.72780571459154719</v>
      </c>
    </row>
    <row r="23" spans="1:9" x14ac:dyDescent="0.3">
      <c r="A23" s="20">
        <f>+A27+1</f>
        <v>12</v>
      </c>
      <c r="B23" s="21">
        <f>+B27-1</f>
        <v>0</v>
      </c>
      <c r="C23" s="22">
        <f>SUM(A23:B23)</f>
        <v>12</v>
      </c>
    </row>
    <row r="24" spans="1:9" ht="15" thickBot="1" x14ac:dyDescent="0.35">
      <c r="A24" s="23">
        <f>SUM(A22:A23)</f>
        <v>16</v>
      </c>
      <c r="B24" s="24">
        <f t="shared" ref="B24" si="1">SUM(B22:B23)</f>
        <v>34</v>
      </c>
      <c r="C24" s="25"/>
    </row>
    <row r="25" spans="1:9" x14ac:dyDescent="0.3">
      <c r="A25" s="26"/>
      <c r="B25" s="27"/>
      <c r="C25" s="19"/>
      <c r="G25" t="s">
        <v>100</v>
      </c>
    </row>
    <row r="26" spans="1:9" x14ac:dyDescent="0.3">
      <c r="A26" s="20">
        <f>+A30-1</f>
        <v>5</v>
      </c>
      <c r="B26" s="21">
        <f>+B30+1</f>
        <v>33</v>
      </c>
      <c r="C26" s="22">
        <f>SUM(A26:B26)</f>
        <v>38</v>
      </c>
      <c r="D26">
        <f>+COMBIN(A28,A26)*COMBIN(B28,B26)/COMBIN($E$17,C26)</f>
        <v>1.2233313576631852E-6</v>
      </c>
    </row>
    <row r="27" spans="1:9" x14ac:dyDescent="0.3">
      <c r="A27" s="20">
        <f>+A31+1</f>
        <v>11</v>
      </c>
      <c r="B27" s="21">
        <f>+B31-1</f>
        <v>1</v>
      </c>
      <c r="C27" s="22">
        <f>SUM(A27:B27)</f>
        <v>12</v>
      </c>
    </row>
    <row r="28" spans="1:9" ht="15" thickBot="1" x14ac:dyDescent="0.35">
      <c r="A28" s="23">
        <f>SUM(A26:A27)</f>
        <v>16</v>
      </c>
      <c r="B28" s="24">
        <f t="shared" ref="B28" si="2">SUM(B26:B27)</f>
        <v>34</v>
      </c>
      <c r="C28" s="25"/>
    </row>
    <row r="29" spans="1:9" ht="15" thickBot="1" x14ac:dyDescent="0.35">
      <c r="F29" s="17">
        <v>12</v>
      </c>
      <c r="G29" s="18">
        <v>26</v>
      </c>
      <c r="H29" s="19">
        <f>SUM(F29:G29)</f>
        <v>38</v>
      </c>
      <c r="I29">
        <f>+COMBIN(F31,F29)*COMBIN(G31,G29)/COMBIN($E$17,H29)</f>
        <v>0.27219428540845297</v>
      </c>
    </row>
    <row r="30" spans="1:9" x14ac:dyDescent="0.3">
      <c r="A30" s="17">
        <f>+A34-1</f>
        <v>6</v>
      </c>
      <c r="B30" s="18">
        <f>+B34+1</f>
        <v>32</v>
      </c>
      <c r="C30" s="19">
        <f>SUM(A30:B30)</f>
        <v>38</v>
      </c>
      <c r="D30">
        <f>+COMBIN(A32,A30)*COMBIN(B32,B30)/COMBIN($E$17,C30)</f>
        <v>3.7005773569311352E-5</v>
      </c>
      <c r="F30" s="20">
        <v>4</v>
      </c>
      <c r="G30" s="21">
        <v>8</v>
      </c>
      <c r="H30" s="22">
        <f>SUM(F30:G30)</f>
        <v>12</v>
      </c>
    </row>
    <row r="31" spans="1:9" ht="15" thickBot="1" x14ac:dyDescent="0.35">
      <c r="A31" s="20">
        <f>+A35+1</f>
        <v>10</v>
      </c>
      <c r="B31" s="21">
        <f>+B35-1</f>
        <v>2</v>
      </c>
      <c r="C31" s="22">
        <f>SUM(A31:B31)</f>
        <v>12</v>
      </c>
      <c r="F31" s="23">
        <f>SUM(F29:F30)</f>
        <v>16</v>
      </c>
      <c r="G31" s="24">
        <f>SUM(G29:G30)</f>
        <v>34</v>
      </c>
      <c r="H31" s="25"/>
    </row>
    <row r="32" spans="1:9" ht="15" thickBot="1" x14ac:dyDescent="0.35">
      <c r="A32" s="23">
        <f>SUM(A30:A31)</f>
        <v>16</v>
      </c>
      <c r="B32" s="24">
        <f t="shared" ref="B32" si="3">SUM(B30:B31)</f>
        <v>34</v>
      </c>
      <c r="C32" s="25"/>
    </row>
    <row r="33" spans="1:9" ht="15" thickBot="1" x14ac:dyDescent="0.35">
      <c r="F33" s="28">
        <v>13</v>
      </c>
      <c r="G33" s="29">
        <v>25</v>
      </c>
      <c r="H33" s="19">
        <f>SUM(F33:G33)</f>
        <v>38</v>
      </c>
      <c r="I33">
        <f>+COMBIN(F35,F33)*COMBIN(G35,G33)/COMBIN($E$17,H33)</f>
        <v>0.24195047591862479</v>
      </c>
    </row>
    <row r="34" spans="1:9" x14ac:dyDescent="0.3">
      <c r="A34" s="17">
        <f>+A38-1</f>
        <v>7</v>
      </c>
      <c r="B34" s="18">
        <f>+B38+1</f>
        <v>31</v>
      </c>
      <c r="C34" s="19">
        <f>SUM(A34:B34)</f>
        <v>38</v>
      </c>
      <c r="D34">
        <f>+COMBIN(A36,A34)*COMBIN(B36,B34)/COMBIN($E$17,C34)</f>
        <v>5.6389750200855392E-4</v>
      </c>
      <c r="F34" s="30">
        <v>3</v>
      </c>
      <c r="G34" s="8">
        <v>9</v>
      </c>
      <c r="H34" s="22">
        <f>SUM(F34:G34)</f>
        <v>12</v>
      </c>
    </row>
    <row r="35" spans="1:9" ht="15" thickBot="1" x14ac:dyDescent="0.35">
      <c r="A35" s="20">
        <f>+A39+1</f>
        <v>9</v>
      </c>
      <c r="B35" s="21">
        <f>+B39-1</f>
        <v>3</v>
      </c>
      <c r="C35" s="22">
        <f>SUM(A35:B35)</f>
        <v>12</v>
      </c>
      <c r="F35" s="23">
        <f t="shared" ref="F35" si="4">SUM(F33:F34)</f>
        <v>16</v>
      </c>
      <c r="G35" s="24">
        <f t="shared" ref="G35" si="5">SUM(G33:G34)</f>
        <v>34</v>
      </c>
      <c r="H35" s="25"/>
    </row>
    <row r="36" spans="1:9" ht="15" thickBot="1" x14ac:dyDescent="0.35">
      <c r="A36" s="23">
        <f>SUM(A34:A35)</f>
        <v>16</v>
      </c>
      <c r="B36" s="24">
        <f t="shared" ref="B36" si="6">SUM(B34:B35)</f>
        <v>34</v>
      </c>
      <c r="C36" s="25"/>
    </row>
    <row r="37" spans="1:9" ht="15" thickBot="1" x14ac:dyDescent="0.35">
      <c r="F37" s="17">
        <v>14</v>
      </c>
      <c r="G37" s="18">
        <v>24</v>
      </c>
      <c r="H37" s="19">
        <f>SUM(F37:G37)</f>
        <v>38</v>
      </c>
      <c r="I37">
        <f>+COMBIN(F39,F37)*COMBIN(G39,G37)/COMBIN($E$17,H37)</f>
        <v>0.12961632638497753</v>
      </c>
    </row>
    <row r="38" spans="1:9" x14ac:dyDescent="0.3">
      <c r="A38" s="17">
        <f>+A42-1</f>
        <v>8</v>
      </c>
      <c r="B38" s="18">
        <f>+B42+1</f>
        <v>30</v>
      </c>
      <c r="C38" s="19">
        <f>SUM(A38:B38)</f>
        <v>38</v>
      </c>
      <c r="D38">
        <f>+COMBIN(A40,A38)*COMBIN(B40,B38)/COMBIN($E$17,C38)</f>
        <v>4.9164813456370792E-3</v>
      </c>
      <c r="F38" s="20">
        <v>2</v>
      </c>
      <c r="G38" s="21">
        <v>10</v>
      </c>
      <c r="H38" s="22">
        <f>SUM(F38:G38)</f>
        <v>12</v>
      </c>
    </row>
    <row r="39" spans="1:9" ht="15" thickBot="1" x14ac:dyDescent="0.35">
      <c r="A39" s="20">
        <f>+A43+1</f>
        <v>8</v>
      </c>
      <c r="B39" s="21">
        <f>+B43-1</f>
        <v>4</v>
      </c>
      <c r="C39" s="22">
        <f>SUM(A39:B39)</f>
        <v>12</v>
      </c>
      <c r="F39" s="23">
        <f>SUM(F37:F38)</f>
        <v>16</v>
      </c>
      <c r="G39" s="24">
        <f>SUM(G37:G38)</f>
        <v>34</v>
      </c>
      <c r="H39" s="25"/>
    </row>
    <row r="40" spans="1:9" ht="15" thickBot="1" x14ac:dyDescent="0.35">
      <c r="A40" s="23">
        <f>SUM(A38:A39)</f>
        <v>16</v>
      </c>
      <c r="B40" s="24">
        <f t="shared" ref="B40" si="7">SUM(B38:B39)</f>
        <v>34</v>
      </c>
      <c r="C40" s="25"/>
    </row>
    <row r="41" spans="1:9" ht="15" thickBot="1" x14ac:dyDescent="0.35">
      <c r="F41" s="17">
        <f>+F37+1</f>
        <v>15</v>
      </c>
      <c r="G41" s="18">
        <f>+G37-1</f>
        <v>23</v>
      </c>
      <c r="H41" s="19">
        <f>SUM(F41:G41)</f>
        <v>38</v>
      </c>
      <c r="I41">
        <f>+COMBIN(F43,F41)*COMBIN(G43,G41)/COMBIN($E$17,H41)</f>
        <v>3.7706567675629854E-2</v>
      </c>
    </row>
    <row r="42" spans="1:9" x14ac:dyDescent="0.3">
      <c r="A42" s="17">
        <f>+A46-1</f>
        <v>9</v>
      </c>
      <c r="B42" s="18">
        <f>+B46+1</f>
        <v>29</v>
      </c>
      <c r="C42" s="19">
        <f>SUM(A42:B42)</f>
        <v>38</v>
      </c>
      <c r="D42">
        <f>+COMBIN(A44,A42)*COMBIN(B44,B42)/COMBIN($E$17,C42)</f>
        <v>2.6221233843397758E-2</v>
      </c>
      <c r="F42" s="20">
        <f>+F38-1</f>
        <v>1</v>
      </c>
      <c r="G42" s="21">
        <f>+G38+1</f>
        <v>11</v>
      </c>
      <c r="H42" s="22">
        <f>SUM(F42:G42)</f>
        <v>12</v>
      </c>
    </row>
    <row r="43" spans="1:9" ht="15" thickBot="1" x14ac:dyDescent="0.35">
      <c r="A43" s="20">
        <f>+A47+1</f>
        <v>7</v>
      </c>
      <c r="B43" s="21">
        <f>+B47-1</f>
        <v>5</v>
      </c>
      <c r="C43" s="22">
        <f>SUM(A43:B43)</f>
        <v>12</v>
      </c>
      <c r="F43" s="23">
        <f>SUM(F41:F42)</f>
        <v>16</v>
      </c>
      <c r="G43" s="24">
        <f>SUM(G41:G42)</f>
        <v>34</v>
      </c>
      <c r="H43" s="25"/>
    </row>
    <row r="44" spans="1:9" ht="15" thickBot="1" x14ac:dyDescent="0.35">
      <c r="A44" s="23">
        <f>SUM(A42:A43)</f>
        <v>16</v>
      </c>
      <c r="B44" s="24">
        <f t="shared" ref="B44" si="8">SUM(B42:B43)</f>
        <v>34</v>
      </c>
      <c r="C44" s="25"/>
    </row>
    <row r="45" spans="1:9" ht="15" thickBot="1" x14ac:dyDescent="0.35">
      <c r="F45" s="17">
        <f>+F41+1</f>
        <v>16</v>
      </c>
      <c r="G45" s="18">
        <f>+G41-1</f>
        <v>22</v>
      </c>
      <c r="H45" s="19">
        <f>SUM(F45:G45)</f>
        <v>38</v>
      </c>
      <c r="I45">
        <f>+COMBIN(F47,F45)*COMBIN(G47,G45)/COMBIN($E$17,H45)</f>
        <v>4.516932586143157E-3</v>
      </c>
    </row>
    <row r="46" spans="1:9" x14ac:dyDescent="0.3">
      <c r="A46" s="17">
        <f>+A50-1</f>
        <v>10</v>
      </c>
      <c r="B46" s="18">
        <f>+B50+1</f>
        <v>28</v>
      </c>
      <c r="C46" s="19">
        <f>SUM(A46:B46)</f>
        <v>38</v>
      </c>
      <c r="D46">
        <f>+COMBIN(A48,A46)*COMBIN(B48,B46)/COMBIN($E$17,C46)</f>
        <v>8.8715174503495753E-2</v>
      </c>
      <c r="F46" s="20">
        <f>+F42-1</f>
        <v>0</v>
      </c>
      <c r="G46" s="21">
        <f>+G42+1</f>
        <v>12</v>
      </c>
      <c r="H46" s="22">
        <f>SUM(F46:G46)</f>
        <v>12</v>
      </c>
    </row>
    <row r="47" spans="1:9" ht="15" thickBot="1" x14ac:dyDescent="0.35">
      <c r="A47" s="20">
        <f>+A51+1</f>
        <v>6</v>
      </c>
      <c r="B47" s="21">
        <f>+B51-1</f>
        <v>6</v>
      </c>
      <c r="C47" s="22">
        <f>SUM(A47:B47)</f>
        <v>12</v>
      </c>
      <c r="F47" s="23">
        <f>SUM(F45:F46)</f>
        <v>16</v>
      </c>
      <c r="G47" s="24">
        <f>SUM(G45:G46)</f>
        <v>34</v>
      </c>
      <c r="H47" s="25"/>
    </row>
    <row r="48" spans="1:9" ht="15" thickBot="1" x14ac:dyDescent="0.35">
      <c r="A48" s="23">
        <f>SUM(A46:A47)</f>
        <v>16</v>
      </c>
      <c r="B48" s="24">
        <f t="shared" ref="B48" si="9">SUM(B46:B47)</f>
        <v>34</v>
      </c>
      <c r="C48" s="25"/>
    </row>
    <row r="49" spans="1:9" ht="15" thickBot="1" x14ac:dyDescent="0.35">
      <c r="I49">
        <f>SUM(D22:D73)</f>
        <v>0.95504105305181297</v>
      </c>
    </row>
    <row r="50" spans="1:9" x14ac:dyDescent="0.3">
      <c r="A50" s="17">
        <v>11</v>
      </c>
      <c r="B50" s="18">
        <v>27</v>
      </c>
      <c r="C50" s="19">
        <f>SUM(A50:B50)</f>
        <v>38</v>
      </c>
      <c r="D50">
        <f>+COMBIN(A52,A50)*COMBIN(B52,B50)/COMBIN($E$17,C50)</f>
        <v>0.19356038073489978</v>
      </c>
    </row>
    <row r="51" spans="1:9" x14ac:dyDescent="0.3">
      <c r="A51" s="20">
        <v>5</v>
      </c>
      <c r="B51" s="21">
        <v>7</v>
      </c>
      <c r="C51" s="22">
        <f>SUM(A51:B51)</f>
        <v>12</v>
      </c>
    </row>
    <row r="52" spans="1:9" ht="15" thickBot="1" x14ac:dyDescent="0.35">
      <c r="A52" s="23">
        <f>SUM(A50:A51)</f>
        <v>16</v>
      </c>
      <c r="B52" s="24">
        <f>SUM(B50:B51)</f>
        <v>34</v>
      </c>
      <c r="C52" s="25"/>
    </row>
    <row r="56" spans="1:9" x14ac:dyDescent="0.3">
      <c r="A56" t="s">
        <v>103</v>
      </c>
    </row>
    <row r="60" spans="1:9" x14ac:dyDescent="0.3">
      <c r="A60" s="7"/>
      <c r="B60" s="7" t="s">
        <v>104</v>
      </c>
      <c r="C60" s="7"/>
      <c r="D60" s="7"/>
      <c r="E60" t="s">
        <v>83</v>
      </c>
      <c r="F60" t="s">
        <v>85</v>
      </c>
      <c r="G60" t="s">
        <v>86</v>
      </c>
      <c r="H60" t="s">
        <v>10</v>
      </c>
    </row>
    <row r="61" spans="1:9" x14ac:dyDescent="0.3">
      <c r="A61" s="1"/>
      <c r="B61" s="1" t="s">
        <v>105</v>
      </c>
      <c r="C61" s="1"/>
      <c r="D61" s="1"/>
      <c r="E61" t="s">
        <v>81</v>
      </c>
      <c r="F61">
        <v>13</v>
      </c>
      <c r="G61">
        <v>25</v>
      </c>
      <c r="H61">
        <f>SUM(F61:G61)</f>
        <v>38</v>
      </c>
    </row>
    <row r="62" spans="1:9" x14ac:dyDescent="0.3">
      <c r="B62" t="s">
        <v>106</v>
      </c>
      <c r="E62" t="s">
        <v>82</v>
      </c>
      <c r="F62">
        <v>3</v>
      </c>
      <c r="G62">
        <v>9</v>
      </c>
      <c r="H62">
        <f>SUM(F62:G62)</f>
        <v>12</v>
      </c>
    </row>
    <row r="63" spans="1:9" x14ac:dyDescent="0.3">
      <c r="B63" t="s">
        <v>107</v>
      </c>
      <c r="E63" t="s">
        <v>10</v>
      </c>
      <c r="F63">
        <f t="shared" ref="F63" si="10">SUM(F61:F62)</f>
        <v>16</v>
      </c>
      <c r="G63">
        <f t="shared" ref="G63" si="11">SUM(G61:G62)</f>
        <v>34</v>
      </c>
      <c r="H63">
        <f>SUM(F63:G63)</f>
        <v>50</v>
      </c>
    </row>
    <row r="65" spans="1:6" x14ac:dyDescent="0.3">
      <c r="B65">
        <f>+G61/G63</f>
        <v>0.73529411764705888</v>
      </c>
    </row>
    <row r="66" spans="1:6" x14ac:dyDescent="0.3">
      <c r="B66" s="1">
        <f>+G62/G63</f>
        <v>0.26470588235294118</v>
      </c>
      <c r="C66" s="1">
        <f>+B65/B66</f>
        <v>2.7777777777777781</v>
      </c>
      <c r="D66">
        <f>+C66/C67</f>
        <v>0.64102564102564119</v>
      </c>
    </row>
    <row r="67" spans="1:6" x14ac:dyDescent="0.3">
      <c r="B67">
        <f>+F61/F63</f>
        <v>0.8125</v>
      </c>
      <c r="C67">
        <f>+B67/B68</f>
        <v>4.333333333333333</v>
      </c>
      <c r="F67" t="s">
        <v>114</v>
      </c>
    </row>
    <row r="68" spans="1:6" x14ac:dyDescent="0.3">
      <c r="B68">
        <f>+F62/F63</f>
        <v>0.1875</v>
      </c>
    </row>
    <row r="75" spans="1:6" x14ac:dyDescent="0.3">
      <c r="B75" s="1" t="s">
        <v>104</v>
      </c>
      <c r="C75" s="1"/>
      <c r="D75" s="1"/>
      <c r="E75">
        <f>+B65</f>
        <v>0.73529411764705888</v>
      </c>
      <c r="F75">
        <f>+E75/E76</f>
        <v>0.90497737556561098</v>
      </c>
    </row>
    <row r="76" spans="1:6" x14ac:dyDescent="0.3">
      <c r="B76" t="s">
        <v>106</v>
      </c>
      <c r="E76">
        <f>+B67</f>
        <v>0.8125</v>
      </c>
    </row>
    <row r="79" spans="1:6" ht="18" x14ac:dyDescent="0.35">
      <c r="A79" s="32" t="s">
        <v>108</v>
      </c>
      <c r="B79" s="31"/>
      <c r="C79" s="3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15</vt:lpstr>
      <vt:lpstr>16</vt:lpstr>
      <vt:lpstr>17</vt:lpstr>
      <vt:lpstr>18</vt:lpstr>
      <vt:lpstr>19</vt:lpstr>
      <vt:lpstr>20</vt:lpstr>
      <vt:lpstr>24</vt:lpstr>
      <vt:lpstr>25</vt:lpstr>
      <vt:lpstr>26</vt:lpstr>
      <vt:lpstr>27</vt:lpstr>
      <vt:lpstr>29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2022-05-24T01:44:06Z</dcterms:created>
  <dcterms:modified xsi:type="dcterms:W3CDTF">2022-06-02T03:33:29Z</dcterms:modified>
</cp:coreProperties>
</file>