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15" windowWidth="15480" windowHeight="6870" activeTab="5"/>
  </bookViews>
  <sheets>
    <sheet name="8月报" sheetId="1" r:id="rId1"/>
    <sheet name="Sheet1" sheetId="3" r:id="rId2"/>
    <sheet name="9月报" sheetId="2" r:id="rId3"/>
    <sheet name="BL制造数差" sheetId="4" r:id="rId4"/>
    <sheet name="QA数差" sheetId="5" r:id="rId5"/>
    <sheet name="汇报" sheetId="6" r:id="rId6"/>
    <sheet name="Sheet2" sheetId="7" r:id="rId7"/>
  </sheets>
  <definedNames>
    <definedName name="_xlnm._FilterDatabase" localSheetId="0" hidden="1">'8月报'!$Q$57:$T$57</definedName>
    <definedName name="_xlnm.Print_Area" localSheetId="5">汇报!$A$42:$R$48</definedName>
  </definedNames>
  <calcPr calcId="145621"/>
</workbook>
</file>

<file path=xl/calcChain.xml><?xml version="1.0" encoding="utf-8"?>
<calcChain xmlns="http://schemas.openxmlformats.org/spreadsheetml/2006/main">
  <c r="O44" i="6" l="1"/>
  <c r="O45" i="6"/>
  <c r="O46" i="6"/>
  <c r="O47" i="6"/>
  <c r="O48" i="6"/>
  <c r="O49" i="6"/>
  <c r="O50" i="6"/>
  <c r="O51" i="6"/>
  <c r="O52" i="6"/>
  <c r="O53" i="6"/>
  <c r="Q53" i="6"/>
  <c r="O54" i="6"/>
  <c r="Q54" i="6"/>
  <c r="O55" i="6"/>
  <c r="Q55" i="6"/>
  <c r="O56" i="6"/>
  <c r="Q56" i="6"/>
  <c r="O57" i="6"/>
  <c r="Q57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10" i="6"/>
  <c r="K25" i="6"/>
  <c r="G57" i="6"/>
  <c r="E57" i="6"/>
  <c r="D57" i="6"/>
  <c r="F45" i="6"/>
  <c r="F46" i="6"/>
  <c r="F47" i="6"/>
  <c r="F48" i="6"/>
  <c r="H48" i="6"/>
  <c r="F49" i="6"/>
  <c r="F50" i="6"/>
  <c r="H50" i="6"/>
  <c r="F51" i="6"/>
  <c r="H51" i="6"/>
  <c r="F52" i="6"/>
  <c r="H52" i="6"/>
  <c r="F53" i="6"/>
  <c r="H53" i="6"/>
  <c r="F54" i="6"/>
  <c r="H54" i="6"/>
  <c r="F55" i="6"/>
  <c r="F44" i="6"/>
  <c r="H44" i="6"/>
  <c r="Q44" i="6"/>
  <c r="R44" i="6"/>
  <c r="Q45" i="6"/>
  <c r="P46" i="6"/>
  <c r="Q46" i="6"/>
  <c r="Q47" i="6"/>
  <c r="Q48" i="6"/>
  <c r="H49" i="6"/>
  <c r="Q49" i="6"/>
  <c r="P50" i="6"/>
  <c r="P51" i="6"/>
  <c r="Q52" i="6"/>
  <c r="H55" i="6"/>
  <c r="G101" i="6"/>
  <c r="G100" i="6"/>
  <c r="G96" i="6"/>
  <c r="Q11" i="6"/>
  <c r="I11" i="6"/>
  <c r="G97" i="6"/>
  <c r="G114" i="6"/>
  <c r="G107" i="6"/>
  <c r="G103" i="6"/>
  <c r="G111" i="6"/>
  <c r="G94" i="6"/>
  <c r="E130" i="6"/>
  <c r="D130" i="6"/>
  <c r="C130" i="6"/>
  <c r="F129" i="6"/>
  <c r="H129" i="6"/>
  <c r="F128" i="6"/>
  <c r="H128" i="6"/>
  <c r="F127" i="6"/>
  <c r="H127" i="6"/>
  <c r="F126" i="6"/>
  <c r="H126" i="6"/>
  <c r="F125" i="6"/>
  <c r="H125" i="6"/>
  <c r="F124" i="6"/>
  <c r="H124" i="6"/>
  <c r="F123" i="6"/>
  <c r="H123" i="6"/>
  <c r="F122" i="6"/>
  <c r="H122" i="6"/>
  <c r="F121" i="6"/>
  <c r="H121" i="6"/>
  <c r="F120" i="6"/>
  <c r="H120" i="6"/>
  <c r="F119" i="6"/>
  <c r="H119" i="6"/>
  <c r="F118" i="6"/>
  <c r="H118" i="6"/>
  <c r="F117" i="6"/>
  <c r="H117" i="6"/>
  <c r="F116" i="6"/>
  <c r="H116" i="6"/>
  <c r="F115" i="6"/>
  <c r="H115" i="6"/>
  <c r="F114" i="6"/>
  <c r="F113" i="6"/>
  <c r="H113" i="6"/>
  <c r="F112" i="6"/>
  <c r="H112" i="6"/>
  <c r="F111" i="6"/>
  <c r="F110" i="6"/>
  <c r="H110" i="6"/>
  <c r="F109" i="6"/>
  <c r="H109" i="6"/>
  <c r="F108" i="6"/>
  <c r="H108" i="6"/>
  <c r="F107" i="6"/>
  <c r="H107" i="6"/>
  <c r="F106" i="6"/>
  <c r="H106" i="6"/>
  <c r="F105" i="6"/>
  <c r="H105" i="6"/>
  <c r="F104" i="6"/>
  <c r="H104" i="6"/>
  <c r="F103" i="6"/>
  <c r="F102" i="6"/>
  <c r="H102" i="6"/>
  <c r="F101" i="6"/>
  <c r="H101" i="6"/>
  <c r="F100" i="6"/>
  <c r="F99" i="6"/>
  <c r="H99" i="6"/>
  <c r="G98" i="6"/>
  <c r="F98" i="6"/>
  <c r="F97" i="6"/>
  <c r="F96" i="6"/>
  <c r="F95" i="6"/>
  <c r="H95" i="6"/>
  <c r="F94" i="6"/>
  <c r="H94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10" i="6"/>
  <c r="J10" i="6"/>
  <c r="H11" i="6"/>
  <c r="H12" i="6"/>
  <c r="H13" i="6"/>
  <c r="J13" i="6"/>
  <c r="H14" i="6"/>
  <c r="J14" i="6"/>
  <c r="H15" i="6"/>
  <c r="H16" i="6"/>
  <c r="H17" i="6"/>
  <c r="J17" i="6"/>
  <c r="H18" i="6"/>
  <c r="H19" i="6"/>
  <c r="H20" i="6"/>
  <c r="H21" i="6"/>
  <c r="H22" i="6"/>
  <c r="J22" i="6"/>
  <c r="H23" i="6"/>
  <c r="H24" i="6"/>
  <c r="C25" i="6"/>
  <c r="D25" i="6"/>
  <c r="E25" i="6"/>
  <c r="F25" i="6"/>
  <c r="G25" i="6"/>
  <c r="L25" i="6"/>
  <c r="M25" i="6"/>
  <c r="N25" i="6"/>
  <c r="O25" i="6"/>
  <c r="P25" i="6"/>
  <c r="R25" i="6"/>
  <c r="S25" i="6"/>
  <c r="T25" i="6"/>
  <c r="V25" i="6"/>
  <c r="E42" i="3"/>
  <c r="E41" i="3"/>
  <c r="T38" i="3"/>
  <c r="O38" i="3"/>
  <c r="T37" i="3"/>
  <c r="V37" i="3"/>
  <c r="O37" i="3"/>
  <c r="T36" i="3"/>
  <c r="V36" i="3"/>
  <c r="O36" i="3"/>
  <c r="T35" i="3"/>
  <c r="O35" i="3"/>
  <c r="T34" i="3"/>
  <c r="O34" i="3"/>
  <c r="T33" i="3"/>
  <c r="O33" i="3"/>
  <c r="T32" i="3"/>
  <c r="O32" i="3"/>
  <c r="T31" i="3"/>
  <c r="V31" i="3"/>
  <c r="O31" i="3"/>
  <c r="T30" i="3"/>
  <c r="O30" i="3"/>
  <c r="T29" i="3"/>
  <c r="N29" i="3"/>
  <c r="O29" i="3"/>
  <c r="V29" i="3"/>
  <c r="T28" i="3"/>
  <c r="O28" i="3"/>
  <c r="J38" i="3"/>
  <c r="K38" i="3"/>
  <c r="J37" i="3"/>
  <c r="J36" i="3"/>
  <c r="K36" i="3"/>
  <c r="J35" i="3"/>
  <c r="K35" i="3"/>
  <c r="J34" i="3"/>
  <c r="K34" i="3"/>
  <c r="J33" i="3"/>
  <c r="K33" i="3"/>
  <c r="J32" i="3"/>
  <c r="K32" i="3"/>
  <c r="J31" i="3"/>
  <c r="K31" i="3"/>
  <c r="J30" i="3"/>
  <c r="K30" i="3"/>
  <c r="J29" i="3"/>
  <c r="K29" i="3"/>
  <c r="J28" i="3"/>
  <c r="K28" i="3"/>
  <c r="G79" i="3"/>
  <c r="V32" i="3"/>
  <c r="V38" i="3"/>
  <c r="V28" i="3"/>
  <c r="V30" i="3"/>
  <c r="V33" i="3"/>
  <c r="V35" i="3"/>
  <c r="V34" i="3"/>
  <c r="J4" i="5"/>
  <c r="K4" i="5"/>
  <c r="J5" i="5"/>
  <c r="J6" i="5"/>
  <c r="K6" i="5"/>
  <c r="J7" i="5"/>
  <c r="J8" i="5"/>
  <c r="J9" i="5"/>
  <c r="K9" i="5"/>
  <c r="J10" i="5"/>
  <c r="K10" i="5"/>
  <c r="J11" i="5"/>
  <c r="K11" i="5"/>
  <c r="J12" i="5"/>
  <c r="J13" i="5"/>
  <c r="J3" i="5"/>
  <c r="K3" i="5"/>
  <c r="D4" i="5"/>
  <c r="E4" i="5"/>
  <c r="E5" i="5"/>
  <c r="K5" i="5"/>
  <c r="E6" i="5"/>
  <c r="E7" i="5"/>
  <c r="K7" i="5"/>
  <c r="E8" i="5"/>
  <c r="K8" i="5"/>
  <c r="E9" i="5"/>
  <c r="E10" i="5"/>
  <c r="E11" i="5"/>
  <c r="E12" i="5"/>
  <c r="K12" i="5"/>
  <c r="E13" i="5"/>
  <c r="K13" i="5"/>
  <c r="E3" i="5"/>
  <c r="I13" i="4"/>
  <c r="I12" i="4"/>
  <c r="I11" i="4"/>
  <c r="I10" i="4"/>
  <c r="I9" i="4"/>
  <c r="I8" i="4"/>
  <c r="I7" i="4"/>
  <c r="I6" i="4"/>
  <c r="I5" i="4"/>
  <c r="I4" i="4"/>
  <c r="I3" i="4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47" i="3"/>
  <c r="G81" i="3"/>
  <c r="G80" i="3"/>
  <c r="D113" i="3"/>
  <c r="E113" i="3"/>
  <c r="G113" i="3"/>
  <c r="C113" i="3"/>
  <c r="F78" i="3"/>
  <c r="H78" i="3"/>
  <c r="F79" i="3"/>
  <c r="H79" i="3"/>
  <c r="F80" i="3"/>
  <c r="H80" i="3"/>
  <c r="F81" i="3"/>
  <c r="H81" i="3"/>
  <c r="F82" i="3"/>
  <c r="H82" i="3"/>
  <c r="F83" i="3"/>
  <c r="H83" i="3"/>
  <c r="F84" i="3"/>
  <c r="H84" i="3"/>
  <c r="F85" i="3"/>
  <c r="H85" i="3"/>
  <c r="F86" i="3"/>
  <c r="H86" i="3"/>
  <c r="F87" i="3"/>
  <c r="H87" i="3"/>
  <c r="F88" i="3"/>
  <c r="H88" i="3"/>
  <c r="F89" i="3"/>
  <c r="H89" i="3"/>
  <c r="F90" i="3"/>
  <c r="H90" i="3"/>
  <c r="F91" i="3"/>
  <c r="H91" i="3"/>
  <c r="F92" i="3"/>
  <c r="H92" i="3"/>
  <c r="F93" i="3"/>
  <c r="H93" i="3"/>
  <c r="F94" i="3"/>
  <c r="H94" i="3"/>
  <c r="F95" i="3"/>
  <c r="H95" i="3"/>
  <c r="F96" i="3"/>
  <c r="H96" i="3"/>
  <c r="F97" i="3"/>
  <c r="H97" i="3"/>
  <c r="F98" i="3"/>
  <c r="H98" i="3"/>
  <c r="F99" i="3"/>
  <c r="H99" i="3"/>
  <c r="F100" i="3"/>
  <c r="H100" i="3"/>
  <c r="F101" i="3"/>
  <c r="H101" i="3"/>
  <c r="F102" i="3"/>
  <c r="H102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77" i="3"/>
  <c r="F113" i="3"/>
  <c r="F70" i="3"/>
  <c r="F71" i="3"/>
  <c r="M197" i="2"/>
  <c r="G70" i="3"/>
  <c r="G71" i="3"/>
  <c r="C71" i="3"/>
  <c r="D71" i="3"/>
  <c r="E71" i="3"/>
  <c r="E70" i="3"/>
  <c r="D70" i="3"/>
  <c r="C70" i="3"/>
  <c r="J69" i="3"/>
  <c r="J68" i="3"/>
  <c r="J67" i="3"/>
  <c r="I70" i="3"/>
  <c r="I71" i="3"/>
  <c r="G68" i="2"/>
  <c r="G72" i="2"/>
  <c r="G73" i="2"/>
  <c r="G75" i="2"/>
  <c r="G77" i="2"/>
  <c r="G78" i="2"/>
  <c r="D71" i="2"/>
  <c r="D74" i="2"/>
  <c r="E74" i="2"/>
  <c r="G74" i="2"/>
  <c r="D73" i="2"/>
  <c r="E73" i="2"/>
  <c r="D69" i="2"/>
  <c r="E69" i="2"/>
  <c r="G69" i="2"/>
  <c r="E68" i="2"/>
  <c r="E70" i="2"/>
  <c r="G70" i="2"/>
  <c r="E71" i="2"/>
  <c r="G71" i="2"/>
  <c r="E72" i="2"/>
  <c r="E76" i="2"/>
  <c r="G76" i="2"/>
  <c r="E77" i="2"/>
  <c r="E78" i="2"/>
  <c r="E79" i="2"/>
  <c r="G79" i="2"/>
  <c r="E80" i="2"/>
  <c r="G80" i="2"/>
  <c r="E81" i="2"/>
  <c r="G81" i="2"/>
  <c r="E67" i="2"/>
  <c r="G67" i="2"/>
  <c r="N21" i="2"/>
  <c r="C16" i="2"/>
  <c r="C15" i="2"/>
  <c r="E10" i="2"/>
  <c r="H184" i="2"/>
  <c r="J184" i="2"/>
  <c r="H185" i="2"/>
  <c r="J185" i="2"/>
  <c r="H186" i="2"/>
  <c r="J186" i="2"/>
  <c r="H187" i="2"/>
  <c r="J187" i="2"/>
  <c r="H188" i="2"/>
  <c r="M186" i="2"/>
  <c r="H189" i="2"/>
  <c r="H190" i="2"/>
  <c r="J190" i="2"/>
  <c r="H191" i="2"/>
  <c r="J191" i="2"/>
  <c r="H192" i="2"/>
  <c r="M187" i="2"/>
  <c r="H193" i="2"/>
  <c r="J193" i="2"/>
  <c r="H194" i="2"/>
  <c r="J194" i="2"/>
  <c r="H195" i="2"/>
  <c r="J195" i="2"/>
  <c r="H196" i="2"/>
  <c r="H197" i="2"/>
  <c r="H198" i="2"/>
  <c r="M189" i="2"/>
  <c r="J198" i="2"/>
  <c r="H199" i="2"/>
  <c r="J199" i="2"/>
  <c r="H200" i="2"/>
  <c r="H201" i="2"/>
  <c r="H202" i="2"/>
  <c r="M190" i="2"/>
  <c r="H203" i="2"/>
  <c r="H204" i="2"/>
  <c r="J204" i="2"/>
  <c r="H205" i="2"/>
  <c r="M191" i="2"/>
  <c r="H206" i="2"/>
  <c r="J206" i="2"/>
  <c r="H207" i="2"/>
  <c r="M192" i="2"/>
  <c r="H208" i="2"/>
  <c r="H209" i="2"/>
  <c r="J209" i="2"/>
  <c r="H210" i="2"/>
  <c r="M193" i="2"/>
  <c r="J210" i="2"/>
  <c r="H211" i="2"/>
  <c r="J211" i="2"/>
  <c r="H212" i="2"/>
  <c r="J212" i="2"/>
  <c r="H213" i="2"/>
  <c r="J213" i="2"/>
  <c r="H214" i="2"/>
  <c r="J214" i="2"/>
  <c r="H215" i="2"/>
  <c r="M195" i="2"/>
  <c r="H216" i="2"/>
  <c r="M196" i="2"/>
  <c r="H217" i="2"/>
  <c r="H218" i="2"/>
  <c r="M198" i="2"/>
  <c r="J218" i="2"/>
  <c r="H183" i="2"/>
  <c r="M184" i="2"/>
  <c r="D219" i="2"/>
  <c r="J188" i="2"/>
  <c r="J189" i="2"/>
  <c r="J192" i="2"/>
  <c r="J196" i="2"/>
  <c r="J197" i="2"/>
  <c r="J200" i="2"/>
  <c r="J201" i="2"/>
  <c r="J203" i="2"/>
  <c r="J207" i="2"/>
  <c r="J208" i="2"/>
  <c r="J217" i="2"/>
  <c r="E219" i="2"/>
  <c r="F219" i="2"/>
  <c r="G219" i="2"/>
  <c r="I219" i="2"/>
  <c r="K219" i="2"/>
  <c r="J215" i="2"/>
  <c r="O42" i="2"/>
  <c r="Q42" i="2"/>
  <c r="R42" i="2"/>
  <c r="D42" i="2"/>
  <c r="F42" i="2"/>
  <c r="G42" i="2"/>
  <c r="H42" i="2"/>
  <c r="I42" i="2"/>
  <c r="J42" i="2"/>
  <c r="K42" i="2"/>
  <c r="M42" i="2"/>
  <c r="N42" i="2"/>
  <c r="C42" i="2"/>
  <c r="C22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7" i="2"/>
  <c r="E42" i="2"/>
  <c r="E63" i="2"/>
  <c r="F63" i="2"/>
  <c r="G49" i="2"/>
  <c r="I49" i="2"/>
  <c r="G50" i="2"/>
  <c r="G63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48" i="2"/>
  <c r="I48" i="2"/>
  <c r="H63" i="2"/>
  <c r="L48" i="2"/>
  <c r="L49" i="2"/>
  <c r="L50" i="2"/>
  <c r="L51" i="2"/>
  <c r="L52" i="2"/>
  <c r="L53" i="2"/>
  <c r="L54" i="2"/>
  <c r="L55" i="2"/>
  <c r="L59" i="2"/>
  <c r="L60" i="2"/>
  <c r="L62" i="2"/>
  <c r="J63" i="2"/>
  <c r="K63" i="2"/>
  <c r="L63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27" i="2"/>
  <c r="S42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7" i="2"/>
  <c r="P42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7" i="2"/>
  <c r="L42" i="2"/>
  <c r="D100" i="2"/>
  <c r="E100" i="2"/>
  <c r="C100" i="2"/>
  <c r="G8" i="2"/>
  <c r="G9" i="2"/>
  <c r="G10" i="2"/>
  <c r="G11" i="2"/>
  <c r="G22" i="2"/>
  <c r="G12" i="2"/>
  <c r="G13" i="2"/>
  <c r="G14" i="2"/>
  <c r="N14" i="2"/>
  <c r="G15" i="2"/>
  <c r="G17" i="2"/>
  <c r="G18" i="2"/>
  <c r="G19" i="2"/>
  <c r="N19" i="2"/>
  <c r="G20" i="2"/>
  <c r="G7" i="2"/>
  <c r="K8" i="2"/>
  <c r="K22" i="2"/>
  <c r="K9" i="2"/>
  <c r="N9" i="2"/>
  <c r="K10" i="2"/>
  <c r="K11" i="2"/>
  <c r="K12" i="2"/>
  <c r="K13" i="2"/>
  <c r="N13" i="2"/>
  <c r="K14" i="2"/>
  <c r="K15" i="2"/>
  <c r="K16" i="2"/>
  <c r="N16" i="2"/>
  <c r="K17" i="2"/>
  <c r="K18" i="2"/>
  <c r="K19" i="2"/>
  <c r="K20" i="2"/>
  <c r="N20" i="2"/>
  <c r="K7" i="2"/>
  <c r="N7" i="2"/>
  <c r="E22" i="2"/>
  <c r="F22" i="2"/>
  <c r="H22" i="2"/>
  <c r="I22" i="2"/>
  <c r="J22" i="2"/>
  <c r="L22" i="2"/>
  <c r="M22" i="2"/>
  <c r="D22" i="2"/>
  <c r="N15" i="2"/>
  <c r="N10" i="2"/>
  <c r="N18" i="2"/>
  <c r="N17" i="2"/>
  <c r="N12" i="2"/>
  <c r="D119" i="2"/>
  <c r="C119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04" i="2"/>
  <c r="F119" i="2"/>
  <c r="S88" i="1"/>
  <c r="S87" i="1"/>
  <c r="U87" i="1"/>
  <c r="M87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9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14" i="1"/>
  <c r="D63" i="2"/>
  <c r="F180" i="1"/>
  <c r="G180" i="1"/>
  <c r="D181" i="1"/>
  <c r="F181" i="1"/>
  <c r="D182" i="1"/>
  <c r="F182" i="1"/>
  <c r="G182" i="1"/>
  <c r="D183" i="1"/>
  <c r="F183" i="1"/>
  <c r="G183" i="1"/>
  <c r="D184" i="1"/>
  <c r="F184" i="1"/>
  <c r="G184" i="1"/>
  <c r="D185" i="1"/>
  <c r="F185" i="1"/>
  <c r="G185" i="1"/>
  <c r="D186" i="1"/>
  <c r="F186" i="1"/>
  <c r="G186" i="1"/>
  <c r="F187" i="1"/>
  <c r="G187" i="1"/>
  <c r="E36" i="1"/>
  <c r="C63" i="2"/>
  <c r="E89" i="1"/>
  <c r="F89" i="1"/>
  <c r="L8" i="1"/>
  <c r="L9" i="1"/>
  <c r="L10" i="1"/>
  <c r="L11" i="1"/>
  <c r="L12" i="1"/>
  <c r="L13" i="1"/>
  <c r="L14" i="1"/>
  <c r="O14" i="1"/>
  <c r="L15" i="1"/>
  <c r="L16" i="1"/>
  <c r="L17" i="1"/>
  <c r="L18" i="1"/>
  <c r="O18" i="1"/>
  <c r="L19" i="1"/>
  <c r="L20" i="1"/>
  <c r="L21" i="1"/>
  <c r="L22" i="1"/>
  <c r="L23" i="1"/>
  <c r="L24" i="1"/>
  <c r="L25" i="1"/>
  <c r="L26" i="1"/>
  <c r="O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O42" i="1"/>
  <c r="L43" i="1"/>
  <c r="L44" i="1"/>
  <c r="L45" i="1"/>
  <c r="L46" i="1"/>
  <c r="O46" i="1"/>
  <c r="L47" i="1"/>
  <c r="L48" i="1"/>
  <c r="L49" i="1"/>
  <c r="L50" i="1"/>
  <c r="O50" i="1"/>
  <c r="L51" i="1"/>
  <c r="L7" i="1"/>
  <c r="H8" i="1"/>
  <c r="H9" i="1"/>
  <c r="H10" i="1"/>
  <c r="H11" i="1"/>
  <c r="O11" i="1"/>
  <c r="H12" i="1"/>
  <c r="O12" i="1"/>
  <c r="H13" i="1"/>
  <c r="H14" i="1"/>
  <c r="H15" i="1"/>
  <c r="O15" i="1"/>
  <c r="H16" i="1"/>
  <c r="H17" i="1"/>
  <c r="H18" i="1"/>
  <c r="H19" i="1"/>
  <c r="O19" i="1"/>
  <c r="H20" i="1"/>
  <c r="H21" i="1"/>
  <c r="H22" i="1"/>
  <c r="O22" i="1"/>
  <c r="H23" i="1"/>
  <c r="O23" i="1"/>
  <c r="H24" i="1"/>
  <c r="H25" i="1"/>
  <c r="H26" i="1"/>
  <c r="H27" i="1"/>
  <c r="O27" i="1"/>
  <c r="H28" i="1"/>
  <c r="O28" i="1"/>
  <c r="H29" i="1"/>
  <c r="H30" i="1"/>
  <c r="H31" i="1"/>
  <c r="O31" i="1"/>
  <c r="H32" i="1"/>
  <c r="H33" i="1"/>
  <c r="H34" i="1"/>
  <c r="H35" i="1"/>
  <c r="O35" i="1"/>
  <c r="H36" i="1"/>
  <c r="H37" i="1"/>
  <c r="H38" i="1"/>
  <c r="O38" i="1"/>
  <c r="H39" i="1"/>
  <c r="O39" i="1"/>
  <c r="H40" i="1"/>
  <c r="H41" i="1"/>
  <c r="H42" i="1"/>
  <c r="H43" i="1"/>
  <c r="O43" i="1"/>
  <c r="H44" i="1"/>
  <c r="O44" i="1"/>
  <c r="H45" i="1"/>
  <c r="H46" i="1"/>
  <c r="H47" i="1"/>
  <c r="O47" i="1"/>
  <c r="H48" i="1"/>
  <c r="O48" i="1"/>
  <c r="H49" i="1"/>
  <c r="H50" i="1"/>
  <c r="H51" i="1"/>
  <c r="O51" i="1"/>
  <c r="H7" i="1"/>
  <c r="O34" i="1"/>
  <c r="O49" i="1"/>
  <c r="O45" i="1"/>
  <c r="O41" i="1"/>
  <c r="O37" i="1"/>
  <c r="O33" i="1"/>
  <c r="O29" i="1"/>
  <c r="O25" i="1"/>
  <c r="O21" i="1"/>
  <c r="O17" i="1"/>
  <c r="O13" i="1"/>
  <c r="O9" i="1"/>
  <c r="O30" i="1"/>
  <c r="O10" i="1"/>
  <c r="O7" i="1"/>
  <c r="O40" i="1"/>
  <c r="O36" i="1"/>
  <c r="O32" i="1"/>
  <c r="O24" i="1"/>
  <c r="O20" i="1"/>
  <c r="O16" i="1"/>
  <c r="O8" i="1"/>
  <c r="J21" i="6"/>
  <c r="F130" i="6"/>
  <c r="H25" i="6"/>
  <c r="J12" i="6"/>
  <c r="H96" i="6"/>
  <c r="J18" i="6"/>
  <c r="H114" i="6"/>
  <c r="G181" i="1"/>
  <c r="G188" i="1"/>
  <c r="F188" i="1"/>
  <c r="P46" i="2"/>
  <c r="N8" i="2"/>
  <c r="N11" i="2"/>
  <c r="N22" i="2"/>
  <c r="I50" i="2"/>
  <c r="I63" i="2"/>
  <c r="H219" i="2"/>
  <c r="J202" i="2"/>
  <c r="M194" i="2"/>
  <c r="H70" i="3"/>
  <c r="J70" i="3"/>
  <c r="H77" i="3"/>
  <c r="H113" i="3"/>
  <c r="M185" i="2"/>
  <c r="J183" i="2"/>
  <c r="J216" i="2"/>
  <c r="M188" i="2"/>
  <c r="J205" i="2"/>
  <c r="H71" i="3"/>
  <c r="J71" i="3"/>
  <c r="J219" i="2"/>
  <c r="R46" i="6"/>
  <c r="H98" i="6"/>
  <c r="J23" i="6"/>
  <c r="J19" i="6"/>
  <c r="J15" i="6"/>
  <c r="H97" i="6"/>
  <c r="H100" i="6"/>
  <c r="H111" i="6"/>
  <c r="G130" i="6"/>
  <c r="H103" i="6"/>
  <c r="J24" i="6"/>
  <c r="J20" i="6"/>
  <c r="J16" i="6"/>
  <c r="Q51" i="6"/>
  <c r="Q50" i="6"/>
  <c r="J11" i="6"/>
  <c r="I25" i="6"/>
  <c r="Q25" i="6"/>
  <c r="H57" i="6"/>
  <c r="F57" i="6"/>
  <c r="R49" i="6"/>
  <c r="H130" i="6"/>
  <c r="J25" i="6"/>
</calcChain>
</file>

<file path=xl/comments1.xml><?xml version="1.0" encoding="utf-8"?>
<comments xmlns="http://schemas.openxmlformats.org/spreadsheetml/2006/main">
  <authors>
    <author>000900030</author>
  </authors>
  <commentList>
    <comment ref="G58" authorId="0">
      <text>
        <r>
          <rPr>
            <sz val="9"/>
            <color indexed="81"/>
            <rFont val="宋体"/>
            <charset val="134"/>
          </rPr>
          <t xml:space="preserve">查领用量及实物数
</t>
        </r>
      </text>
    </comment>
    <comment ref="G112" authorId="0">
      <text>
        <r>
          <rPr>
            <sz val="9"/>
            <color indexed="81"/>
            <rFont val="宋体"/>
            <charset val="134"/>
          </rPr>
          <t xml:space="preserve">IQC领入+前残＝应有实物？盘点后实绩差数？
</t>
        </r>
      </text>
    </comment>
    <comment ref="H112" authorId="0">
      <text>
        <r>
          <rPr>
            <sz val="9"/>
            <color indexed="81"/>
            <rFont val="宋体"/>
            <charset val="134"/>
          </rPr>
          <t xml:space="preserve">
</t>
        </r>
      </text>
    </comment>
    <comment ref="I112" authorId="0">
      <text>
        <r>
          <rPr>
            <sz val="9"/>
            <color indexed="81"/>
            <rFont val="宋体"/>
            <charset val="134"/>
          </rPr>
          <t xml:space="preserve">前残+领入与实物比
</t>
        </r>
      </text>
    </comment>
    <comment ref="J112" authorId="0">
      <text>
        <r>
          <rPr>
            <sz val="9"/>
            <color indexed="81"/>
            <rFont val="宋体"/>
            <charset val="134"/>
          </rPr>
          <t xml:space="preserve">前残实物+本月领入量－盘点实物存在的差
</t>
        </r>
      </text>
    </comment>
    <comment ref="K112" authorId="0">
      <text>
        <r>
          <rPr>
            <sz val="9"/>
            <color indexed="81"/>
            <rFont val="宋体"/>
            <charset val="134"/>
          </rPr>
          <t xml:space="preserve">前残+从一级库领入数－二级库实残－现场班组保留实物残产生的数差
</t>
        </r>
      </text>
    </comment>
  </commentList>
</comments>
</file>

<file path=xl/comments2.xml><?xml version="1.0" encoding="utf-8"?>
<comments xmlns="http://schemas.openxmlformats.org/spreadsheetml/2006/main">
  <authors>
    <author>000098496</author>
    <author>000900030</author>
  </authors>
  <commentList>
    <comment ref="K31" authorId="0">
      <text>
        <r>
          <rPr>
            <b/>
            <sz val="9"/>
            <color indexed="81"/>
            <rFont val="宋体"/>
            <charset val="134"/>
          </rPr>
          <t>000098496:</t>
        </r>
        <r>
          <rPr>
            <sz val="9"/>
            <color indexed="81"/>
            <rFont val="宋体"/>
            <charset val="134"/>
          </rPr>
          <t xml:space="preserve">
与内作扩散片串料</t>
        </r>
      </text>
    </comment>
    <comment ref="K32" authorId="0">
      <text>
        <r>
          <rPr>
            <b/>
            <sz val="9"/>
            <color indexed="81"/>
            <rFont val="宋体"/>
            <charset val="134"/>
          </rPr>
          <t>000098496:</t>
        </r>
        <r>
          <rPr>
            <sz val="9"/>
            <color indexed="81"/>
            <rFont val="宋体"/>
            <charset val="134"/>
          </rPr>
          <t xml:space="preserve">
自动机来料多</t>
        </r>
      </text>
    </comment>
    <comment ref="K36" authorId="0">
      <text>
        <r>
          <rPr>
            <b/>
            <sz val="9"/>
            <color indexed="81"/>
            <rFont val="宋体"/>
            <charset val="134"/>
          </rPr>
          <t>000098496:</t>
        </r>
        <r>
          <rPr>
            <sz val="9"/>
            <color indexed="81"/>
            <rFont val="宋体"/>
            <charset val="134"/>
          </rPr>
          <t xml:space="preserve">
厂家来料多</t>
        </r>
      </text>
    </comment>
    <comment ref="C78" authorId="1">
      <text>
        <r>
          <rPr>
            <sz val="9"/>
            <color indexed="81"/>
            <rFont val="宋体"/>
            <charset val="134"/>
          </rPr>
          <t xml:space="preserve">20130915时点残
</t>
        </r>
      </text>
    </comment>
  </commentList>
</comments>
</file>

<file path=xl/comments3.xml><?xml version="1.0" encoding="utf-8"?>
<comments xmlns="http://schemas.openxmlformats.org/spreadsheetml/2006/main">
  <authors>
    <author>000900030</author>
    <author>000098496</author>
  </authors>
  <commentList>
    <comment ref="F26" authorId="0">
      <text>
        <r>
          <rPr>
            <sz val="9"/>
            <color indexed="81"/>
            <rFont val="宋体"/>
            <charset val="134"/>
          </rPr>
          <t xml:space="preserve">查领用量及实物数
</t>
        </r>
      </text>
    </comment>
    <comment ref="L26" authorId="0">
      <text>
        <r>
          <rPr>
            <sz val="9"/>
            <color indexed="81"/>
            <rFont val="宋体"/>
            <charset val="134"/>
          </rPr>
          <t xml:space="preserve">生统提供盘点数据。
</t>
        </r>
      </text>
    </comment>
    <comment ref="P26" authorId="0">
      <text>
        <r>
          <rPr>
            <sz val="9"/>
            <color indexed="81"/>
            <rFont val="宋体"/>
            <charset val="134"/>
          </rPr>
          <t xml:space="preserve">生统提供的实物盘点数。
</t>
        </r>
      </text>
    </comment>
    <comment ref="S26" authorId="0">
      <text>
        <r>
          <rPr>
            <sz val="9"/>
            <color indexed="81"/>
            <rFont val="宋体"/>
            <charset val="134"/>
          </rPr>
          <t xml:space="preserve">BL现场提供盘点实物数。
</t>
        </r>
      </text>
    </comment>
    <comment ref="J33" authorId="0">
      <text>
        <r>
          <rPr>
            <sz val="9"/>
            <color indexed="81"/>
            <rFont val="宋体"/>
            <charset val="134"/>
          </rPr>
          <t xml:space="preserve">生统认为退港，但实际是报废，故要补税。
</t>
        </r>
      </text>
    </comment>
    <comment ref="N38" authorId="1">
      <text>
        <r>
          <rPr>
            <b/>
            <sz val="9"/>
            <color indexed="81"/>
            <rFont val="宋体"/>
            <charset val="134"/>
          </rPr>
          <t>000098496:</t>
        </r>
        <r>
          <rPr>
            <sz val="9"/>
            <color indexed="81"/>
            <rFont val="宋体"/>
            <charset val="134"/>
          </rPr>
          <t xml:space="preserve">
28480M</t>
        </r>
      </text>
    </comment>
    <comment ref="B57" authorId="0">
      <text>
        <r>
          <rPr>
            <sz val="9"/>
            <color indexed="81"/>
            <rFont val="宋体"/>
            <charset val="134"/>
          </rPr>
          <t>前手册结转时，保护片以用退港方式，将前残清零。实际有库残实物。C53393320001手册到目前为止未进口。目前溢多，可为后工艺不良冲顶，达到省税。</t>
        </r>
      </text>
    </comment>
    <comment ref="B61" authorId="0">
      <text>
        <r>
          <rPr>
            <sz val="9"/>
            <color indexed="81"/>
            <rFont val="宋体"/>
            <charset val="134"/>
          </rPr>
          <t>生统回收托盘时，未通过海关业务科报关，故事实上造成少进多出。</t>
        </r>
      </text>
    </comment>
    <comment ref="G70" authorId="0">
      <text>
        <r>
          <rPr>
            <sz val="9"/>
            <color indexed="81"/>
            <rFont val="宋体"/>
            <charset val="134"/>
          </rPr>
          <t xml:space="preserve">退账外
</t>
        </r>
      </text>
    </comment>
    <comment ref="G71" authorId="0">
      <text>
        <r>
          <rPr>
            <sz val="9"/>
            <color indexed="81"/>
            <rFont val="宋体"/>
            <charset val="134"/>
          </rPr>
          <t xml:space="preserve">退账外
</t>
        </r>
      </text>
    </comment>
    <comment ref="E72" authorId="0">
      <text>
        <r>
          <rPr>
            <sz val="9"/>
            <color indexed="81"/>
            <rFont val="宋体"/>
            <charset val="134"/>
          </rPr>
          <t xml:space="preserve">库房的前残须再确认！！
</t>
        </r>
      </text>
    </comment>
  </commentList>
</comments>
</file>

<file path=xl/comments4.xml><?xml version="1.0" encoding="utf-8"?>
<comments xmlns="http://schemas.openxmlformats.org/spreadsheetml/2006/main">
  <authors>
    <author>000900030</author>
    <author>MIS</author>
  </authors>
  <commentList>
    <comment ref="J10" authorId="0">
      <text>
        <r>
          <rPr>
            <sz val="9"/>
            <color indexed="81"/>
            <rFont val="宋体"/>
            <charset val="134"/>
          </rPr>
          <t xml:space="preserve">与20130605补税后13200比，短少增
</t>
        </r>
      </text>
    </comment>
    <comment ref="J12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6月至9月的工艺不良及其它不良的损耗</t>
        </r>
      </text>
    </comment>
    <comment ref="J13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实物残均是不良，待退港或补税
</t>
        </r>
      </text>
    </comment>
    <comment ref="J15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因工艺损耗，未按时补税</t>
        </r>
      </text>
    </comment>
    <comment ref="J16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同上
</t>
        </r>
      </text>
    </comment>
    <comment ref="J18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因设计提供的编码商品名与厂家的编码商品名不一至，造成退港用保护片出口，进口时用厂家的名称垫片进口。</t>
        </r>
      </text>
    </comment>
    <comment ref="J19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报关对账日期至25日，仓库入库至30日，时间差造成溢出。改善对策方式待定。</t>
        </r>
      </text>
    </comment>
    <comment ref="J20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与框架原因相同</t>
        </r>
      </text>
    </comment>
    <comment ref="J21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片材的加工消耗量超过备案计划。</t>
        </r>
      </text>
    </comment>
    <comment ref="J22" authorId="1">
      <text>
        <r>
          <rPr>
            <b/>
            <sz val="10"/>
            <color indexed="81"/>
            <rFont val="宋体"/>
            <charset val="134"/>
          </rPr>
          <t>MIS:</t>
        </r>
        <r>
          <rPr>
            <sz val="10"/>
            <color indexed="81"/>
            <rFont val="宋体"/>
            <charset val="134"/>
          </rPr>
          <t xml:space="preserve">
同上原因</t>
        </r>
      </text>
    </comment>
    <comment ref="C95" authorId="0">
      <text>
        <r>
          <rPr>
            <sz val="9"/>
            <color indexed="81"/>
            <rFont val="宋体"/>
            <charset val="134"/>
          </rPr>
          <t xml:space="preserve">20130915时点残
</t>
        </r>
      </text>
    </comment>
  </commentList>
</comments>
</file>

<file path=xl/sharedStrings.xml><?xml version="1.0" encoding="utf-8"?>
<sst xmlns="http://schemas.openxmlformats.org/spreadsheetml/2006/main" count="990" uniqueCount="376">
  <si>
    <t>2013年08月海关业务月报</t>
    <phoneticPr fontId="2" type="noConversion"/>
  </si>
  <si>
    <t>前残</t>
    <phoneticPr fontId="2" type="noConversion"/>
  </si>
  <si>
    <t>项号</t>
    <phoneticPr fontId="2" type="noConversion"/>
  </si>
  <si>
    <t>集报</t>
    <phoneticPr fontId="2" type="noConversion"/>
  </si>
  <si>
    <t>1、报关进、出、残平衡实绩与数差</t>
    <phoneticPr fontId="2" type="noConversion"/>
  </si>
  <si>
    <t>2、生统盘点实数</t>
    <phoneticPr fontId="2" type="noConversion"/>
  </si>
  <si>
    <t>项号</t>
    <phoneticPr fontId="2" type="noConversion"/>
  </si>
  <si>
    <t>材料名称</t>
    <phoneticPr fontId="2" type="noConversion"/>
  </si>
  <si>
    <t>出库数</t>
    <phoneticPr fontId="2" type="noConversion"/>
  </si>
  <si>
    <t>设计</t>
    <phoneticPr fontId="2" type="noConversion"/>
  </si>
  <si>
    <t>光材</t>
    <phoneticPr fontId="2" type="noConversion"/>
  </si>
  <si>
    <t>制造</t>
    <phoneticPr fontId="2" type="noConversion"/>
  </si>
  <si>
    <t>材料不良</t>
    <phoneticPr fontId="2" type="noConversion"/>
  </si>
  <si>
    <t>作业不良</t>
    <phoneticPr fontId="2" type="noConversion"/>
  </si>
  <si>
    <t>本月入库数</t>
    <phoneticPr fontId="2" type="noConversion"/>
  </si>
  <si>
    <t>合计</t>
    <phoneticPr fontId="2" type="noConversion"/>
  </si>
  <si>
    <t>3、1－2数差原因与处理</t>
    <phoneticPr fontId="2" type="noConversion"/>
  </si>
  <si>
    <t>材料名称</t>
    <phoneticPr fontId="2" type="noConversion"/>
  </si>
  <si>
    <t>海关数残</t>
    <phoneticPr fontId="2" type="noConversion"/>
  </si>
  <si>
    <t>生统实数</t>
    <phoneticPr fontId="2" type="noConversion"/>
  </si>
  <si>
    <t>偏差</t>
    <phoneticPr fontId="2" type="noConversion"/>
  </si>
  <si>
    <t>IQC入检占</t>
    <phoneticPr fontId="2" type="noConversion"/>
  </si>
  <si>
    <t>废弃</t>
    <phoneticPr fontId="2" type="noConversion"/>
  </si>
  <si>
    <t>IQC数差</t>
    <phoneticPr fontId="2" type="noConversion"/>
  </si>
  <si>
    <t>OQC数差</t>
    <phoneticPr fontId="2" type="noConversion"/>
  </si>
  <si>
    <t>设计数差</t>
    <phoneticPr fontId="2" type="noConversion"/>
  </si>
  <si>
    <t>光材数差</t>
    <phoneticPr fontId="2" type="noConversion"/>
  </si>
  <si>
    <t>制造数差</t>
    <phoneticPr fontId="2" type="noConversion"/>
  </si>
  <si>
    <t>关税</t>
    <phoneticPr fontId="2" type="noConversion"/>
  </si>
  <si>
    <t>增值税</t>
    <phoneticPr fontId="2" type="noConversion"/>
  </si>
  <si>
    <t>应补税</t>
    <phoneticPr fontId="2" type="noConversion"/>
  </si>
  <si>
    <t>小代：数据要认真核查一遍，不能在数据登录时出现数据录入错误，哪就麻烦大了！故一定要注意！</t>
    <phoneticPr fontId="2" type="noConversion"/>
  </si>
  <si>
    <t>小马：注意各数据的真实性，对于各部门现场残的实物，上班后要盘点为！进行确认！</t>
    <phoneticPr fontId="2" type="noConversion"/>
  </si>
  <si>
    <t>注意：填表时，如果数差为零时，就要填零，这是管理要求，同时也是客观反映真实数据的表达方式。</t>
    <phoneticPr fontId="2" type="noConversion"/>
  </si>
  <si>
    <t>3、1.数差原因说明：</t>
    <phoneticPr fontId="2" type="noConversion"/>
  </si>
  <si>
    <t>材料名称</t>
    <phoneticPr fontId="2" type="noConversion"/>
  </si>
  <si>
    <t>数差</t>
    <phoneticPr fontId="2" type="noConversion"/>
  </si>
  <si>
    <t>基本原因</t>
    <phoneticPr fontId="2" type="noConversion"/>
  </si>
  <si>
    <t>1）退港可数量是多少？</t>
    <phoneticPr fontId="2" type="noConversion"/>
  </si>
  <si>
    <t>5、2013年短少与计划补税</t>
    <phoneticPr fontId="2" type="noConversion"/>
  </si>
  <si>
    <t>6、6月5日稽查处理结果预计</t>
    <phoneticPr fontId="2" type="noConversion"/>
  </si>
  <si>
    <t>4、8月中已退港实绩</t>
    <phoneticPr fontId="2" type="noConversion"/>
  </si>
  <si>
    <t>小马：尽可能真实反映数差原因。</t>
    <phoneticPr fontId="2" type="noConversion"/>
  </si>
  <si>
    <t>3、2.本月数差处理与方式：</t>
    <phoneticPr fontId="2" type="noConversion"/>
  </si>
  <si>
    <t>2）计划补税数量是多少？</t>
    <phoneticPr fontId="2" type="noConversion"/>
  </si>
  <si>
    <t>小代：把已作好的计划补税表的品种要追加进去，在备注中要注明基本原因，是数差？还是返品报废？还是提供给客户样品而造成的短少（邮件品）？</t>
    <phoneticPr fontId="2" type="noConversion"/>
  </si>
  <si>
    <t>集报</t>
    <phoneticPr fontId="2" type="noConversion"/>
  </si>
  <si>
    <t>结转</t>
    <phoneticPr fontId="2" type="noConversion"/>
  </si>
  <si>
    <t>分册</t>
    <phoneticPr fontId="2" type="noConversion"/>
  </si>
  <si>
    <t>本月进口</t>
    <phoneticPr fontId="2" type="noConversion"/>
  </si>
  <si>
    <t>合计</t>
    <phoneticPr fontId="2" type="noConversion"/>
  </si>
  <si>
    <t>本月出口</t>
    <phoneticPr fontId="2" type="noConversion"/>
  </si>
  <si>
    <t xml:space="preserve">本月退港 </t>
    <phoneticPr fontId="2" type="noConversion"/>
  </si>
  <si>
    <t>本月纳税</t>
    <phoneticPr fontId="2" type="noConversion"/>
  </si>
  <si>
    <t>当残</t>
    <phoneticPr fontId="2" type="noConversion"/>
  </si>
  <si>
    <t>背光源线路板</t>
  </si>
  <si>
    <t>导光板</t>
  </si>
  <si>
    <t>反射片</t>
  </si>
  <si>
    <t>扩散片</t>
  </si>
  <si>
    <t>棱镜片</t>
  </si>
  <si>
    <t>粘着胶带</t>
  </si>
  <si>
    <t>遮光胶带</t>
  </si>
  <si>
    <t>粘着垫片</t>
  </si>
  <si>
    <t>塑料边框</t>
  </si>
  <si>
    <t>保护片</t>
  </si>
  <si>
    <t>金属片</t>
  </si>
  <si>
    <t>扩散片/片材/</t>
  </si>
  <si>
    <t>成型树脂</t>
  </si>
  <si>
    <t>塑料托盘</t>
  </si>
  <si>
    <t>防静电袋</t>
  </si>
  <si>
    <t>瓦楞纸箱</t>
  </si>
  <si>
    <t>PMMA塑胶粒</t>
  </si>
  <si>
    <t>合计</t>
    <phoneticPr fontId="2" type="noConversion"/>
  </si>
  <si>
    <t>分册</t>
    <phoneticPr fontId="2" type="noConversion"/>
  </si>
  <si>
    <t>材料良品</t>
    <phoneticPr fontId="2" type="noConversion"/>
  </si>
  <si>
    <t>数量</t>
  </si>
  <si>
    <t>合计</t>
    <phoneticPr fontId="7" type="noConversion"/>
  </si>
  <si>
    <t>KG</t>
    <phoneticPr fontId="7" type="noConversion"/>
  </si>
  <si>
    <t>扩散片/片材</t>
    <phoneticPr fontId="7" type="noConversion"/>
  </si>
  <si>
    <t>PCS</t>
    <phoneticPr fontId="7" type="noConversion"/>
  </si>
  <si>
    <t>金属片</t>
    <phoneticPr fontId="7" type="noConversion"/>
  </si>
  <si>
    <t>塑料边框</t>
    <phoneticPr fontId="7" type="noConversion"/>
  </si>
  <si>
    <t>棱镜片</t>
    <phoneticPr fontId="7" type="noConversion"/>
  </si>
  <si>
    <t>扩散片</t>
    <phoneticPr fontId="7" type="noConversion"/>
  </si>
  <si>
    <t>反射片</t>
    <phoneticPr fontId="7" type="noConversion"/>
  </si>
  <si>
    <t>导光板</t>
    <phoneticPr fontId="7" type="noConversion"/>
  </si>
  <si>
    <t>FPC</t>
    <phoneticPr fontId="7" type="noConversion"/>
  </si>
  <si>
    <t>税金RMB</t>
    <phoneticPr fontId="7" type="noConversion"/>
  </si>
  <si>
    <t>价值金额USD</t>
    <phoneticPr fontId="7" type="noConversion"/>
  </si>
  <si>
    <t>单位</t>
    <phoneticPr fontId="7" type="noConversion"/>
  </si>
  <si>
    <t>材料名称</t>
    <phoneticPr fontId="7" type="noConversion"/>
  </si>
  <si>
    <t>2013年8月不良材料退港数据</t>
    <phoneticPr fontId="7" type="noConversion"/>
  </si>
  <si>
    <t>成品在库</t>
    <phoneticPr fontId="2" type="noConversion"/>
  </si>
  <si>
    <t>仓库残</t>
    <phoneticPr fontId="2" type="noConversion"/>
  </si>
  <si>
    <t>现场良品</t>
    <phoneticPr fontId="2" type="noConversion"/>
  </si>
  <si>
    <t>仕掛当残</t>
    <rPh sb="0" eb="2">
      <t>しかかり</t>
    </rPh>
    <phoneticPr fontId="6" type="noConversion"/>
  </si>
  <si>
    <t>制造现场残</t>
    <phoneticPr fontId="2" type="noConversion"/>
  </si>
  <si>
    <t>不良品数</t>
    <phoneticPr fontId="2" type="noConversion"/>
  </si>
  <si>
    <t>返品</t>
    <phoneticPr fontId="2" type="noConversion"/>
  </si>
  <si>
    <t>合计（USD）</t>
    <phoneticPr fontId="2" type="noConversion"/>
  </si>
  <si>
    <t>合计</t>
    <phoneticPr fontId="2" type="noConversion"/>
  </si>
  <si>
    <t>2013年09月海关业务月报</t>
    <phoneticPr fontId="2" type="noConversion"/>
  </si>
  <si>
    <t>一、BL材料进出管理：</t>
    <phoneticPr fontId="2" type="noConversion"/>
  </si>
  <si>
    <t>3、报关－生统数差原因与处理</t>
    <phoneticPr fontId="2" type="noConversion"/>
  </si>
  <si>
    <t xml:space="preserve"> </t>
    <phoneticPr fontId="2" type="noConversion"/>
  </si>
  <si>
    <t>3、2.退港与省税</t>
    <phoneticPr fontId="2" type="noConversion"/>
  </si>
  <si>
    <t>二、20130605稽查结果与处理</t>
    <phoneticPr fontId="2" type="noConversion"/>
  </si>
  <si>
    <t>初级形状聚碳酸酯颗粒</t>
  </si>
  <si>
    <t>名称</t>
    <phoneticPr fontId="2" type="noConversion"/>
  </si>
  <si>
    <t>数量</t>
    <phoneticPr fontId="2" type="noConversion"/>
  </si>
  <si>
    <t>合计税率</t>
    <phoneticPr fontId="2" type="noConversion"/>
  </si>
  <si>
    <t>货值（USD)</t>
    <phoneticPr fontId="2" type="noConversion"/>
  </si>
  <si>
    <t>税额（USD)</t>
    <phoneticPr fontId="2" type="noConversion"/>
  </si>
  <si>
    <t>合计</t>
    <phoneticPr fontId="2" type="noConversion"/>
  </si>
  <si>
    <t>序号</t>
    <phoneticPr fontId="2" type="noConversion"/>
  </si>
  <si>
    <t>2、生统盘点实数</t>
    <phoneticPr fontId="2" type="noConversion"/>
  </si>
  <si>
    <t>稽查结果：</t>
    <phoneticPr fontId="2" type="noConversion"/>
  </si>
  <si>
    <t>材料名称</t>
  </si>
  <si>
    <t>项号</t>
    <phoneticPr fontId="2" type="noConversion"/>
  </si>
  <si>
    <t>背光源线路板</t>
    <phoneticPr fontId="2" type="noConversion"/>
  </si>
  <si>
    <t>导光板</t>
    <phoneticPr fontId="2" type="noConversion"/>
  </si>
  <si>
    <t>反射片</t>
    <phoneticPr fontId="2" type="noConversion"/>
  </si>
  <si>
    <t>扩散片</t>
    <phoneticPr fontId="2" type="noConversion"/>
  </si>
  <si>
    <t>棱镜片</t>
    <phoneticPr fontId="2" type="noConversion"/>
  </si>
  <si>
    <t>粘着胶带</t>
    <phoneticPr fontId="2" type="noConversion"/>
  </si>
  <si>
    <t>遮光胶带</t>
    <phoneticPr fontId="2" type="noConversion"/>
  </si>
  <si>
    <t>粘着垫片</t>
    <phoneticPr fontId="2" type="noConversion"/>
  </si>
  <si>
    <t>塑料边框</t>
    <phoneticPr fontId="2" type="noConversion"/>
  </si>
  <si>
    <t>保护片</t>
    <phoneticPr fontId="2" type="noConversion"/>
  </si>
  <si>
    <t>金属片</t>
    <phoneticPr fontId="2" type="noConversion"/>
  </si>
  <si>
    <t>数量</t>
    <phoneticPr fontId="2" type="noConversion"/>
  </si>
  <si>
    <t>C53392320002转出</t>
    <phoneticPr fontId="2" type="noConversion"/>
  </si>
  <si>
    <t>C53393320001转入</t>
    <phoneticPr fontId="2" type="noConversion"/>
  </si>
  <si>
    <t>扩散片/片材</t>
  </si>
  <si>
    <t xml:space="preserve">材料退港 </t>
    <phoneticPr fontId="2" type="noConversion"/>
  </si>
  <si>
    <t>内销纳税</t>
    <phoneticPr fontId="2" type="noConversion"/>
  </si>
  <si>
    <t>手册理论残</t>
    <phoneticPr fontId="2" type="noConversion"/>
  </si>
  <si>
    <t>仓库存实物</t>
    <phoneticPr fontId="2" type="noConversion"/>
  </si>
  <si>
    <t>差异</t>
    <phoneticPr fontId="2" type="noConversion"/>
  </si>
  <si>
    <t>量产不良消耗</t>
  </si>
  <si>
    <t>设计用材料</t>
  </si>
  <si>
    <t>项号</t>
  </si>
  <si>
    <t>合计</t>
    <phoneticPr fontId="2" type="noConversion"/>
  </si>
  <si>
    <t>扩散片/片材</t>
    <phoneticPr fontId="2" type="noConversion"/>
  </si>
  <si>
    <t>生統退港</t>
  </si>
  <si>
    <t>外銷</t>
  </si>
  <si>
    <t>9月生统仓库残材</t>
    <phoneticPr fontId="2" type="noConversion"/>
  </si>
  <si>
    <t>成品在库</t>
    <phoneticPr fontId="2" type="noConversion"/>
  </si>
  <si>
    <t>合计发出</t>
    <phoneticPr fontId="2" type="noConversion"/>
  </si>
  <si>
    <t>库存材料</t>
    <phoneticPr fontId="2" type="noConversion"/>
  </si>
  <si>
    <t>合计</t>
    <phoneticPr fontId="2" type="noConversion"/>
  </si>
  <si>
    <t>已报关未入库</t>
    <phoneticPr fontId="2" type="noConversion"/>
  </si>
  <si>
    <t>合计</t>
    <phoneticPr fontId="2" type="noConversion"/>
  </si>
  <si>
    <t>二级库</t>
    <phoneticPr fontId="2" type="noConversion"/>
  </si>
  <si>
    <t>现场残</t>
    <phoneticPr fontId="2" type="noConversion"/>
  </si>
  <si>
    <t>BL及光残现场残</t>
    <phoneticPr fontId="2" type="noConversion"/>
  </si>
  <si>
    <t>应补税额</t>
    <phoneticPr fontId="2" type="noConversion"/>
  </si>
  <si>
    <t>在途数</t>
    <phoneticPr fontId="2" type="noConversion"/>
  </si>
  <si>
    <t>未报关已入库</t>
    <phoneticPr fontId="2" type="noConversion"/>
  </si>
  <si>
    <t>偏差</t>
    <phoneticPr fontId="2" type="noConversion"/>
  </si>
  <si>
    <t>合计</t>
    <phoneticPr fontId="2" type="noConversion"/>
  </si>
  <si>
    <t>合计</t>
    <phoneticPr fontId="2" type="noConversion"/>
  </si>
  <si>
    <t>实际应补税数量</t>
    <phoneticPr fontId="2" type="noConversion"/>
  </si>
  <si>
    <t>3、1.9月数差（短少、溢多）原因说明：</t>
    <phoneticPr fontId="2" type="noConversion"/>
  </si>
  <si>
    <t>QA管理用消耗</t>
    <phoneticPr fontId="2" type="noConversion"/>
  </si>
  <si>
    <t>NO</t>
    <phoneticPr fontId="2" type="noConversion"/>
  </si>
  <si>
    <t>短少材料</t>
    <phoneticPr fontId="2" type="noConversion"/>
  </si>
  <si>
    <t>数量</t>
    <phoneticPr fontId="2" type="noConversion"/>
  </si>
  <si>
    <t>背光源线路板</t>
    <phoneticPr fontId="2" type="noConversion"/>
  </si>
  <si>
    <t>导光板</t>
    <phoneticPr fontId="2" type="noConversion"/>
  </si>
  <si>
    <t>反射片</t>
    <phoneticPr fontId="2" type="noConversion"/>
  </si>
  <si>
    <t>1、C53392320002稽查截止日：</t>
    <phoneticPr fontId="2" type="noConversion"/>
  </si>
  <si>
    <t>备 注</t>
    <phoneticPr fontId="2" type="noConversion"/>
  </si>
  <si>
    <t>意同种材本次发生的短少、溢多可以进行对冲处理。</t>
    <phoneticPr fontId="2" type="noConversion"/>
  </si>
  <si>
    <t>材料推行按重量划分项号管理，初期由于进、出是无缝连续管理，所以加关区海关同</t>
    <phoneticPr fontId="2" type="noConversion"/>
  </si>
  <si>
    <t>2、经与稽查说明后，本次对短少处理：</t>
    <phoneticPr fontId="2" type="noConversion"/>
  </si>
  <si>
    <t xml:space="preserve">   就三种材料，在对冲后仍然是短少的材料数量，予以补征相关税款处理。</t>
    <phoneticPr fontId="2" type="noConversion"/>
  </si>
  <si>
    <t xml:space="preserve">   合计已交税款：211961RMB</t>
    <phoneticPr fontId="2" type="noConversion"/>
  </si>
  <si>
    <t>三、手册NO：C53392320002核销与余料结转到C53392320001手册</t>
    <phoneticPr fontId="2" type="noConversion"/>
  </si>
  <si>
    <t>四、手册C53392320001材料管理9月项号平衡实绩</t>
    <phoneticPr fontId="2" type="noConversion"/>
  </si>
  <si>
    <t>例如：遮光胶带类是无法回收，故也不法退港。</t>
    <phoneticPr fontId="2" type="noConversion"/>
  </si>
  <si>
    <t>五、C53392320002手册核销</t>
    <phoneticPr fontId="2" type="noConversion"/>
  </si>
  <si>
    <t>实应补税额</t>
    <phoneticPr fontId="2" type="noConversion"/>
  </si>
  <si>
    <t>余料结转</t>
    <phoneticPr fontId="2" type="noConversion"/>
  </si>
  <si>
    <t>当月进口总数量</t>
    <phoneticPr fontId="2" type="noConversion"/>
  </si>
  <si>
    <t>当月出口总数量</t>
    <phoneticPr fontId="2" type="noConversion"/>
  </si>
  <si>
    <t>NO</t>
  </si>
  <si>
    <t>名称</t>
  </si>
  <si>
    <t>8月应补税</t>
    <phoneticPr fontId="2" type="noConversion"/>
  </si>
  <si>
    <t>8月未补税</t>
    <phoneticPr fontId="2" type="noConversion"/>
  </si>
  <si>
    <t>平衡已补税</t>
    <phoneticPr fontId="2" type="noConversion"/>
  </si>
  <si>
    <t>9月应补税</t>
    <phoneticPr fontId="2" type="noConversion"/>
  </si>
  <si>
    <t>偏差</t>
    <phoneticPr fontId="2" type="noConversion"/>
  </si>
  <si>
    <t>9月不良消耗</t>
    <phoneticPr fontId="2" type="noConversion"/>
  </si>
  <si>
    <t xml:space="preserve">   2013年10月8日，担当已将核销所需材料，按海关要求提交。根据最新消息，由于企业提交的税单还在银行与国税库中处理之中，按规定需两周工作日，</t>
    <phoneticPr fontId="2" type="noConversion"/>
  </si>
  <si>
    <t>故待中。</t>
    <phoneticPr fontId="2" type="noConversion"/>
  </si>
  <si>
    <t>备注：应补税数再确认后，计划三个月补交85%的应补税金。当然再确认中，如果能提高现退港数，应补税额就会下降。</t>
    <phoneticPr fontId="2" type="noConversion"/>
  </si>
  <si>
    <t>注：当残中,实数是依据2013年9月生统提供的盘点实数。差数是材料使倍数及超使倍等用量合计。</t>
    <phoneticPr fontId="2" type="noConversion"/>
  </si>
  <si>
    <t xml:space="preserve">      目前应补税中不含每月生产增加的不良数。</t>
    <phoneticPr fontId="2" type="noConversion"/>
  </si>
  <si>
    <t>9月盘点数据问题</t>
    <phoneticPr fontId="2" type="noConversion"/>
  </si>
  <si>
    <t>NO</t>
    <phoneticPr fontId="2" type="noConversion"/>
  </si>
  <si>
    <t>材料名</t>
    <phoneticPr fontId="2" type="noConversion"/>
  </si>
  <si>
    <t>前残</t>
    <phoneticPr fontId="2" type="noConversion"/>
  </si>
  <si>
    <t>入</t>
    <phoneticPr fontId="2" type="noConversion"/>
  </si>
  <si>
    <t>出</t>
    <phoneticPr fontId="2" type="noConversion"/>
  </si>
  <si>
    <t>当残</t>
    <phoneticPr fontId="2" type="noConversion"/>
  </si>
  <si>
    <t>不良</t>
    <phoneticPr fontId="2" type="noConversion"/>
  </si>
  <si>
    <t>QA</t>
    <phoneticPr fontId="2" type="noConversion"/>
  </si>
  <si>
    <t>IQC管理</t>
    <phoneticPr fontId="2" type="noConversion"/>
  </si>
  <si>
    <t>S1残</t>
    <phoneticPr fontId="2" type="noConversion"/>
  </si>
  <si>
    <t>S2残</t>
    <phoneticPr fontId="2" type="noConversion"/>
  </si>
  <si>
    <t>2、数差原因说明</t>
    <phoneticPr fontId="2" type="noConversion"/>
  </si>
  <si>
    <t>NO</t>
    <phoneticPr fontId="2" type="noConversion"/>
  </si>
  <si>
    <t>材料名</t>
    <phoneticPr fontId="2" type="noConversion"/>
  </si>
  <si>
    <t>2013/09止</t>
    <phoneticPr fontId="2" type="noConversion"/>
  </si>
  <si>
    <t>4、手册材料项号管理</t>
    <phoneticPr fontId="2" type="noConversion"/>
  </si>
  <si>
    <t>3、工艺、管理消耗与应补税</t>
    <phoneticPr fontId="2" type="noConversion"/>
  </si>
  <si>
    <t>入库数</t>
    <phoneticPr fontId="2" type="noConversion"/>
  </si>
  <si>
    <t>试作数</t>
    <phoneticPr fontId="2" type="noConversion"/>
  </si>
  <si>
    <t>直通率</t>
    <phoneticPr fontId="2" type="noConversion"/>
  </si>
  <si>
    <t>不良材料金额</t>
    <phoneticPr fontId="2" type="noConversion"/>
  </si>
  <si>
    <t>项目</t>
    <phoneticPr fontId="2" type="noConversion"/>
  </si>
  <si>
    <t>2013/06实</t>
    <phoneticPr fontId="2" type="noConversion"/>
  </si>
  <si>
    <t>2013/07实</t>
    <phoneticPr fontId="2" type="noConversion"/>
  </si>
  <si>
    <t>2013/08实</t>
    <phoneticPr fontId="2" type="noConversion"/>
  </si>
  <si>
    <t>2013/09实</t>
    <phoneticPr fontId="2" type="noConversion"/>
  </si>
  <si>
    <t>2013/10计</t>
    <phoneticPr fontId="2" type="noConversion"/>
  </si>
  <si>
    <t>2013/11计</t>
    <phoneticPr fontId="2" type="noConversion"/>
  </si>
  <si>
    <t>2013/12计</t>
    <phoneticPr fontId="2" type="noConversion"/>
  </si>
  <si>
    <t>短、溢</t>
    <phoneticPr fontId="2" type="noConversion"/>
  </si>
  <si>
    <t>5、管理改善</t>
    <phoneticPr fontId="2" type="noConversion"/>
  </si>
  <si>
    <t>5.2）材料使用部门严格遵守帐实相符制造，确保实物不遗失。</t>
    <phoneticPr fontId="2" type="noConversion"/>
  </si>
  <si>
    <t>5.1）推行材料关联部门月自行盘点，海关业务科抽查核准管理，短少实物部门长签字确认制。</t>
    <phoneticPr fontId="2" type="noConversion"/>
  </si>
  <si>
    <t>5.3）各材料使用部门加强材料回收率，提高除胶带以外材料的退港率。</t>
    <phoneticPr fontId="2" type="noConversion"/>
  </si>
  <si>
    <t>5.4）短少材料次月内完成补税处理，减少海关稽查时的保税材料短数风险；</t>
    <phoneticPr fontId="2" type="noConversion"/>
  </si>
  <si>
    <t>5.5）海关业务担当严格遵守材料分项号进、出管理；</t>
    <phoneticPr fontId="2" type="noConversion"/>
  </si>
  <si>
    <t>5.6）21013年12月前理顺库房材料实物按分项号管理，防止串料异常出现；</t>
    <phoneticPr fontId="2" type="noConversion"/>
  </si>
  <si>
    <t>5.7）海关业务月报管理与汇报制，有问题及时向公司领导汇报与解决，防止问题扩大化。</t>
    <phoneticPr fontId="2" type="noConversion"/>
  </si>
  <si>
    <t>作业回收</t>
    <phoneticPr fontId="2" type="noConversion"/>
  </si>
  <si>
    <t>S3残</t>
  </si>
  <si>
    <t>不良滞溜</t>
    <phoneticPr fontId="2" type="noConversion"/>
  </si>
  <si>
    <t>—</t>
    <phoneticPr fontId="2" type="noConversion"/>
  </si>
  <si>
    <t>不良材料数量</t>
    <phoneticPr fontId="2" type="noConversion"/>
  </si>
  <si>
    <t>补税金额USD</t>
    <phoneticPr fontId="2" type="noConversion"/>
  </si>
  <si>
    <t>实物残</t>
    <phoneticPr fontId="2" type="noConversion"/>
  </si>
  <si>
    <t>短溢</t>
    <phoneticPr fontId="2" type="noConversion"/>
  </si>
  <si>
    <t>当残</t>
    <phoneticPr fontId="2" type="noConversion"/>
  </si>
  <si>
    <t>退港</t>
    <phoneticPr fontId="2" type="noConversion"/>
  </si>
  <si>
    <t>纳税</t>
    <phoneticPr fontId="2" type="noConversion"/>
  </si>
  <si>
    <t>OQC当残</t>
    <phoneticPr fontId="2" type="noConversion"/>
  </si>
  <si>
    <t>特性管理</t>
    <phoneticPr fontId="2" type="noConversion"/>
  </si>
  <si>
    <t>当月进口总数量</t>
  </si>
  <si>
    <t>当月出口总数量</t>
  </si>
  <si>
    <t>手册前残</t>
    <phoneticPr fontId="2" type="noConversion"/>
  </si>
  <si>
    <t>实物残</t>
    <phoneticPr fontId="2" type="noConversion"/>
  </si>
  <si>
    <t>手册当残</t>
    <phoneticPr fontId="2" type="noConversion"/>
  </si>
  <si>
    <t>合计</t>
    <phoneticPr fontId="2" type="noConversion"/>
  </si>
  <si>
    <t>生产工艺不良</t>
  </si>
  <si>
    <t>QA管理占用</t>
  </si>
  <si>
    <t>合计</t>
    <phoneticPr fontId="2" type="noConversion"/>
  </si>
  <si>
    <t>材料名</t>
  </si>
  <si>
    <t>待补税材料</t>
    <phoneticPr fontId="2" type="noConversion"/>
  </si>
  <si>
    <t>生统不良</t>
    <phoneticPr fontId="2" type="noConversion"/>
  </si>
  <si>
    <t>不良滞溜</t>
  </si>
  <si>
    <t>待补税额USD</t>
    <phoneticPr fontId="2" type="noConversion"/>
  </si>
  <si>
    <t>制造数差</t>
    <phoneticPr fontId="2" type="noConversion"/>
  </si>
  <si>
    <t>名称</t>
    <phoneticPr fontId="2" type="noConversion"/>
  </si>
  <si>
    <t>二级库发出</t>
    <phoneticPr fontId="2" type="noConversion"/>
  </si>
  <si>
    <t>前残</t>
    <phoneticPr fontId="2" type="noConversion"/>
  </si>
  <si>
    <t>新着工</t>
    <phoneticPr fontId="2" type="noConversion"/>
  </si>
  <si>
    <t>作业不良回收</t>
    <phoneticPr fontId="2" type="noConversion"/>
  </si>
  <si>
    <t>来料不良回收</t>
    <phoneticPr fontId="2" type="noConversion"/>
  </si>
  <si>
    <t>现场残</t>
    <phoneticPr fontId="2" type="noConversion"/>
  </si>
  <si>
    <t>QA取走数</t>
    <phoneticPr fontId="2" type="noConversion"/>
  </si>
  <si>
    <t>短少</t>
    <phoneticPr fontId="2" type="noConversion"/>
  </si>
  <si>
    <t>前残成品
(8月盘点)</t>
  </si>
  <si>
    <t>成品交库房</t>
  </si>
  <si>
    <t>(9月末盘点)
当残</t>
  </si>
  <si>
    <t>当月组装实际着工</t>
    <phoneticPr fontId="2" type="noConversion"/>
  </si>
  <si>
    <t>名称</t>
    <phoneticPr fontId="2" type="noConversion"/>
  </si>
  <si>
    <t>特性管理取走</t>
    <phoneticPr fontId="2" type="noConversion"/>
  </si>
  <si>
    <t>BL前残</t>
    <phoneticPr fontId="2" type="noConversion"/>
  </si>
  <si>
    <t>BL当残</t>
    <phoneticPr fontId="2" type="noConversion"/>
  </si>
  <si>
    <t>BL入QA检查</t>
    <phoneticPr fontId="2" type="noConversion"/>
  </si>
  <si>
    <t>差异</t>
    <phoneticPr fontId="2" type="noConversion"/>
  </si>
  <si>
    <t>当月实际入库良品</t>
    <phoneticPr fontId="2" type="noConversion"/>
  </si>
  <si>
    <t>当月入库良品比BL差工还多？</t>
    <phoneticPr fontId="2" type="noConversion"/>
  </si>
  <si>
    <t>当月数差原因</t>
    <phoneticPr fontId="2" type="noConversion"/>
  </si>
  <si>
    <t>BL制造数差</t>
    <phoneticPr fontId="2" type="noConversion"/>
  </si>
  <si>
    <t>QA与BL组装差异</t>
  </si>
  <si>
    <t>QA与BL组装差异</t>
    <phoneticPr fontId="2" type="noConversion"/>
  </si>
  <si>
    <t>光材料当月数差</t>
    <phoneticPr fontId="2" type="noConversion"/>
  </si>
  <si>
    <t>当月消耗量KG</t>
    <phoneticPr fontId="2" type="noConversion"/>
  </si>
  <si>
    <t>当月良品量KG</t>
    <phoneticPr fontId="2" type="noConversion"/>
  </si>
  <si>
    <t>当短少</t>
    <phoneticPr fontId="2" type="noConversion"/>
  </si>
  <si>
    <t>短少比例</t>
    <phoneticPr fontId="2" type="noConversion"/>
  </si>
  <si>
    <t>作业不良  回收</t>
    <phoneticPr fontId="2" type="noConversion"/>
  </si>
  <si>
    <t>来料不良  回收</t>
    <phoneticPr fontId="2" type="noConversion"/>
  </si>
  <si>
    <t>9月设计、QA拿走BL（未返回）：853pcs</t>
    <phoneticPr fontId="2" type="noConversion"/>
  </si>
  <si>
    <t>扼要说明</t>
    <phoneticPr fontId="2" type="noConversion"/>
  </si>
  <si>
    <t>实一账</t>
    <phoneticPr fontId="2" type="noConversion"/>
  </si>
  <si>
    <t>扩散片/片材(Kg)</t>
    <phoneticPr fontId="2" type="noConversion"/>
  </si>
  <si>
    <t>初级形状聚碳酸酯颗粒(Kg)</t>
    <phoneticPr fontId="2" type="noConversion"/>
  </si>
  <si>
    <t>PMMA塑胶粒(Kg)</t>
    <phoneticPr fontId="2" type="noConversion"/>
  </si>
  <si>
    <t>塑料托盘(Kg)</t>
    <phoneticPr fontId="2" type="noConversion"/>
  </si>
  <si>
    <t>设计</t>
    <phoneticPr fontId="2" type="noConversion"/>
  </si>
  <si>
    <t>确认S3的9月未盘点残后，修正</t>
    <phoneticPr fontId="2" type="noConversion"/>
  </si>
  <si>
    <t>短少（无实物）</t>
    <phoneticPr fontId="2" type="noConversion"/>
  </si>
  <si>
    <t>SZ进出口材料（成品）保税管理总结报告</t>
    <phoneticPr fontId="2" type="noConversion"/>
  </si>
  <si>
    <t>1、时间：截止到2013年09月30日</t>
    <phoneticPr fontId="2" type="noConversion"/>
  </si>
  <si>
    <t>2、</t>
    <phoneticPr fontId="2" type="noConversion"/>
  </si>
  <si>
    <t>设计试作占用</t>
    <phoneticPr fontId="2" type="noConversion"/>
  </si>
  <si>
    <t>1、盘海关报、进、出、残与公司实物残确认后数差：</t>
    <phoneticPr fontId="2" type="noConversion"/>
  </si>
  <si>
    <t>3、待补税材料</t>
    <phoneticPr fontId="2" type="noConversion"/>
  </si>
  <si>
    <t xml:space="preserve"> </t>
    <phoneticPr fontId="2" type="noConversion"/>
  </si>
  <si>
    <t>2、数差来源与说明</t>
    <phoneticPr fontId="2" type="noConversion"/>
  </si>
  <si>
    <t>5、手册材料项号管理与问题点</t>
    <phoneticPr fontId="2" type="noConversion"/>
  </si>
  <si>
    <t>5.8）材料计划的内作材料与外购材料进出时，请必须提前通知关务，否则申报后无法变更。</t>
    <phoneticPr fontId="2" type="noConversion"/>
  </si>
  <si>
    <t>项目</t>
  </si>
  <si>
    <t>2013/06实</t>
  </si>
  <si>
    <t>2013/07实</t>
  </si>
  <si>
    <t>2013/08实</t>
  </si>
  <si>
    <t>2013/09实</t>
  </si>
  <si>
    <t>2013/10计</t>
  </si>
  <si>
    <t>2013/11计</t>
  </si>
  <si>
    <t>2013/12计</t>
  </si>
  <si>
    <t>合计</t>
  </si>
  <si>
    <t>入库数</t>
  </si>
  <si>
    <t>直通率</t>
  </si>
  <si>
    <t>试作数</t>
  </si>
  <si>
    <t>—</t>
  </si>
  <si>
    <t>不良材料数量</t>
  </si>
  <si>
    <t>不良材料金额</t>
  </si>
  <si>
    <t>补税金额USD</t>
  </si>
  <si>
    <t>使倍减去1.015</t>
  </si>
  <si>
    <t>4、工艺、管理消耗与待退港及应补税</t>
    <phoneticPr fontId="2" type="noConversion"/>
  </si>
  <si>
    <t>6月6日－9月30日进口情况</t>
    <phoneticPr fontId="7" type="noConversion"/>
  </si>
  <si>
    <t>实物残B</t>
    <phoneticPr fontId="7" type="noConversion"/>
  </si>
  <si>
    <t>材料退港E</t>
    <phoneticPr fontId="7" type="noConversion"/>
  </si>
  <si>
    <r>
      <t>6月</t>
    </r>
    <r>
      <rPr>
        <sz val="11"/>
        <color theme="1"/>
        <rFont val="宋体"/>
        <charset val="134"/>
        <scheme val="minor"/>
      </rPr>
      <t>6</t>
    </r>
    <r>
      <rPr>
        <sz val="11"/>
        <color indexed="8"/>
        <rFont val="宋体"/>
        <charset val="134"/>
      </rPr>
      <t>日－9月30日出口情况</t>
    </r>
    <phoneticPr fontId="7" type="noConversion"/>
  </si>
  <si>
    <t>结转报关出口</t>
    <phoneticPr fontId="7" type="noConversion"/>
  </si>
  <si>
    <t>旧NO</t>
    <phoneticPr fontId="2" type="noConversion"/>
  </si>
  <si>
    <t>余料入</t>
    <phoneticPr fontId="2" type="noConversion"/>
  </si>
  <si>
    <t>合计</t>
    <phoneticPr fontId="2" type="noConversion"/>
  </si>
  <si>
    <t>生统</t>
    <phoneticPr fontId="2" type="noConversion"/>
  </si>
  <si>
    <t>良品</t>
    <phoneticPr fontId="2" type="noConversion"/>
  </si>
  <si>
    <t>9.25其它补税</t>
    <phoneticPr fontId="2" type="noConversion"/>
  </si>
  <si>
    <t>进口数</t>
    <phoneticPr fontId="2" type="noConversion"/>
  </si>
  <si>
    <t>出口数</t>
    <phoneticPr fontId="2" type="noConversion"/>
  </si>
  <si>
    <t>2013/6/5进出口情况</t>
    <phoneticPr fontId="7" type="noConversion"/>
  </si>
  <si>
    <t>短溢情况C=B-A</t>
    <phoneticPr fontId="7" type="noConversion"/>
  </si>
  <si>
    <r>
      <t>6</t>
    </r>
    <r>
      <rPr>
        <sz val="11"/>
        <color theme="1"/>
        <rFont val="宋体"/>
        <charset val="134"/>
        <scheme val="minor"/>
      </rPr>
      <t>.5补</t>
    </r>
    <r>
      <rPr>
        <sz val="11"/>
        <color indexed="8"/>
        <rFont val="宋体"/>
        <charset val="134"/>
      </rPr>
      <t>税</t>
    </r>
    <phoneticPr fontId="7" type="noConversion"/>
  </si>
  <si>
    <r>
      <t>6（</t>
    </r>
    <r>
      <rPr>
        <sz val="11"/>
        <color indexed="8"/>
        <rFont val="宋体"/>
        <charset val="134"/>
      </rPr>
      <t>38）</t>
    </r>
    <phoneticPr fontId="2" type="noConversion"/>
  </si>
  <si>
    <r>
      <t>7（</t>
    </r>
    <r>
      <rPr>
        <sz val="11"/>
        <color indexed="8"/>
        <rFont val="宋体"/>
        <charset val="134"/>
      </rPr>
      <t>39）</t>
    </r>
    <phoneticPr fontId="2" type="noConversion"/>
  </si>
  <si>
    <r>
      <t>8（</t>
    </r>
    <r>
      <rPr>
        <sz val="11"/>
        <color indexed="8"/>
        <rFont val="宋体"/>
        <charset val="134"/>
      </rPr>
      <t>40</t>
    </r>
    <phoneticPr fontId="2" type="noConversion"/>
  </si>
  <si>
    <r>
      <t>9（</t>
    </r>
    <r>
      <rPr>
        <sz val="11"/>
        <color indexed="8"/>
        <rFont val="宋体"/>
        <charset val="134"/>
      </rPr>
      <t>34、41）</t>
    </r>
    <phoneticPr fontId="2" type="noConversion"/>
  </si>
  <si>
    <r>
      <t>新N</t>
    </r>
    <r>
      <rPr>
        <sz val="11"/>
        <color indexed="8"/>
        <rFont val="宋体"/>
        <charset val="134"/>
      </rPr>
      <t>O</t>
    </r>
    <phoneticPr fontId="2" type="noConversion"/>
  </si>
  <si>
    <t>材料名称</t>
    <phoneticPr fontId="2" type="noConversion"/>
  </si>
  <si>
    <r>
      <t>F</t>
    </r>
    <r>
      <rPr>
        <sz val="11"/>
        <color indexed="8"/>
        <rFont val="宋体"/>
        <charset val="134"/>
      </rPr>
      <t>PC</t>
    </r>
    <phoneticPr fontId="2" type="noConversion"/>
  </si>
  <si>
    <t>FPC</t>
    <phoneticPr fontId="2" type="noConversion"/>
  </si>
  <si>
    <t>反射片</t>
    <phoneticPr fontId="2" type="noConversion"/>
  </si>
  <si>
    <t>导光板</t>
    <phoneticPr fontId="2" type="noConversion"/>
  </si>
  <si>
    <t>手册残A</t>
    <phoneticPr fontId="7" type="noConversion"/>
  </si>
  <si>
    <t>最终残</t>
    <phoneticPr fontId="2" type="noConversion"/>
  </si>
  <si>
    <t xml:space="preserve">手册残
（进-出）
</t>
    <phoneticPr fontId="7" type="noConversion"/>
  </si>
  <si>
    <t>截止2013年9月30日短溢情况</t>
    <phoneticPr fontId="7" type="noConversion"/>
  </si>
  <si>
    <r>
      <t>6月</t>
    </r>
    <r>
      <rPr>
        <sz val="11"/>
        <color indexed="8"/>
        <rFont val="宋体"/>
        <charset val="134"/>
      </rPr>
      <t>-9月短少数</t>
    </r>
    <phoneticPr fontId="2" type="noConversion"/>
  </si>
  <si>
    <t>余料转入
（前残）</t>
    <phoneticPr fontId="2" type="noConversion"/>
  </si>
  <si>
    <t>9月进口总数量</t>
    <phoneticPr fontId="2" type="noConversion"/>
  </si>
  <si>
    <t>9月出口总数量</t>
    <phoneticPr fontId="2" type="noConversion"/>
  </si>
  <si>
    <t>截止2013年9月30日短溢情况</t>
    <phoneticPr fontId="2" type="noConversion"/>
  </si>
  <si>
    <t>手册残
（进-出）</t>
    <phoneticPr fontId="2" type="noConversion"/>
  </si>
  <si>
    <t>实物残
（工厂库存）</t>
    <phoneticPr fontId="2" type="noConversion"/>
  </si>
  <si>
    <t>实物残
（工厂库存）</t>
    <phoneticPr fontId="7" type="noConversion"/>
  </si>
  <si>
    <t>截止2013年9月30日短溢情况</t>
    <phoneticPr fontId="2" type="noConversion"/>
  </si>
  <si>
    <t>三类材料进出口情况分折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</si>
</sst>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_ "/>
    <numFmt numFmtId="178" formatCode="#,##0;[Red]#,##0"/>
    <numFmt numFmtId="179" formatCode="#,##0_ "/>
    <numFmt numFmtId="180" formatCode="#,##0_);[Red]\(#,##0\)"/>
  </numFmts>
  <fonts count="28"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u/>
      <sz val="11"/>
      <color indexed="8"/>
      <name val="宋体"/>
      <charset val="134"/>
    </font>
    <font>
      <sz val="9"/>
      <color indexed="81"/>
      <name val="宋体"/>
      <charset val="134"/>
    </font>
    <font>
      <b/>
      <sz val="11"/>
      <color indexed="63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宋体"/>
      <charset val="134"/>
    </font>
    <font>
      <b/>
      <u/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8"/>
      <color indexed="8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1" fillId="0" borderId="11" xfId="0" applyNumberFormat="1" applyFont="1" applyBorder="1">
      <alignment vertical="center"/>
    </xf>
    <xf numFmtId="176" fontId="0" fillId="0" borderId="12" xfId="0" applyNumberFormat="1" applyBorder="1" applyAlignment="1">
      <alignment vertical="center"/>
    </xf>
    <xf numFmtId="176" fontId="0" fillId="0" borderId="4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Border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0" fillId="0" borderId="15" xfId="0" applyNumberFormat="1" applyBorder="1" applyAlignment="1">
      <alignment horizontal="center"/>
    </xf>
    <xf numFmtId="176" fontId="9" fillId="0" borderId="15" xfId="0" applyNumberFormat="1" applyFont="1" applyBorder="1" applyAlignment="1">
      <alignment horizontal="center"/>
    </xf>
    <xf numFmtId="176" fontId="8" fillId="0" borderId="15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6" xfId="0" applyNumberFormat="1" applyBorder="1" applyAlignment="1">
      <alignment horizontal="center" vertical="center"/>
    </xf>
    <xf numFmtId="176" fontId="0" fillId="0" borderId="16" xfId="0" applyNumberFormat="1" applyBorder="1" applyAlignment="1">
      <alignment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7" xfId="0" applyNumberFormat="1" applyBorder="1" applyAlignment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0" fillId="0" borderId="0" xfId="0" applyNumberFormat="1" applyAlignment="1">
      <alignment vertical="center" shrinkToFit="1"/>
    </xf>
    <xf numFmtId="0" fontId="0" fillId="0" borderId="2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0" fillId="0" borderId="0" xfId="0" applyNumberFormat="1" applyBorder="1" applyAlignment="1">
      <alignment vertical="center" shrinkToFi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0" fontId="26" fillId="0" borderId="2" xfId="1" applyNumberFormat="1" applyFont="1" applyBorder="1">
      <alignment vertical="center"/>
    </xf>
    <xf numFmtId="176" fontId="0" fillId="0" borderId="2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vertical="center" shrinkToFit="1"/>
    </xf>
    <xf numFmtId="0" fontId="4" fillId="0" borderId="2" xfId="0" applyNumberFormat="1" applyFont="1" applyBorder="1" applyAlignment="1">
      <alignment vertical="center" shrinkToFit="1"/>
    </xf>
    <xf numFmtId="176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vertical="center" shrinkToFit="1"/>
    </xf>
    <xf numFmtId="0" fontId="11" fillId="0" borderId="2" xfId="0" applyNumberFormat="1" applyFont="1" applyBorder="1" applyAlignment="1">
      <alignment vertical="center" shrinkToFit="1"/>
    </xf>
    <xf numFmtId="0" fontId="0" fillId="0" borderId="10" xfId="0" applyBorder="1">
      <alignment vertical="center"/>
    </xf>
    <xf numFmtId="0" fontId="0" fillId="0" borderId="11" xfId="0" applyNumberFormat="1" applyBorder="1" applyAlignment="1">
      <alignment vertical="center" shrinkToFit="1"/>
    </xf>
    <xf numFmtId="0" fontId="0" fillId="0" borderId="19" xfId="0" applyNumberFormat="1" applyBorder="1" applyAlignment="1">
      <alignment vertical="center" shrinkToFit="1"/>
    </xf>
    <xf numFmtId="176" fontId="0" fillId="0" borderId="19" xfId="0" applyNumberFormat="1" applyBorder="1" applyAlignment="1">
      <alignment vertical="center" shrinkToFit="1"/>
    </xf>
    <xf numFmtId="0" fontId="0" fillId="0" borderId="21" xfId="0" applyBorder="1">
      <alignment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 shrinkToFit="1"/>
    </xf>
    <xf numFmtId="0" fontId="0" fillId="0" borderId="2" xfId="0" applyNumberFormat="1" applyBorder="1" applyAlignment="1">
      <alignment horizontal="center" vertical="center" shrinkToFit="1"/>
    </xf>
    <xf numFmtId="176" fontId="0" fillId="0" borderId="23" xfId="0" applyNumberFormat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5" xfId="0" applyNumberForma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NumberFormat="1" applyFont="1" applyFill="1" applyBorder="1" applyAlignment="1">
      <alignment vertical="center" shrinkToFit="1"/>
    </xf>
    <xf numFmtId="0" fontId="0" fillId="3" borderId="1" xfId="0" applyFill="1" applyBorder="1">
      <alignment vertical="center"/>
    </xf>
    <xf numFmtId="0" fontId="0" fillId="3" borderId="2" xfId="0" applyNumberFormat="1" applyFill="1" applyBorder="1" applyAlignment="1">
      <alignment vertical="center" shrinkToFit="1"/>
    </xf>
    <xf numFmtId="176" fontId="0" fillId="4" borderId="20" xfId="0" applyNumberFormat="1" applyFill="1" applyBorder="1">
      <alignment vertical="center"/>
    </xf>
    <xf numFmtId="178" fontId="0" fillId="0" borderId="2" xfId="0" applyNumberFormat="1" applyBorder="1" applyAlignment="1">
      <alignment horizontal="right" vertical="center"/>
    </xf>
    <xf numFmtId="178" fontId="13" fillId="3" borderId="2" xfId="0" applyNumberFormat="1" applyFont="1" applyFill="1" applyBorder="1" applyAlignment="1">
      <alignment horizontal="right" vertical="center"/>
    </xf>
    <xf numFmtId="178" fontId="0" fillId="3" borderId="2" xfId="0" applyNumberFormat="1" applyFill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0" fillId="0" borderId="2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5" xfId="0" applyNumberFormat="1" applyBorder="1" applyAlignment="1">
      <alignment horizontal="right" vertical="center"/>
    </xf>
    <xf numFmtId="176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78" fontId="0" fillId="0" borderId="22" xfId="0" applyNumberFormat="1" applyBorder="1">
      <alignment vertical="center"/>
    </xf>
    <xf numFmtId="178" fontId="0" fillId="4" borderId="25" xfId="0" applyNumberFormat="1" applyFill="1" applyBorder="1">
      <alignment vertical="center"/>
    </xf>
    <xf numFmtId="178" fontId="0" fillId="4" borderId="26" xfId="0" applyNumberFormat="1" applyFill="1" applyBorder="1">
      <alignment vertical="center"/>
    </xf>
    <xf numFmtId="178" fontId="0" fillId="0" borderId="8" xfId="0" applyNumberForma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176" fontId="0" fillId="0" borderId="23" xfId="0" applyNumberFormat="1" applyBorder="1">
      <alignment vertical="center"/>
    </xf>
    <xf numFmtId="176" fontId="16" fillId="0" borderId="23" xfId="0" applyNumberFormat="1" applyFont="1" applyBorder="1" applyAlignment="1">
      <alignment horizontal="center" vertical="center"/>
    </xf>
    <xf numFmtId="176" fontId="17" fillId="0" borderId="23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NumberFormat="1" applyFill="1" applyBorder="1" applyAlignment="1">
      <alignment vertical="center" shrinkToFit="1"/>
    </xf>
    <xf numFmtId="178" fontId="0" fillId="0" borderId="2" xfId="0" applyNumberFormat="1" applyFill="1" applyBorder="1" applyAlignment="1">
      <alignment horizontal="right" vertical="center"/>
    </xf>
    <xf numFmtId="177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right" vertical="center"/>
    </xf>
    <xf numFmtId="178" fontId="0" fillId="0" borderId="5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2" borderId="2" xfId="0" applyNumberFormat="1" applyFill="1" applyBorder="1">
      <alignment vertical="center"/>
    </xf>
    <xf numFmtId="178" fontId="0" fillId="2" borderId="7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0" fillId="2" borderId="0" xfId="0" applyNumberFormat="1" applyFill="1" applyBorder="1">
      <alignment vertical="center"/>
    </xf>
    <xf numFmtId="0" fontId="18" fillId="0" borderId="0" xfId="0" applyNumberFormat="1" applyFont="1" applyBorder="1" applyAlignment="1">
      <alignment vertical="center" shrinkToFit="1"/>
    </xf>
    <xf numFmtId="178" fontId="18" fillId="0" borderId="0" xfId="0" applyNumberFormat="1" applyFont="1" applyBorder="1" applyAlignment="1">
      <alignment horizontal="right" vertical="center"/>
    </xf>
    <xf numFmtId="178" fontId="0" fillId="2" borderId="5" xfId="0" applyNumberFormat="1" applyFill="1" applyBorder="1" applyAlignment="1">
      <alignment horizontal="right" vertical="center"/>
    </xf>
    <xf numFmtId="178" fontId="13" fillId="2" borderId="5" xfId="0" applyNumberFormat="1" applyFont="1" applyFill="1" applyBorder="1" applyAlignment="1">
      <alignment horizontal="right" vertical="center"/>
    </xf>
    <xf numFmtId="178" fontId="0" fillId="2" borderId="8" xfId="0" applyNumberFormat="1" applyFill="1" applyBorder="1" applyAlignment="1">
      <alignment horizontal="right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6" fontId="11" fillId="0" borderId="27" xfId="0" applyNumberFormat="1" applyFont="1" applyBorder="1" applyAlignment="1">
      <alignment horizontal="center" vertical="center"/>
    </xf>
    <xf numFmtId="178" fontId="0" fillId="2" borderId="5" xfId="0" applyNumberFormat="1" applyFill="1" applyBorder="1">
      <alignment vertical="center"/>
    </xf>
    <xf numFmtId="178" fontId="0" fillId="2" borderId="8" xfId="0" applyNumberFormat="1" applyFill="1" applyBorder="1">
      <alignment vertical="center"/>
    </xf>
    <xf numFmtId="0" fontId="11" fillId="0" borderId="0" xfId="0" applyFont="1" applyBorder="1">
      <alignment vertical="center"/>
    </xf>
    <xf numFmtId="178" fontId="0" fillId="0" borderId="2" xfId="0" applyNumberFormat="1" applyBorder="1" applyAlignment="1">
      <alignment vertical="center"/>
    </xf>
    <xf numFmtId="178" fontId="0" fillId="0" borderId="25" xfId="0" applyNumberFormat="1" applyBorder="1" applyAlignment="1">
      <alignment vertical="center"/>
    </xf>
    <xf numFmtId="178" fontId="0" fillId="0" borderId="22" xfId="0" applyNumberFormat="1" applyBorder="1" applyAlignment="1">
      <alignment vertical="center"/>
    </xf>
    <xf numFmtId="178" fontId="0" fillId="0" borderId="26" xfId="0" applyNumberFormat="1" applyBorder="1" applyAlignment="1">
      <alignment vertical="center"/>
    </xf>
    <xf numFmtId="176" fontId="0" fillId="0" borderId="27" xfId="0" applyNumberFormat="1" applyBorder="1" applyAlignment="1">
      <alignment horizontal="center" vertical="center"/>
    </xf>
    <xf numFmtId="176" fontId="0" fillId="0" borderId="2" xfId="0" applyNumberFormat="1" applyBorder="1" applyAlignment="1">
      <alignment vertical="center" wrapText="1"/>
    </xf>
    <xf numFmtId="176" fontId="15" fillId="0" borderId="0" xfId="0" applyNumberFormat="1" applyFont="1" applyBorder="1">
      <alignment vertical="center"/>
    </xf>
    <xf numFmtId="176" fontId="18" fillId="0" borderId="0" xfId="0" applyNumberFormat="1" applyFont="1">
      <alignment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8" xfId="0" applyNumberFormat="1" applyBorder="1">
      <alignment vertical="center"/>
    </xf>
    <xf numFmtId="177" fontId="1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177" fontId="0" fillId="0" borderId="21" xfId="0" applyNumberFormat="1" applyBorder="1">
      <alignment vertical="center"/>
    </xf>
    <xf numFmtId="0" fontId="0" fillId="0" borderId="2" xfId="0" applyBorder="1" applyAlignment="1">
      <alignment horizontal="center" wrapText="1"/>
    </xf>
    <xf numFmtId="177" fontId="0" fillId="0" borderId="2" xfId="0" applyNumberFormat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7" fontId="0" fillId="0" borderId="25" xfId="0" applyNumberFormat="1" applyBorder="1">
      <alignment vertical="center"/>
    </xf>
    <xf numFmtId="177" fontId="1" fillId="0" borderId="25" xfId="0" applyNumberFormat="1" applyFont="1" applyBorder="1">
      <alignment vertical="center"/>
    </xf>
    <xf numFmtId="177" fontId="0" fillId="2" borderId="21" xfId="0" applyNumberFormat="1" applyFill="1" applyBorder="1">
      <alignment vertical="center"/>
    </xf>
    <xf numFmtId="177" fontId="0" fillId="2" borderId="2" xfId="0" applyNumberFormat="1" applyFill="1" applyBorder="1">
      <alignment vertical="center"/>
    </xf>
    <xf numFmtId="177" fontId="0" fillId="2" borderId="2" xfId="0" applyNumberFormat="1" applyFill="1" applyBorder="1" applyAlignment="1">
      <alignment vertical="center" wrapText="1"/>
    </xf>
    <xf numFmtId="177" fontId="1" fillId="2" borderId="25" xfId="0" applyNumberFormat="1" applyFont="1" applyFill="1" applyBorder="1">
      <alignment vertical="center"/>
    </xf>
    <xf numFmtId="177" fontId="0" fillId="0" borderId="28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22" xfId="0" applyNumberFormat="1" applyBorder="1" applyAlignment="1">
      <alignment vertical="center" wrapText="1"/>
    </xf>
    <xf numFmtId="177" fontId="1" fillId="0" borderId="26" xfId="0" applyNumberFormat="1" applyFont="1" applyBorder="1">
      <alignment vertical="center"/>
    </xf>
    <xf numFmtId="176" fontId="0" fillId="0" borderId="2" xfId="0" applyNumberFormat="1" applyBorder="1" applyAlignment="1">
      <alignment horizontal="left" vertical="center"/>
    </xf>
    <xf numFmtId="177" fontId="0" fillId="0" borderId="0" xfId="0" applyNumberFormat="1" applyBorder="1" applyAlignment="1">
      <alignment vertical="center" wrapText="1"/>
    </xf>
    <xf numFmtId="177" fontId="1" fillId="0" borderId="0" xfId="0" applyNumberFormat="1" applyFon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26" xfId="0" applyNumberFormat="1" applyBorder="1">
      <alignment vertical="center"/>
    </xf>
    <xf numFmtId="10" fontId="26" fillId="0" borderId="25" xfId="1" applyNumberFormat="1" applyFont="1" applyBorder="1">
      <alignment vertical="center"/>
    </xf>
    <xf numFmtId="10" fontId="1" fillId="0" borderId="25" xfId="1" applyNumberFormat="1" applyFont="1" applyBorder="1">
      <alignment vertical="center"/>
    </xf>
    <xf numFmtId="10" fontId="26" fillId="0" borderId="26" xfId="1" applyNumberFormat="1" applyFont="1" applyBorder="1">
      <alignment vertical="center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8" fontId="0" fillId="0" borderId="25" xfId="0" applyNumberFormat="1" applyBorder="1" applyAlignment="1">
      <alignment horizontal="right" vertical="center"/>
    </xf>
    <xf numFmtId="176" fontId="20" fillId="0" borderId="23" xfId="0" applyNumberFormat="1" applyFon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 wrapText="1"/>
    </xf>
    <xf numFmtId="176" fontId="0" fillId="0" borderId="7" xfId="0" applyNumberFormat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179" fontId="0" fillId="3" borderId="2" xfId="0" applyNumberFormat="1" applyFont="1" applyFill="1" applyBorder="1" applyAlignment="1">
      <alignment horizontal="right" vertical="center"/>
    </xf>
    <xf numFmtId="179" fontId="0" fillId="3" borderId="5" xfId="0" applyNumberFormat="1" applyFont="1" applyFill="1" applyBorder="1" applyAlignment="1">
      <alignment horizontal="right" vertical="center"/>
    </xf>
    <xf numFmtId="0" fontId="13" fillId="3" borderId="2" xfId="0" applyFont="1" applyFill="1" applyBorder="1">
      <alignment vertical="center"/>
    </xf>
    <xf numFmtId="10" fontId="0" fillId="3" borderId="2" xfId="0" applyNumberFormat="1" applyFont="1" applyFill="1" applyBorder="1" applyAlignment="1">
      <alignment horizontal="right" vertical="center"/>
    </xf>
    <xf numFmtId="10" fontId="0" fillId="3" borderId="5" xfId="0" applyNumberFormat="1" applyFont="1" applyFill="1" applyBorder="1" applyAlignment="1">
      <alignment horizontal="right" vertical="center"/>
    </xf>
    <xf numFmtId="179" fontId="19" fillId="3" borderId="2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178" fontId="0" fillId="3" borderId="7" xfId="0" applyNumberFormat="1" applyFont="1" applyFill="1" applyBorder="1" applyAlignment="1">
      <alignment horizontal="right" vertical="center"/>
    </xf>
    <xf numFmtId="178" fontId="0" fillId="3" borderId="8" xfId="0" applyNumberFormat="1" applyFont="1" applyFill="1" applyBorder="1" applyAlignment="1">
      <alignment horizontal="right" vertical="center"/>
    </xf>
    <xf numFmtId="176" fontId="1" fillId="2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8" fontId="0" fillId="0" borderId="25" xfId="0" applyNumberFormat="1" applyBorder="1">
      <alignment vertical="center"/>
    </xf>
    <xf numFmtId="178" fontId="0" fillId="0" borderId="21" xfId="0" applyNumberFormat="1" applyBorder="1">
      <alignment vertical="center"/>
    </xf>
    <xf numFmtId="178" fontId="0" fillId="0" borderId="28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2" xfId="0" applyNumberFormat="1" applyBorder="1" applyAlignment="1">
      <alignment vertical="center" wrapText="1"/>
    </xf>
    <xf numFmtId="178" fontId="1" fillId="0" borderId="25" xfId="0" applyNumberFormat="1" applyFont="1" applyBorder="1">
      <alignment vertical="center"/>
    </xf>
    <xf numFmtId="178" fontId="0" fillId="2" borderId="21" xfId="0" applyNumberFormat="1" applyFill="1" applyBorder="1">
      <alignment vertical="center"/>
    </xf>
    <xf numFmtId="178" fontId="0" fillId="2" borderId="2" xfId="0" applyNumberFormat="1" applyFill="1" applyBorder="1" applyAlignment="1">
      <alignment vertical="center" wrapText="1"/>
    </xf>
    <xf numFmtId="178" fontId="1" fillId="2" borderId="25" xfId="0" applyNumberFormat="1" applyFont="1" applyFill="1" applyBorder="1">
      <alignment vertical="center"/>
    </xf>
    <xf numFmtId="178" fontId="0" fillId="0" borderId="22" xfId="0" applyNumberFormat="1" applyBorder="1" applyAlignment="1">
      <alignment vertical="center" wrapText="1"/>
    </xf>
    <xf numFmtId="178" fontId="1" fillId="0" borderId="26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8" fontId="0" fillId="2" borderId="4" xfId="0" applyNumberForma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4" xfId="0" applyNumberFormat="1" applyBorder="1" applyAlignment="1">
      <alignment vertical="center" wrapText="1"/>
    </xf>
    <xf numFmtId="178" fontId="0" fillId="0" borderId="30" xfId="0" applyNumberFormat="1" applyBorder="1">
      <alignment vertical="center"/>
    </xf>
    <xf numFmtId="178" fontId="0" fillId="0" borderId="2" xfId="0" applyNumberFormat="1" applyFill="1" applyBorder="1">
      <alignment vertical="center"/>
    </xf>
    <xf numFmtId="0" fontId="0" fillId="2" borderId="2" xfId="0" applyFill="1" applyBorder="1" applyAlignment="1">
      <alignment horizontal="center" vertical="center" wrapText="1"/>
    </xf>
    <xf numFmtId="178" fontId="0" fillId="2" borderId="2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2" xfId="0" applyFont="1" applyBorder="1">
      <alignment vertical="center"/>
    </xf>
    <xf numFmtId="179" fontId="0" fillId="0" borderId="2" xfId="0" applyNumberFormat="1" applyFont="1" applyBorder="1">
      <alignment vertical="center"/>
    </xf>
    <xf numFmtId="179" fontId="0" fillId="0" borderId="5" xfId="0" applyNumberFormat="1" applyFont="1" applyBorder="1">
      <alignment vertical="center"/>
    </xf>
    <xf numFmtId="0" fontId="13" fillId="0" borderId="2" xfId="0" applyFont="1" applyBorder="1">
      <alignment vertical="center"/>
    </xf>
    <xf numFmtId="10" fontId="0" fillId="0" borderId="2" xfId="0" applyNumberFormat="1" applyFont="1" applyBorder="1">
      <alignment vertical="center"/>
    </xf>
    <xf numFmtId="10" fontId="0" fillId="0" borderId="5" xfId="0" applyNumberFormat="1" applyFont="1" applyBorder="1">
      <alignment vertical="center"/>
    </xf>
    <xf numFmtId="179" fontId="19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11" xfId="0" applyFont="1" applyBorder="1">
      <alignment vertical="center"/>
    </xf>
    <xf numFmtId="177" fontId="0" fillId="0" borderId="11" xfId="0" applyNumberFormat="1" applyFont="1" applyBorder="1">
      <alignment vertical="center"/>
    </xf>
    <xf numFmtId="177" fontId="0" fillId="0" borderId="14" xfId="0" applyNumberFormat="1" applyFont="1" applyBorder="1">
      <alignment vertical="center"/>
    </xf>
    <xf numFmtId="0" fontId="13" fillId="0" borderId="19" xfId="0" applyFont="1" applyFill="1" applyBorder="1">
      <alignment vertical="center"/>
    </xf>
    <xf numFmtId="179" fontId="0" fillId="0" borderId="19" xfId="0" applyNumberFormat="1" applyFont="1" applyBorder="1">
      <alignment vertical="center"/>
    </xf>
    <xf numFmtId="179" fontId="0" fillId="0" borderId="31" xfId="0" applyNumberFormat="1" applyFont="1" applyBorder="1">
      <alignment vertical="center"/>
    </xf>
    <xf numFmtId="0" fontId="13" fillId="0" borderId="2" xfId="0" applyFont="1" applyFill="1" applyBorder="1">
      <alignment vertical="center"/>
    </xf>
    <xf numFmtId="180" fontId="0" fillId="0" borderId="2" xfId="0" applyNumberFormat="1" applyFont="1" applyBorder="1">
      <alignment vertical="center"/>
    </xf>
    <xf numFmtId="180" fontId="0" fillId="0" borderId="5" xfId="0" applyNumberFormat="1" applyFont="1" applyBorder="1">
      <alignment vertical="center"/>
    </xf>
    <xf numFmtId="0" fontId="13" fillId="0" borderId="7" xfId="0" applyFont="1" applyFill="1" applyBorder="1">
      <alignment vertical="center"/>
    </xf>
    <xf numFmtId="180" fontId="0" fillId="0" borderId="7" xfId="0" applyNumberFormat="1" applyFont="1" applyBorder="1">
      <alignment vertical="center"/>
    </xf>
    <xf numFmtId="180" fontId="0" fillId="0" borderId="8" xfId="0" applyNumberFormat="1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0" borderId="6" xfId="0" applyNumberFormat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178" fontId="0" fillId="2" borderId="2" xfId="0" applyNumberFormat="1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13" fillId="2" borderId="2" xfId="0" applyFont="1" applyFill="1" applyBorder="1">
      <alignment vertical="center"/>
    </xf>
    <xf numFmtId="10" fontId="0" fillId="2" borderId="2" xfId="0" applyNumberFormat="1" applyFont="1" applyFill="1" applyBorder="1">
      <alignment vertical="center"/>
    </xf>
    <xf numFmtId="10" fontId="0" fillId="2" borderId="5" xfId="0" applyNumberFormat="1" applyFont="1" applyFill="1" applyBorder="1">
      <alignment vertical="center"/>
    </xf>
    <xf numFmtId="178" fontId="19" fillId="2" borderId="2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3" fillId="2" borderId="11" xfId="0" applyFont="1" applyFill="1" applyBorder="1">
      <alignment vertical="center"/>
    </xf>
    <xf numFmtId="178" fontId="0" fillId="2" borderId="11" xfId="0" applyNumberFormat="1" applyFont="1" applyFill="1" applyBorder="1">
      <alignment vertical="center"/>
    </xf>
    <xf numFmtId="178" fontId="0" fillId="2" borderId="14" xfId="0" applyNumberFormat="1" applyFont="1" applyFill="1" applyBorder="1">
      <alignment vertical="center"/>
    </xf>
    <xf numFmtId="0" fontId="13" fillId="2" borderId="19" xfId="0" applyFont="1" applyFill="1" applyBorder="1">
      <alignment vertical="center"/>
    </xf>
    <xf numFmtId="178" fontId="0" fillId="2" borderId="19" xfId="0" applyNumberFormat="1" applyFont="1" applyFill="1" applyBorder="1">
      <alignment vertical="center"/>
    </xf>
    <xf numFmtId="178" fontId="0" fillId="2" borderId="31" xfId="0" applyNumberFormat="1" applyFont="1" applyFill="1" applyBorder="1">
      <alignment vertical="center"/>
    </xf>
    <xf numFmtId="0" fontId="13" fillId="2" borderId="7" xfId="0" applyFont="1" applyFill="1" applyBorder="1">
      <alignment vertical="center"/>
    </xf>
    <xf numFmtId="178" fontId="0" fillId="2" borderId="7" xfId="0" applyNumberFormat="1" applyFont="1" applyFill="1" applyBorder="1">
      <alignment vertical="center"/>
    </xf>
    <xf numFmtId="178" fontId="0" fillId="2" borderId="8" xfId="0" applyNumberFormat="1" applyFont="1" applyFill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10" fontId="13" fillId="0" borderId="0" xfId="0" applyNumberFormat="1" applyFont="1">
      <alignment vertical="center"/>
    </xf>
    <xf numFmtId="10" fontId="13" fillId="0" borderId="0" xfId="1" applyNumberFormat="1" applyFont="1">
      <alignment vertical="center"/>
    </xf>
    <xf numFmtId="178" fontId="0" fillId="0" borderId="7" xfId="0" applyNumberForma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179" fontId="13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/>
    <xf numFmtId="179" fontId="13" fillId="0" borderId="1" xfId="0" applyNumberFormat="1" applyFont="1" applyBorder="1" applyAlignment="1">
      <alignment horizontal="center"/>
    </xf>
    <xf numFmtId="179" fontId="13" fillId="0" borderId="2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179" fontId="0" fillId="0" borderId="0" xfId="0" applyNumberFormat="1" applyFont="1" applyBorder="1">
      <alignment vertical="center"/>
    </xf>
    <xf numFmtId="10" fontId="0" fillId="0" borderId="0" xfId="0" applyNumberFormat="1" applyFont="1" applyBorder="1">
      <alignment vertical="center"/>
    </xf>
    <xf numFmtId="177" fontId="0" fillId="0" borderId="0" xfId="0" applyNumberFormat="1" applyFont="1" applyBorder="1">
      <alignment vertical="center"/>
    </xf>
    <xf numFmtId="180" fontId="0" fillId="0" borderId="0" xfId="0" applyNumberFormat="1" applyFont="1" applyBorder="1">
      <alignment vertical="center"/>
    </xf>
    <xf numFmtId="0" fontId="0" fillId="2" borderId="0" xfId="0" applyFill="1" applyBorder="1" applyAlignment="1">
      <alignment horizontal="center" vertical="center"/>
    </xf>
    <xf numFmtId="178" fontId="0" fillId="2" borderId="0" xfId="0" applyNumberFormat="1" applyFont="1" applyFill="1" applyBorder="1">
      <alignment vertical="center"/>
    </xf>
    <xf numFmtId="10" fontId="0" fillId="2" borderId="0" xfId="0" applyNumberFormat="1" applyFont="1" applyFill="1" applyBorder="1">
      <alignment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13" fillId="0" borderId="39" xfId="0" applyFont="1" applyBorder="1" applyAlignment="1">
      <alignment wrapText="1"/>
    </xf>
    <xf numFmtId="0" fontId="0" fillId="0" borderId="0" xfId="0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178" fontId="0" fillId="2" borderId="4" xfId="0" applyNumberFormat="1" applyFont="1" applyFill="1" applyBorder="1">
      <alignment vertical="center"/>
    </xf>
    <xf numFmtId="10" fontId="0" fillId="2" borderId="4" xfId="0" applyNumberFormat="1" applyFont="1" applyFill="1" applyBorder="1">
      <alignment vertical="center"/>
    </xf>
    <xf numFmtId="178" fontId="19" fillId="2" borderId="4" xfId="0" applyNumberFormat="1" applyFont="1" applyFill="1" applyBorder="1" applyAlignment="1">
      <alignment horizontal="center" vertical="center"/>
    </xf>
    <xf numFmtId="178" fontId="0" fillId="2" borderId="13" xfId="0" applyNumberFormat="1" applyFont="1" applyFill="1" applyBorder="1">
      <alignment vertical="center"/>
    </xf>
    <xf numFmtId="178" fontId="0" fillId="2" borderId="33" xfId="0" applyNumberFormat="1" applyFont="1" applyFill="1" applyBorder="1">
      <alignment vertical="center"/>
    </xf>
    <xf numFmtId="178" fontId="0" fillId="2" borderId="40" xfId="0" applyNumberFormat="1" applyFont="1" applyFill="1" applyBorder="1">
      <alignment vertical="center"/>
    </xf>
    <xf numFmtId="0" fontId="13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wrapText="1"/>
    </xf>
    <xf numFmtId="0" fontId="13" fillId="6" borderId="42" xfId="0" applyFont="1" applyFill="1" applyBorder="1" applyAlignment="1">
      <alignment horizontal="center" wrapText="1"/>
    </xf>
    <xf numFmtId="0" fontId="13" fillId="6" borderId="42" xfId="0" applyFont="1" applyFill="1" applyBorder="1" applyAlignment="1">
      <alignment horizontal="center"/>
    </xf>
    <xf numFmtId="179" fontId="13" fillId="6" borderId="42" xfId="0" applyNumberFormat="1" applyFont="1" applyFill="1" applyBorder="1" applyAlignment="1">
      <alignment horizontal="center"/>
    </xf>
    <xf numFmtId="0" fontId="13" fillId="6" borderId="42" xfId="0" applyFont="1" applyFill="1" applyBorder="1">
      <alignment vertical="center"/>
    </xf>
    <xf numFmtId="0" fontId="13" fillId="6" borderId="43" xfId="0" applyFont="1" applyFill="1" applyBorder="1">
      <alignment vertical="center"/>
    </xf>
    <xf numFmtId="0" fontId="13" fillId="6" borderId="44" xfId="0" applyFont="1" applyFill="1" applyBorder="1">
      <alignment vertical="center"/>
    </xf>
    <xf numFmtId="0" fontId="24" fillId="7" borderId="1" xfId="0" applyFont="1" applyFill="1" applyBorder="1" applyAlignment="1">
      <alignment horizontal="center" wrapText="1"/>
    </xf>
    <xf numFmtId="0" fontId="13" fillId="7" borderId="5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179" fontId="13" fillId="7" borderId="1" xfId="0" applyNumberFormat="1" applyFont="1" applyFill="1" applyBorder="1" applyAlignment="1">
      <alignment horizontal="center"/>
    </xf>
    <xf numFmtId="179" fontId="13" fillId="7" borderId="5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24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24" fillId="7" borderId="47" xfId="0" applyFont="1" applyFill="1" applyBorder="1" applyAlignment="1">
      <alignment horizontal="center" wrapText="1"/>
    </xf>
    <xf numFmtId="0" fontId="13" fillId="7" borderId="47" xfId="0" applyFont="1" applyFill="1" applyBorder="1" applyAlignment="1">
      <alignment horizontal="center"/>
    </xf>
    <xf numFmtId="179" fontId="13" fillId="7" borderId="47" xfId="0" applyNumberFormat="1" applyFont="1" applyFill="1" applyBorder="1" applyAlignment="1">
      <alignment horizontal="center"/>
    </xf>
    <xf numFmtId="0" fontId="13" fillId="7" borderId="4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wrapText="1"/>
    </xf>
    <xf numFmtId="0" fontId="24" fillId="6" borderId="48" xfId="0" applyFont="1" applyFill="1" applyBorder="1" applyAlignment="1">
      <alignment wrapText="1"/>
    </xf>
    <xf numFmtId="0" fontId="13" fillId="6" borderId="48" xfId="0" applyFont="1" applyFill="1" applyBorder="1" applyAlignment="1">
      <alignment horizontal="center"/>
    </xf>
    <xf numFmtId="179" fontId="13" fillId="6" borderId="48" xfId="0" applyNumberFormat="1" applyFont="1" applyFill="1" applyBorder="1" applyAlignment="1">
      <alignment horizontal="center"/>
    </xf>
    <xf numFmtId="0" fontId="13" fillId="6" borderId="48" xfId="0" applyFont="1" applyFill="1" applyBorder="1">
      <alignment vertical="center"/>
    </xf>
    <xf numFmtId="0" fontId="13" fillId="6" borderId="49" xfId="0" applyFont="1" applyFill="1" applyBorder="1">
      <alignment vertical="center"/>
    </xf>
    <xf numFmtId="0" fontId="13" fillId="6" borderId="50" xfId="0" applyFont="1" applyFill="1" applyBorder="1">
      <alignment vertical="center"/>
    </xf>
    <xf numFmtId="179" fontId="13" fillId="0" borderId="2" xfId="0" applyNumberFormat="1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179" fontId="13" fillId="0" borderId="7" xfId="0" applyNumberFormat="1" applyFont="1" applyBorder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5" xfId="0" applyFont="1" applyFill="1" applyBorder="1" applyAlignment="1">
      <alignment horizontal="center"/>
    </xf>
    <xf numFmtId="179" fontId="13" fillId="0" borderId="5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7" xfId="0" applyFont="1" applyBorder="1">
      <alignment vertical="center"/>
    </xf>
    <xf numFmtId="176" fontId="0" fillId="0" borderId="23" xfId="0" applyNumberFormat="1" applyFont="1" applyBorder="1" applyAlignment="1">
      <alignment horizontal="center" vertical="center" wrapText="1"/>
    </xf>
    <xf numFmtId="176" fontId="0" fillId="0" borderId="0" xfId="0" applyNumberFormat="1" applyFont="1">
      <alignment vertical="center"/>
    </xf>
    <xf numFmtId="176" fontId="0" fillId="0" borderId="24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25" fillId="0" borderId="23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29" xfId="0" applyNumberFormat="1" applyFont="1" applyBorder="1" applyAlignment="1">
      <alignment horizontal="left" vertical="center" wrapText="1"/>
    </xf>
    <xf numFmtId="0" fontId="27" fillId="0" borderId="0" xfId="0" applyFont="1">
      <alignment vertical="center"/>
    </xf>
    <xf numFmtId="176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76" fontId="0" fillId="2" borderId="32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0" fillId="0" borderId="0" xfId="0" applyNumberFormat="1" applyAlignment="1">
      <alignment horizontal="center"/>
    </xf>
    <xf numFmtId="176" fontId="0" fillId="0" borderId="2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shrinkToFit="1"/>
    </xf>
    <xf numFmtId="178" fontId="0" fillId="0" borderId="5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 shrinkToFit="1"/>
    </xf>
    <xf numFmtId="0" fontId="0" fillId="0" borderId="2" xfId="0" applyNumberFormat="1" applyBorder="1" applyAlignment="1">
      <alignment horizontal="center" vertical="center" shrinkToFit="1"/>
    </xf>
    <xf numFmtId="177" fontId="0" fillId="0" borderId="2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right" vertical="center"/>
    </xf>
    <xf numFmtId="178" fontId="0" fillId="0" borderId="34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0" fontId="13" fillId="0" borderId="24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58" fontId="0" fillId="5" borderId="41" xfId="0" applyNumberFormat="1" applyFont="1" applyFill="1" applyBorder="1" applyAlignment="1">
      <alignment horizontal="center" wrapText="1"/>
    </xf>
    <xf numFmtId="58" fontId="0" fillId="5" borderId="16" xfId="0" applyNumberFormat="1" applyFont="1" applyFill="1" applyBorder="1" applyAlignment="1">
      <alignment horizontal="center" wrapText="1"/>
    </xf>
    <xf numFmtId="58" fontId="0" fillId="5" borderId="12" xfId="0" applyNumberFormat="1" applyFont="1" applyFill="1" applyBorder="1" applyAlignment="1">
      <alignment horizont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37" xfId="0" applyNumberFormat="1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99</xdr:row>
      <xdr:rowOff>95250</xdr:rowOff>
    </xdr:from>
    <xdr:to>
      <xdr:col>9</xdr:col>
      <xdr:colOff>609600</xdr:colOff>
      <xdr:row>114</xdr:row>
      <xdr:rowOff>85725</xdr:rowOff>
    </xdr:to>
    <xdr:pic>
      <xdr:nvPicPr>
        <xdr:cNvPr id="2249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16983075"/>
          <a:ext cx="3409950" cy="2562225"/>
        </a:xfrm>
        <a:prstGeom prst="rect">
          <a:avLst/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28576</xdr:colOff>
      <xdr:row>82</xdr:row>
      <xdr:rowOff>161926</xdr:rowOff>
    </xdr:from>
    <xdr:to>
      <xdr:col>10</xdr:col>
      <xdr:colOff>609601</xdr:colOff>
      <xdr:row>99</xdr:row>
      <xdr:rowOff>47626</xdr:rowOff>
    </xdr:to>
    <xdr:sp macro="" textlink="">
      <xdr:nvSpPr>
        <xdr:cNvPr id="4" name="矩形 3"/>
        <xdr:cNvSpPr/>
      </xdr:nvSpPr>
      <xdr:spPr>
        <a:xfrm>
          <a:off x="4476751" y="14135101"/>
          <a:ext cx="5257800" cy="28003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38100</xdr:colOff>
      <xdr:row>83</xdr:row>
      <xdr:rowOff>0</xdr:rowOff>
    </xdr:from>
    <xdr:to>
      <xdr:col>10</xdr:col>
      <xdr:colOff>485775</xdr:colOff>
      <xdr:row>93</xdr:row>
      <xdr:rowOff>95250</xdr:rowOff>
    </xdr:to>
    <xdr:pic>
      <xdr:nvPicPr>
        <xdr:cNvPr id="2251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4144625"/>
          <a:ext cx="512445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93</xdr:row>
      <xdr:rowOff>85725</xdr:rowOff>
    </xdr:from>
    <xdr:to>
      <xdr:col>10</xdr:col>
      <xdr:colOff>619125</xdr:colOff>
      <xdr:row>99</xdr:row>
      <xdr:rowOff>57150</xdr:rowOff>
    </xdr:to>
    <xdr:pic>
      <xdr:nvPicPr>
        <xdr:cNvPr id="2252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15944850"/>
          <a:ext cx="52673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161925</xdr:colOff>
      <xdr:row>66</xdr:row>
      <xdr:rowOff>57150</xdr:rowOff>
    </xdr:from>
    <xdr:to>
      <xdr:col>9</xdr:col>
      <xdr:colOff>952500</xdr:colOff>
      <xdr:row>77</xdr:row>
      <xdr:rowOff>152400</xdr:rowOff>
    </xdr:to>
    <xdr:sp macro="" textlink="">
      <xdr:nvSpPr>
        <xdr:cNvPr id="2" name="左箭头 1"/>
        <xdr:cNvSpPr/>
      </xdr:nvSpPr>
      <xdr:spPr>
        <a:xfrm>
          <a:off x="7334250" y="11344275"/>
          <a:ext cx="1762125" cy="1981200"/>
        </a:xfrm>
        <a:prstGeom prst="lef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2200"/>
            </a:lnSpc>
          </a:pPr>
          <a:r>
            <a:rPr lang="zh-CN" altLang="en-US" sz="1800"/>
            <a:t>须与库房核对品种及数量</a:t>
          </a:r>
        </a:p>
      </xdr:txBody>
    </xdr:sp>
    <xdr:clientData/>
  </xdr:twoCellAnchor>
  <xdr:twoCellAnchor>
    <xdr:from>
      <xdr:col>11</xdr:col>
      <xdr:colOff>47625</xdr:colOff>
      <xdr:row>214</xdr:row>
      <xdr:rowOff>95250</xdr:rowOff>
    </xdr:from>
    <xdr:to>
      <xdr:col>12</xdr:col>
      <xdr:colOff>819150</xdr:colOff>
      <xdr:row>222</xdr:row>
      <xdr:rowOff>85725</xdr:rowOff>
    </xdr:to>
    <xdr:sp macro="" textlink="">
      <xdr:nvSpPr>
        <xdr:cNvPr id="6" name="左箭头 5"/>
        <xdr:cNvSpPr/>
      </xdr:nvSpPr>
      <xdr:spPr>
        <a:xfrm>
          <a:off x="10077450" y="36756975"/>
          <a:ext cx="1600200" cy="1314450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zh-CN" altLang="en-US" sz="1100"/>
            <a:t>与上应补税金额差，主要是由于单价差所致。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5"/>
  <sheetViews>
    <sheetView topLeftCell="F1" workbookViewId="0">
      <selection activeCell="L15" sqref="L15:L16"/>
    </sheetView>
  </sheetViews>
  <sheetFormatPr defaultRowHeight="13.5"/>
  <cols>
    <col min="1" max="1" width="5" style="7" customWidth="1"/>
    <col min="2" max="2" width="6.375" style="7" customWidth="1"/>
    <col min="3" max="3" width="14.125" style="7" customWidth="1"/>
    <col min="4" max="4" width="13.375" style="7" customWidth="1"/>
    <col min="5" max="5" width="12.125" style="7" customWidth="1"/>
    <col min="6" max="7" width="12" style="7" customWidth="1"/>
    <col min="8" max="8" width="12.25" style="7" customWidth="1"/>
    <col min="9" max="10" width="11.25" style="7" customWidth="1"/>
    <col min="11" max="12" width="13.25" style="7" customWidth="1"/>
    <col min="13" max="14" width="10.875" style="7" customWidth="1"/>
    <col min="15" max="15" width="12.5" style="7" customWidth="1"/>
    <col min="16" max="19" width="9" style="7"/>
    <col min="20" max="20" width="9.125" style="7" customWidth="1"/>
    <col min="21" max="21" width="9.5" style="7" bestFit="1" customWidth="1"/>
    <col min="22" max="16384" width="9" style="7"/>
  </cols>
  <sheetData>
    <row r="1" spans="1:15" ht="14.25">
      <c r="B1" s="10" t="s">
        <v>0</v>
      </c>
    </row>
    <row r="3" spans="1:15">
      <c r="B3" s="11" t="s">
        <v>4</v>
      </c>
    </row>
    <row r="4" spans="1:15" ht="14.25" thickBot="1"/>
    <row r="5" spans="1:15">
      <c r="B5" s="368" t="s">
        <v>2</v>
      </c>
      <c r="C5" s="364" t="s">
        <v>7</v>
      </c>
      <c r="D5" s="364" t="s">
        <v>1</v>
      </c>
      <c r="E5" s="364" t="s">
        <v>49</v>
      </c>
      <c r="F5" s="364"/>
      <c r="G5" s="364"/>
      <c r="H5" s="364"/>
      <c r="I5" s="364" t="s">
        <v>51</v>
      </c>
      <c r="J5" s="364"/>
      <c r="K5" s="364"/>
      <c r="L5" s="364"/>
      <c r="M5" s="364" t="s">
        <v>52</v>
      </c>
      <c r="N5" s="364" t="s">
        <v>53</v>
      </c>
      <c r="O5" s="370" t="s">
        <v>54</v>
      </c>
    </row>
    <row r="6" spans="1:15">
      <c r="B6" s="369"/>
      <c r="C6" s="365"/>
      <c r="D6" s="365"/>
      <c r="E6" s="3" t="s">
        <v>46</v>
      </c>
      <c r="F6" s="3" t="s">
        <v>47</v>
      </c>
      <c r="G6" s="3" t="s">
        <v>48</v>
      </c>
      <c r="H6" s="3" t="s">
        <v>50</v>
      </c>
      <c r="I6" s="3" t="s">
        <v>3</v>
      </c>
      <c r="J6" s="3" t="s">
        <v>47</v>
      </c>
      <c r="K6" s="3" t="s">
        <v>73</v>
      </c>
      <c r="L6" s="3" t="s">
        <v>15</v>
      </c>
      <c r="M6" s="365"/>
      <c r="N6" s="365"/>
      <c r="O6" s="371"/>
    </row>
    <row r="7" spans="1:15">
      <c r="A7" s="7">
        <v>1</v>
      </c>
      <c r="B7" s="12">
        <v>1</v>
      </c>
      <c r="C7" s="13" t="s">
        <v>55</v>
      </c>
      <c r="D7" s="13">
        <v>2369514</v>
      </c>
      <c r="E7" s="13">
        <v>3258503</v>
      </c>
      <c r="F7" s="13">
        <v>0</v>
      </c>
      <c r="G7" s="13">
        <v>0</v>
      </c>
      <c r="H7" s="13">
        <f>+E7+F7+G7</f>
        <v>3258503</v>
      </c>
      <c r="I7" s="13">
        <v>96911</v>
      </c>
      <c r="J7" s="13">
        <v>88267</v>
      </c>
      <c r="K7" s="13">
        <v>2662040</v>
      </c>
      <c r="L7" s="13">
        <f>+K7+J7+I7</f>
        <v>2847218</v>
      </c>
      <c r="M7" s="13">
        <v>0</v>
      </c>
      <c r="N7" s="13">
        <v>0</v>
      </c>
      <c r="O7" s="14">
        <f>D7+H7-L7-M7-N7</f>
        <v>2780799</v>
      </c>
    </row>
    <row r="8" spans="1:15">
      <c r="A8" s="7">
        <v>1</v>
      </c>
      <c r="B8" s="12">
        <v>2</v>
      </c>
      <c r="C8" s="13" t="s">
        <v>55</v>
      </c>
      <c r="D8" s="13">
        <v>132965</v>
      </c>
      <c r="E8" s="13">
        <v>83100</v>
      </c>
      <c r="F8" s="13">
        <v>0</v>
      </c>
      <c r="G8" s="13">
        <v>0</v>
      </c>
      <c r="H8" s="13">
        <f t="shared" ref="H8:H51" si="0">+E8+F8+G8</f>
        <v>83100</v>
      </c>
      <c r="I8" s="13">
        <v>3984</v>
      </c>
      <c r="J8" s="13">
        <v>0</v>
      </c>
      <c r="K8" s="13">
        <v>47736</v>
      </c>
      <c r="L8" s="13">
        <f t="shared" ref="L8:L51" si="1">+K8+J8+I8</f>
        <v>51720</v>
      </c>
      <c r="M8" s="13">
        <v>0</v>
      </c>
      <c r="N8" s="13">
        <v>0</v>
      </c>
      <c r="O8" s="14">
        <f t="shared" ref="O8:O51" si="2">D8+H8-L8-M8-N8</f>
        <v>164345</v>
      </c>
    </row>
    <row r="9" spans="1:15">
      <c r="A9" s="7">
        <v>2</v>
      </c>
      <c r="B9" s="12">
        <v>3</v>
      </c>
      <c r="C9" s="13" t="s">
        <v>56</v>
      </c>
      <c r="D9" s="13">
        <v>495285</v>
      </c>
      <c r="E9" s="13">
        <v>261769</v>
      </c>
      <c r="F9" s="13">
        <v>0</v>
      </c>
      <c r="G9" s="13">
        <v>0</v>
      </c>
      <c r="H9" s="13">
        <f t="shared" si="0"/>
        <v>261769</v>
      </c>
      <c r="I9" s="13">
        <v>9850</v>
      </c>
      <c r="J9" s="13">
        <v>3399</v>
      </c>
      <c r="K9" s="13">
        <v>273014</v>
      </c>
      <c r="L9" s="13">
        <f t="shared" si="1"/>
        <v>286263</v>
      </c>
      <c r="M9" s="13">
        <v>5291</v>
      </c>
      <c r="N9" s="13">
        <v>0</v>
      </c>
      <c r="O9" s="14">
        <f t="shared" si="2"/>
        <v>465500</v>
      </c>
    </row>
    <row r="10" spans="1:15">
      <c r="A10" s="7">
        <v>2</v>
      </c>
      <c r="B10" s="12">
        <v>4</v>
      </c>
      <c r="C10" s="13" t="s">
        <v>56</v>
      </c>
      <c r="D10" s="13">
        <v>307483</v>
      </c>
      <c r="E10" s="13">
        <v>112398</v>
      </c>
      <c r="F10" s="13">
        <v>0</v>
      </c>
      <c r="G10" s="13">
        <v>0</v>
      </c>
      <c r="H10" s="13">
        <f t="shared" si="0"/>
        <v>112398</v>
      </c>
      <c r="I10" s="13">
        <v>5519</v>
      </c>
      <c r="J10" s="13">
        <v>3000</v>
      </c>
      <c r="K10" s="13">
        <v>30217</v>
      </c>
      <c r="L10" s="13">
        <f t="shared" si="1"/>
        <v>38736</v>
      </c>
      <c r="M10" s="13">
        <v>47481</v>
      </c>
      <c r="N10" s="13">
        <v>0</v>
      </c>
      <c r="O10" s="14">
        <f t="shared" si="2"/>
        <v>333664</v>
      </c>
    </row>
    <row r="11" spans="1:15">
      <c r="A11" s="7">
        <v>2</v>
      </c>
      <c r="B11" s="12">
        <v>5</v>
      </c>
      <c r="C11" s="13" t="s">
        <v>56</v>
      </c>
      <c r="D11" s="13">
        <v>115232</v>
      </c>
      <c r="E11" s="13">
        <v>0</v>
      </c>
      <c r="F11" s="13">
        <v>0</v>
      </c>
      <c r="G11" s="13">
        <v>0</v>
      </c>
      <c r="H11" s="13">
        <f t="shared" si="0"/>
        <v>0</v>
      </c>
      <c r="I11" s="13">
        <v>850</v>
      </c>
      <c r="J11" s="13">
        <v>0</v>
      </c>
      <c r="K11" s="13">
        <v>0</v>
      </c>
      <c r="L11" s="13">
        <f t="shared" si="1"/>
        <v>850</v>
      </c>
      <c r="M11" s="13">
        <v>0</v>
      </c>
      <c r="N11" s="13">
        <v>0</v>
      </c>
      <c r="O11" s="14">
        <f t="shared" si="2"/>
        <v>114382</v>
      </c>
    </row>
    <row r="12" spans="1:15">
      <c r="A12" s="7">
        <v>3</v>
      </c>
      <c r="B12" s="12">
        <v>6</v>
      </c>
      <c r="C12" s="13" t="s">
        <v>57</v>
      </c>
      <c r="D12" s="13">
        <v>243419</v>
      </c>
      <c r="E12" s="13">
        <v>0</v>
      </c>
      <c r="F12" s="13">
        <v>0</v>
      </c>
      <c r="G12" s="13">
        <v>0</v>
      </c>
      <c r="H12" s="13">
        <f t="shared" si="0"/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>
        <v>0</v>
      </c>
      <c r="N12" s="13">
        <v>0</v>
      </c>
      <c r="O12" s="14">
        <f t="shared" si="2"/>
        <v>243419</v>
      </c>
    </row>
    <row r="13" spans="1:15">
      <c r="A13" s="7">
        <v>3</v>
      </c>
      <c r="B13" s="12">
        <v>7</v>
      </c>
      <c r="C13" s="13" t="s">
        <v>57</v>
      </c>
      <c r="D13" s="13">
        <v>3369953</v>
      </c>
      <c r="E13" s="13">
        <v>0</v>
      </c>
      <c r="F13" s="13">
        <v>0</v>
      </c>
      <c r="G13" s="13">
        <v>0</v>
      </c>
      <c r="H13" s="13">
        <f t="shared" si="0"/>
        <v>0</v>
      </c>
      <c r="I13" s="13">
        <v>850</v>
      </c>
      <c r="J13" s="13">
        <v>0</v>
      </c>
      <c r="K13" s="13">
        <v>0</v>
      </c>
      <c r="L13" s="13">
        <f t="shared" si="1"/>
        <v>850</v>
      </c>
      <c r="M13" s="13">
        <v>0</v>
      </c>
      <c r="N13" s="13">
        <v>0</v>
      </c>
      <c r="O13" s="14">
        <f t="shared" si="2"/>
        <v>3369103</v>
      </c>
    </row>
    <row r="14" spans="1:15">
      <c r="A14" s="7">
        <v>3</v>
      </c>
      <c r="B14" s="12">
        <v>8</v>
      </c>
      <c r="C14" s="13" t="s">
        <v>57</v>
      </c>
      <c r="D14" s="13">
        <v>85374</v>
      </c>
      <c r="E14" s="13">
        <v>0</v>
      </c>
      <c r="F14" s="13">
        <v>0</v>
      </c>
      <c r="G14" s="13">
        <v>0</v>
      </c>
      <c r="H14" s="13">
        <f t="shared" si="0"/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>
        <v>0</v>
      </c>
      <c r="N14" s="13">
        <v>0</v>
      </c>
      <c r="O14" s="14">
        <f t="shared" si="2"/>
        <v>85374</v>
      </c>
    </row>
    <row r="15" spans="1:15">
      <c r="A15" s="7">
        <v>4</v>
      </c>
      <c r="B15" s="12">
        <v>9</v>
      </c>
      <c r="C15" s="13" t="s">
        <v>58</v>
      </c>
      <c r="D15" s="13">
        <v>2772318</v>
      </c>
      <c r="E15" s="13">
        <v>240550</v>
      </c>
      <c r="F15" s="13">
        <v>0</v>
      </c>
      <c r="G15" s="13">
        <v>558650</v>
      </c>
      <c r="H15" s="13">
        <f t="shared" si="0"/>
        <v>799200</v>
      </c>
      <c r="I15" s="13">
        <v>46735</v>
      </c>
      <c r="J15" s="13">
        <v>6399</v>
      </c>
      <c r="K15" s="13">
        <v>780085</v>
      </c>
      <c r="L15" s="13">
        <f t="shared" si="1"/>
        <v>833219</v>
      </c>
      <c r="M15" s="13">
        <v>354171</v>
      </c>
      <c r="N15" s="13">
        <v>0</v>
      </c>
      <c r="O15" s="14">
        <f t="shared" si="2"/>
        <v>2384128</v>
      </c>
    </row>
    <row r="16" spans="1:15">
      <c r="A16" s="7">
        <v>4</v>
      </c>
      <c r="B16" s="12">
        <v>10</v>
      </c>
      <c r="C16" s="13" t="s">
        <v>58</v>
      </c>
      <c r="D16" s="13">
        <v>2256835</v>
      </c>
      <c r="E16" s="13">
        <v>43950</v>
      </c>
      <c r="F16" s="13">
        <v>0</v>
      </c>
      <c r="G16" s="13">
        <v>1984750</v>
      </c>
      <c r="H16" s="13">
        <f t="shared" si="0"/>
        <v>2028700</v>
      </c>
      <c r="I16" s="13">
        <v>79142</v>
      </c>
      <c r="J16" s="13">
        <v>8679</v>
      </c>
      <c r="K16" s="13">
        <v>1954148</v>
      </c>
      <c r="L16" s="13">
        <f t="shared" si="1"/>
        <v>2041969</v>
      </c>
      <c r="M16" s="13">
        <v>352131</v>
      </c>
      <c r="N16" s="13">
        <v>0</v>
      </c>
      <c r="O16" s="14">
        <f t="shared" si="2"/>
        <v>1891435</v>
      </c>
    </row>
    <row r="17" spans="1:15">
      <c r="A17" s="7">
        <v>4</v>
      </c>
      <c r="B17" s="12">
        <v>11</v>
      </c>
      <c r="C17" s="13" t="s">
        <v>58</v>
      </c>
      <c r="D17" s="13">
        <v>61774</v>
      </c>
      <c r="E17" s="13">
        <v>0</v>
      </c>
      <c r="F17" s="13">
        <v>0</v>
      </c>
      <c r="G17" s="13">
        <v>180000</v>
      </c>
      <c r="H17" s="13">
        <f t="shared" si="0"/>
        <v>180000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>
        <v>0</v>
      </c>
      <c r="N17" s="13">
        <v>0</v>
      </c>
      <c r="O17" s="14">
        <f t="shared" si="2"/>
        <v>241774</v>
      </c>
    </row>
    <row r="18" spans="1:15">
      <c r="A18" s="7">
        <v>5</v>
      </c>
      <c r="B18" s="12">
        <v>12</v>
      </c>
      <c r="C18" s="13" t="s">
        <v>59</v>
      </c>
      <c r="D18" s="13">
        <v>3988429</v>
      </c>
      <c r="E18" s="13">
        <v>0</v>
      </c>
      <c r="F18" s="13">
        <v>0</v>
      </c>
      <c r="G18" s="13">
        <v>0</v>
      </c>
      <c r="H18" s="13">
        <f t="shared" si="0"/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>
        <v>431962</v>
      </c>
      <c r="N18" s="13">
        <v>0</v>
      </c>
      <c r="O18" s="14">
        <f t="shared" si="2"/>
        <v>3556467</v>
      </c>
    </row>
    <row r="19" spans="1:15">
      <c r="A19" s="7">
        <v>5</v>
      </c>
      <c r="B19" s="12">
        <v>13</v>
      </c>
      <c r="C19" s="13" t="s">
        <v>59</v>
      </c>
      <c r="D19" s="13">
        <v>917197</v>
      </c>
      <c r="E19" s="13">
        <v>0</v>
      </c>
      <c r="F19" s="13">
        <v>0</v>
      </c>
      <c r="G19" s="13">
        <v>0</v>
      </c>
      <c r="H19" s="13">
        <f t="shared" si="0"/>
        <v>0</v>
      </c>
      <c r="I19" s="13">
        <v>1700</v>
      </c>
      <c r="J19" s="13">
        <v>0</v>
      </c>
      <c r="K19" s="13">
        <v>0</v>
      </c>
      <c r="L19" s="13">
        <f t="shared" si="1"/>
        <v>1700</v>
      </c>
      <c r="M19" s="13">
        <v>479189</v>
      </c>
      <c r="N19" s="13">
        <v>0</v>
      </c>
      <c r="O19" s="14">
        <f t="shared" si="2"/>
        <v>436308</v>
      </c>
    </row>
    <row r="20" spans="1:15">
      <c r="A20" s="7">
        <v>6</v>
      </c>
      <c r="B20" s="12">
        <v>14</v>
      </c>
      <c r="C20" s="13" t="s">
        <v>60</v>
      </c>
      <c r="D20" s="13">
        <v>2469383</v>
      </c>
      <c r="E20" s="13">
        <v>471250</v>
      </c>
      <c r="F20" s="13">
        <v>786140</v>
      </c>
      <c r="G20" s="13">
        <v>366850</v>
      </c>
      <c r="H20" s="13">
        <f t="shared" si="0"/>
        <v>1624240</v>
      </c>
      <c r="I20" s="13">
        <v>157184</v>
      </c>
      <c r="J20" s="13">
        <v>8030</v>
      </c>
      <c r="K20" s="13">
        <v>1740430</v>
      </c>
      <c r="L20" s="13">
        <f t="shared" si="1"/>
        <v>1905644</v>
      </c>
      <c r="M20" s="13">
        <v>0</v>
      </c>
      <c r="N20" s="13">
        <v>0</v>
      </c>
      <c r="O20" s="14">
        <f t="shared" si="2"/>
        <v>2187979</v>
      </c>
    </row>
    <row r="21" spans="1:15">
      <c r="A21" s="7">
        <v>6</v>
      </c>
      <c r="B21" s="12">
        <v>15</v>
      </c>
      <c r="C21" s="13" t="s">
        <v>60</v>
      </c>
      <c r="D21" s="13">
        <v>5783079</v>
      </c>
      <c r="E21" s="13">
        <v>1042850</v>
      </c>
      <c r="F21" s="13">
        <v>443400</v>
      </c>
      <c r="G21" s="13">
        <v>258450</v>
      </c>
      <c r="H21" s="13">
        <f t="shared" si="0"/>
        <v>1744700</v>
      </c>
      <c r="I21" s="13">
        <v>25554</v>
      </c>
      <c r="J21" s="13">
        <v>80237</v>
      </c>
      <c r="K21" s="13">
        <v>1594453</v>
      </c>
      <c r="L21" s="13">
        <f t="shared" si="1"/>
        <v>1700244</v>
      </c>
      <c r="M21" s="13">
        <v>150000</v>
      </c>
      <c r="N21" s="13">
        <v>0</v>
      </c>
      <c r="O21" s="14">
        <f t="shared" si="2"/>
        <v>5677535</v>
      </c>
    </row>
    <row r="22" spans="1:15">
      <c r="A22" s="7">
        <v>6</v>
      </c>
      <c r="B22" s="12">
        <v>16</v>
      </c>
      <c r="C22" s="13" t="s">
        <v>60</v>
      </c>
      <c r="D22" s="13">
        <v>161284</v>
      </c>
      <c r="E22" s="13">
        <v>0</v>
      </c>
      <c r="F22" s="13">
        <v>150</v>
      </c>
      <c r="G22" s="13">
        <v>260000</v>
      </c>
      <c r="H22" s="13">
        <f t="shared" si="0"/>
        <v>260150</v>
      </c>
      <c r="I22" s="13">
        <v>0</v>
      </c>
      <c r="J22" s="13">
        <v>0</v>
      </c>
      <c r="K22" s="13">
        <v>338257</v>
      </c>
      <c r="L22" s="13">
        <f t="shared" si="1"/>
        <v>338257</v>
      </c>
      <c r="M22" s="13">
        <v>0</v>
      </c>
      <c r="N22" s="13">
        <v>0</v>
      </c>
      <c r="O22" s="14">
        <f t="shared" si="2"/>
        <v>83177</v>
      </c>
    </row>
    <row r="23" spans="1:15">
      <c r="A23" s="7">
        <v>7</v>
      </c>
      <c r="B23" s="12">
        <v>17</v>
      </c>
      <c r="C23" s="13" t="s">
        <v>61</v>
      </c>
      <c r="D23" s="13">
        <v>2402763</v>
      </c>
      <c r="E23" s="13">
        <v>0</v>
      </c>
      <c r="F23" s="13">
        <v>358500</v>
      </c>
      <c r="G23" s="13">
        <v>45000</v>
      </c>
      <c r="H23" s="13">
        <f t="shared" si="0"/>
        <v>403500</v>
      </c>
      <c r="I23" s="13">
        <v>77553</v>
      </c>
      <c r="J23" s="13">
        <v>0</v>
      </c>
      <c r="K23" s="13">
        <v>132472</v>
      </c>
      <c r="L23" s="13">
        <f t="shared" si="1"/>
        <v>210025</v>
      </c>
      <c r="M23" s="13">
        <v>0</v>
      </c>
      <c r="N23" s="13">
        <v>0</v>
      </c>
      <c r="O23" s="14">
        <f t="shared" si="2"/>
        <v>2596238</v>
      </c>
    </row>
    <row r="24" spans="1:15">
      <c r="A24" s="7">
        <v>7</v>
      </c>
      <c r="B24" s="12">
        <v>18</v>
      </c>
      <c r="C24" s="13" t="s">
        <v>61</v>
      </c>
      <c r="D24" s="13">
        <v>7515903</v>
      </c>
      <c r="E24" s="13">
        <v>612950</v>
      </c>
      <c r="F24" s="13">
        <v>801650</v>
      </c>
      <c r="G24" s="13">
        <v>341100</v>
      </c>
      <c r="H24" s="13">
        <f t="shared" si="0"/>
        <v>1755700</v>
      </c>
      <c r="I24" s="13">
        <v>77683</v>
      </c>
      <c r="J24" s="13">
        <v>8679</v>
      </c>
      <c r="K24" s="13">
        <v>1906745</v>
      </c>
      <c r="L24" s="13">
        <f t="shared" si="1"/>
        <v>1993107</v>
      </c>
      <c r="M24" s="13">
        <v>0</v>
      </c>
      <c r="N24" s="13">
        <v>0</v>
      </c>
      <c r="O24" s="14">
        <f t="shared" si="2"/>
        <v>7278496</v>
      </c>
    </row>
    <row r="25" spans="1:15">
      <c r="A25" s="7">
        <v>7</v>
      </c>
      <c r="B25" s="12">
        <v>19</v>
      </c>
      <c r="C25" s="13" t="s">
        <v>61</v>
      </c>
      <c r="D25" s="13">
        <v>5875063</v>
      </c>
      <c r="E25" s="13">
        <v>402420</v>
      </c>
      <c r="F25" s="13">
        <v>766050</v>
      </c>
      <c r="G25" s="13">
        <v>479000</v>
      </c>
      <c r="H25" s="13">
        <f t="shared" si="0"/>
        <v>1647470</v>
      </c>
      <c r="I25" s="13">
        <v>22362</v>
      </c>
      <c r="J25" s="13">
        <v>79588</v>
      </c>
      <c r="K25" s="13">
        <v>1127224</v>
      </c>
      <c r="L25" s="13">
        <f t="shared" si="1"/>
        <v>1229174</v>
      </c>
      <c r="M25" s="13">
        <v>0</v>
      </c>
      <c r="N25" s="13">
        <v>0</v>
      </c>
      <c r="O25" s="14">
        <f t="shared" si="2"/>
        <v>6293359</v>
      </c>
    </row>
    <row r="26" spans="1:15">
      <c r="A26" s="7">
        <v>8</v>
      </c>
      <c r="B26" s="12">
        <v>20</v>
      </c>
      <c r="C26" s="13" t="s">
        <v>62</v>
      </c>
      <c r="D26" s="13">
        <v>3058810</v>
      </c>
      <c r="E26" s="13">
        <v>827450</v>
      </c>
      <c r="F26" s="13">
        <v>328650</v>
      </c>
      <c r="G26" s="13">
        <v>143250</v>
      </c>
      <c r="H26" s="13">
        <f t="shared" si="0"/>
        <v>1299350</v>
      </c>
      <c r="I26" s="13">
        <v>2285</v>
      </c>
      <c r="J26" s="13">
        <v>8419</v>
      </c>
      <c r="K26" s="13">
        <v>1726542</v>
      </c>
      <c r="L26" s="13">
        <f t="shared" si="1"/>
        <v>1737246</v>
      </c>
      <c r="M26" s="13">
        <v>0</v>
      </c>
      <c r="N26" s="13">
        <v>0</v>
      </c>
      <c r="O26" s="14">
        <f t="shared" si="2"/>
        <v>2620914</v>
      </c>
    </row>
    <row r="27" spans="1:15">
      <c r="A27" s="7">
        <v>8</v>
      </c>
      <c r="B27" s="12">
        <v>21</v>
      </c>
      <c r="C27" s="13" t="s">
        <v>62</v>
      </c>
      <c r="D27" s="13">
        <v>76029</v>
      </c>
      <c r="E27" s="13">
        <v>0</v>
      </c>
      <c r="F27" s="13">
        <v>98150</v>
      </c>
      <c r="G27" s="13">
        <v>2200</v>
      </c>
      <c r="H27" s="13">
        <f t="shared" si="0"/>
        <v>100350</v>
      </c>
      <c r="I27" s="13">
        <v>230</v>
      </c>
      <c r="J27" s="13">
        <v>0</v>
      </c>
      <c r="K27" s="13">
        <v>207106</v>
      </c>
      <c r="L27" s="13">
        <f t="shared" si="1"/>
        <v>207336</v>
      </c>
      <c r="M27" s="13">
        <v>0</v>
      </c>
      <c r="N27" s="13">
        <v>0</v>
      </c>
      <c r="O27" s="14">
        <f t="shared" si="2"/>
        <v>-30957</v>
      </c>
    </row>
    <row r="28" spans="1:15">
      <c r="A28" s="7">
        <v>9</v>
      </c>
      <c r="B28" s="12">
        <v>22</v>
      </c>
      <c r="C28" s="13" t="s">
        <v>63</v>
      </c>
      <c r="D28" s="13">
        <v>2637826</v>
      </c>
      <c r="E28" s="13">
        <v>0</v>
      </c>
      <c r="F28" s="13">
        <v>2209695</v>
      </c>
      <c r="G28" s="13">
        <v>0</v>
      </c>
      <c r="H28" s="13">
        <f t="shared" si="0"/>
        <v>2209695</v>
      </c>
      <c r="I28" s="13">
        <v>5483</v>
      </c>
      <c r="J28" s="13">
        <v>87878</v>
      </c>
      <c r="K28" s="13">
        <v>2038022</v>
      </c>
      <c r="L28" s="13">
        <f t="shared" si="1"/>
        <v>2131383</v>
      </c>
      <c r="M28" s="13">
        <v>57200</v>
      </c>
      <c r="N28" s="13">
        <v>0</v>
      </c>
      <c r="O28" s="14">
        <f t="shared" si="2"/>
        <v>2658938</v>
      </c>
    </row>
    <row r="29" spans="1:15">
      <c r="A29" s="7">
        <v>9</v>
      </c>
      <c r="B29" s="12">
        <v>23</v>
      </c>
      <c r="C29" s="13" t="s">
        <v>63</v>
      </c>
      <c r="D29" s="13">
        <v>-733367</v>
      </c>
      <c r="E29" s="13">
        <v>21900</v>
      </c>
      <c r="F29" s="13">
        <v>972756</v>
      </c>
      <c r="G29" s="13">
        <v>0</v>
      </c>
      <c r="H29" s="13">
        <f t="shared" si="0"/>
        <v>994656</v>
      </c>
      <c r="I29" s="13">
        <v>77783</v>
      </c>
      <c r="J29" s="13">
        <v>389</v>
      </c>
      <c r="K29" s="13">
        <v>937475</v>
      </c>
      <c r="L29" s="13">
        <f t="shared" si="1"/>
        <v>1015647</v>
      </c>
      <c r="M29" s="13">
        <v>0</v>
      </c>
      <c r="N29" s="13">
        <v>0</v>
      </c>
      <c r="O29" s="14">
        <f t="shared" si="2"/>
        <v>-754358</v>
      </c>
    </row>
    <row r="30" spans="1:15">
      <c r="A30" s="7">
        <v>9</v>
      </c>
      <c r="B30" s="12">
        <v>24</v>
      </c>
      <c r="C30" s="13" t="s">
        <v>63</v>
      </c>
      <c r="D30" s="13">
        <v>100963</v>
      </c>
      <c r="E30" s="13">
        <v>0</v>
      </c>
      <c r="F30" s="13">
        <v>133056</v>
      </c>
      <c r="G30" s="13">
        <v>0</v>
      </c>
      <c r="H30" s="13">
        <f t="shared" si="0"/>
        <v>133056</v>
      </c>
      <c r="I30" s="13">
        <v>850</v>
      </c>
      <c r="J30" s="13">
        <v>0</v>
      </c>
      <c r="K30" s="13">
        <v>47736</v>
      </c>
      <c r="L30" s="13">
        <f t="shared" si="1"/>
        <v>48586</v>
      </c>
      <c r="M30" s="13">
        <v>0</v>
      </c>
      <c r="N30" s="13">
        <v>0</v>
      </c>
      <c r="O30" s="14">
        <f t="shared" si="2"/>
        <v>185433</v>
      </c>
    </row>
    <row r="31" spans="1:15">
      <c r="A31" s="7">
        <v>10</v>
      </c>
      <c r="B31" s="12">
        <v>25</v>
      </c>
      <c r="C31" s="13" t="s">
        <v>64</v>
      </c>
      <c r="D31" s="13">
        <v>2000</v>
      </c>
      <c r="E31" s="13">
        <v>0</v>
      </c>
      <c r="F31" s="13">
        <v>0</v>
      </c>
      <c r="G31" s="13">
        <v>0</v>
      </c>
      <c r="H31" s="13">
        <f t="shared" si="0"/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>
        <v>0</v>
      </c>
      <c r="N31" s="13">
        <v>0</v>
      </c>
      <c r="O31" s="14">
        <f t="shared" si="2"/>
        <v>2000</v>
      </c>
    </row>
    <row r="32" spans="1:15">
      <c r="A32" s="7">
        <v>10</v>
      </c>
      <c r="B32" s="12">
        <v>26</v>
      </c>
      <c r="C32" s="13" t="s">
        <v>64</v>
      </c>
      <c r="D32" s="13">
        <v>112858</v>
      </c>
      <c r="E32" s="13">
        <v>0</v>
      </c>
      <c r="F32" s="13">
        <v>0</v>
      </c>
      <c r="G32" s="13">
        <v>0</v>
      </c>
      <c r="H32" s="13">
        <f t="shared" si="0"/>
        <v>0</v>
      </c>
      <c r="I32" s="13">
        <v>500</v>
      </c>
      <c r="J32" s="13">
        <v>0</v>
      </c>
      <c r="K32" s="13">
        <v>0</v>
      </c>
      <c r="L32" s="13">
        <f t="shared" si="1"/>
        <v>500</v>
      </c>
      <c r="M32" s="13">
        <v>0</v>
      </c>
      <c r="N32" s="13">
        <v>0</v>
      </c>
      <c r="O32" s="14">
        <f t="shared" si="2"/>
        <v>112358</v>
      </c>
    </row>
    <row r="33" spans="1:15">
      <c r="A33" s="7">
        <v>11</v>
      </c>
      <c r="B33" s="12">
        <v>27</v>
      </c>
      <c r="C33" s="13" t="s">
        <v>65</v>
      </c>
      <c r="D33" s="13">
        <v>1214413</v>
      </c>
      <c r="E33" s="13">
        <v>0</v>
      </c>
      <c r="F33" s="13">
        <v>1951126</v>
      </c>
      <c r="G33" s="13">
        <v>0</v>
      </c>
      <c r="H33" s="13">
        <f t="shared" si="0"/>
        <v>1951126</v>
      </c>
      <c r="I33" s="13">
        <v>3094</v>
      </c>
      <c r="J33" s="13">
        <v>8679</v>
      </c>
      <c r="K33" s="13">
        <v>2216066</v>
      </c>
      <c r="L33" s="13">
        <f t="shared" si="1"/>
        <v>2227839</v>
      </c>
      <c r="M33" s="13">
        <v>2378</v>
      </c>
      <c r="N33" s="13">
        <v>0</v>
      </c>
      <c r="O33" s="14">
        <f t="shared" si="2"/>
        <v>935322</v>
      </c>
    </row>
    <row r="34" spans="1:15">
      <c r="A34" s="7">
        <v>11</v>
      </c>
      <c r="B34" s="12">
        <v>28</v>
      </c>
      <c r="C34" s="13" t="s">
        <v>65</v>
      </c>
      <c r="D34" s="13">
        <v>17686</v>
      </c>
      <c r="E34" s="13">
        <v>0</v>
      </c>
      <c r="F34" s="13">
        <v>103270</v>
      </c>
      <c r="G34" s="13">
        <v>0</v>
      </c>
      <c r="H34" s="13">
        <f t="shared" si="0"/>
        <v>103270</v>
      </c>
      <c r="I34" s="13">
        <v>16595</v>
      </c>
      <c r="J34" s="13">
        <v>0</v>
      </c>
      <c r="K34" s="13">
        <v>47736</v>
      </c>
      <c r="L34" s="13">
        <f t="shared" si="1"/>
        <v>64331</v>
      </c>
      <c r="M34" s="13">
        <v>0</v>
      </c>
      <c r="N34" s="13">
        <v>0</v>
      </c>
      <c r="O34" s="14">
        <f t="shared" si="2"/>
        <v>56625</v>
      </c>
    </row>
    <row r="35" spans="1:15">
      <c r="A35" s="7">
        <v>12</v>
      </c>
      <c r="B35" s="12">
        <v>29</v>
      </c>
      <c r="C35" s="13" t="s">
        <v>66</v>
      </c>
      <c r="D35" s="13">
        <v>6777.3474740000001</v>
      </c>
      <c r="E35" s="13">
        <v>1069.5</v>
      </c>
      <c r="F35" s="13">
        <v>0</v>
      </c>
      <c r="G35" s="13">
        <v>0</v>
      </c>
      <c r="H35" s="13">
        <f t="shared" si="0"/>
        <v>1069.5</v>
      </c>
      <c r="I35" s="13">
        <v>15.340005000000001</v>
      </c>
      <c r="J35" s="13">
        <v>17.385476000000001</v>
      </c>
      <c r="K35" s="13">
        <v>655.70731200000023</v>
      </c>
      <c r="L35" s="13">
        <f t="shared" si="1"/>
        <v>688.43279300000029</v>
      </c>
      <c r="M35" s="13">
        <v>0</v>
      </c>
      <c r="N35" s="13">
        <v>0</v>
      </c>
      <c r="O35" s="14">
        <f t="shared" si="2"/>
        <v>7158.4146810000002</v>
      </c>
    </row>
    <row r="36" spans="1:15">
      <c r="A36" s="7">
        <v>13</v>
      </c>
      <c r="B36" s="12">
        <v>30</v>
      </c>
      <c r="C36" s="13" t="s">
        <v>67</v>
      </c>
      <c r="D36" s="13">
        <v>30843.374340000002</v>
      </c>
      <c r="E36" s="13">
        <f>8000+7000</f>
        <v>15000</v>
      </c>
      <c r="F36" s="13">
        <v>0</v>
      </c>
      <c r="G36" s="13">
        <v>0</v>
      </c>
      <c r="H36" s="13">
        <f t="shared" si="0"/>
        <v>15000</v>
      </c>
      <c r="I36" s="13">
        <v>296.56796400000002</v>
      </c>
      <c r="J36" s="13">
        <v>1221.12428</v>
      </c>
      <c r="K36" s="13">
        <v>9329.0321160000003</v>
      </c>
      <c r="L36" s="13">
        <f t="shared" si="1"/>
        <v>10846.72436</v>
      </c>
      <c r="M36" s="13">
        <v>0</v>
      </c>
      <c r="N36" s="13">
        <v>0</v>
      </c>
      <c r="O36" s="14">
        <f t="shared" si="2"/>
        <v>34996.649980000002</v>
      </c>
    </row>
    <row r="37" spans="1:15">
      <c r="A37" s="7">
        <v>14</v>
      </c>
      <c r="B37" s="12">
        <v>31</v>
      </c>
      <c r="C37" s="13" t="s">
        <v>68</v>
      </c>
      <c r="D37" s="13">
        <v>-53692.880640000018</v>
      </c>
      <c r="E37" s="13">
        <v>149.5</v>
      </c>
      <c r="F37" s="13">
        <v>14181.115</v>
      </c>
      <c r="G37" s="13">
        <v>0</v>
      </c>
      <c r="H37" s="13">
        <f t="shared" si="0"/>
        <v>14330.615</v>
      </c>
      <c r="I37" s="13">
        <v>534.50689</v>
      </c>
      <c r="J37" s="13">
        <v>372.06215000000003</v>
      </c>
      <c r="K37" s="13">
        <v>14478.145190000001</v>
      </c>
      <c r="L37" s="13">
        <f t="shared" si="1"/>
        <v>15384.714230000001</v>
      </c>
      <c r="M37" s="13">
        <v>0</v>
      </c>
      <c r="N37" s="13">
        <v>0</v>
      </c>
      <c r="O37" s="14">
        <f t="shared" si="2"/>
        <v>-54746.979870000025</v>
      </c>
    </row>
    <row r="38" spans="1:15">
      <c r="B38" s="12">
        <v>32</v>
      </c>
      <c r="C38" s="13" t="s">
        <v>69</v>
      </c>
      <c r="D38" s="13">
        <v>-9262.2026000000005</v>
      </c>
      <c r="E38" s="13">
        <v>0</v>
      </c>
      <c r="F38" s="13">
        <v>0</v>
      </c>
      <c r="G38" s="13">
        <v>0</v>
      </c>
      <c r="H38" s="13">
        <f t="shared" si="0"/>
        <v>0</v>
      </c>
      <c r="I38" s="13">
        <v>26.206989999999998</v>
      </c>
      <c r="J38" s="13">
        <v>15.56878</v>
      </c>
      <c r="K38" s="13">
        <v>712.7516799999994</v>
      </c>
      <c r="L38" s="13">
        <f t="shared" si="1"/>
        <v>754.52744999999936</v>
      </c>
      <c r="M38" s="13">
        <v>0</v>
      </c>
      <c r="N38" s="13">
        <v>0</v>
      </c>
      <c r="O38" s="14">
        <f t="shared" si="2"/>
        <v>-10016.73005</v>
      </c>
    </row>
    <row r="39" spans="1:15">
      <c r="B39" s="12">
        <v>33</v>
      </c>
      <c r="C39" s="13" t="s">
        <v>70</v>
      </c>
      <c r="D39" s="13">
        <v>-53304.957060000001</v>
      </c>
      <c r="E39" s="13">
        <v>0</v>
      </c>
      <c r="F39" s="13">
        <v>0</v>
      </c>
      <c r="G39" s="13">
        <v>0</v>
      </c>
      <c r="H39" s="13">
        <f t="shared" si="0"/>
        <v>0</v>
      </c>
      <c r="I39" s="13">
        <v>148.26033999999999</v>
      </c>
      <c r="J39" s="13">
        <v>92.162929999999989</v>
      </c>
      <c r="K39" s="13">
        <v>4077.8013899999987</v>
      </c>
      <c r="L39" s="13">
        <f t="shared" si="1"/>
        <v>4318.2246599999989</v>
      </c>
      <c r="M39" s="13">
        <v>0</v>
      </c>
      <c r="N39" s="13">
        <v>0</v>
      </c>
      <c r="O39" s="14">
        <f t="shared" si="2"/>
        <v>-57623.18172</v>
      </c>
    </row>
    <row r="40" spans="1:15">
      <c r="A40" s="7">
        <v>3</v>
      </c>
      <c r="B40" s="12">
        <v>34</v>
      </c>
      <c r="C40" s="13" t="s">
        <v>57</v>
      </c>
      <c r="D40" s="13">
        <v>-44726</v>
      </c>
      <c r="E40" s="13">
        <v>45000</v>
      </c>
      <c r="F40" s="13">
        <v>0</v>
      </c>
      <c r="G40" s="13">
        <v>0</v>
      </c>
      <c r="H40" s="13">
        <f t="shared" si="0"/>
        <v>45000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>
        <v>0</v>
      </c>
      <c r="N40" s="13">
        <v>0</v>
      </c>
      <c r="O40" s="14">
        <f t="shared" si="2"/>
        <v>274</v>
      </c>
    </row>
    <row r="41" spans="1:15">
      <c r="A41" s="7">
        <v>5</v>
      </c>
      <c r="B41" s="12">
        <v>35</v>
      </c>
      <c r="C41" s="13" t="s">
        <v>59</v>
      </c>
      <c r="D41" s="13">
        <v>109548</v>
      </c>
      <c r="E41" s="13">
        <v>0</v>
      </c>
      <c r="F41" s="13">
        <v>0</v>
      </c>
      <c r="G41" s="13">
        <v>0</v>
      </c>
      <c r="H41" s="13">
        <f t="shared" si="0"/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>
        <v>0</v>
      </c>
      <c r="N41" s="13">
        <v>0</v>
      </c>
      <c r="O41" s="14">
        <f t="shared" si="2"/>
        <v>109548</v>
      </c>
    </row>
    <row r="42" spans="1:15">
      <c r="A42" s="7">
        <v>10</v>
      </c>
      <c r="B42" s="12">
        <v>36</v>
      </c>
      <c r="C42" s="13" t="s">
        <v>64</v>
      </c>
      <c r="D42" s="13">
        <v>-11647</v>
      </c>
      <c r="E42" s="13">
        <v>19000</v>
      </c>
      <c r="F42" s="13">
        <v>0</v>
      </c>
      <c r="G42" s="13">
        <v>0</v>
      </c>
      <c r="H42" s="13">
        <f t="shared" si="0"/>
        <v>19000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>
        <v>0</v>
      </c>
      <c r="N42" s="13">
        <v>0</v>
      </c>
      <c r="O42" s="14">
        <f t="shared" si="2"/>
        <v>7353</v>
      </c>
    </row>
    <row r="43" spans="1:15">
      <c r="A43" s="7">
        <v>16</v>
      </c>
      <c r="B43" s="12">
        <v>37</v>
      </c>
      <c r="C43" s="13" t="s">
        <v>71</v>
      </c>
      <c r="D43" s="13">
        <v>849.46</v>
      </c>
      <c r="E43" s="13">
        <v>0</v>
      </c>
      <c r="F43" s="13">
        <v>0</v>
      </c>
      <c r="G43" s="13">
        <v>0</v>
      </c>
      <c r="H43" s="13">
        <f t="shared" si="0"/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>
        <v>0</v>
      </c>
      <c r="N43" s="13">
        <v>0</v>
      </c>
      <c r="O43" s="14">
        <f t="shared" si="2"/>
        <v>849.46</v>
      </c>
    </row>
    <row r="44" spans="1:15">
      <c r="A44" s="7">
        <v>3</v>
      </c>
      <c r="B44" s="12">
        <v>38</v>
      </c>
      <c r="C44" s="13" t="s">
        <v>57</v>
      </c>
      <c r="D44" s="13">
        <v>-215341</v>
      </c>
      <c r="E44" s="13">
        <v>222100</v>
      </c>
      <c r="F44" s="13">
        <v>0</v>
      </c>
      <c r="G44" s="13">
        <v>0</v>
      </c>
      <c r="H44" s="13">
        <f t="shared" si="0"/>
        <v>222100</v>
      </c>
      <c r="I44" s="13">
        <v>0</v>
      </c>
      <c r="J44" s="13">
        <v>389</v>
      </c>
      <c r="K44" s="13">
        <v>125586</v>
      </c>
      <c r="L44" s="13">
        <f t="shared" si="1"/>
        <v>125975</v>
      </c>
      <c r="M44" s="13">
        <v>18</v>
      </c>
      <c r="N44" s="13">
        <v>0</v>
      </c>
      <c r="O44" s="14">
        <f t="shared" si="2"/>
        <v>-119234</v>
      </c>
    </row>
    <row r="45" spans="1:15">
      <c r="A45" s="7">
        <v>3</v>
      </c>
      <c r="B45" s="12">
        <v>39</v>
      </c>
      <c r="C45" s="13" t="s">
        <v>57</v>
      </c>
      <c r="D45" s="13">
        <v>622754</v>
      </c>
      <c r="E45" s="13">
        <v>2783650</v>
      </c>
      <c r="F45" s="13">
        <v>0</v>
      </c>
      <c r="G45" s="13">
        <v>110000</v>
      </c>
      <c r="H45" s="13">
        <f t="shared" si="0"/>
        <v>2893650</v>
      </c>
      <c r="I45" s="13">
        <v>100045</v>
      </c>
      <c r="J45" s="13">
        <v>87878</v>
      </c>
      <c r="K45" s="13">
        <v>2849911</v>
      </c>
      <c r="L45" s="13">
        <f t="shared" si="1"/>
        <v>3037834</v>
      </c>
      <c r="M45" s="13">
        <v>1553</v>
      </c>
      <c r="N45" s="13">
        <v>0</v>
      </c>
      <c r="O45" s="14">
        <f t="shared" si="2"/>
        <v>477017</v>
      </c>
    </row>
    <row r="46" spans="1:15">
      <c r="A46" s="7">
        <v>3</v>
      </c>
      <c r="B46" s="12">
        <v>40</v>
      </c>
      <c r="C46" s="13" t="s">
        <v>57</v>
      </c>
      <c r="D46" s="13">
        <v>769662</v>
      </c>
      <c r="E46" s="13">
        <v>0</v>
      </c>
      <c r="F46" s="13">
        <v>180000</v>
      </c>
      <c r="G46" s="13">
        <v>0</v>
      </c>
      <c r="H46" s="13">
        <f t="shared" si="0"/>
        <v>180000</v>
      </c>
      <c r="I46" s="13">
        <v>0</v>
      </c>
      <c r="J46" s="13">
        <v>0</v>
      </c>
      <c r="K46" s="13">
        <v>47736</v>
      </c>
      <c r="L46" s="13">
        <f t="shared" si="1"/>
        <v>47736</v>
      </c>
      <c r="M46" s="13">
        <v>0</v>
      </c>
      <c r="N46" s="13">
        <v>0</v>
      </c>
      <c r="O46" s="14">
        <f t="shared" si="2"/>
        <v>901926</v>
      </c>
    </row>
    <row r="47" spans="1:15">
      <c r="A47" s="7">
        <v>3</v>
      </c>
      <c r="B47" s="12">
        <v>41</v>
      </c>
      <c r="C47" s="13" t="s">
        <v>57</v>
      </c>
      <c r="D47" s="13">
        <v>8149</v>
      </c>
      <c r="E47" s="13">
        <v>0</v>
      </c>
      <c r="F47" s="13">
        <v>0</v>
      </c>
      <c r="G47" s="13">
        <v>0</v>
      </c>
      <c r="H47" s="13">
        <f t="shared" si="0"/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>
        <v>0</v>
      </c>
      <c r="N47" s="13">
        <v>0</v>
      </c>
      <c r="O47" s="14">
        <f t="shared" si="2"/>
        <v>8149</v>
      </c>
    </row>
    <row r="48" spans="1:15">
      <c r="A48" s="7">
        <v>5</v>
      </c>
      <c r="B48" s="12">
        <v>42</v>
      </c>
      <c r="C48" s="13" t="s">
        <v>59</v>
      </c>
      <c r="D48" s="13">
        <v>1891565</v>
      </c>
      <c r="E48" s="13">
        <v>4212642</v>
      </c>
      <c r="F48" s="13">
        <v>0</v>
      </c>
      <c r="G48" s="13">
        <v>0</v>
      </c>
      <c r="H48" s="13">
        <f t="shared" si="0"/>
        <v>4212642</v>
      </c>
      <c r="I48" s="13">
        <v>160776</v>
      </c>
      <c r="J48" s="13">
        <v>93946</v>
      </c>
      <c r="K48" s="13">
        <v>4107104</v>
      </c>
      <c r="L48" s="13">
        <f t="shared" si="1"/>
        <v>4361826</v>
      </c>
      <c r="M48" s="13">
        <v>11472</v>
      </c>
      <c r="N48" s="13">
        <v>0</v>
      </c>
      <c r="O48" s="14">
        <f t="shared" si="2"/>
        <v>1730909</v>
      </c>
    </row>
    <row r="49" spans="1:21">
      <c r="A49" s="7">
        <v>5</v>
      </c>
      <c r="B49" s="12">
        <v>43</v>
      </c>
      <c r="C49" s="13" t="s">
        <v>59</v>
      </c>
      <c r="D49" s="13">
        <v>2304733</v>
      </c>
      <c r="E49" s="13">
        <v>2572700</v>
      </c>
      <c r="F49" s="13">
        <v>0</v>
      </c>
      <c r="G49" s="13">
        <v>0</v>
      </c>
      <c r="H49" s="13">
        <f t="shared" si="0"/>
        <v>2572700</v>
      </c>
      <c r="I49" s="13">
        <v>39314</v>
      </c>
      <c r="J49" s="13">
        <v>82588</v>
      </c>
      <c r="K49" s="13">
        <v>1939362</v>
      </c>
      <c r="L49" s="13">
        <f t="shared" si="1"/>
        <v>2061264</v>
      </c>
      <c r="M49" s="13">
        <v>5265</v>
      </c>
      <c r="N49" s="13">
        <v>0</v>
      </c>
      <c r="O49" s="14">
        <f t="shared" si="2"/>
        <v>2810904</v>
      </c>
    </row>
    <row r="50" spans="1:21">
      <c r="A50" s="7">
        <v>5</v>
      </c>
      <c r="B50" s="12">
        <v>44</v>
      </c>
      <c r="C50" s="13" t="s">
        <v>59</v>
      </c>
      <c r="D50" s="13">
        <v>20698</v>
      </c>
      <c r="E50" s="13">
        <v>0</v>
      </c>
      <c r="F50" s="13">
        <v>0</v>
      </c>
      <c r="G50" s="13">
        <v>0</v>
      </c>
      <c r="H50" s="13">
        <f t="shared" si="0"/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>
        <v>0</v>
      </c>
      <c r="N50" s="13">
        <v>0</v>
      </c>
      <c r="O50" s="14">
        <f t="shared" si="2"/>
        <v>20698</v>
      </c>
    </row>
    <row r="51" spans="1:21" ht="14.25" thickBot="1">
      <c r="A51" s="7">
        <v>6</v>
      </c>
      <c r="B51" s="15">
        <v>45</v>
      </c>
      <c r="C51" s="16" t="s">
        <v>60</v>
      </c>
      <c r="D51" s="16">
        <v>28684</v>
      </c>
      <c r="E51" s="16">
        <v>1800</v>
      </c>
      <c r="F51" s="16">
        <v>0</v>
      </c>
      <c r="G51" s="16">
        <v>0</v>
      </c>
      <c r="H51" s="16">
        <f t="shared" si="0"/>
        <v>1800</v>
      </c>
      <c r="I51" s="16">
        <v>0</v>
      </c>
      <c r="J51" s="16">
        <v>0</v>
      </c>
      <c r="K51" s="16">
        <v>0</v>
      </c>
      <c r="L51" s="16">
        <f t="shared" si="1"/>
        <v>0</v>
      </c>
      <c r="M51" s="16">
        <v>0</v>
      </c>
      <c r="N51" s="16">
        <v>0</v>
      </c>
      <c r="O51" s="17">
        <f t="shared" si="2"/>
        <v>30484</v>
      </c>
    </row>
    <row r="52" spans="1:21"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21">
      <c r="B53" s="20"/>
      <c r="C53" s="21"/>
      <c r="D53" s="21"/>
      <c r="E53" s="22" t="s">
        <v>31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5" spans="1:21">
      <c r="B55" s="11" t="s">
        <v>5</v>
      </c>
    </row>
    <row r="56" spans="1:21" ht="14.25" thickBot="1"/>
    <row r="57" spans="1:21">
      <c r="B57" s="368" t="s">
        <v>6</v>
      </c>
      <c r="C57" s="364" t="s">
        <v>7</v>
      </c>
      <c r="D57" s="364" t="s">
        <v>1</v>
      </c>
      <c r="E57" s="364" t="s">
        <v>14</v>
      </c>
      <c r="F57" s="366" t="s">
        <v>72</v>
      </c>
      <c r="G57" s="38" t="s">
        <v>8</v>
      </c>
      <c r="H57" s="36"/>
      <c r="I57" s="36"/>
      <c r="J57" s="36"/>
      <c r="K57" s="36"/>
      <c r="L57" s="37" t="s">
        <v>93</v>
      </c>
      <c r="M57" s="35"/>
      <c r="N57" s="35"/>
      <c r="O57" s="35"/>
      <c r="P57" s="35" t="s">
        <v>96</v>
      </c>
      <c r="Q57" s="35"/>
      <c r="R57" s="35"/>
      <c r="S57" s="35"/>
      <c r="T57" s="35"/>
      <c r="U57" s="23"/>
    </row>
    <row r="58" spans="1:21">
      <c r="B58" s="369"/>
      <c r="C58" s="365"/>
      <c r="D58" s="365"/>
      <c r="E58" s="365"/>
      <c r="F58" s="367"/>
      <c r="G58" s="3" t="s">
        <v>21</v>
      </c>
      <c r="H58" s="3" t="s">
        <v>9</v>
      </c>
      <c r="I58" s="3" t="s">
        <v>10</v>
      </c>
      <c r="J58" s="3" t="s">
        <v>11</v>
      </c>
      <c r="K58" s="3" t="s">
        <v>15</v>
      </c>
      <c r="L58" s="3" t="s">
        <v>92</v>
      </c>
      <c r="M58" s="3" t="s">
        <v>74</v>
      </c>
      <c r="N58" s="3" t="s">
        <v>12</v>
      </c>
      <c r="O58" s="5" t="s">
        <v>97</v>
      </c>
      <c r="P58" s="5" t="s">
        <v>13</v>
      </c>
      <c r="Q58" s="5" t="s">
        <v>98</v>
      </c>
      <c r="R58" s="3" t="s">
        <v>22</v>
      </c>
      <c r="S58" s="5" t="s">
        <v>94</v>
      </c>
      <c r="T58" s="5" t="s">
        <v>95</v>
      </c>
      <c r="U58" s="6" t="s">
        <v>15</v>
      </c>
    </row>
    <row r="59" spans="1:21">
      <c r="A59" s="7">
        <v>1</v>
      </c>
      <c r="B59" s="2">
        <v>1</v>
      </c>
      <c r="C59" s="3" t="s">
        <v>55</v>
      </c>
      <c r="D59" s="3">
        <v>2867142</v>
      </c>
      <c r="E59" s="3">
        <v>2839181</v>
      </c>
      <c r="F59" s="4">
        <f>+D59+E59</f>
        <v>5706323</v>
      </c>
      <c r="G59" s="3">
        <v>3997</v>
      </c>
      <c r="H59" s="3">
        <v>2265</v>
      </c>
      <c r="I59" s="3"/>
      <c r="J59" s="3">
        <v>2879004</v>
      </c>
      <c r="K59" s="3">
        <f>+G59+H59+I59+J59</f>
        <v>2885266</v>
      </c>
      <c r="L59" s="3">
        <v>497268</v>
      </c>
      <c r="M59" s="3">
        <v>1903131</v>
      </c>
      <c r="N59" s="3">
        <v>125167</v>
      </c>
      <c r="O59" s="5">
        <v>46681</v>
      </c>
      <c r="P59" s="5">
        <v>8175</v>
      </c>
      <c r="Q59" s="5">
        <v>2012</v>
      </c>
      <c r="R59" s="3">
        <v>10571</v>
      </c>
      <c r="S59" s="5">
        <v>51242</v>
      </c>
      <c r="T59" s="5">
        <v>17864</v>
      </c>
      <c r="U59" s="6">
        <f>SUM(L59:T59)</f>
        <v>2662111</v>
      </c>
    </row>
    <row r="60" spans="1:21">
      <c r="A60" s="7">
        <v>1</v>
      </c>
      <c r="B60" s="2">
        <v>2</v>
      </c>
      <c r="C60" s="3" t="s">
        <v>55</v>
      </c>
      <c r="D60" s="3">
        <v>32730</v>
      </c>
      <c r="E60" s="3">
        <v>157834</v>
      </c>
      <c r="F60" s="4">
        <f t="shared" ref="F60:F103" si="3">+D60+E60</f>
        <v>190564</v>
      </c>
      <c r="G60" s="3">
        <v>39</v>
      </c>
      <c r="H60" s="3">
        <v>32</v>
      </c>
      <c r="I60" s="3"/>
      <c r="J60" s="3">
        <v>38158</v>
      </c>
      <c r="K60" s="3">
        <f t="shared" ref="K60:K103" si="4">+G60+H60+I60+J60</f>
        <v>38229</v>
      </c>
      <c r="L60" s="3">
        <v>10557</v>
      </c>
      <c r="M60" s="3">
        <v>149584</v>
      </c>
      <c r="N60" s="3">
        <v>5517</v>
      </c>
      <c r="O60" s="5">
        <v>5644</v>
      </c>
      <c r="P60" s="5">
        <v>164</v>
      </c>
      <c r="Q60" s="5">
        <v>0</v>
      </c>
      <c r="R60" s="3">
        <v>0</v>
      </c>
      <c r="S60" s="5">
        <v>3674</v>
      </c>
      <c r="T60" s="5">
        <v>27</v>
      </c>
      <c r="U60" s="6">
        <f t="shared" ref="U60:U103" si="5">SUM(L60:T60)</f>
        <v>175167</v>
      </c>
    </row>
    <row r="61" spans="1:21">
      <c r="A61" s="7">
        <v>2</v>
      </c>
      <c r="B61" s="2">
        <v>3</v>
      </c>
      <c r="C61" s="3" t="s">
        <v>56</v>
      </c>
      <c r="D61" s="3">
        <v>291970</v>
      </c>
      <c r="E61" s="3">
        <v>293100</v>
      </c>
      <c r="F61" s="4">
        <f t="shared" si="3"/>
        <v>585070</v>
      </c>
      <c r="G61" s="3">
        <v>521</v>
      </c>
      <c r="H61" s="3">
        <v>400</v>
      </c>
      <c r="I61" s="3"/>
      <c r="J61" s="3">
        <v>1033963</v>
      </c>
      <c r="K61" s="3">
        <f t="shared" si="4"/>
        <v>1034884</v>
      </c>
      <c r="L61" s="3">
        <v>36939</v>
      </c>
      <c r="M61" s="3">
        <v>117209</v>
      </c>
      <c r="N61" s="3">
        <v>61095</v>
      </c>
      <c r="O61" s="5">
        <v>35442</v>
      </c>
      <c r="P61" s="5">
        <v>38129</v>
      </c>
      <c r="Q61" s="5">
        <v>698</v>
      </c>
      <c r="R61" s="3">
        <v>2237</v>
      </c>
      <c r="S61" s="5">
        <v>5455</v>
      </c>
      <c r="T61" s="5">
        <v>444</v>
      </c>
      <c r="U61" s="6">
        <f t="shared" si="5"/>
        <v>297648</v>
      </c>
    </row>
    <row r="62" spans="1:21">
      <c r="A62" s="7">
        <v>2</v>
      </c>
      <c r="B62" s="2">
        <v>4</v>
      </c>
      <c r="C62" s="3" t="s">
        <v>56</v>
      </c>
      <c r="D62" s="3">
        <v>32665</v>
      </c>
      <c r="E62" s="3">
        <v>160926</v>
      </c>
      <c r="F62" s="4">
        <f t="shared" si="3"/>
        <v>193591</v>
      </c>
      <c r="G62" s="3">
        <v>101</v>
      </c>
      <c r="H62" s="3">
        <v>1316</v>
      </c>
      <c r="I62" s="3"/>
      <c r="J62" s="3">
        <v>717976</v>
      </c>
      <c r="K62" s="3">
        <f t="shared" si="4"/>
        <v>719393</v>
      </c>
      <c r="L62" s="3">
        <v>12858</v>
      </c>
      <c r="M62" s="3">
        <v>184454</v>
      </c>
      <c r="N62" s="3">
        <v>119226</v>
      </c>
      <c r="O62" s="5">
        <v>25591</v>
      </c>
      <c r="P62" s="5">
        <v>50643</v>
      </c>
      <c r="Q62" s="5">
        <v>1314</v>
      </c>
      <c r="R62" s="3">
        <v>568</v>
      </c>
      <c r="S62" s="5">
        <v>1803</v>
      </c>
      <c r="T62" s="5">
        <v>0</v>
      </c>
      <c r="U62" s="6">
        <f t="shared" si="5"/>
        <v>396457</v>
      </c>
    </row>
    <row r="63" spans="1:21">
      <c r="A63" s="7">
        <v>2</v>
      </c>
      <c r="B63" s="2">
        <v>5</v>
      </c>
      <c r="C63" s="3" t="s">
        <v>56</v>
      </c>
      <c r="D63" s="3">
        <v>861</v>
      </c>
      <c r="E63" s="3">
        <v>0</v>
      </c>
      <c r="F63" s="4">
        <f t="shared" si="3"/>
        <v>861</v>
      </c>
      <c r="G63" s="3">
        <v>0</v>
      </c>
      <c r="H63" s="3">
        <v>0</v>
      </c>
      <c r="I63" s="3"/>
      <c r="J63" s="3">
        <v>877</v>
      </c>
      <c r="K63" s="3">
        <f t="shared" si="4"/>
        <v>877</v>
      </c>
      <c r="L63" s="3">
        <v>11</v>
      </c>
      <c r="M63" s="3">
        <v>8077</v>
      </c>
      <c r="N63" s="3">
        <v>545</v>
      </c>
      <c r="O63" s="5">
        <v>0</v>
      </c>
      <c r="P63" s="5">
        <v>0</v>
      </c>
      <c r="Q63" s="5">
        <v>0</v>
      </c>
      <c r="R63" s="3">
        <v>0</v>
      </c>
      <c r="S63" s="5">
        <v>0</v>
      </c>
      <c r="T63" s="5">
        <v>0</v>
      </c>
      <c r="U63" s="6">
        <f t="shared" si="5"/>
        <v>8633</v>
      </c>
    </row>
    <row r="64" spans="1:21">
      <c r="A64" s="7">
        <v>3</v>
      </c>
      <c r="B64" s="2">
        <v>6</v>
      </c>
      <c r="C64" s="3" t="s">
        <v>57</v>
      </c>
      <c r="D64" s="3">
        <v>0</v>
      </c>
      <c r="E64" s="3">
        <v>0</v>
      </c>
      <c r="F64" s="4">
        <f t="shared" si="3"/>
        <v>0</v>
      </c>
      <c r="G64" s="3">
        <v>0</v>
      </c>
      <c r="H64" s="3">
        <v>0</v>
      </c>
      <c r="I64" s="3"/>
      <c r="J64" s="3">
        <v>0</v>
      </c>
      <c r="K64" s="3">
        <f t="shared" si="4"/>
        <v>0</v>
      </c>
      <c r="L64" s="3">
        <v>0</v>
      </c>
      <c r="M64" s="3">
        <v>0</v>
      </c>
      <c r="N64" s="3">
        <v>0</v>
      </c>
      <c r="O64" s="5">
        <v>272</v>
      </c>
      <c r="P64" s="5">
        <v>0</v>
      </c>
      <c r="Q64" s="5">
        <v>0</v>
      </c>
      <c r="R64" s="3">
        <v>0</v>
      </c>
      <c r="S64" s="5">
        <v>0</v>
      </c>
      <c r="T64" s="5">
        <v>0</v>
      </c>
      <c r="U64" s="6">
        <f t="shared" si="5"/>
        <v>272</v>
      </c>
    </row>
    <row r="65" spans="1:21">
      <c r="A65" s="7">
        <v>3</v>
      </c>
      <c r="B65" s="2">
        <v>7</v>
      </c>
      <c r="C65" s="3" t="s">
        <v>57</v>
      </c>
      <c r="D65" s="3">
        <v>861</v>
      </c>
      <c r="E65" s="3">
        <v>0</v>
      </c>
      <c r="F65" s="4">
        <f t="shared" si="3"/>
        <v>861</v>
      </c>
      <c r="G65" s="3">
        <v>0</v>
      </c>
      <c r="H65" s="3">
        <v>0</v>
      </c>
      <c r="I65" s="3"/>
      <c r="J65" s="3">
        <v>0</v>
      </c>
      <c r="K65" s="3">
        <f t="shared" si="4"/>
        <v>0</v>
      </c>
      <c r="L65" s="3">
        <v>12629</v>
      </c>
      <c r="M65" s="3">
        <v>0</v>
      </c>
      <c r="N65" s="3">
        <v>0</v>
      </c>
      <c r="O65" s="5">
        <v>30302</v>
      </c>
      <c r="P65" s="5">
        <v>0</v>
      </c>
      <c r="Q65" s="5">
        <v>937</v>
      </c>
      <c r="R65" s="3">
        <v>2834</v>
      </c>
      <c r="S65" s="5">
        <v>0</v>
      </c>
      <c r="T65" s="5">
        <v>0</v>
      </c>
      <c r="U65" s="6">
        <f t="shared" si="5"/>
        <v>46702</v>
      </c>
    </row>
    <row r="66" spans="1:21">
      <c r="A66" s="7">
        <v>3</v>
      </c>
      <c r="B66" s="2">
        <v>8</v>
      </c>
      <c r="C66" s="3" t="s">
        <v>57</v>
      </c>
      <c r="D66" s="3">
        <v>0</v>
      </c>
      <c r="E66" s="3">
        <v>0</v>
      </c>
      <c r="F66" s="4">
        <f t="shared" si="3"/>
        <v>0</v>
      </c>
      <c r="G66" s="3">
        <v>0</v>
      </c>
      <c r="H66" s="3">
        <v>0</v>
      </c>
      <c r="I66" s="3"/>
      <c r="J66" s="3">
        <v>0</v>
      </c>
      <c r="K66" s="3">
        <f t="shared" si="4"/>
        <v>0</v>
      </c>
      <c r="L66" s="3">
        <v>0</v>
      </c>
      <c r="M66" s="3">
        <v>0</v>
      </c>
      <c r="N66" s="3">
        <v>0</v>
      </c>
      <c r="O66" s="5">
        <v>0</v>
      </c>
      <c r="P66" s="5">
        <v>0</v>
      </c>
      <c r="Q66" s="5">
        <v>0</v>
      </c>
      <c r="R66" s="3">
        <v>0</v>
      </c>
      <c r="S66" s="5">
        <v>0</v>
      </c>
      <c r="T66" s="5">
        <v>0</v>
      </c>
      <c r="U66" s="6">
        <f t="shared" si="5"/>
        <v>0</v>
      </c>
    </row>
    <row r="67" spans="1:21">
      <c r="A67" s="7">
        <v>4</v>
      </c>
      <c r="B67" s="2">
        <v>9</v>
      </c>
      <c r="C67" s="3" t="s">
        <v>58</v>
      </c>
      <c r="D67" s="3">
        <v>674663</v>
      </c>
      <c r="E67" s="3">
        <v>938743</v>
      </c>
      <c r="F67" s="4">
        <f t="shared" si="3"/>
        <v>1613406</v>
      </c>
      <c r="G67" s="3">
        <v>3822</v>
      </c>
      <c r="H67" s="3">
        <v>4058</v>
      </c>
      <c r="I67" s="3"/>
      <c r="J67" s="3">
        <v>2272517</v>
      </c>
      <c r="K67" s="3">
        <f t="shared" si="4"/>
        <v>2280397</v>
      </c>
      <c r="L67" s="3">
        <v>237998</v>
      </c>
      <c r="M67" s="3">
        <v>852816</v>
      </c>
      <c r="N67" s="3">
        <v>185879</v>
      </c>
      <c r="O67" s="5">
        <v>48555</v>
      </c>
      <c r="P67" s="5">
        <v>68541</v>
      </c>
      <c r="Q67" s="5">
        <v>1202</v>
      </c>
      <c r="R67" s="3">
        <v>10257</v>
      </c>
      <c r="S67" s="5">
        <v>79550</v>
      </c>
      <c r="T67" s="5">
        <v>11294</v>
      </c>
      <c r="U67" s="6">
        <f t="shared" si="5"/>
        <v>1496092</v>
      </c>
    </row>
    <row r="68" spans="1:21">
      <c r="A68" s="7">
        <v>4</v>
      </c>
      <c r="B68" s="2">
        <v>10</v>
      </c>
      <c r="C68" s="3" t="s">
        <v>58</v>
      </c>
      <c r="D68" s="3">
        <v>1986463</v>
      </c>
      <c r="E68" s="3">
        <v>2258715</v>
      </c>
      <c r="F68" s="4">
        <f t="shared" si="3"/>
        <v>4245178</v>
      </c>
      <c r="G68" s="3">
        <v>4805</v>
      </c>
      <c r="H68" s="3">
        <v>3146</v>
      </c>
      <c r="I68" s="3"/>
      <c r="J68" s="3">
        <v>2379782</v>
      </c>
      <c r="K68" s="3">
        <f t="shared" si="4"/>
        <v>2387733</v>
      </c>
      <c r="L68" s="3">
        <v>263602</v>
      </c>
      <c r="M68" s="3">
        <v>1188933</v>
      </c>
      <c r="N68" s="3">
        <v>36494</v>
      </c>
      <c r="O68" s="5">
        <v>32902</v>
      </c>
      <c r="P68" s="5">
        <v>74375</v>
      </c>
      <c r="Q68" s="5">
        <v>698</v>
      </c>
      <c r="R68" s="3">
        <v>7467</v>
      </c>
      <c r="S68" s="5">
        <v>95359</v>
      </c>
      <c r="T68" s="5">
        <v>10234</v>
      </c>
      <c r="U68" s="6">
        <f t="shared" si="5"/>
        <v>1710064</v>
      </c>
    </row>
    <row r="69" spans="1:21">
      <c r="A69" s="7">
        <v>4</v>
      </c>
      <c r="B69" s="2">
        <v>11</v>
      </c>
      <c r="C69" s="3" t="s">
        <v>58</v>
      </c>
      <c r="D69" s="3">
        <v>0</v>
      </c>
      <c r="E69" s="3">
        <v>500</v>
      </c>
      <c r="F69" s="4">
        <f t="shared" si="3"/>
        <v>500</v>
      </c>
      <c r="G69" s="3">
        <v>0</v>
      </c>
      <c r="H69" s="3">
        <v>500</v>
      </c>
      <c r="I69" s="3"/>
      <c r="J69" s="3">
        <v>59677</v>
      </c>
      <c r="K69" s="3">
        <f t="shared" si="4"/>
        <v>60177</v>
      </c>
      <c r="L69" s="3">
        <v>0</v>
      </c>
      <c r="M69" s="3">
        <v>95244</v>
      </c>
      <c r="N69" s="3">
        <v>423</v>
      </c>
      <c r="O69" s="5">
        <v>11288</v>
      </c>
      <c r="P69" s="5">
        <v>13090</v>
      </c>
      <c r="Q69" s="5">
        <v>0</v>
      </c>
      <c r="R69" s="3">
        <v>0</v>
      </c>
      <c r="S69" s="5">
        <v>0</v>
      </c>
      <c r="T69" s="5">
        <v>0</v>
      </c>
      <c r="U69" s="6">
        <f t="shared" si="5"/>
        <v>120045</v>
      </c>
    </row>
    <row r="70" spans="1:21">
      <c r="A70" s="7">
        <v>5</v>
      </c>
      <c r="B70" s="2">
        <v>12</v>
      </c>
      <c r="C70" s="3" t="s">
        <v>59</v>
      </c>
      <c r="D70" s="3">
        <v>0</v>
      </c>
      <c r="E70" s="3">
        <v>0</v>
      </c>
      <c r="F70" s="4">
        <f t="shared" si="3"/>
        <v>0</v>
      </c>
      <c r="G70" s="3">
        <v>0</v>
      </c>
      <c r="H70" s="3">
        <v>0</v>
      </c>
      <c r="I70" s="3"/>
      <c r="J70" s="3">
        <v>0</v>
      </c>
      <c r="K70" s="3">
        <f t="shared" si="4"/>
        <v>0</v>
      </c>
      <c r="L70" s="3">
        <v>24793</v>
      </c>
      <c r="M70" s="3">
        <v>0</v>
      </c>
      <c r="N70" s="3">
        <v>0</v>
      </c>
      <c r="O70" s="5">
        <v>57662</v>
      </c>
      <c r="P70" s="5">
        <v>0</v>
      </c>
      <c r="Q70" s="5">
        <v>1682</v>
      </c>
      <c r="R70" s="3">
        <v>5647</v>
      </c>
      <c r="S70" s="5">
        <v>0</v>
      </c>
      <c r="T70" s="5">
        <v>0</v>
      </c>
      <c r="U70" s="6">
        <f t="shared" si="5"/>
        <v>89784</v>
      </c>
    </row>
    <row r="71" spans="1:21">
      <c r="A71" s="7">
        <v>5</v>
      </c>
      <c r="B71" s="2">
        <v>13</v>
      </c>
      <c r="C71" s="3" t="s">
        <v>59</v>
      </c>
      <c r="D71" s="3">
        <v>1722</v>
      </c>
      <c r="E71" s="3">
        <v>0</v>
      </c>
      <c r="F71" s="4">
        <f t="shared" si="3"/>
        <v>1722</v>
      </c>
      <c r="G71" s="3">
        <v>0</v>
      </c>
      <c r="H71" s="3">
        <v>0</v>
      </c>
      <c r="I71" s="3"/>
      <c r="J71" s="3">
        <v>0</v>
      </c>
      <c r="K71" s="3">
        <f t="shared" si="4"/>
        <v>0</v>
      </c>
      <c r="L71" s="3">
        <v>465</v>
      </c>
      <c r="M71" s="3">
        <v>0</v>
      </c>
      <c r="N71" s="3">
        <v>0</v>
      </c>
      <c r="O71" s="5">
        <v>3486</v>
      </c>
      <c r="P71" s="5">
        <v>0</v>
      </c>
      <c r="Q71" s="5">
        <v>192</v>
      </c>
      <c r="R71" s="3">
        <v>21</v>
      </c>
      <c r="S71" s="5">
        <v>0</v>
      </c>
      <c r="T71" s="5">
        <v>0</v>
      </c>
      <c r="U71" s="6">
        <f t="shared" si="5"/>
        <v>4164</v>
      </c>
    </row>
    <row r="72" spans="1:21">
      <c r="A72" s="7">
        <v>6</v>
      </c>
      <c r="B72" s="2">
        <v>14</v>
      </c>
      <c r="C72" s="3" t="s">
        <v>60</v>
      </c>
      <c r="D72" s="3">
        <v>1810645</v>
      </c>
      <c r="E72" s="3">
        <v>1902624</v>
      </c>
      <c r="F72" s="4">
        <f t="shared" si="3"/>
        <v>3713269</v>
      </c>
      <c r="G72" s="3">
        <v>1950</v>
      </c>
      <c r="H72" s="3">
        <v>288</v>
      </c>
      <c r="I72" s="3"/>
      <c r="J72" s="3">
        <v>1898848</v>
      </c>
      <c r="K72" s="3">
        <f t="shared" si="4"/>
        <v>1901086</v>
      </c>
      <c r="L72" s="3">
        <v>259251</v>
      </c>
      <c r="M72" s="3">
        <v>978877</v>
      </c>
      <c r="N72" s="3">
        <v>347530</v>
      </c>
      <c r="O72" s="5">
        <v>25238</v>
      </c>
      <c r="P72" s="5">
        <v>21818</v>
      </c>
      <c r="Q72" s="5">
        <v>168</v>
      </c>
      <c r="R72" s="3">
        <v>7718</v>
      </c>
      <c r="S72" s="5">
        <v>42676</v>
      </c>
      <c r="T72" s="5">
        <v>1336</v>
      </c>
      <c r="U72" s="6">
        <f t="shared" si="5"/>
        <v>1684612</v>
      </c>
    </row>
    <row r="73" spans="1:21">
      <c r="A73" s="7">
        <v>6</v>
      </c>
      <c r="B73" s="2">
        <v>15</v>
      </c>
      <c r="C73" s="3" t="s">
        <v>60</v>
      </c>
      <c r="D73" s="3">
        <v>1715153</v>
      </c>
      <c r="E73" s="3">
        <v>1822432</v>
      </c>
      <c r="F73" s="4">
        <f t="shared" si="3"/>
        <v>3537585</v>
      </c>
      <c r="G73" s="3">
        <v>1784</v>
      </c>
      <c r="H73" s="3">
        <v>2508</v>
      </c>
      <c r="I73" s="3"/>
      <c r="J73" s="3">
        <v>1696138</v>
      </c>
      <c r="K73" s="3">
        <f t="shared" si="4"/>
        <v>1700430</v>
      </c>
      <c r="L73" s="3">
        <v>422491</v>
      </c>
      <c r="M73" s="3">
        <v>1890946</v>
      </c>
      <c r="N73" s="3">
        <v>688572</v>
      </c>
      <c r="O73" s="5">
        <v>49137</v>
      </c>
      <c r="P73" s="5">
        <v>7790</v>
      </c>
      <c r="Q73" s="5">
        <v>2049</v>
      </c>
      <c r="R73" s="3">
        <v>4681</v>
      </c>
      <c r="S73" s="5">
        <v>31307</v>
      </c>
      <c r="T73" s="5">
        <v>28623</v>
      </c>
      <c r="U73" s="6">
        <f t="shared" si="5"/>
        <v>3125596</v>
      </c>
    </row>
    <row r="74" spans="1:21">
      <c r="A74" s="7">
        <v>6</v>
      </c>
      <c r="B74" s="2">
        <v>16</v>
      </c>
      <c r="C74" s="3" t="s">
        <v>60</v>
      </c>
      <c r="D74" s="3">
        <v>375077</v>
      </c>
      <c r="E74" s="3">
        <v>345150</v>
      </c>
      <c r="F74" s="4">
        <f t="shared" si="3"/>
        <v>720227</v>
      </c>
      <c r="G74" s="3">
        <v>443</v>
      </c>
      <c r="H74" s="3">
        <v>0</v>
      </c>
      <c r="I74" s="3"/>
      <c r="J74" s="3">
        <v>396030</v>
      </c>
      <c r="K74" s="3">
        <f t="shared" si="4"/>
        <v>396473</v>
      </c>
      <c r="L74" s="3">
        <v>48479</v>
      </c>
      <c r="M74" s="3">
        <v>189213</v>
      </c>
      <c r="N74" s="3">
        <v>80377</v>
      </c>
      <c r="O74" s="5">
        <v>10139</v>
      </c>
      <c r="P74" s="5">
        <v>14924</v>
      </c>
      <c r="Q74" s="5">
        <v>0</v>
      </c>
      <c r="R74" s="3">
        <v>4523</v>
      </c>
      <c r="S74" s="5">
        <v>1459</v>
      </c>
      <c r="T74" s="5">
        <v>2518</v>
      </c>
      <c r="U74" s="6">
        <f t="shared" si="5"/>
        <v>351632</v>
      </c>
    </row>
    <row r="75" spans="1:21">
      <c r="A75" s="7">
        <v>7</v>
      </c>
      <c r="B75" s="2">
        <v>17</v>
      </c>
      <c r="C75" s="3" t="s">
        <v>61</v>
      </c>
      <c r="D75" s="3">
        <v>173970</v>
      </c>
      <c r="E75" s="3">
        <v>418500</v>
      </c>
      <c r="F75" s="4">
        <f t="shared" si="3"/>
        <v>592470</v>
      </c>
      <c r="G75" s="3">
        <v>301</v>
      </c>
      <c r="H75" s="3">
        <v>68</v>
      </c>
      <c r="I75" s="3"/>
      <c r="J75" s="3">
        <v>192011</v>
      </c>
      <c r="K75" s="3">
        <f t="shared" si="4"/>
        <v>192380</v>
      </c>
      <c r="L75" s="3">
        <v>24037</v>
      </c>
      <c r="M75" s="3">
        <v>430763</v>
      </c>
      <c r="N75" s="3">
        <v>687136</v>
      </c>
      <c r="O75" s="5">
        <v>12240</v>
      </c>
      <c r="P75" s="5">
        <v>11431</v>
      </c>
      <c r="Q75" s="5">
        <v>168</v>
      </c>
      <c r="R75" s="3">
        <v>37</v>
      </c>
      <c r="S75" s="5">
        <v>15895</v>
      </c>
      <c r="T75" s="5">
        <v>54</v>
      </c>
      <c r="U75" s="6">
        <f t="shared" si="5"/>
        <v>1181761</v>
      </c>
    </row>
    <row r="76" spans="1:21">
      <c r="A76" s="7">
        <v>7</v>
      </c>
      <c r="B76" s="2">
        <v>18</v>
      </c>
      <c r="C76" s="3" t="s">
        <v>61</v>
      </c>
      <c r="D76" s="3">
        <v>1927833</v>
      </c>
      <c r="E76" s="3">
        <v>2105775</v>
      </c>
      <c r="F76" s="4">
        <f t="shared" si="3"/>
        <v>4033608</v>
      </c>
      <c r="G76" s="3">
        <v>2059</v>
      </c>
      <c r="H76" s="3">
        <v>870</v>
      </c>
      <c r="I76" s="3"/>
      <c r="J76" s="3">
        <v>2132554</v>
      </c>
      <c r="K76" s="3">
        <f t="shared" si="4"/>
        <v>2135483</v>
      </c>
      <c r="L76" s="3">
        <v>260550</v>
      </c>
      <c r="M76" s="3">
        <v>1123190</v>
      </c>
      <c r="N76" s="3">
        <v>3225780</v>
      </c>
      <c r="O76" s="5">
        <v>54521</v>
      </c>
      <c r="P76" s="5">
        <v>250940</v>
      </c>
      <c r="Q76" s="5">
        <v>735</v>
      </c>
      <c r="R76" s="3">
        <v>12145</v>
      </c>
      <c r="S76" s="5">
        <v>53020</v>
      </c>
      <c r="T76" s="5">
        <v>2605</v>
      </c>
      <c r="U76" s="6">
        <f t="shared" si="5"/>
        <v>4983486</v>
      </c>
    </row>
    <row r="77" spans="1:21">
      <c r="A77" s="7">
        <v>7</v>
      </c>
      <c r="B77" s="2">
        <v>19</v>
      </c>
      <c r="C77" s="3" t="s">
        <v>61</v>
      </c>
      <c r="D77" s="3">
        <v>1154065</v>
      </c>
      <c r="E77" s="3">
        <v>1728970</v>
      </c>
      <c r="F77" s="4">
        <f t="shared" si="3"/>
        <v>2883035</v>
      </c>
      <c r="G77" s="3">
        <v>2823</v>
      </c>
      <c r="H77" s="3">
        <v>6932</v>
      </c>
      <c r="I77" s="3"/>
      <c r="J77" s="3">
        <v>1369463</v>
      </c>
      <c r="K77" s="3">
        <f t="shared" si="4"/>
        <v>1379218</v>
      </c>
      <c r="L77" s="3">
        <v>417209</v>
      </c>
      <c r="M77" s="3">
        <v>1187342</v>
      </c>
      <c r="N77" s="3">
        <v>3604363</v>
      </c>
      <c r="O77" s="5">
        <v>25066</v>
      </c>
      <c r="P77" s="5">
        <v>169157</v>
      </c>
      <c r="Q77" s="5">
        <v>1314</v>
      </c>
      <c r="R77" s="3">
        <v>1675</v>
      </c>
      <c r="S77" s="5">
        <v>33557</v>
      </c>
      <c r="T77" s="5">
        <v>27198</v>
      </c>
      <c r="U77" s="6">
        <f t="shared" si="5"/>
        <v>5466881</v>
      </c>
    </row>
    <row r="78" spans="1:21">
      <c r="A78" s="7">
        <v>8</v>
      </c>
      <c r="B78" s="2">
        <v>20</v>
      </c>
      <c r="C78" s="3" t="s">
        <v>62</v>
      </c>
      <c r="D78" s="3">
        <v>1811587</v>
      </c>
      <c r="E78" s="3">
        <v>1891640</v>
      </c>
      <c r="F78" s="4">
        <f t="shared" si="3"/>
        <v>3703227</v>
      </c>
      <c r="G78" s="3">
        <v>1174</v>
      </c>
      <c r="H78" s="3">
        <v>1630</v>
      </c>
      <c r="I78" s="3"/>
      <c r="J78" s="3">
        <v>1832472</v>
      </c>
      <c r="K78" s="3">
        <f t="shared" si="4"/>
        <v>1835276</v>
      </c>
      <c r="L78" s="3">
        <v>440741</v>
      </c>
      <c r="M78" s="3">
        <v>1293797</v>
      </c>
      <c r="N78" s="3">
        <v>401839</v>
      </c>
      <c r="O78" s="5">
        <v>32830</v>
      </c>
      <c r="P78" s="5">
        <v>8388</v>
      </c>
      <c r="Q78" s="5">
        <v>1457</v>
      </c>
      <c r="R78" s="3">
        <v>7696</v>
      </c>
      <c r="S78" s="5">
        <v>42138</v>
      </c>
      <c r="T78" s="5">
        <v>10812</v>
      </c>
      <c r="U78" s="6">
        <f t="shared" si="5"/>
        <v>2239698</v>
      </c>
    </row>
    <row r="79" spans="1:21">
      <c r="A79" s="7">
        <v>8</v>
      </c>
      <c r="B79" s="2">
        <v>21</v>
      </c>
      <c r="C79" s="3" t="s">
        <v>62</v>
      </c>
      <c r="D79" s="3">
        <v>131997</v>
      </c>
      <c r="E79" s="3">
        <v>98950</v>
      </c>
      <c r="F79" s="4">
        <f t="shared" si="3"/>
        <v>230947</v>
      </c>
      <c r="G79" s="3">
        <v>81</v>
      </c>
      <c r="H79" s="3">
        <v>0</v>
      </c>
      <c r="I79" s="3"/>
      <c r="J79" s="3">
        <v>135790</v>
      </c>
      <c r="K79" s="3">
        <f t="shared" si="4"/>
        <v>135871</v>
      </c>
      <c r="L79" s="3">
        <v>11712</v>
      </c>
      <c r="M79" s="3">
        <v>40055</v>
      </c>
      <c r="N79" s="3">
        <v>106372</v>
      </c>
      <c r="O79" s="5">
        <v>2656</v>
      </c>
      <c r="P79" s="5">
        <v>1242</v>
      </c>
      <c r="Q79" s="5">
        <v>0</v>
      </c>
      <c r="R79" s="3">
        <v>44</v>
      </c>
      <c r="S79" s="5">
        <v>6578</v>
      </c>
      <c r="T79" s="5">
        <v>399</v>
      </c>
      <c r="U79" s="6">
        <f t="shared" si="5"/>
        <v>169058</v>
      </c>
    </row>
    <row r="80" spans="1:21">
      <c r="A80" s="7">
        <v>9</v>
      </c>
      <c r="B80" s="2">
        <v>22</v>
      </c>
      <c r="C80" s="3" t="s">
        <v>63</v>
      </c>
      <c r="D80" s="3">
        <v>2084914</v>
      </c>
      <c r="E80" s="3">
        <v>2249394</v>
      </c>
      <c r="F80" s="4">
        <f t="shared" si="3"/>
        <v>4334308</v>
      </c>
      <c r="G80" s="3">
        <v>1249</v>
      </c>
      <c r="H80" s="3">
        <v>5822</v>
      </c>
      <c r="I80" s="3"/>
      <c r="J80" s="3">
        <v>2024857</v>
      </c>
      <c r="K80" s="3">
        <f t="shared" si="4"/>
        <v>2031928</v>
      </c>
      <c r="L80" s="3">
        <v>526518</v>
      </c>
      <c r="M80" s="3">
        <v>1009688</v>
      </c>
      <c r="N80" s="3">
        <v>346696</v>
      </c>
      <c r="O80" s="5">
        <v>58739</v>
      </c>
      <c r="P80" s="5">
        <v>3646</v>
      </c>
      <c r="Q80" s="5">
        <v>1925</v>
      </c>
      <c r="R80" s="3">
        <v>13063</v>
      </c>
      <c r="S80" s="5">
        <v>53261</v>
      </c>
      <c r="T80" s="5">
        <v>25545</v>
      </c>
      <c r="U80" s="6">
        <f t="shared" si="5"/>
        <v>2039081</v>
      </c>
    </row>
    <row r="81" spans="1:21">
      <c r="A81" s="7">
        <v>9</v>
      </c>
      <c r="B81" s="2">
        <v>23</v>
      </c>
      <c r="C81" s="3" t="s">
        <v>63</v>
      </c>
      <c r="D81" s="3">
        <v>953979</v>
      </c>
      <c r="E81" s="3">
        <v>1069332</v>
      </c>
      <c r="F81" s="4">
        <f t="shared" si="3"/>
        <v>2023311</v>
      </c>
      <c r="G81" s="3">
        <v>621</v>
      </c>
      <c r="H81" s="3">
        <v>0</v>
      </c>
      <c r="I81" s="3"/>
      <c r="J81" s="3">
        <v>996714</v>
      </c>
      <c r="K81" s="3">
        <f t="shared" si="4"/>
        <v>997335</v>
      </c>
      <c r="L81" s="3">
        <v>135272</v>
      </c>
      <c r="M81" s="3">
        <v>278127</v>
      </c>
      <c r="N81" s="3">
        <v>37340</v>
      </c>
      <c r="O81" s="5">
        <v>11359</v>
      </c>
      <c r="P81" s="5">
        <v>1575</v>
      </c>
      <c r="Q81" s="5">
        <v>292</v>
      </c>
      <c r="R81" s="3">
        <v>770</v>
      </c>
      <c r="S81" s="5">
        <v>23809</v>
      </c>
      <c r="T81" s="5">
        <v>2851</v>
      </c>
      <c r="U81" s="6">
        <f t="shared" si="5"/>
        <v>491395</v>
      </c>
    </row>
    <row r="82" spans="1:21">
      <c r="A82" s="7">
        <v>9</v>
      </c>
      <c r="B82" s="2">
        <v>24</v>
      </c>
      <c r="C82" s="3" t="s">
        <v>63</v>
      </c>
      <c r="D82" s="3">
        <v>30980</v>
      </c>
      <c r="E82" s="3">
        <v>98496</v>
      </c>
      <c r="F82" s="4">
        <f t="shared" si="3"/>
        <v>129476</v>
      </c>
      <c r="G82" s="3">
        <v>16</v>
      </c>
      <c r="H82" s="3">
        <v>32</v>
      </c>
      <c r="I82" s="3"/>
      <c r="J82" s="3">
        <v>27827</v>
      </c>
      <c r="K82" s="3">
        <f t="shared" si="4"/>
        <v>27875</v>
      </c>
      <c r="L82" s="3">
        <v>10557</v>
      </c>
      <c r="M82" s="3">
        <v>184686</v>
      </c>
      <c r="N82" s="3">
        <v>17084</v>
      </c>
      <c r="O82" s="5">
        <v>5644</v>
      </c>
      <c r="P82" s="5">
        <v>120</v>
      </c>
      <c r="Q82" s="5">
        <v>0</v>
      </c>
      <c r="R82" s="3">
        <v>0</v>
      </c>
      <c r="S82" s="5">
        <v>321</v>
      </c>
      <c r="T82" s="5">
        <v>27</v>
      </c>
      <c r="U82" s="6">
        <f t="shared" si="5"/>
        <v>218439</v>
      </c>
    </row>
    <row r="83" spans="1:21">
      <c r="A83" s="7">
        <v>10</v>
      </c>
      <c r="B83" s="2">
        <v>25</v>
      </c>
      <c r="C83" s="3" t="s">
        <v>64</v>
      </c>
      <c r="D83" s="3">
        <v>0</v>
      </c>
      <c r="E83" s="3">
        <v>0</v>
      </c>
      <c r="F83" s="4">
        <f t="shared" si="3"/>
        <v>0</v>
      </c>
      <c r="G83" s="3">
        <v>0</v>
      </c>
      <c r="H83" s="3">
        <v>0</v>
      </c>
      <c r="I83" s="3"/>
      <c r="J83" s="3">
        <v>0</v>
      </c>
      <c r="K83" s="3">
        <f t="shared" si="4"/>
        <v>0</v>
      </c>
      <c r="L83" s="3">
        <v>0</v>
      </c>
      <c r="M83" s="3">
        <v>0</v>
      </c>
      <c r="N83" s="3">
        <v>0</v>
      </c>
      <c r="O83" s="5">
        <v>0</v>
      </c>
      <c r="P83" s="5">
        <v>0</v>
      </c>
      <c r="Q83" s="5">
        <v>0</v>
      </c>
      <c r="R83" s="3">
        <v>0</v>
      </c>
      <c r="S83" s="5">
        <v>0</v>
      </c>
      <c r="T83" s="5">
        <v>0</v>
      </c>
      <c r="U83" s="6">
        <f t="shared" si="5"/>
        <v>0</v>
      </c>
    </row>
    <row r="84" spans="1:21">
      <c r="A84" s="7">
        <v>10</v>
      </c>
      <c r="B84" s="2">
        <v>26</v>
      </c>
      <c r="C84" s="3" t="s">
        <v>64</v>
      </c>
      <c r="D84" s="3">
        <v>500</v>
      </c>
      <c r="E84" s="3">
        <v>3000</v>
      </c>
      <c r="F84" s="4">
        <f t="shared" si="3"/>
        <v>3500</v>
      </c>
      <c r="G84" s="3">
        <v>0</v>
      </c>
      <c r="H84" s="3">
        <v>2950</v>
      </c>
      <c r="I84" s="3"/>
      <c r="J84" s="3">
        <v>0</v>
      </c>
      <c r="K84" s="3">
        <f t="shared" si="4"/>
        <v>2950</v>
      </c>
      <c r="L84" s="3">
        <v>5027</v>
      </c>
      <c r="M84" s="3">
        <v>86623</v>
      </c>
      <c r="N84" s="3">
        <v>16840</v>
      </c>
      <c r="O84" s="5">
        <v>1799</v>
      </c>
      <c r="P84" s="5">
        <v>160</v>
      </c>
      <c r="Q84" s="5">
        <v>0</v>
      </c>
      <c r="R84" s="3">
        <v>0</v>
      </c>
      <c r="S84" s="5">
        <v>0</v>
      </c>
      <c r="T84" s="5">
        <v>0</v>
      </c>
      <c r="U84" s="6">
        <f t="shared" si="5"/>
        <v>110449</v>
      </c>
    </row>
    <row r="85" spans="1:21" s="42" customFormat="1">
      <c r="A85" s="42">
        <v>11</v>
      </c>
      <c r="B85" s="43">
        <v>27</v>
      </c>
      <c r="C85" s="44" t="s">
        <v>65</v>
      </c>
      <c r="D85" s="44">
        <v>2196259</v>
      </c>
      <c r="E85" s="44">
        <v>2092898</v>
      </c>
      <c r="F85" s="45">
        <f t="shared" si="3"/>
        <v>4289157</v>
      </c>
      <c r="G85" s="44">
        <v>1052</v>
      </c>
      <c r="H85" s="44">
        <v>0</v>
      </c>
      <c r="I85" s="44"/>
      <c r="J85" s="44">
        <v>2205095</v>
      </c>
      <c r="K85" s="44">
        <f t="shared" si="4"/>
        <v>2206147</v>
      </c>
      <c r="L85" s="44">
        <v>303136</v>
      </c>
      <c r="M85" s="44">
        <v>296619</v>
      </c>
      <c r="N85" s="44">
        <v>325403</v>
      </c>
      <c r="O85" s="46">
        <v>35928</v>
      </c>
      <c r="P85" s="46">
        <v>9112</v>
      </c>
      <c r="Q85" s="46">
        <v>822</v>
      </c>
      <c r="R85" s="44">
        <v>7596</v>
      </c>
      <c r="S85" s="46">
        <v>18529</v>
      </c>
      <c r="T85" s="46">
        <v>3885</v>
      </c>
      <c r="U85" s="47">
        <f t="shared" si="5"/>
        <v>1001030</v>
      </c>
    </row>
    <row r="86" spans="1:21" s="42" customFormat="1">
      <c r="A86" s="42">
        <v>11</v>
      </c>
      <c r="B86" s="43">
        <v>28</v>
      </c>
      <c r="C86" s="44" t="s">
        <v>65</v>
      </c>
      <c r="D86" s="44">
        <v>50220</v>
      </c>
      <c r="E86" s="44">
        <v>110110</v>
      </c>
      <c r="F86" s="45">
        <f t="shared" si="3"/>
        <v>160330</v>
      </c>
      <c r="G86" s="44">
        <v>287</v>
      </c>
      <c r="H86" s="44">
        <v>32</v>
      </c>
      <c r="I86" s="44"/>
      <c r="J86" s="44">
        <v>47681</v>
      </c>
      <c r="K86" s="44">
        <f t="shared" si="4"/>
        <v>48000</v>
      </c>
      <c r="L86" s="44">
        <v>12668</v>
      </c>
      <c r="M86" s="44">
        <v>91563</v>
      </c>
      <c r="N86" s="44">
        <v>5952</v>
      </c>
      <c r="O86" s="46">
        <v>5644</v>
      </c>
      <c r="P86" s="46">
        <v>31</v>
      </c>
      <c r="Q86" s="46">
        <v>0</v>
      </c>
      <c r="R86" s="44">
        <v>0</v>
      </c>
      <c r="S86" s="46">
        <v>660</v>
      </c>
      <c r="T86" s="46">
        <v>1380</v>
      </c>
      <c r="U86" s="47">
        <f t="shared" si="5"/>
        <v>117898</v>
      </c>
    </row>
    <row r="87" spans="1:21" s="42" customFormat="1">
      <c r="A87" s="42">
        <v>12</v>
      </c>
      <c r="B87" s="43">
        <v>29</v>
      </c>
      <c r="C87" s="44" t="s">
        <v>66</v>
      </c>
      <c r="D87" s="44">
        <v>636.03398500000003</v>
      </c>
      <c r="E87" s="44">
        <v>0</v>
      </c>
      <c r="F87" s="45">
        <f t="shared" si="3"/>
        <v>636.03398500000003</v>
      </c>
      <c r="G87" s="44">
        <v>0</v>
      </c>
      <c r="H87" s="44">
        <v>0</v>
      </c>
      <c r="I87" s="44">
        <v>734.20833333333326</v>
      </c>
      <c r="J87" s="44"/>
      <c r="K87" s="44">
        <f t="shared" si="4"/>
        <v>734.20833333333326</v>
      </c>
      <c r="L87" s="44">
        <v>138.84520599999999</v>
      </c>
      <c r="M87" s="44">
        <f>3603.63200708333+410</f>
        <v>4013.6320070833299</v>
      </c>
      <c r="N87" s="44">
        <v>187.5</v>
      </c>
      <c r="O87" s="46">
        <v>3.8445780000000003</v>
      </c>
      <c r="P87" s="46">
        <v>0</v>
      </c>
      <c r="Q87" s="46">
        <v>0.23588399999999998</v>
      </c>
      <c r="R87" s="44">
        <v>0.61713400000000007</v>
      </c>
      <c r="S87" s="46">
        <f>45.1807475+629</f>
        <v>674.18074750000005</v>
      </c>
      <c r="T87" s="46">
        <v>2.31907</v>
      </c>
      <c r="U87" s="47">
        <f t="shared" si="5"/>
        <v>5021.1746265833299</v>
      </c>
    </row>
    <row r="88" spans="1:21" s="42" customFormat="1">
      <c r="A88" s="42">
        <v>13</v>
      </c>
      <c r="B88" s="43">
        <v>30</v>
      </c>
      <c r="C88" s="44" t="s">
        <v>67</v>
      </c>
      <c r="D88" s="44">
        <v>9499.7619749999994</v>
      </c>
      <c r="E88" s="44">
        <v>0</v>
      </c>
      <c r="F88" s="45">
        <f t="shared" si="3"/>
        <v>9499.7619749999994</v>
      </c>
      <c r="G88" s="44">
        <v>0</v>
      </c>
      <c r="H88" s="44">
        <v>0</v>
      </c>
      <c r="I88" s="44">
        <v>17950</v>
      </c>
      <c r="J88" s="44"/>
      <c r="K88" s="44">
        <f t="shared" si="4"/>
        <v>17950</v>
      </c>
      <c r="L88" s="44">
        <v>2264.2584829999996</v>
      </c>
      <c r="M88" s="44">
        <v>10355.01</v>
      </c>
      <c r="N88" s="44">
        <v>0</v>
      </c>
      <c r="O88" s="46">
        <v>46.946947000000002</v>
      </c>
      <c r="P88" s="46">
        <v>0</v>
      </c>
      <c r="Q88" s="46">
        <v>0.59019500000000003</v>
      </c>
      <c r="R88" s="44">
        <v>30.114241</v>
      </c>
      <c r="S88" s="46">
        <f>236.5231068+3439</f>
        <v>3675.5231067999998</v>
      </c>
      <c r="T88" s="46">
        <v>112.996785</v>
      </c>
      <c r="U88" s="47">
        <f t="shared" si="5"/>
        <v>16485.439757799999</v>
      </c>
    </row>
    <row r="89" spans="1:21" s="42" customFormat="1">
      <c r="A89" s="42">
        <v>14</v>
      </c>
      <c r="B89" s="43">
        <v>31</v>
      </c>
      <c r="C89" s="48" t="s">
        <v>68</v>
      </c>
      <c r="D89" s="48">
        <v>14943.209469999998</v>
      </c>
      <c r="E89" s="48">
        <f>229834*0.058</f>
        <v>13330.372000000001</v>
      </c>
      <c r="F89" s="45">
        <f t="shared" si="3"/>
        <v>28273.581469999997</v>
      </c>
      <c r="G89" s="48">
        <v>0</v>
      </c>
      <c r="H89" s="48">
        <v>37</v>
      </c>
      <c r="I89" s="48"/>
      <c r="J89" s="48">
        <v>245770</v>
      </c>
      <c r="K89" s="44">
        <f t="shared" si="4"/>
        <v>245807</v>
      </c>
      <c r="L89" s="48">
        <v>3005.5920000000001</v>
      </c>
      <c r="M89" s="48">
        <v>6080.49</v>
      </c>
      <c r="N89" s="48">
        <v>713.11500000000012</v>
      </c>
      <c r="O89" s="41">
        <v>426.43801999999999</v>
      </c>
      <c r="P89" s="41">
        <v>0</v>
      </c>
      <c r="Q89" s="41">
        <v>9.6005400000000005</v>
      </c>
      <c r="R89" s="48">
        <v>49.008279999999985</v>
      </c>
      <c r="S89" s="41">
        <v>456.69</v>
      </c>
      <c r="T89" s="41">
        <v>154.98671000000004</v>
      </c>
      <c r="U89" s="47">
        <f t="shared" si="5"/>
        <v>10895.920549999999</v>
      </c>
    </row>
    <row r="90" spans="1:21" s="42" customFormat="1">
      <c r="B90" s="43">
        <v>32</v>
      </c>
      <c r="C90" s="48" t="s">
        <v>69</v>
      </c>
      <c r="D90" s="48">
        <v>725.72924000000023</v>
      </c>
      <c r="E90" s="48">
        <v>0</v>
      </c>
      <c r="F90" s="45">
        <f t="shared" si="3"/>
        <v>725.72924000000023</v>
      </c>
      <c r="G90" s="48">
        <v>0</v>
      </c>
      <c r="H90" s="48">
        <v>0</v>
      </c>
      <c r="I90" s="48"/>
      <c r="J90" s="48">
        <v>0</v>
      </c>
      <c r="K90" s="44">
        <f t="shared" si="4"/>
        <v>0</v>
      </c>
      <c r="L90" s="48">
        <v>148.34847000000005</v>
      </c>
      <c r="M90" s="48">
        <v>0</v>
      </c>
      <c r="N90" s="48">
        <v>0</v>
      </c>
      <c r="O90" s="41">
        <v>17.767849999999999</v>
      </c>
      <c r="P90" s="41">
        <v>0</v>
      </c>
      <c r="Q90" s="41">
        <v>0.42299000000000003</v>
      </c>
      <c r="R90" s="48">
        <v>2.1064000000000003</v>
      </c>
      <c r="S90" s="41">
        <v>0</v>
      </c>
      <c r="T90" s="41">
        <v>7.3473699999999988</v>
      </c>
      <c r="U90" s="47">
        <f t="shared" si="5"/>
        <v>175.99308000000008</v>
      </c>
    </row>
    <row r="91" spans="1:21" s="42" customFormat="1">
      <c r="B91" s="43">
        <v>33</v>
      </c>
      <c r="C91" s="48" t="s">
        <v>70</v>
      </c>
      <c r="D91" s="48">
        <v>4154.5474299999987</v>
      </c>
      <c r="E91" s="48">
        <v>0</v>
      </c>
      <c r="F91" s="45">
        <f t="shared" si="3"/>
        <v>4154.5474299999987</v>
      </c>
      <c r="G91" s="48">
        <v>0</v>
      </c>
      <c r="H91" s="48">
        <v>0</v>
      </c>
      <c r="I91" s="48"/>
      <c r="J91" s="48">
        <v>0</v>
      </c>
      <c r="K91" s="44">
        <f t="shared" si="4"/>
        <v>0</v>
      </c>
      <c r="L91" s="48">
        <v>852.51476000000025</v>
      </c>
      <c r="M91" s="48">
        <v>0</v>
      </c>
      <c r="N91" s="48">
        <v>0</v>
      </c>
      <c r="O91" s="41">
        <v>103.11563</v>
      </c>
      <c r="P91" s="41">
        <v>0</v>
      </c>
      <c r="Q91" s="41">
        <v>2.4912299999999998</v>
      </c>
      <c r="R91" s="48">
        <v>12.091339999999997</v>
      </c>
      <c r="S91" s="41">
        <v>0</v>
      </c>
      <c r="T91" s="41">
        <v>42.436949999999996</v>
      </c>
      <c r="U91" s="47">
        <f t="shared" si="5"/>
        <v>1012.6499100000002</v>
      </c>
    </row>
    <row r="92" spans="1:21" s="42" customFormat="1">
      <c r="A92" s="42">
        <v>3</v>
      </c>
      <c r="B92" s="43">
        <v>34</v>
      </c>
      <c r="C92" s="48" t="s">
        <v>57</v>
      </c>
      <c r="D92" s="48">
        <v>0</v>
      </c>
      <c r="E92" s="48">
        <v>0</v>
      </c>
      <c r="F92" s="45">
        <f t="shared" si="3"/>
        <v>0</v>
      </c>
      <c r="G92" s="48">
        <v>0</v>
      </c>
      <c r="H92" s="48">
        <v>0</v>
      </c>
      <c r="I92" s="48"/>
      <c r="J92" s="48">
        <v>0</v>
      </c>
      <c r="K92" s="44">
        <f t="shared" si="4"/>
        <v>0</v>
      </c>
      <c r="L92" s="48">
        <v>0</v>
      </c>
      <c r="M92" s="48">
        <v>0</v>
      </c>
      <c r="N92" s="48">
        <v>0</v>
      </c>
      <c r="O92" s="41">
        <v>0</v>
      </c>
      <c r="P92" s="41">
        <v>0</v>
      </c>
      <c r="Q92" s="41">
        <v>0</v>
      </c>
      <c r="R92" s="48">
        <v>0</v>
      </c>
      <c r="S92" s="41">
        <v>0</v>
      </c>
      <c r="T92" s="41">
        <v>0</v>
      </c>
      <c r="U92" s="47">
        <f t="shared" si="5"/>
        <v>0</v>
      </c>
    </row>
    <row r="93" spans="1:21">
      <c r="A93" s="7">
        <v>5</v>
      </c>
      <c r="B93" s="2">
        <v>35</v>
      </c>
      <c r="C93" s="13" t="s">
        <v>59</v>
      </c>
      <c r="D93" s="13">
        <v>0</v>
      </c>
      <c r="E93" s="13">
        <v>0</v>
      </c>
      <c r="F93" s="4">
        <f t="shared" si="3"/>
        <v>0</v>
      </c>
      <c r="G93" s="13">
        <v>0</v>
      </c>
      <c r="H93" s="13">
        <v>0</v>
      </c>
      <c r="I93" s="13"/>
      <c r="J93" s="13">
        <v>0</v>
      </c>
      <c r="K93" s="3">
        <f t="shared" si="4"/>
        <v>0</v>
      </c>
      <c r="L93" s="13">
        <v>0</v>
      </c>
      <c r="M93" s="13">
        <v>0</v>
      </c>
      <c r="N93" s="13">
        <v>0</v>
      </c>
      <c r="O93" s="24">
        <v>0</v>
      </c>
      <c r="P93" s="24">
        <v>0</v>
      </c>
      <c r="Q93" s="24">
        <v>0</v>
      </c>
      <c r="R93" s="13">
        <v>0</v>
      </c>
      <c r="S93" s="24">
        <v>0</v>
      </c>
      <c r="T93" s="24">
        <v>0</v>
      </c>
      <c r="U93" s="6">
        <f t="shared" si="5"/>
        <v>0</v>
      </c>
    </row>
    <row r="94" spans="1:21">
      <c r="A94" s="7">
        <v>10</v>
      </c>
      <c r="B94" s="2">
        <v>36</v>
      </c>
      <c r="C94" s="13" t="s">
        <v>64</v>
      </c>
      <c r="D94" s="13">
        <v>0</v>
      </c>
      <c r="E94" s="13">
        <v>0</v>
      </c>
      <c r="F94" s="4">
        <f t="shared" si="3"/>
        <v>0</v>
      </c>
      <c r="G94" s="13">
        <v>0</v>
      </c>
      <c r="H94" s="13">
        <v>0</v>
      </c>
      <c r="I94" s="13"/>
      <c r="J94" s="13">
        <v>0</v>
      </c>
      <c r="K94" s="3">
        <f t="shared" si="4"/>
        <v>0</v>
      </c>
      <c r="L94" s="13">
        <v>0</v>
      </c>
      <c r="M94" s="13">
        <v>19517</v>
      </c>
      <c r="N94" s="13">
        <v>9185</v>
      </c>
      <c r="O94" s="24">
        <v>0</v>
      </c>
      <c r="P94" s="24">
        <v>0</v>
      </c>
      <c r="Q94" s="24">
        <v>0</v>
      </c>
      <c r="R94" s="13">
        <v>0</v>
      </c>
      <c r="S94" s="24">
        <v>0</v>
      </c>
      <c r="T94" s="24">
        <v>0</v>
      </c>
      <c r="U94" s="6">
        <f t="shared" si="5"/>
        <v>28702</v>
      </c>
    </row>
    <row r="95" spans="1:21">
      <c r="A95" s="7">
        <v>16</v>
      </c>
      <c r="B95" s="2">
        <v>37</v>
      </c>
      <c r="C95" s="13" t="s">
        <v>71</v>
      </c>
      <c r="D95" s="13">
        <v>0</v>
      </c>
      <c r="E95" s="13">
        <v>0</v>
      </c>
      <c r="F95" s="4">
        <f t="shared" si="3"/>
        <v>0</v>
      </c>
      <c r="G95" s="13">
        <v>0</v>
      </c>
      <c r="H95" s="13">
        <v>0</v>
      </c>
      <c r="I95" s="13"/>
      <c r="J95" s="13">
        <v>0</v>
      </c>
      <c r="K95" s="3">
        <f t="shared" si="4"/>
        <v>0</v>
      </c>
      <c r="L95" s="13">
        <v>0</v>
      </c>
      <c r="M95" s="13">
        <v>460.99</v>
      </c>
      <c r="N95" s="13">
        <v>0</v>
      </c>
      <c r="O95" s="24">
        <v>0</v>
      </c>
      <c r="P95" s="24">
        <v>0</v>
      </c>
      <c r="Q95" s="24">
        <v>0</v>
      </c>
      <c r="R95" s="13">
        <v>0</v>
      </c>
      <c r="S95" s="24">
        <v>344</v>
      </c>
      <c r="T95" s="24">
        <v>0</v>
      </c>
      <c r="U95" s="6">
        <f t="shared" si="5"/>
        <v>804.99</v>
      </c>
    </row>
    <row r="96" spans="1:21">
      <c r="A96" s="7">
        <v>3</v>
      </c>
      <c r="B96" s="2">
        <v>38</v>
      </c>
      <c r="C96" s="13" t="s">
        <v>57</v>
      </c>
      <c r="D96" s="13">
        <v>51725</v>
      </c>
      <c r="E96" s="13">
        <v>1300</v>
      </c>
      <c r="F96" s="4">
        <f t="shared" si="3"/>
        <v>53025</v>
      </c>
      <c r="G96" s="13">
        <v>0</v>
      </c>
      <c r="H96" s="13">
        <v>100</v>
      </c>
      <c r="I96" s="13"/>
      <c r="J96" s="13">
        <v>55310</v>
      </c>
      <c r="K96" s="3">
        <f t="shared" si="4"/>
        <v>55410</v>
      </c>
      <c r="L96" s="13">
        <v>974</v>
      </c>
      <c r="M96" s="13">
        <v>39215</v>
      </c>
      <c r="N96" s="13">
        <v>2518</v>
      </c>
      <c r="O96" s="24">
        <v>3230</v>
      </c>
      <c r="P96" s="24">
        <v>3725</v>
      </c>
      <c r="Q96" s="24">
        <v>0</v>
      </c>
      <c r="R96" s="13">
        <v>1500</v>
      </c>
      <c r="S96" s="41">
        <v>1799</v>
      </c>
      <c r="T96" s="24">
        <v>399</v>
      </c>
      <c r="U96" s="6">
        <f t="shared" si="5"/>
        <v>53360</v>
      </c>
    </row>
    <row r="97" spans="1:21">
      <c r="A97" s="7">
        <v>3</v>
      </c>
      <c r="B97" s="2">
        <v>39</v>
      </c>
      <c r="C97" s="13" t="s">
        <v>57</v>
      </c>
      <c r="D97" s="13">
        <v>3007247</v>
      </c>
      <c r="E97" s="13">
        <v>3585150</v>
      </c>
      <c r="F97" s="4">
        <f t="shared" si="3"/>
        <v>6592397</v>
      </c>
      <c r="G97" s="13">
        <v>6202</v>
      </c>
      <c r="H97" s="13">
        <v>1666</v>
      </c>
      <c r="I97" s="13"/>
      <c r="J97" s="13">
        <v>3064708</v>
      </c>
      <c r="K97" s="3">
        <f t="shared" si="4"/>
        <v>3072576</v>
      </c>
      <c r="L97" s="13">
        <v>650298</v>
      </c>
      <c r="M97" s="13">
        <v>2462220</v>
      </c>
      <c r="N97" s="13">
        <v>478452</v>
      </c>
      <c r="O97" s="24">
        <v>36294</v>
      </c>
      <c r="P97" s="24">
        <v>67594</v>
      </c>
      <c r="Q97" s="24">
        <v>1280</v>
      </c>
      <c r="R97" s="13">
        <v>9499</v>
      </c>
      <c r="S97" s="24">
        <v>80863</v>
      </c>
      <c r="T97" s="24">
        <v>29350</v>
      </c>
      <c r="U97" s="6">
        <f t="shared" si="5"/>
        <v>3815850</v>
      </c>
    </row>
    <row r="98" spans="1:21">
      <c r="A98" s="7">
        <v>3</v>
      </c>
      <c r="B98" s="2">
        <v>40</v>
      </c>
      <c r="C98" s="13" t="s">
        <v>57</v>
      </c>
      <c r="D98" s="13">
        <v>30119</v>
      </c>
      <c r="E98" s="13">
        <v>180000</v>
      </c>
      <c r="F98" s="4">
        <f t="shared" si="3"/>
        <v>210119</v>
      </c>
      <c r="G98" s="13">
        <v>5</v>
      </c>
      <c r="H98" s="13">
        <v>33</v>
      </c>
      <c r="I98" s="13"/>
      <c r="J98" s="13">
        <v>27728</v>
      </c>
      <c r="K98" s="3">
        <f t="shared" si="4"/>
        <v>27766</v>
      </c>
      <c r="L98" s="13">
        <v>10546</v>
      </c>
      <c r="M98" s="13">
        <v>215690</v>
      </c>
      <c r="N98" s="13">
        <v>2418</v>
      </c>
      <c r="O98" s="24">
        <v>5644</v>
      </c>
      <c r="P98" s="24">
        <v>354</v>
      </c>
      <c r="Q98" s="24">
        <v>0</v>
      </c>
      <c r="R98" s="13">
        <v>0</v>
      </c>
      <c r="S98" s="24">
        <v>2043</v>
      </c>
      <c r="T98" s="24">
        <v>27</v>
      </c>
      <c r="U98" s="6">
        <f t="shared" si="5"/>
        <v>236722</v>
      </c>
    </row>
    <row r="99" spans="1:21">
      <c r="A99" s="7">
        <v>3</v>
      </c>
      <c r="B99" s="2">
        <v>41</v>
      </c>
      <c r="C99" s="13" t="s">
        <v>57</v>
      </c>
      <c r="D99" s="13">
        <v>0</v>
      </c>
      <c r="E99" s="13">
        <v>0</v>
      </c>
      <c r="F99" s="4">
        <f t="shared" si="3"/>
        <v>0</v>
      </c>
      <c r="G99" s="13">
        <v>0</v>
      </c>
      <c r="H99" s="13">
        <v>0</v>
      </c>
      <c r="I99" s="13"/>
      <c r="J99" s="13">
        <v>0</v>
      </c>
      <c r="K99" s="3">
        <f t="shared" si="4"/>
        <v>0</v>
      </c>
      <c r="L99" s="13">
        <v>0</v>
      </c>
      <c r="M99" s="13">
        <v>67063</v>
      </c>
      <c r="N99" s="13">
        <v>4361</v>
      </c>
      <c r="O99" s="24">
        <v>0</v>
      </c>
      <c r="P99" s="24">
        <v>0</v>
      </c>
      <c r="Q99" s="24">
        <v>0</v>
      </c>
      <c r="R99" s="13">
        <v>0</v>
      </c>
      <c r="S99" s="24">
        <v>0</v>
      </c>
      <c r="T99" s="24">
        <v>0</v>
      </c>
      <c r="U99" s="6">
        <f t="shared" si="5"/>
        <v>71424</v>
      </c>
    </row>
    <row r="100" spans="1:21">
      <c r="A100" s="7">
        <v>5</v>
      </c>
      <c r="B100" s="2">
        <v>42</v>
      </c>
      <c r="C100" s="13" t="s">
        <v>59</v>
      </c>
      <c r="D100" s="13">
        <v>4221667</v>
      </c>
      <c r="E100" s="13">
        <v>4846650</v>
      </c>
      <c r="F100" s="4">
        <f t="shared" si="3"/>
        <v>9068317</v>
      </c>
      <c r="G100" s="13">
        <v>9124</v>
      </c>
      <c r="H100" s="13">
        <v>1644</v>
      </c>
      <c r="I100" s="13"/>
      <c r="J100" s="13">
        <v>4486581</v>
      </c>
      <c r="K100" s="3">
        <f t="shared" si="4"/>
        <v>4497349</v>
      </c>
      <c r="L100" s="13">
        <v>627792</v>
      </c>
      <c r="M100" s="13">
        <v>3167289</v>
      </c>
      <c r="N100" s="13">
        <v>69003</v>
      </c>
      <c r="O100" s="24">
        <v>64907</v>
      </c>
      <c r="P100" s="24">
        <v>288853</v>
      </c>
      <c r="Q100" s="24">
        <v>759</v>
      </c>
      <c r="R100" s="13">
        <v>19591</v>
      </c>
      <c r="S100" s="24">
        <v>261148</v>
      </c>
      <c r="T100" s="24">
        <v>10889</v>
      </c>
      <c r="U100" s="6">
        <f t="shared" si="5"/>
        <v>4510231</v>
      </c>
    </row>
    <row r="101" spans="1:21">
      <c r="A101" s="7">
        <v>5</v>
      </c>
      <c r="B101" s="2">
        <v>43</v>
      </c>
      <c r="C101" s="13" t="s">
        <v>59</v>
      </c>
      <c r="D101" s="13">
        <v>1956515</v>
      </c>
      <c r="E101" s="13">
        <v>2497800</v>
      </c>
      <c r="F101" s="4">
        <f t="shared" si="3"/>
        <v>4454315</v>
      </c>
      <c r="G101" s="13">
        <v>3089</v>
      </c>
      <c r="H101" s="13">
        <v>4222</v>
      </c>
      <c r="I101" s="13"/>
      <c r="J101" s="13">
        <v>2187381</v>
      </c>
      <c r="K101" s="3">
        <f t="shared" si="4"/>
        <v>2194692</v>
      </c>
      <c r="L101" s="13">
        <v>695844</v>
      </c>
      <c r="M101" s="13">
        <v>1641288</v>
      </c>
      <c r="N101" s="13">
        <v>69512</v>
      </c>
      <c r="O101" s="24">
        <v>25429</v>
      </c>
      <c r="P101" s="24">
        <v>595551</v>
      </c>
      <c r="Q101" s="24">
        <v>1801</v>
      </c>
      <c r="R101" s="13">
        <v>2407</v>
      </c>
      <c r="S101" s="24">
        <v>154253</v>
      </c>
      <c r="T101" s="24">
        <v>48663</v>
      </c>
      <c r="U101" s="6">
        <f t="shared" si="5"/>
        <v>3234748</v>
      </c>
    </row>
    <row r="102" spans="1:21">
      <c r="A102" s="7">
        <v>5</v>
      </c>
      <c r="B102" s="2">
        <v>44</v>
      </c>
      <c r="C102" s="13" t="s">
        <v>59</v>
      </c>
      <c r="D102" s="13">
        <v>0</v>
      </c>
      <c r="E102" s="13">
        <v>0</v>
      </c>
      <c r="F102" s="4">
        <f t="shared" si="3"/>
        <v>0</v>
      </c>
      <c r="G102" s="13">
        <v>0</v>
      </c>
      <c r="H102" s="13">
        <v>0</v>
      </c>
      <c r="I102" s="13"/>
      <c r="J102" s="13">
        <v>0</v>
      </c>
      <c r="K102" s="3">
        <f t="shared" si="4"/>
        <v>0</v>
      </c>
      <c r="L102" s="13">
        <v>0</v>
      </c>
      <c r="M102" s="13">
        <v>110168</v>
      </c>
      <c r="N102" s="13">
        <v>0</v>
      </c>
      <c r="O102" s="24">
        <v>0</v>
      </c>
      <c r="P102" s="24">
        <v>0</v>
      </c>
      <c r="Q102" s="24">
        <v>0</v>
      </c>
      <c r="R102" s="13">
        <v>0</v>
      </c>
      <c r="S102" s="24">
        <v>0</v>
      </c>
      <c r="T102" s="24">
        <v>0</v>
      </c>
      <c r="U102" s="6">
        <f t="shared" si="5"/>
        <v>110168</v>
      </c>
    </row>
    <row r="103" spans="1:21">
      <c r="A103" s="7">
        <v>6</v>
      </c>
      <c r="B103" s="2">
        <v>45</v>
      </c>
      <c r="C103" s="13" t="s">
        <v>60</v>
      </c>
      <c r="D103" s="13">
        <v>0</v>
      </c>
      <c r="E103" s="13">
        <v>1800</v>
      </c>
      <c r="F103" s="4">
        <f t="shared" si="3"/>
        <v>1800</v>
      </c>
      <c r="G103" s="13">
        <v>0</v>
      </c>
      <c r="H103" s="13">
        <v>0</v>
      </c>
      <c r="I103" s="13"/>
      <c r="J103" s="13">
        <v>0</v>
      </c>
      <c r="K103" s="3">
        <f t="shared" si="4"/>
        <v>0</v>
      </c>
      <c r="L103" s="13">
        <v>0</v>
      </c>
      <c r="M103" s="13">
        <v>9060</v>
      </c>
      <c r="N103" s="13">
        <v>270430</v>
      </c>
      <c r="O103" s="24">
        <v>0</v>
      </c>
      <c r="P103" s="24">
        <v>0</v>
      </c>
      <c r="Q103" s="24">
        <v>0</v>
      </c>
      <c r="R103" s="13">
        <v>0</v>
      </c>
      <c r="S103" s="24">
        <v>0</v>
      </c>
      <c r="T103" s="24">
        <v>0</v>
      </c>
      <c r="U103" s="6">
        <f t="shared" si="5"/>
        <v>279490</v>
      </c>
    </row>
    <row r="104" spans="1:21">
      <c r="B104" s="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24"/>
      <c r="P104" s="24"/>
      <c r="Q104" s="24"/>
      <c r="R104" s="13"/>
      <c r="S104" s="24"/>
      <c r="T104" s="24"/>
      <c r="U104" s="14"/>
    </row>
    <row r="105" spans="1:21"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5"/>
      <c r="Q105" s="21"/>
      <c r="R105" s="21"/>
      <c r="S105" s="21"/>
      <c r="T105" s="25"/>
      <c r="U105" s="26"/>
    </row>
    <row r="106" spans="1:21">
      <c r="B106" s="27"/>
      <c r="C106" s="27"/>
      <c r="D106" s="28" t="s">
        <v>32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 spans="1:21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 spans="1:21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1:21" ht="18.75" customHeight="1"/>
    <row r="110" spans="1:21">
      <c r="B110" s="11" t="s">
        <v>16</v>
      </c>
    </row>
    <row r="111" spans="1:21" ht="14.25" thickBot="1"/>
    <row r="112" spans="1:21">
      <c r="B112" s="368" t="s">
        <v>2</v>
      </c>
      <c r="C112" s="364" t="s">
        <v>17</v>
      </c>
      <c r="D112" s="364" t="s">
        <v>18</v>
      </c>
      <c r="E112" s="364" t="s">
        <v>19</v>
      </c>
      <c r="F112" s="364" t="s">
        <v>20</v>
      </c>
      <c r="G112" s="364" t="s">
        <v>23</v>
      </c>
      <c r="H112" s="364" t="s">
        <v>24</v>
      </c>
      <c r="I112" s="364" t="s">
        <v>25</v>
      </c>
      <c r="J112" s="364" t="s">
        <v>26</v>
      </c>
      <c r="K112" s="364" t="s">
        <v>27</v>
      </c>
      <c r="L112" s="364" t="s">
        <v>15</v>
      </c>
      <c r="M112" s="364" t="s">
        <v>30</v>
      </c>
      <c r="N112" s="364"/>
      <c r="O112" s="370"/>
    </row>
    <row r="113" spans="1:15">
      <c r="B113" s="369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13" t="s">
        <v>28</v>
      </c>
      <c r="N113" s="13" t="s">
        <v>29</v>
      </c>
      <c r="O113" s="14" t="s">
        <v>15</v>
      </c>
    </row>
    <row r="114" spans="1:15">
      <c r="A114" s="7">
        <v>1</v>
      </c>
      <c r="B114" s="2">
        <v>1</v>
      </c>
      <c r="C114" s="3" t="s">
        <v>55</v>
      </c>
      <c r="D114" s="3">
        <v>2780799</v>
      </c>
      <c r="E114" s="3">
        <v>2662111</v>
      </c>
      <c r="F114" s="3">
        <f>+E114-D114</f>
        <v>-118688</v>
      </c>
      <c r="G114" s="3"/>
      <c r="H114" s="3"/>
      <c r="I114" s="3"/>
      <c r="J114" s="3"/>
      <c r="K114" s="3"/>
      <c r="L114" s="3"/>
      <c r="M114" s="13"/>
      <c r="N114" s="13"/>
      <c r="O114" s="14"/>
    </row>
    <row r="115" spans="1:15">
      <c r="A115" s="7">
        <v>1</v>
      </c>
      <c r="B115" s="2">
        <v>2</v>
      </c>
      <c r="C115" s="3" t="s">
        <v>55</v>
      </c>
      <c r="D115" s="3">
        <v>164345</v>
      </c>
      <c r="E115" s="3">
        <v>175167</v>
      </c>
      <c r="F115" s="3">
        <f t="shared" ref="F115:F158" si="6">+E115-D115</f>
        <v>10822</v>
      </c>
      <c r="G115" s="3"/>
      <c r="H115" s="3"/>
      <c r="I115" s="3"/>
      <c r="J115" s="3"/>
      <c r="K115" s="3"/>
      <c r="L115" s="3"/>
      <c r="M115" s="13"/>
      <c r="N115" s="13"/>
      <c r="O115" s="14"/>
    </row>
    <row r="116" spans="1:15">
      <c r="A116" s="7">
        <v>2</v>
      </c>
      <c r="B116" s="2">
        <v>3</v>
      </c>
      <c r="C116" s="3" t="s">
        <v>56</v>
      </c>
      <c r="D116" s="3">
        <v>465500</v>
      </c>
      <c r="E116" s="3">
        <v>297648</v>
      </c>
      <c r="F116" s="3">
        <f t="shared" si="6"/>
        <v>-167852</v>
      </c>
      <c r="G116" s="3"/>
      <c r="H116" s="3"/>
      <c r="I116" s="3"/>
      <c r="J116" s="3"/>
      <c r="K116" s="3"/>
      <c r="L116" s="3"/>
      <c r="M116" s="13"/>
      <c r="N116" s="13"/>
      <c r="O116" s="14"/>
    </row>
    <row r="117" spans="1:15">
      <c r="A117" s="7">
        <v>2</v>
      </c>
      <c r="B117" s="2">
        <v>4</v>
      </c>
      <c r="C117" s="3" t="s">
        <v>56</v>
      </c>
      <c r="D117" s="3">
        <v>333664</v>
      </c>
      <c r="E117" s="3">
        <v>396457</v>
      </c>
      <c r="F117" s="3">
        <f t="shared" si="6"/>
        <v>62793</v>
      </c>
      <c r="G117" s="3"/>
      <c r="H117" s="3"/>
      <c r="I117" s="3"/>
      <c r="J117" s="3"/>
      <c r="K117" s="3"/>
      <c r="L117" s="3"/>
      <c r="M117" s="13"/>
      <c r="N117" s="13"/>
      <c r="O117" s="14"/>
    </row>
    <row r="118" spans="1:15">
      <c r="A118" s="7">
        <v>2</v>
      </c>
      <c r="B118" s="2">
        <v>5</v>
      </c>
      <c r="C118" s="3" t="s">
        <v>56</v>
      </c>
      <c r="D118" s="3">
        <v>114382</v>
      </c>
      <c r="E118" s="3">
        <v>8633</v>
      </c>
      <c r="F118" s="3">
        <f t="shared" si="6"/>
        <v>-105749</v>
      </c>
      <c r="G118" s="3"/>
      <c r="H118" s="3"/>
      <c r="I118" s="3"/>
      <c r="J118" s="3"/>
      <c r="K118" s="3"/>
      <c r="L118" s="3"/>
      <c r="M118" s="13"/>
      <c r="N118" s="13"/>
      <c r="O118" s="14"/>
    </row>
    <row r="119" spans="1:15">
      <c r="A119" s="7">
        <v>3</v>
      </c>
      <c r="B119" s="2">
        <v>6</v>
      </c>
      <c r="C119" s="3" t="s">
        <v>57</v>
      </c>
      <c r="D119" s="3">
        <v>243419</v>
      </c>
      <c r="E119" s="3">
        <v>272</v>
      </c>
      <c r="F119" s="3">
        <f t="shared" si="6"/>
        <v>-243147</v>
      </c>
      <c r="G119" s="3"/>
      <c r="H119" s="3"/>
      <c r="I119" s="3"/>
      <c r="J119" s="3"/>
      <c r="K119" s="3"/>
      <c r="L119" s="3"/>
      <c r="M119" s="13"/>
      <c r="N119" s="13"/>
      <c r="O119" s="14"/>
    </row>
    <row r="120" spans="1:15">
      <c r="A120" s="7">
        <v>3</v>
      </c>
      <c r="B120" s="2">
        <v>7</v>
      </c>
      <c r="C120" s="3" t="s">
        <v>57</v>
      </c>
      <c r="D120" s="3">
        <v>3369103</v>
      </c>
      <c r="E120" s="3">
        <v>46702</v>
      </c>
      <c r="F120" s="3">
        <f t="shared" si="6"/>
        <v>-3322401</v>
      </c>
      <c r="G120" s="3"/>
      <c r="H120" s="3"/>
      <c r="I120" s="3"/>
      <c r="J120" s="3"/>
      <c r="K120" s="3"/>
      <c r="L120" s="3"/>
      <c r="M120" s="13"/>
      <c r="N120" s="13"/>
      <c r="O120" s="14"/>
    </row>
    <row r="121" spans="1:15">
      <c r="A121" s="7">
        <v>3</v>
      </c>
      <c r="B121" s="2">
        <v>8</v>
      </c>
      <c r="C121" s="3" t="s">
        <v>57</v>
      </c>
      <c r="D121" s="3">
        <v>85374</v>
      </c>
      <c r="E121" s="3">
        <v>0</v>
      </c>
      <c r="F121" s="3">
        <f t="shared" si="6"/>
        <v>-85374</v>
      </c>
      <c r="G121" s="3"/>
      <c r="H121" s="3"/>
      <c r="I121" s="3"/>
      <c r="J121" s="3"/>
      <c r="K121" s="3"/>
      <c r="L121" s="3"/>
      <c r="M121" s="13"/>
      <c r="N121" s="13"/>
      <c r="O121" s="14"/>
    </row>
    <row r="122" spans="1:15">
      <c r="A122" s="7">
        <v>4</v>
      </c>
      <c r="B122" s="2">
        <v>9</v>
      </c>
      <c r="C122" s="3" t="s">
        <v>58</v>
      </c>
      <c r="D122" s="3">
        <v>2384128</v>
      </c>
      <c r="E122" s="3">
        <v>1496092</v>
      </c>
      <c r="F122" s="3">
        <f t="shared" si="6"/>
        <v>-888036</v>
      </c>
      <c r="G122" s="3"/>
      <c r="H122" s="3"/>
      <c r="I122" s="3"/>
      <c r="J122" s="3"/>
      <c r="K122" s="3"/>
      <c r="L122" s="3"/>
      <c r="M122" s="13"/>
      <c r="N122" s="13"/>
      <c r="O122" s="14"/>
    </row>
    <row r="123" spans="1:15">
      <c r="A123" s="7">
        <v>4</v>
      </c>
      <c r="B123" s="2">
        <v>10</v>
      </c>
      <c r="C123" s="3" t="s">
        <v>58</v>
      </c>
      <c r="D123" s="3">
        <v>1891435</v>
      </c>
      <c r="E123" s="3">
        <v>1710064</v>
      </c>
      <c r="F123" s="3">
        <f t="shared" si="6"/>
        <v>-181371</v>
      </c>
      <c r="G123" s="3"/>
      <c r="H123" s="3"/>
      <c r="I123" s="3"/>
      <c r="J123" s="3"/>
      <c r="K123" s="3"/>
      <c r="L123" s="3"/>
      <c r="M123" s="13"/>
      <c r="N123" s="13"/>
      <c r="O123" s="14"/>
    </row>
    <row r="124" spans="1:15">
      <c r="A124" s="7">
        <v>4</v>
      </c>
      <c r="B124" s="2">
        <v>11</v>
      </c>
      <c r="C124" s="3" t="s">
        <v>58</v>
      </c>
      <c r="D124" s="3">
        <v>241774</v>
      </c>
      <c r="E124" s="3">
        <v>120045</v>
      </c>
      <c r="F124" s="3">
        <f t="shared" si="6"/>
        <v>-121729</v>
      </c>
      <c r="G124" s="3"/>
      <c r="H124" s="3"/>
      <c r="I124" s="3"/>
      <c r="J124" s="3"/>
      <c r="K124" s="3"/>
      <c r="L124" s="3"/>
      <c r="M124" s="13"/>
      <c r="N124" s="13"/>
      <c r="O124" s="14"/>
    </row>
    <row r="125" spans="1:15">
      <c r="A125" s="7">
        <v>5</v>
      </c>
      <c r="B125" s="2">
        <v>12</v>
      </c>
      <c r="C125" s="3" t="s">
        <v>59</v>
      </c>
      <c r="D125" s="3">
        <v>3556467</v>
      </c>
      <c r="E125" s="3">
        <v>89784</v>
      </c>
      <c r="F125" s="3">
        <f t="shared" si="6"/>
        <v>-3466683</v>
      </c>
      <c r="G125" s="3"/>
      <c r="H125" s="3"/>
      <c r="I125" s="3"/>
      <c r="J125" s="3"/>
      <c r="K125" s="3"/>
      <c r="L125" s="3"/>
      <c r="M125" s="13"/>
      <c r="N125" s="13"/>
      <c r="O125" s="14"/>
    </row>
    <row r="126" spans="1:15">
      <c r="A126" s="7">
        <v>5</v>
      </c>
      <c r="B126" s="2">
        <v>13</v>
      </c>
      <c r="C126" s="3" t="s">
        <v>59</v>
      </c>
      <c r="D126" s="3">
        <v>436308</v>
      </c>
      <c r="E126" s="3">
        <v>4164</v>
      </c>
      <c r="F126" s="3">
        <f t="shared" si="6"/>
        <v>-432144</v>
      </c>
      <c r="G126" s="3"/>
      <c r="H126" s="3"/>
      <c r="I126" s="3"/>
      <c r="J126" s="3"/>
      <c r="K126" s="3"/>
      <c r="L126" s="3"/>
      <c r="M126" s="13"/>
      <c r="N126" s="13"/>
      <c r="O126" s="14"/>
    </row>
    <row r="127" spans="1:15">
      <c r="A127" s="7">
        <v>6</v>
      </c>
      <c r="B127" s="2">
        <v>14</v>
      </c>
      <c r="C127" s="3" t="s">
        <v>60</v>
      </c>
      <c r="D127" s="3">
        <v>2187979</v>
      </c>
      <c r="E127" s="3">
        <v>1684612</v>
      </c>
      <c r="F127" s="3">
        <f t="shared" si="6"/>
        <v>-503367</v>
      </c>
      <c r="G127" s="3"/>
      <c r="H127" s="3"/>
      <c r="I127" s="3"/>
      <c r="J127" s="3"/>
      <c r="K127" s="3"/>
      <c r="L127" s="3"/>
      <c r="M127" s="13"/>
      <c r="N127" s="13"/>
      <c r="O127" s="14"/>
    </row>
    <row r="128" spans="1:15">
      <c r="A128" s="7">
        <v>6</v>
      </c>
      <c r="B128" s="2">
        <v>15</v>
      </c>
      <c r="C128" s="3" t="s">
        <v>60</v>
      </c>
      <c r="D128" s="3">
        <v>5677535</v>
      </c>
      <c r="E128" s="3">
        <v>3125596</v>
      </c>
      <c r="F128" s="3">
        <f t="shared" si="6"/>
        <v>-2551939</v>
      </c>
      <c r="G128" s="3"/>
      <c r="H128" s="3"/>
      <c r="I128" s="3"/>
      <c r="J128" s="3"/>
      <c r="K128" s="3"/>
      <c r="L128" s="3"/>
      <c r="M128" s="13"/>
      <c r="N128" s="13"/>
      <c r="O128" s="14"/>
    </row>
    <row r="129" spans="1:15">
      <c r="A129" s="7">
        <v>6</v>
      </c>
      <c r="B129" s="2">
        <v>16</v>
      </c>
      <c r="C129" s="3" t="s">
        <v>60</v>
      </c>
      <c r="D129" s="3">
        <v>83177</v>
      </c>
      <c r="E129" s="3">
        <v>351632</v>
      </c>
      <c r="F129" s="3">
        <f t="shared" si="6"/>
        <v>268455</v>
      </c>
      <c r="G129" s="3"/>
      <c r="H129" s="3"/>
      <c r="I129" s="3"/>
      <c r="J129" s="3"/>
      <c r="K129" s="3"/>
      <c r="L129" s="3"/>
      <c r="M129" s="13"/>
      <c r="N129" s="13"/>
      <c r="O129" s="14"/>
    </row>
    <row r="130" spans="1:15">
      <c r="A130" s="7">
        <v>7</v>
      </c>
      <c r="B130" s="2">
        <v>17</v>
      </c>
      <c r="C130" s="3" t="s">
        <v>61</v>
      </c>
      <c r="D130" s="3">
        <v>2596238</v>
      </c>
      <c r="E130" s="3">
        <v>1181761</v>
      </c>
      <c r="F130" s="3">
        <f t="shared" si="6"/>
        <v>-1414477</v>
      </c>
      <c r="G130" s="3"/>
      <c r="H130" s="3"/>
      <c r="I130" s="3"/>
      <c r="J130" s="3"/>
      <c r="K130" s="3"/>
      <c r="L130" s="3"/>
      <c r="M130" s="13"/>
      <c r="N130" s="13"/>
      <c r="O130" s="14"/>
    </row>
    <row r="131" spans="1:15">
      <c r="A131" s="7">
        <v>7</v>
      </c>
      <c r="B131" s="2">
        <v>18</v>
      </c>
      <c r="C131" s="3" t="s">
        <v>61</v>
      </c>
      <c r="D131" s="3">
        <v>7278496</v>
      </c>
      <c r="E131" s="3">
        <v>4983486</v>
      </c>
      <c r="F131" s="3">
        <f t="shared" si="6"/>
        <v>-2295010</v>
      </c>
      <c r="G131" s="3"/>
      <c r="H131" s="3"/>
      <c r="I131" s="3"/>
      <c r="J131" s="3"/>
      <c r="K131" s="3"/>
      <c r="L131" s="3"/>
      <c r="M131" s="13"/>
      <c r="N131" s="13"/>
      <c r="O131" s="14"/>
    </row>
    <row r="132" spans="1:15">
      <c r="A132" s="7">
        <v>7</v>
      </c>
      <c r="B132" s="2">
        <v>19</v>
      </c>
      <c r="C132" s="3" t="s">
        <v>61</v>
      </c>
      <c r="D132" s="3">
        <v>6293359</v>
      </c>
      <c r="E132" s="3">
        <v>5466881</v>
      </c>
      <c r="F132" s="3">
        <f t="shared" si="6"/>
        <v>-826478</v>
      </c>
      <c r="G132" s="3"/>
      <c r="H132" s="3"/>
      <c r="I132" s="3"/>
      <c r="J132" s="3"/>
      <c r="K132" s="3"/>
      <c r="L132" s="3"/>
      <c r="M132" s="13"/>
      <c r="N132" s="13"/>
      <c r="O132" s="14"/>
    </row>
    <row r="133" spans="1:15">
      <c r="A133" s="7">
        <v>8</v>
      </c>
      <c r="B133" s="2">
        <v>20</v>
      </c>
      <c r="C133" s="3" t="s">
        <v>62</v>
      </c>
      <c r="D133" s="3">
        <v>2620914</v>
      </c>
      <c r="E133" s="3">
        <v>2239698</v>
      </c>
      <c r="F133" s="3">
        <f t="shared" si="6"/>
        <v>-381216</v>
      </c>
      <c r="G133" s="3"/>
      <c r="H133" s="3"/>
      <c r="I133" s="3"/>
      <c r="J133" s="3"/>
      <c r="K133" s="3"/>
      <c r="L133" s="3"/>
      <c r="M133" s="13"/>
      <c r="N133" s="13"/>
      <c r="O133" s="14"/>
    </row>
    <row r="134" spans="1:15">
      <c r="A134" s="7">
        <v>8</v>
      </c>
      <c r="B134" s="2">
        <v>21</v>
      </c>
      <c r="C134" s="3" t="s">
        <v>62</v>
      </c>
      <c r="D134" s="3">
        <v>-30957</v>
      </c>
      <c r="E134" s="3">
        <v>169058</v>
      </c>
      <c r="F134" s="3">
        <f t="shared" si="6"/>
        <v>200015</v>
      </c>
      <c r="G134" s="3"/>
      <c r="H134" s="3"/>
      <c r="I134" s="3"/>
      <c r="J134" s="3"/>
      <c r="K134" s="3"/>
      <c r="L134" s="3"/>
      <c r="M134" s="13"/>
      <c r="N134" s="13"/>
      <c r="O134" s="14"/>
    </row>
    <row r="135" spans="1:15">
      <c r="A135" s="7">
        <v>9</v>
      </c>
      <c r="B135" s="2">
        <v>22</v>
      </c>
      <c r="C135" s="3" t="s">
        <v>63</v>
      </c>
      <c r="D135" s="3">
        <v>2658938</v>
      </c>
      <c r="E135" s="3">
        <v>2039081</v>
      </c>
      <c r="F135" s="3">
        <f t="shared" si="6"/>
        <v>-619857</v>
      </c>
      <c r="G135" s="3"/>
      <c r="H135" s="3"/>
      <c r="I135" s="3"/>
      <c r="J135" s="3"/>
      <c r="K135" s="3"/>
      <c r="L135" s="3"/>
      <c r="M135" s="13"/>
      <c r="N135" s="13"/>
      <c r="O135" s="14"/>
    </row>
    <row r="136" spans="1:15">
      <c r="A136" s="7">
        <v>9</v>
      </c>
      <c r="B136" s="2">
        <v>23</v>
      </c>
      <c r="C136" s="3" t="s">
        <v>63</v>
      </c>
      <c r="D136" s="3">
        <v>-754358</v>
      </c>
      <c r="E136" s="3">
        <v>491395</v>
      </c>
      <c r="F136" s="3">
        <f t="shared" si="6"/>
        <v>1245753</v>
      </c>
      <c r="G136" s="3"/>
      <c r="H136" s="3"/>
      <c r="I136" s="3"/>
      <c r="J136" s="3"/>
      <c r="K136" s="3"/>
      <c r="L136" s="3"/>
      <c r="M136" s="13"/>
      <c r="N136" s="13"/>
      <c r="O136" s="14"/>
    </row>
    <row r="137" spans="1:15">
      <c r="A137" s="7">
        <v>9</v>
      </c>
      <c r="B137" s="2">
        <v>24</v>
      </c>
      <c r="C137" s="3" t="s">
        <v>63</v>
      </c>
      <c r="D137" s="3">
        <v>185433</v>
      </c>
      <c r="E137" s="3">
        <v>218439</v>
      </c>
      <c r="F137" s="3">
        <f t="shared" si="6"/>
        <v>33006</v>
      </c>
      <c r="G137" s="3"/>
      <c r="H137" s="3"/>
      <c r="I137" s="3"/>
      <c r="J137" s="3"/>
      <c r="K137" s="3"/>
      <c r="L137" s="3"/>
      <c r="M137" s="13"/>
      <c r="N137" s="13"/>
      <c r="O137" s="14"/>
    </row>
    <row r="138" spans="1:15">
      <c r="A138" s="7">
        <v>10</v>
      </c>
      <c r="B138" s="2">
        <v>25</v>
      </c>
      <c r="C138" s="3" t="s">
        <v>64</v>
      </c>
      <c r="D138" s="3">
        <v>2000</v>
      </c>
      <c r="E138" s="3">
        <v>0</v>
      </c>
      <c r="F138" s="3">
        <f t="shared" si="6"/>
        <v>-2000</v>
      </c>
      <c r="G138" s="3"/>
      <c r="H138" s="3"/>
      <c r="I138" s="3"/>
      <c r="J138" s="3"/>
      <c r="K138" s="3"/>
      <c r="L138" s="3"/>
      <c r="M138" s="13"/>
      <c r="N138" s="13"/>
      <c r="O138" s="14"/>
    </row>
    <row r="139" spans="1:15">
      <c r="A139" s="7">
        <v>10</v>
      </c>
      <c r="B139" s="2">
        <v>26</v>
      </c>
      <c r="C139" s="3" t="s">
        <v>64</v>
      </c>
      <c r="D139" s="3">
        <v>112358</v>
      </c>
      <c r="E139" s="3">
        <v>110449</v>
      </c>
      <c r="F139" s="3">
        <f t="shared" si="6"/>
        <v>-1909</v>
      </c>
      <c r="G139" s="3"/>
      <c r="H139" s="3"/>
      <c r="I139" s="3"/>
      <c r="J139" s="3"/>
      <c r="K139" s="3"/>
      <c r="L139" s="3"/>
      <c r="M139" s="13"/>
      <c r="N139" s="13"/>
      <c r="O139" s="14"/>
    </row>
    <row r="140" spans="1:15">
      <c r="A140" s="7">
        <v>11</v>
      </c>
      <c r="B140" s="2">
        <v>27</v>
      </c>
      <c r="C140" s="3" t="s">
        <v>65</v>
      </c>
      <c r="D140" s="3">
        <v>935322</v>
      </c>
      <c r="E140" s="3">
        <v>1001030</v>
      </c>
      <c r="F140" s="3">
        <f t="shared" si="6"/>
        <v>65708</v>
      </c>
      <c r="G140" s="3"/>
      <c r="H140" s="3"/>
      <c r="I140" s="3"/>
      <c r="J140" s="3"/>
      <c r="K140" s="3"/>
      <c r="L140" s="3"/>
      <c r="M140" s="13"/>
      <c r="N140" s="13"/>
      <c r="O140" s="14"/>
    </row>
    <row r="141" spans="1:15">
      <c r="A141" s="7">
        <v>11</v>
      </c>
      <c r="B141" s="2">
        <v>28</v>
      </c>
      <c r="C141" s="3" t="s">
        <v>65</v>
      </c>
      <c r="D141" s="3">
        <v>56625</v>
      </c>
      <c r="E141" s="3">
        <v>117898</v>
      </c>
      <c r="F141" s="3">
        <f t="shared" si="6"/>
        <v>61273</v>
      </c>
      <c r="G141" s="3"/>
      <c r="H141" s="3"/>
      <c r="I141" s="3"/>
      <c r="J141" s="3"/>
      <c r="K141" s="3"/>
      <c r="L141" s="3"/>
      <c r="M141" s="13"/>
      <c r="N141" s="13"/>
      <c r="O141" s="14"/>
    </row>
    <row r="142" spans="1:15">
      <c r="A142" s="7">
        <v>12</v>
      </c>
      <c r="B142" s="2">
        <v>29</v>
      </c>
      <c r="C142" s="3" t="s">
        <v>66</v>
      </c>
      <c r="D142" s="3">
        <v>7158.4146810000002</v>
      </c>
      <c r="E142" s="3">
        <v>4392.1746265833326</v>
      </c>
      <c r="F142" s="3">
        <f t="shared" si="6"/>
        <v>-2766.2400544166676</v>
      </c>
      <c r="G142" s="3"/>
      <c r="H142" s="3"/>
      <c r="I142" s="3"/>
      <c r="J142" s="3"/>
      <c r="K142" s="3"/>
      <c r="L142" s="3"/>
      <c r="M142" s="13"/>
      <c r="N142" s="13"/>
      <c r="O142" s="14"/>
    </row>
    <row r="143" spans="1:15">
      <c r="A143" s="7">
        <v>13</v>
      </c>
      <c r="B143" s="2">
        <v>30</v>
      </c>
      <c r="C143" s="3" t="s">
        <v>67</v>
      </c>
      <c r="D143" s="3">
        <v>34996.649980000002</v>
      </c>
      <c r="E143" s="3">
        <v>13046.439757799999</v>
      </c>
      <c r="F143" s="3">
        <f t="shared" si="6"/>
        <v>-21950.210222200003</v>
      </c>
      <c r="G143" s="3"/>
      <c r="H143" s="3"/>
      <c r="I143" s="3"/>
      <c r="J143" s="3"/>
      <c r="K143" s="3"/>
      <c r="L143" s="3"/>
      <c r="M143" s="13"/>
      <c r="N143" s="13"/>
      <c r="O143" s="14"/>
    </row>
    <row r="144" spans="1:15">
      <c r="A144" s="7">
        <v>14</v>
      </c>
      <c r="B144" s="2">
        <v>31</v>
      </c>
      <c r="C144" s="3" t="s">
        <v>68</v>
      </c>
      <c r="D144" s="3">
        <v>-54746.979870000025</v>
      </c>
      <c r="E144" s="3">
        <v>10895.920549999999</v>
      </c>
      <c r="F144" s="3">
        <f t="shared" si="6"/>
        <v>65642.90042000002</v>
      </c>
      <c r="G144" s="3"/>
      <c r="H144" s="3"/>
      <c r="I144" s="3"/>
      <c r="J144" s="3"/>
      <c r="K144" s="3"/>
      <c r="L144" s="3"/>
      <c r="M144" s="13"/>
      <c r="N144" s="13"/>
      <c r="O144" s="14"/>
    </row>
    <row r="145" spans="1:15">
      <c r="B145" s="2">
        <v>32</v>
      </c>
      <c r="C145" s="3" t="s">
        <v>69</v>
      </c>
      <c r="D145" s="3">
        <v>-10016.73005</v>
      </c>
      <c r="E145" s="3">
        <v>175.99308000000008</v>
      </c>
      <c r="F145" s="3">
        <f t="shared" si="6"/>
        <v>10192.72313</v>
      </c>
      <c r="G145" s="3"/>
      <c r="H145" s="3"/>
      <c r="I145" s="3"/>
      <c r="J145" s="3"/>
      <c r="K145" s="3"/>
      <c r="L145" s="3"/>
      <c r="M145" s="13"/>
      <c r="N145" s="13"/>
      <c r="O145" s="14"/>
    </row>
    <row r="146" spans="1:15">
      <c r="B146" s="2">
        <v>33</v>
      </c>
      <c r="C146" s="3" t="s">
        <v>70</v>
      </c>
      <c r="D146" s="3">
        <v>-57623.18172</v>
      </c>
      <c r="E146" s="3">
        <v>1012.6499100000002</v>
      </c>
      <c r="F146" s="3">
        <f t="shared" si="6"/>
        <v>58635.831630000001</v>
      </c>
      <c r="G146" s="3"/>
      <c r="H146" s="3"/>
      <c r="I146" s="3"/>
      <c r="J146" s="3"/>
      <c r="K146" s="3"/>
      <c r="L146" s="3"/>
      <c r="M146" s="13"/>
      <c r="N146" s="13"/>
      <c r="O146" s="14"/>
    </row>
    <row r="147" spans="1:15">
      <c r="B147" s="2">
        <v>34</v>
      </c>
      <c r="C147" s="3" t="s">
        <v>57</v>
      </c>
      <c r="D147" s="3">
        <v>274</v>
      </c>
      <c r="E147" s="3">
        <v>0</v>
      </c>
      <c r="F147" s="3">
        <f t="shared" si="6"/>
        <v>-274</v>
      </c>
      <c r="G147" s="3"/>
      <c r="H147" s="3"/>
      <c r="I147" s="3"/>
      <c r="J147" s="3"/>
      <c r="K147" s="3"/>
      <c r="L147" s="3"/>
      <c r="M147" s="13"/>
      <c r="N147" s="13"/>
      <c r="O147" s="14"/>
    </row>
    <row r="148" spans="1:15">
      <c r="B148" s="2">
        <v>35</v>
      </c>
      <c r="C148" s="3" t="s">
        <v>59</v>
      </c>
      <c r="D148" s="3">
        <v>109548</v>
      </c>
      <c r="E148" s="3">
        <v>0</v>
      </c>
      <c r="F148" s="3">
        <f t="shared" si="6"/>
        <v>-109548</v>
      </c>
      <c r="G148" s="3"/>
      <c r="H148" s="3"/>
      <c r="I148" s="3"/>
      <c r="J148" s="3"/>
      <c r="K148" s="3"/>
      <c r="L148" s="3"/>
      <c r="M148" s="13"/>
      <c r="N148" s="13"/>
      <c r="O148" s="14"/>
    </row>
    <row r="149" spans="1:15">
      <c r="A149" s="7">
        <v>15</v>
      </c>
      <c r="B149" s="2">
        <v>36</v>
      </c>
      <c r="C149" s="3" t="s">
        <v>64</v>
      </c>
      <c r="D149" s="3">
        <v>7353</v>
      </c>
      <c r="E149" s="3">
        <v>28702</v>
      </c>
      <c r="F149" s="3">
        <f t="shared" si="6"/>
        <v>21349</v>
      </c>
      <c r="G149" s="3"/>
      <c r="H149" s="3"/>
      <c r="I149" s="3"/>
      <c r="J149" s="3"/>
      <c r="K149" s="3"/>
      <c r="L149" s="3"/>
      <c r="M149" s="13"/>
      <c r="N149" s="13"/>
      <c r="O149" s="14"/>
    </row>
    <row r="150" spans="1:15">
      <c r="A150" s="7">
        <v>16</v>
      </c>
      <c r="B150" s="2">
        <v>37</v>
      </c>
      <c r="C150" s="3" t="s">
        <v>71</v>
      </c>
      <c r="D150" s="3">
        <v>849.46</v>
      </c>
      <c r="E150" s="3">
        <v>460.99</v>
      </c>
      <c r="F150" s="3">
        <f t="shared" si="6"/>
        <v>-388.47</v>
      </c>
      <c r="G150" s="3"/>
      <c r="H150" s="3"/>
      <c r="I150" s="3"/>
      <c r="J150" s="3"/>
      <c r="K150" s="3"/>
      <c r="L150" s="3"/>
      <c r="M150" s="13"/>
      <c r="N150" s="13"/>
      <c r="O150" s="14"/>
    </row>
    <row r="151" spans="1:15">
      <c r="A151" s="7">
        <v>3</v>
      </c>
      <c r="B151" s="2">
        <v>38</v>
      </c>
      <c r="C151" s="3" t="s">
        <v>57</v>
      </c>
      <c r="D151" s="3">
        <v>-119234</v>
      </c>
      <c r="E151" s="3">
        <v>53360</v>
      </c>
      <c r="F151" s="3">
        <f t="shared" si="6"/>
        <v>172594</v>
      </c>
      <c r="G151" s="3"/>
      <c r="H151" s="3"/>
      <c r="I151" s="3"/>
      <c r="J151" s="3"/>
      <c r="K151" s="3"/>
      <c r="L151" s="3"/>
      <c r="M151" s="13"/>
      <c r="N151" s="13"/>
      <c r="O151" s="14"/>
    </row>
    <row r="152" spans="1:15">
      <c r="A152" s="7">
        <v>3</v>
      </c>
      <c r="B152" s="2">
        <v>39</v>
      </c>
      <c r="C152" s="3" t="s">
        <v>57</v>
      </c>
      <c r="D152" s="3">
        <v>477017</v>
      </c>
      <c r="E152" s="3">
        <v>3815850</v>
      </c>
      <c r="F152" s="3">
        <f t="shared" si="6"/>
        <v>3338833</v>
      </c>
      <c r="G152" s="3"/>
      <c r="H152" s="3"/>
      <c r="I152" s="3"/>
      <c r="J152" s="3"/>
      <c r="K152" s="3"/>
      <c r="L152" s="3"/>
      <c r="M152" s="13"/>
      <c r="N152" s="13"/>
      <c r="O152" s="14"/>
    </row>
    <row r="153" spans="1:15">
      <c r="A153" s="7">
        <v>3</v>
      </c>
      <c r="B153" s="2">
        <v>40</v>
      </c>
      <c r="C153" s="3" t="s">
        <v>57</v>
      </c>
      <c r="D153" s="3">
        <v>901926</v>
      </c>
      <c r="E153" s="3">
        <v>236722</v>
      </c>
      <c r="F153" s="3">
        <f t="shared" si="6"/>
        <v>-665204</v>
      </c>
      <c r="G153" s="3"/>
      <c r="H153" s="3"/>
      <c r="I153" s="3"/>
      <c r="J153" s="3"/>
      <c r="K153" s="3"/>
      <c r="L153" s="3"/>
      <c r="M153" s="13"/>
      <c r="N153" s="13"/>
      <c r="O153" s="14"/>
    </row>
    <row r="154" spans="1:15">
      <c r="A154" s="7">
        <v>3</v>
      </c>
      <c r="B154" s="2">
        <v>41</v>
      </c>
      <c r="C154" s="3" t="s">
        <v>57</v>
      </c>
      <c r="D154" s="3">
        <v>8149</v>
      </c>
      <c r="E154" s="3">
        <v>71424</v>
      </c>
      <c r="F154" s="3">
        <f t="shared" si="6"/>
        <v>63275</v>
      </c>
      <c r="G154" s="3"/>
      <c r="H154" s="3"/>
      <c r="I154" s="3"/>
      <c r="J154" s="3"/>
      <c r="K154" s="3"/>
      <c r="L154" s="3"/>
      <c r="M154" s="13"/>
      <c r="N154" s="13"/>
      <c r="O154" s="14"/>
    </row>
    <row r="155" spans="1:15">
      <c r="A155" s="7">
        <v>5</v>
      </c>
      <c r="B155" s="12">
        <v>42</v>
      </c>
      <c r="C155" s="13" t="s">
        <v>59</v>
      </c>
      <c r="D155" s="13">
        <v>1730909</v>
      </c>
      <c r="E155" s="13">
        <v>4510231</v>
      </c>
      <c r="F155" s="3">
        <f t="shared" si="6"/>
        <v>2779322</v>
      </c>
      <c r="G155" s="13"/>
      <c r="H155" s="13"/>
      <c r="I155" s="13"/>
      <c r="J155" s="13"/>
      <c r="K155" s="13"/>
      <c r="L155" s="13"/>
      <c r="M155" s="13"/>
      <c r="N155" s="13"/>
      <c r="O155" s="14"/>
    </row>
    <row r="156" spans="1:15">
      <c r="A156" s="7">
        <v>5</v>
      </c>
      <c r="B156" s="12">
        <v>43</v>
      </c>
      <c r="C156" s="13" t="s">
        <v>59</v>
      </c>
      <c r="D156" s="13">
        <v>2810904</v>
      </c>
      <c r="E156" s="13">
        <v>3234748</v>
      </c>
      <c r="F156" s="3">
        <f t="shared" si="6"/>
        <v>423844</v>
      </c>
      <c r="G156" s="13"/>
      <c r="H156" s="13"/>
      <c r="I156" s="13"/>
      <c r="J156" s="13"/>
      <c r="K156" s="13"/>
      <c r="L156" s="13"/>
      <c r="M156" s="13"/>
      <c r="N156" s="13"/>
      <c r="O156" s="14"/>
    </row>
    <row r="157" spans="1:15">
      <c r="A157" s="7">
        <v>5</v>
      </c>
      <c r="B157" s="12">
        <v>44</v>
      </c>
      <c r="C157" s="13" t="s">
        <v>59</v>
      </c>
      <c r="D157" s="13">
        <v>20698</v>
      </c>
      <c r="E157" s="13">
        <v>110168</v>
      </c>
      <c r="F157" s="3">
        <f t="shared" si="6"/>
        <v>89470</v>
      </c>
      <c r="G157" s="13"/>
      <c r="H157" s="13"/>
      <c r="I157" s="13"/>
      <c r="J157" s="13"/>
      <c r="K157" s="13"/>
      <c r="L157" s="13"/>
      <c r="M157" s="13"/>
      <c r="N157" s="13"/>
      <c r="O157" s="14"/>
    </row>
    <row r="158" spans="1:15">
      <c r="A158" s="7">
        <v>6</v>
      </c>
      <c r="B158" s="12">
        <v>45</v>
      </c>
      <c r="C158" s="13" t="s">
        <v>60</v>
      </c>
      <c r="D158" s="13">
        <v>30484</v>
      </c>
      <c r="E158" s="13">
        <v>279490</v>
      </c>
      <c r="F158" s="3">
        <f t="shared" si="6"/>
        <v>249006</v>
      </c>
      <c r="G158" s="13"/>
      <c r="H158" s="13"/>
      <c r="I158" s="13"/>
      <c r="J158" s="13"/>
      <c r="K158" s="13"/>
      <c r="L158" s="13"/>
      <c r="M158" s="13"/>
      <c r="N158" s="13"/>
      <c r="O158" s="14"/>
    </row>
    <row r="159" spans="1:15"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6"/>
    </row>
    <row r="160" spans="1:15">
      <c r="B160" s="7" t="s">
        <v>33</v>
      </c>
    </row>
    <row r="162" spans="2:6">
      <c r="B162" s="7" t="s">
        <v>34</v>
      </c>
    </row>
    <row r="164" spans="2:6">
      <c r="B164" s="29" t="s">
        <v>2</v>
      </c>
      <c r="C164" s="29" t="s">
        <v>35</v>
      </c>
      <c r="D164" s="29" t="s">
        <v>36</v>
      </c>
      <c r="E164" s="29" t="s">
        <v>37</v>
      </c>
    </row>
    <row r="166" spans="2:6">
      <c r="F166" s="30" t="s">
        <v>42</v>
      </c>
    </row>
    <row r="168" spans="2:6">
      <c r="B168" s="7" t="s">
        <v>43</v>
      </c>
    </row>
    <row r="169" spans="2:6">
      <c r="B169" s="7" t="s">
        <v>38</v>
      </c>
    </row>
    <row r="171" spans="2:6">
      <c r="B171" s="7" t="s">
        <v>44</v>
      </c>
    </row>
    <row r="176" spans="2:6">
      <c r="B176" s="11" t="s">
        <v>41</v>
      </c>
    </row>
    <row r="178" spans="2:7">
      <c r="C178" s="363" t="s">
        <v>91</v>
      </c>
      <c r="D178" s="363"/>
      <c r="E178" s="363"/>
      <c r="F178" s="363"/>
      <c r="G178" s="363"/>
    </row>
    <row r="179" spans="2:7">
      <c r="C179" s="31" t="s">
        <v>90</v>
      </c>
      <c r="D179" s="31" t="s">
        <v>75</v>
      </c>
      <c r="E179" s="31" t="s">
        <v>89</v>
      </c>
      <c r="F179" s="31" t="s">
        <v>88</v>
      </c>
      <c r="G179" s="31" t="s">
        <v>87</v>
      </c>
    </row>
    <row r="180" spans="2:7">
      <c r="C180" s="32" t="s">
        <v>86</v>
      </c>
      <c r="D180" s="31">
        <v>2784</v>
      </c>
      <c r="E180" s="31" t="s">
        <v>79</v>
      </c>
      <c r="F180" s="31">
        <f>1*D180</f>
        <v>2784</v>
      </c>
      <c r="G180" s="31">
        <f>F180*0.2636*6.1788</f>
        <v>4534.3889971199997</v>
      </c>
    </row>
    <row r="181" spans="2:7">
      <c r="C181" s="33" t="s">
        <v>85</v>
      </c>
      <c r="D181" s="31">
        <f>16735+4229+44902+20335</f>
        <v>86201</v>
      </c>
      <c r="E181" s="31" t="s">
        <v>79</v>
      </c>
      <c r="F181" s="31">
        <f>D181*0.07</f>
        <v>6034.0700000000006</v>
      </c>
      <c r="G181" s="31">
        <f>F181*0.1934*6.1788</f>
        <v>7210.5924858744011</v>
      </c>
    </row>
    <row r="182" spans="2:7">
      <c r="C182" s="33" t="s">
        <v>84</v>
      </c>
      <c r="D182" s="31">
        <f>60155+3353+24946+208</f>
        <v>88662</v>
      </c>
      <c r="E182" s="31" t="s">
        <v>79</v>
      </c>
      <c r="F182" s="31">
        <f>D182*0.12</f>
        <v>10639.44</v>
      </c>
      <c r="G182" s="31">
        <f>F182*0.1934*6.1788</f>
        <v>12713.917160044799</v>
      </c>
    </row>
    <row r="183" spans="2:7">
      <c r="C183" s="33" t="s">
        <v>83</v>
      </c>
      <c r="D183" s="31">
        <f>404079+29823+498881+11065</f>
        <v>943848</v>
      </c>
      <c r="E183" s="31" t="s">
        <v>79</v>
      </c>
      <c r="F183" s="31">
        <f>D183*0.06</f>
        <v>56630.879999999997</v>
      </c>
      <c r="G183" s="31">
        <f>F183*0.1934*6.1788</f>
        <v>67672.764451929586</v>
      </c>
    </row>
    <row r="184" spans="2:7">
      <c r="C184" s="33" t="s">
        <v>82</v>
      </c>
      <c r="D184" s="31">
        <f>161315+127034+292781</f>
        <v>581130</v>
      </c>
      <c r="E184" s="31" t="s">
        <v>79</v>
      </c>
      <c r="F184" s="31">
        <f>D184*0.15</f>
        <v>87169.5</v>
      </c>
      <c r="G184" s="31">
        <f>F184*0.1934*6.1788</f>
        <v>104165.80213643999</v>
      </c>
    </row>
    <row r="185" spans="2:7">
      <c r="C185" s="33" t="s">
        <v>81</v>
      </c>
      <c r="D185" s="31">
        <f>62529+1573</f>
        <v>64102</v>
      </c>
      <c r="E185" s="31" t="s">
        <v>79</v>
      </c>
      <c r="F185" s="31">
        <f>D185*0.04</f>
        <v>2564.08</v>
      </c>
      <c r="G185" s="31">
        <f>F185*0.287*6.1788</f>
        <v>4546.9230636479997</v>
      </c>
    </row>
    <row r="186" spans="2:7">
      <c r="C186" s="33" t="s">
        <v>80</v>
      </c>
      <c r="D186" s="31">
        <f>40435+2525+640</f>
        <v>43600</v>
      </c>
      <c r="E186" s="31" t="s">
        <v>79</v>
      </c>
      <c r="F186" s="31">
        <f>D186*0.11</f>
        <v>4796</v>
      </c>
      <c r="G186" s="31">
        <f>F186*0.2636*6.1788</f>
        <v>7811.3971372799997</v>
      </c>
    </row>
    <row r="187" spans="2:7">
      <c r="C187" s="33" t="s">
        <v>78</v>
      </c>
      <c r="D187" s="31">
        <v>32.5</v>
      </c>
      <c r="E187" s="31" t="s">
        <v>77</v>
      </c>
      <c r="F187" s="31">
        <f>D187*80</f>
        <v>2600</v>
      </c>
      <c r="G187" s="31">
        <f>F187*0.1934*6.1788</f>
        <v>3106.9477919999999</v>
      </c>
    </row>
    <row r="188" spans="2:7">
      <c r="B188" s="34"/>
      <c r="C188" s="34" t="s">
        <v>76</v>
      </c>
      <c r="D188" s="34"/>
      <c r="E188" s="34"/>
      <c r="F188" s="34">
        <f>SUM(F180:F187)</f>
        <v>173217.97</v>
      </c>
      <c r="G188" s="34">
        <f>SUM(G180:G187)</f>
        <v>211762.73322433676</v>
      </c>
    </row>
    <row r="190" spans="2:7">
      <c r="B190" s="11" t="s">
        <v>39</v>
      </c>
    </row>
    <row r="192" spans="2:7">
      <c r="B192" s="30" t="s">
        <v>45</v>
      </c>
    </row>
    <row r="195" spans="2:2">
      <c r="B195" s="11" t="s">
        <v>40</v>
      </c>
    </row>
  </sheetData>
  <mergeCells count="26">
    <mergeCell ref="B5:B6"/>
    <mergeCell ref="C5:C6"/>
    <mergeCell ref="M5:M6"/>
    <mergeCell ref="N5:N6"/>
    <mergeCell ref="O5:O6"/>
    <mergeCell ref="M112:O112"/>
    <mergeCell ref="G112:G113"/>
    <mergeCell ref="H112:H113"/>
    <mergeCell ref="I112:I113"/>
    <mergeCell ref="J112:J113"/>
    <mergeCell ref="B112:B113"/>
    <mergeCell ref="C112:C113"/>
    <mergeCell ref="D112:D113"/>
    <mergeCell ref="E112:E113"/>
    <mergeCell ref="B57:B58"/>
    <mergeCell ref="C57:C58"/>
    <mergeCell ref="D57:D58"/>
    <mergeCell ref="E57:E58"/>
    <mergeCell ref="C178:G178"/>
    <mergeCell ref="D5:D6"/>
    <mergeCell ref="E5:H5"/>
    <mergeCell ref="I5:L5"/>
    <mergeCell ref="F57:F58"/>
    <mergeCell ref="F112:F113"/>
    <mergeCell ref="K112:K113"/>
    <mergeCell ref="L112:L113"/>
  </mergeCells>
  <phoneticPr fontId="2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3"/>
  <sheetViews>
    <sheetView topLeftCell="A19" workbookViewId="0">
      <selection activeCell="E77" sqref="E77:E92"/>
    </sheetView>
  </sheetViews>
  <sheetFormatPr defaultRowHeight="13.5"/>
  <cols>
    <col min="1" max="1" width="3.75" style="7" customWidth="1"/>
    <col min="2" max="2" width="16.375" style="7" customWidth="1"/>
    <col min="3" max="3" width="12.25" style="7" customWidth="1"/>
    <col min="4" max="4" width="11.75" style="7" customWidth="1"/>
    <col min="5" max="5" width="12.875" style="7" customWidth="1"/>
    <col min="6" max="13" width="11.75" style="7" customWidth="1"/>
    <col min="14" max="14" width="9.25" style="7" bestFit="1" customWidth="1"/>
    <col min="15" max="15" width="10.5" style="7" bestFit="1" customWidth="1"/>
    <col min="16" max="16" width="9.25" style="7" bestFit="1" customWidth="1"/>
    <col min="17" max="17" width="10.625" style="7" bestFit="1" customWidth="1"/>
    <col min="18" max="19" width="9.25" style="7" bestFit="1" customWidth="1"/>
    <col min="20" max="21" width="9.875" style="7" customWidth="1"/>
    <col min="22" max="22" width="10.375" style="7" customWidth="1"/>
    <col min="23" max="16384" width="9" style="7"/>
  </cols>
  <sheetData>
    <row r="1" spans="1:1">
      <c r="A1" s="95" t="s">
        <v>199</v>
      </c>
    </row>
    <row r="25" spans="1:22">
      <c r="A25" s="7" t="s">
        <v>287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22">
      <c r="C26" s="372" t="s">
        <v>288</v>
      </c>
      <c r="D26" s="373"/>
      <c r="E26" s="373"/>
      <c r="F26" s="373"/>
      <c r="G26" s="373"/>
      <c r="H26" s="373"/>
      <c r="I26" s="373"/>
      <c r="J26" s="373"/>
      <c r="K26" s="55"/>
      <c r="L26" s="372" t="s">
        <v>289</v>
      </c>
      <c r="M26" s="373"/>
      <c r="N26" s="373"/>
      <c r="O26" s="373"/>
      <c r="P26" s="373"/>
      <c r="Q26" s="373"/>
      <c r="R26" s="373"/>
      <c r="S26" s="373"/>
      <c r="T26" s="373"/>
      <c r="U26" s="374"/>
      <c r="V26" s="375"/>
    </row>
    <row r="27" spans="1:22" ht="40.5">
      <c r="A27" s="53" t="s">
        <v>186</v>
      </c>
      <c r="B27" s="55" t="s">
        <v>260</v>
      </c>
      <c r="C27" s="172" t="s">
        <v>267</v>
      </c>
      <c r="D27" s="8" t="s">
        <v>268</v>
      </c>
      <c r="E27" s="8" t="s">
        <v>269</v>
      </c>
      <c r="F27" s="173" t="s">
        <v>296</v>
      </c>
      <c r="G27" s="173" t="s">
        <v>297</v>
      </c>
      <c r="H27" s="8" t="s">
        <v>154</v>
      </c>
      <c r="I27" s="8" t="s">
        <v>273</v>
      </c>
      <c r="J27" s="214" t="s">
        <v>307</v>
      </c>
      <c r="K27" s="136" t="s">
        <v>295</v>
      </c>
      <c r="L27" s="171" t="s">
        <v>275</v>
      </c>
      <c r="M27" s="148" t="s">
        <v>276</v>
      </c>
      <c r="N27" s="148" t="s">
        <v>277</v>
      </c>
      <c r="O27" s="148" t="s">
        <v>285</v>
      </c>
      <c r="P27" s="148" t="s">
        <v>281</v>
      </c>
      <c r="Q27" s="148" t="s">
        <v>278</v>
      </c>
      <c r="R27" s="148" t="s">
        <v>280</v>
      </c>
      <c r="S27" s="149" t="s">
        <v>282</v>
      </c>
      <c r="T27" s="148" t="s">
        <v>283</v>
      </c>
      <c r="U27" s="211"/>
      <c r="V27" s="152" t="s">
        <v>138</v>
      </c>
    </row>
    <row r="28" spans="1:22">
      <c r="A28" s="56">
        <v>1</v>
      </c>
      <c r="B28" s="165" t="s">
        <v>55</v>
      </c>
      <c r="C28" s="198">
        <v>2565766</v>
      </c>
      <c r="D28" s="89">
        <v>4104</v>
      </c>
      <c r="E28" s="89">
        <v>2554969</v>
      </c>
      <c r="F28" s="89">
        <v>1097</v>
      </c>
      <c r="G28" s="89">
        <v>49</v>
      </c>
      <c r="H28" s="89">
        <v>6131</v>
      </c>
      <c r="I28" s="89">
        <v>864</v>
      </c>
      <c r="J28" s="113">
        <f>+C28+D28-E28-F28-G28-H28-I28</f>
        <v>6760</v>
      </c>
      <c r="K28" s="168">
        <f>+J28/E28</f>
        <v>2.6458246655830268E-3</v>
      </c>
      <c r="L28" s="198">
        <v>16975</v>
      </c>
      <c r="M28" s="89">
        <v>2581262</v>
      </c>
      <c r="N28" s="89">
        <v>5358</v>
      </c>
      <c r="O28" s="201">
        <f>+M28-L28+N28</f>
        <v>2569645</v>
      </c>
      <c r="P28" s="201">
        <v>4104</v>
      </c>
      <c r="Q28" s="89">
        <v>2554969</v>
      </c>
      <c r="R28" s="89">
        <v>864</v>
      </c>
      <c r="S28" s="89">
        <v>6131</v>
      </c>
      <c r="T28" s="89">
        <f>+P28+Q28-R28-S28</f>
        <v>2552078</v>
      </c>
      <c r="U28" s="200"/>
      <c r="V28" s="202">
        <f>+T28-O28</f>
        <v>-17567</v>
      </c>
    </row>
    <row r="29" spans="1:22">
      <c r="A29" s="56">
        <v>2</v>
      </c>
      <c r="B29" s="165" t="s">
        <v>56</v>
      </c>
      <c r="C29" s="198">
        <v>2942395</v>
      </c>
      <c r="D29" s="89">
        <v>6914</v>
      </c>
      <c r="E29" s="89">
        <v>2857895</v>
      </c>
      <c r="F29" s="89">
        <v>59467</v>
      </c>
      <c r="G29" s="89">
        <v>379</v>
      </c>
      <c r="H29" s="89">
        <v>6582</v>
      </c>
      <c r="I29" s="89">
        <v>965</v>
      </c>
      <c r="J29" s="113">
        <f t="shared" ref="J29:J38" si="0">+C29+D29-E29-F29-G29-H29-I29</f>
        <v>24021</v>
      </c>
      <c r="K29" s="168">
        <f t="shared" ref="K29:K38" si="1">+J29/E29</f>
        <v>8.4051373475932459E-3</v>
      </c>
      <c r="L29" s="198">
        <v>25419</v>
      </c>
      <c r="M29" s="89">
        <v>2897780</v>
      </c>
      <c r="N29" s="89">
        <f>N30</f>
        <v>12199</v>
      </c>
      <c r="O29" s="201">
        <f t="shared" ref="O29:O38" si="2">+M29-L29+N29</f>
        <v>2884560</v>
      </c>
      <c r="P29" s="201">
        <v>6914</v>
      </c>
      <c r="Q29" s="89">
        <v>2857895</v>
      </c>
      <c r="R29" s="89">
        <v>965</v>
      </c>
      <c r="S29" s="89">
        <v>6582</v>
      </c>
      <c r="T29" s="89">
        <f t="shared" ref="T29:T38" si="3">+P29+Q29-R29-S29</f>
        <v>2857262</v>
      </c>
      <c r="U29" s="200"/>
      <c r="V29" s="202">
        <f t="shared" ref="V29:V38" si="4">+T29-O29</f>
        <v>-27298</v>
      </c>
    </row>
    <row r="30" spans="1:22">
      <c r="A30" s="56">
        <v>3</v>
      </c>
      <c r="B30" s="165" t="s">
        <v>57</v>
      </c>
      <c r="C30" s="198">
        <v>2911821</v>
      </c>
      <c r="D30" s="89">
        <v>6914</v>
      </c>
      <c r="E30" s="89">
        <v>2857895</v>
      </c>
      <c r="F30" s="89">
        <v>22158</v>
      </c>
      <c r="G30" s="89">
        <v>803</v>
      </c>
      <c r="H30" s="89">
        <v>6582</v>
      </c>
      <c r="I30" s="89">
        <v>965</v>
      </c>
      <c r="J30" s="113">
        <f t="shared" si="0"/>
        <v>30332</v>
      </c>
      <c r="K30" s="168">
        <f t="shared" si="1"/>
        <v>1.0613406020865006E-2</v>
      </c>
      <c r="L30" s="198">
        <v>25419</v>
      </c>
      <c r="M30" s="89">
        <v>2897780</v>
      </c>
      <c r="N30" s="89">
        <v>12199</v>
      </c>
      <c r="O30" s="201">
        <f t="shared" si="2"/>
        <v>2884560</v>
      </c>
      <c r="P30" s="201">
        <v>6914</v>
      </c>
      <c r="Q30" s="89">
        <v>2857895</v>
      </c>
      <c r="R30" s="89">
        <v>965</v>
      </c>
      <c r="S30" s="89">
        <v>6582</v>
      </c>
      <c r="T30" s="89">
        <f t="shared" si="3"/>
        <v>2857262</v>
      </c>
      <c r="U30" s="200"/>
      <c r="V30" s="202">
        <f t="shared" si="4"/>
        <v>-27298</v>
      </c>
    </row>
    <row r="31" spans="1:22">
      <c r="A31" s="56">
        <v>4</v>
      </c>
      <c r="B31" s="165" t="s">
        <v>58</v>
      </c>
      <c r="C31" s="198">
        <v>4340423</v>
      </c>
      <c r="D31" s="89">
        <v>6184</v>
      </c>
      <c r="E31" s="89">
        <v>1792685</v>
      </c>
      <c r="F31" s="89">
        <v>34309</v>
      </c>
      <c r="G31" s="89">
        <v>22701</v>
      </c>
      <c r="H31" s="89">
        <v>2292</v>
      </c>
      <c r="I31" s="89">
        <v>473</v>
      </c>
      <c r="J31" s="113">
        <f t="shared" si="0"/>
        <v>2494147</v>
      </c>
      <c r="K31" s="169">
        <f t="shared" si="1"/>
        <v>1.3912912753774367</v>
      </c>
      <c r="L31" s="203">
        <v>13977</v>
      </c>
      <c r="M31" s="113">
        <v>1748306</v>
      </c>
      <c r="N31" s="113">
        <v>9559</v>
      </c>
      <c r="O31" s="204">
        <f t="shared" si="2"/>
        <v>1743888</v>
      </c>
      <c r="P31" s="204">
        <v>6184</v>
      </c>
      <c r="Q31" s="113">
        <v>1792685</v>
      </c>
      <c r="R31" s="113">
        <v>473</v>
      </c>
      <c r="S31" s="113">
        <v>2292</v>
      </c>
      <c r="T31" s="113">
        <f t="shared" si="3"/>
        <v>1796104</v>
      </c>
      <c r="U31" s="209"/>
      <c r="V31" s="205">
        <f t="shared" si="4"/>
        <v>52216</v>
      </c>
    </row>
    <row r="32" spans="1:22">
      <c r="A32" s="56">
        <v>5</v>
      </c>
      <c r="B32" s="165" t="s">
        <v>59</v>
      </c>
      <c r="C32" s="198">
        <v>5954934</v>
      </c>
      <c r="D32" s="89">
        <v>13828</v>
      </c>
      <c r="E32" s="89">
        <v>5715790</v>
      </c>
      <c r="F32" s="89">
        <v>233333</v>
      </c>
      <c r="G32" s="89">
        <v>8873</v>
      </c>
      <c r="H32" s="89">
        <v>13164</v>
      </c>
      <c r="I32" s="89">
        <v>1930</v>
      </c>
      <c r="J32" s="113">
        <f t="shared" si="0"/>
        <v>-4328</v>
      </c>
      <c r="K32" s="169">
        <f t="shared" si="1"/>
        <v>-7.572006669244321E-4</v>
      </c>
      <c r="L32" s="198">
        <v>50838</v>
      </c>
      <c r="M32" s="89">
        <v>5795560</v>
      </c>
      <c r="N32" s="89">
        <v>24398</v>
      </c>
      <c r="O32" s="201">
        <f t="shared" si="2"/>
        <v>5769120</v>
      </c>
      <c r="P32" s="201">
        <v>13828</v>
      </c>
      <c r="Q32" s="89">
        <v>5715790</v>
      </c>
      <c r="R32" s="89">
        <v>1930</v>
      </c>
      <c r="S32" s="89">
        <v>13164</v>
      </c>
      <c r="T32" s="89">
        <f t="shared" si="3"/>
        <v>5714524</v>
      </c>
      <c r="U32" s="200"/>
      <c r="V32" s="202">
        <f t="shared" si="4"/>
        <v>-54596</v>
      </c>
    </row>
    <row r="33" spans="1:22">
      <c r="A33" s="56">
        <v>6</v>
      </c>
      <c r="B33" s="165" t="s">
        <v>60</v>
      </c>
      <c r="C33" s="198">
        <v>3614680</v>
      </c>
      <c r="D33" s="89">
        <v>6914</v>
      </c>
      <c r="E33" s="89">
        <v>3546920</v>
      </c>
      <c r="F33" s="89">
        <v>0</v>
      </c>
      <c r="G33" s="89">
        <v>12</v>
      </c>
      <c r="H33" s="89">
        <v>6669</v>
      </c>
      <c r="I33" s="89">
        <v>1057</v>
      </c>
      <c r="J33" s="113">
        <f t="shared" si="0"/>
        <v>66936</v>
      </c>
      <c r="K33" s="168">
        <f t="shared" si="1"/>
        <v>1.8871584360515604E-2</v>
      </c>
      <c r="L33" s="198">
        <v>26263</v>
      </c>
      <c r="M33" s="89">
        <v>3592167</v>
      </c>
      <c r="N33" s="89">
        <v>12664</v>
      </c>
      <c r="O33" s="201">
        <f t="shared" si="2"/>
        <v>3578568</v>
      </c>
      <c r="P33" s="201">
        <v>6914</v>
      </c>
      <c r="Q33" s="89">
        <v>3546920</v>
      </c>
      <c r="R33" s="89">
        <v>1057</v>
      </c>
      <c r="S33" s="89">
        <v>6669</v>
      </c>
      <c r="T33" s="89">
        <f t="shared" si="3"/>
        <v>3546108</v>
      </c>
      <c r="U33" s="200"/>
      <c r="V33" s="202">
        <f t="shared" si="4"/>
        <v>-32460</v>
      </c>
    </row>
    <row r="34" spans="1:22">
      <c r="A34" s="56">
        <v>7</v>
      </c>
      <c r="B34" s="165" t="s">
        <v>61</v>
      </c>
      <c r="C34" s="198">
        <v>3371447</v>
      </c>
      <c r="D34" s="89">
        <v>6941</v>
      </c>
      <c r="E34" s="89">
        <v>3058637</v>
      </c>
      <c r="F34" s="89">
        <v>0</v>
      </c>
      <c r="G34" s="89"/>
      <c r="H34" s="89">
        <v>6582</v>
      </c>
      <c r="I34" s="89">
        <v>1236</v>
      </c>
      <c r="J34" s="113">
        <f t="shared" si="0"/>
        <v>311933</v>
      </c>
      <c r="K34" s="168">
        <f t="shared" si="1"/>
        <v>0.1019843152358387</v>
      </c>
      <c r="L34" s="198">
        <v>25491</v>
      </c>
      <c r="M34" s="89">
        <v>3099280</v>
      </c>
      <c r="N34" s="89">
        <v>14183</v>
      </c>
      <c r="O34" s="201">
        <f t="shared" si="2"/>
        <v>3087972</v>
      </c>
      <c r="P34" s="201">
        <v>6941</v>
      </c>
      <c r="Q34" s="89">
        <v>3058637</v>
      </c>
      <c r="R34" s="89">
        <v>1236</v>
      </c>
      <c r="S34" s="89">
        <v>6582</v>
      </c>
      <c r="T34" s="89">
        <f t="shared" si="3"/>
        <v>3057760</v>
      </c>
      <c r="U34" s="200"/>
      <c r="V34" s="202">
        <f t="shared" si="4"/>
        <v>-30212</v>
      </c>
    </row>
    <row r="35" spans="1:22">
      <c r="A35" s="56">
        <v>8</v>
      </c>
      <c r="B35" s="165" t="s">
        <v>62</v>
      </c>
      <c r="C35" s="198">
        <v>1448259</v>
      </c>
      <c r="D35" s="89">
        <v>1914</v>
      </c>
      <c r="E35" s="89">
        <v>1425959</v>
      </c>
      <c r="F35" s="89">
        <v>0</v>
      </c>
      <c r="G35" s="89">
        <v>2520</v>
      </c>
      <c r="H35" s="89">
        <v>6096</v>
      </c>
      <c r="I35" s="89">
        <v>314</v>
      </c>
      <c r="J35" s="113">
        <f t="shared" si="0"/>
        <v>15284</v>
      </c>
      <c r="K35" s="168">
        <f t="shared" si="1"/>
        <v>1.0718400739432199E-2</v>
      </c>
      <c r="L35" s="198">
        <v>9190</v>
      </c>
      <c r="M35" s="89">
        <v>1444516</v>
      </c>
      <c r="N35" s="89">
        <v>4407</v>
      </c>
      <c r="O35" s="201">
        <f t="shared" si="2"/>
        <v>1439733</v>
      </c>
      <c r="P35" s="201">
        <v>1914</v>
      </c>
      <c r="Q35" s="89">
        <v>1425959</v>
      </c>
      <c r="R35" s="89">
        <v>314</v>
      </c>
      <c r="S35" s="89">
        <v>6096</v>
      </c>
      <c r="T35" s="89">
        <f t="shared" si="3"/>
        <v>1421463</v>
      </c>
      <c r="U35" s="200"/>
      <c r="V35" s="202">
        <f t="shared" si="4"/>
        <v>-18270</v>
      </c>
    </row>
    <row r="36" spans="1:22">
      <c r="A36" s="56">
        <v>9</v>
      </c>
      <c r="B36" s="165" t="s">
        <v>63</v>
      </c>
      <c r="C36" s="198">
        <v>2807825</v>
      </c>
      <c r="D36" s="89">
        <v>5790</v>
      </c>
      <c r="E36" s="89">
        <v>2829737</v>
      </c>
      <c r="F36" s="89">
        <v>513</v>
      </c>
      <c r="G36" s="89">
        <v>10</v>
      </c>
      <c r="H36" s="89">
        <v>6582</v>
      </c>
      <c r="I36" s="89">
        <v>938</v>
      </c>
      <c r="J36" s="113">
        <f t="shared" si="0"/>
        <v>-24165</v>
      </c>
      <c r="K36" s="169">
        <f t="shared" si="1"/>
        <v>-8.5396628732634875E-3</v>
      </c>
      <c r="L36" s="198">
        <v>25416</v>
      </c>
      <c r="M36" s="89">
        <v>2868039</v>
      </c>
      <c r="N36" s="89">
        <v>12180</v>
      </c>
      <c r="O36" s="201">
        <f t="shared" si="2"/>
        <v>2854803</v>
      </c>
      <c r="P36" s="201">
        <v>5790</v>
      </c>
      <c r="Q36" s="89">
        <v>2829737</v>
      </c>
      <c r="R36" s="89">
        <v>938</v>
      </c>
      <c r="S36" s="89">
        <v>6582</v>
      </c>
      <c r="T36" s="89">
        <f t="shared" si="3"/>
        <v>2828007</v>
      </c>
      <c r="U36" s="200"/>
      <c r="V36" s="202">
        <f t="shared" si="4"/>
        <v>-26796</v>
      </c>
    </row>
    <row r="37" spans="1:22">
      <c r="A37" s="56">
        <v>10</v>
      </c>
      <c r="B37" s="165" t="s">
        <v>64</v>
      </c>
      <c r="C37" s="198">
        <v>0</v>
      </c>
      <c r="D37" s="89">
        <v>0</v>
      </c>
      <c r="E37" s="89">
        <v>0</v>
      </c>
      <c r="F37" s="89">
        <v>0</v>
      </c>
      <c r="G37" s="89"/>
      <c r="H37" s="89">
        <v>0</v>
      </c>
      <c r="I37" s="89">
        <v>0</v>
      </c>
      <c r="J37" s="113">
        <f t="shared" si="0"/>
        <v>0</v>
      </c>
      <c r="K37" s="168"/>
      <c r="L37" s="198">
        <v>0</v>
      </c>
      <c r="M37" s="89">
        <v>0</v>
      </c>
      <c r="N37" s="89">
        <v>0</v>
      </c>
      <c r="O37" s="201">
        <f t="shared" si="2"/>
        <v>0</v>
      </c>
      <c r="P37" s="201">
        <v>0</v>
      </c>
      <c r="Q37" s="89">
        <v>0</v>
      </c>
      <c r="R37" s="89">
        <v>0</v>
      </c>
      <c r="S37" s="89">
        <v>0</v>
      </c>
      <c r="T37" s="89">
        <f t="shared" si="3"/>
        <v>0</v>
      </c>
      <c r="U37" s="200"/>
      <c r="V37" s="202">
        <f t="shared" si="4"/>
        <v>0</v>
      </c>
    </row>
    <row r="38" spans="1:22">
      <c r="A38" s="137">
        <v>11</v>
      </c>
      <c r="B38" s="167" t="s">
        <v>65</v>
      </c>
      <c r="C38" s="199">
        <v>1685655</v>
      </c>
      <c r="D38" s="96">
        <v>2482</v>
      </c>
      <c r="E38" s="96">
        <v>1679582</v>
      </c>
      <c r="F38" s="96">
        <v>3215</v>
      </c>
      <c r="G38" s="96">
        <v>8</v>
      </c>
      <c r="H38" s="96">
        <v>3018</v>
      </c>
      <c r="I38" s="96">
        <v>446</v>
      </c>
      <c r="J38" s="215">
        <f t="shared" si="0"/>
        <v>1868</v>
      </c>
      <c r="K38" s="170">
        <f t="shared" si="1"/>
        <v>1.1121814832499991E-3</v>
      </c>
      <c r="L38" s="199">
        <v>2407</v>
      </c>
      <c r="M38" s="96">
        <v>1686982</v>
      </c>
      <c r="N38" s="96">
        <v>2262</v>
      </c>
      <c r="O38" s="206">
        <f t="shared" si="2"/>
        <v>1686837</v>
      </c>
      <c r="P38" s="206">
        <v>2482</v>
      </c>
      <c r="Q38" s="96">
        <v>1679582</v>
      </c>
      <c r="R38" s="96">
        <v>446</v>
      </c>
      <c r="S38" s="96">
        <v>3018</v>
      </c>
      <c r="T38" s="96">
        <f t="shared" si="3"/>
        <v>1678600</v>
      </c>
      <c r="U38" s="212"/>
      <c r="V38" s="207">
        <f t="shared" si="4"/>
        <v>-8237</v>
      </c>
    </row>
    <row r="39" spans="1:22">
      <c r="C39" s="108" t="s">
        <v>291</v>
      </c>
      <c r="D39" s="108"/>
      <c r="E39" s="108"/>
      <c r="F39" s="108"/>
      <c r="G39" s="108"/>
      <c r="H39" s="108"/>
      <c r="I39" s="108"/>
      <c r="J39" s="108"/>
      <c r="K39" s="60"/>
      <c r="L39" s="60"/>
      <c r="M39" s="60"/>
      <c r="N39" s="163"/>
      <c r="O39" s="163"/>
      <c r="P39" s="60"/>
      <c r="Q39" s="60"/>
      <c r="R39" s="60"/>
      <c r="S39" s="60"/>
      <c r="T39" s="164"/>
      <c r="U39" s="164"/>
    </row>
    <row r="40" spans="1:22">
      <c r="A40" s="53" t="s">
        <v>186</v>
      </c>
      <c r="B40" s="54" t="s">
        <v>260</v>
      </c>
      <c r="C40" s="150" t="s">
        <v>292</v>
      </c>
      <c r="D40" s="150" t="s">
        <v>293</v>
      </c>
      <c r="E40" s="151" t="s">
        <v>294</v>
      </c>
      <c r="F40" s="108"/>
      <c r="G40" s="108"/>
      <c r="H40" s="108"/>
      <c r="I40" s="108"/>
      <c r="J40" s="108"/>
      <c r="K40" s="60"/>
      <c r="L40" s="60"/>
      <c r="M40" s="60"/>
      <c r="N40" s="163"/>
      <c r="O40" s="163"/>
      <c r="P40" s="60"/>
      <c r="Q40" s="60"/>
      <c r="R40" s="60"/>
      <c r="S40" s="60"/>
      <c r="T40" s="164"/>
      <c r="U40" s="164"/>
    </row>
    <row r="41" spans="1:22">
      <c r="A41" s="56">
        <v>12</v>
      </c>
      <c r="B41" s="13" t="s">
        <v>133</v>
      </c>
      <c r="C41" s="89">
        <v>567.07746249999991</v>
      </c>
      <c r="D41" s="89">
        <v>502</v>
      </c>
      <c r="E41" s="197">
        <f>+C41-D41</f>
        <v>65.077462499999911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22" ht="27">
      <c r="A42" s="56">
        <v>13</v>
      </c>
      <c r="B42" s="166" t="s">
        <v>107</v>
      </c>
      <c r="C42" s="89">
        <v>13569.99</v>
      </c>
      <c r="D42" s="89">
        <v>10327</v>
      </c>
      <c r="E42" s="197">
        <f>+C42-D42</f>
        <v>3242.99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22">
      <c r="A43" s="137">
        <v>14</v>
      </c>
      <c r="B43" s="58" t="s">
        <v>71</v>
      </c>
      <c r="C43" s="58"/>
      <c r="D43" s="58"/>
      <c r="E43" s="16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22"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22" ht="12" customHeight="1" thickBot="1">
      <c r="A45" s="134" t="s">
        <v>211</v>
      </c>
      <c r="B45" s="134" t="s">
        <v>261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22">
      <c r="A46" s="74" t="s">
        <v>186</v>
      </c>
      <c r="B46" s="72" t="s">
        <v>260</v>
      </c>
      <c r="C46" s="72" t="s">
        <v>257</v>
      </c>
      <c r="D46" s="72" t="s">
        <v>258</v>
      </c>
      <c r="E46" s="72" t="s">
        <v>311</v>
      </c>
      <c r="F46" s="72" t="s">
        <v>262</v>
      </c>
      <c r="G46" s="72" t="s">
        <v>263</v>
      </c>
      <c r="H46" s="72" t="s">
        <v>259</v>
      </c>
      <c r="I46" s="132" t="s">
        <v>264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22">
      <c r="A47" s="2">
        <v>1</v>
      </c>
      <c r="B47" s="162" t="s">
        <v>55</v>
      </c>
      <c r="C47" s="85">
        <v>6652</v>
      </c>
      <c r="D47" s="85">
        <v>32042</v>
      </c>
      <c r="E47" s="85"/>
      <c r="F47" s="85">
        <v>171879</v>
      </c>
      <c r="G47" s="85">
        <v>35855</v>
      </c>
      <c r="H47" s="85">
        <f>SUM(C47:G47)</f>
        <v>246428</v>
      </c>
      <c r="I47" s="91">
        <v>64958.4208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22">
      <c r="A48" s="12">
        <v>2</v>
      </c>
      <c r="B48" s="13" t="s">
        <v>56</v>
      </c>
      <c r="C48" s="89">
        <v>107212</v>
      </c>
      <c r="D48" s="89">
        <v>19612</v>
      </c>
      <c r="E48" s="89"/>
      <c r="F48" s="89">
        <v>178474</v>
      </c>
      <c r="G48" s="89"/>
      <c r="H48" s="89">
        <f t="shared" ref="H48:H61" si="5">SUM(C48:G48)</f>
        <v>305298</v>
      </c>
      <c r="I48" s="110">
        <v>4723.5706560000008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19">
      <c r="A49" s="12">
        <v>3</v>
      </c>
      <c r="B49" s="13" t="s">
        <v>57</v>
      </c>
      <c r="C49" s="89">
        <v>65970</v>
      </c>
      <c r="D49" s="89">
        <v>6598</v>
      </c>
      <c r="E49" s="89"/>
      <c r="F49" s="89">
        <v>581535</v>
      </c>
      <c r="G49" s="89"/>
      <c r="H49" s="89">
        <f t="shared" si="5"/>
        <v>654103</v>
      </c>
      <c r="I49" s="110">
        <v>15180.422424000002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>
      <c r="A50" s="12">
        <v>4</v>
      </c>
      <c r="B50" s="13" t="s">
        <v>58</v>
      </c>
      <c r="C50" s="89">
        <v>126141</v>
      </c>
      <c r="D50" s="89">
        <v>3324</v>
      </c>
      <c r="E50" s="89"/>
      <c r="F50" s="89">
        <v>135849</v>
      </c>
      <c r="G50" s="89"/>
      <c r="H50" s="89">
        <f t="shared" si="5"/>
        <v>265314</v>
      </c>
      <c r="I50" s="110">
        <v>3591.820932000001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19">
      <c r="A51" s="12">
        <v>5</v>
      </c>
      <c r="B51" s="13" t="s">
        <v>59</v>
      </c>
      <c r="C51" s="89">
        <v>741055</v>
      </c>
      <c r="D51" s="89">
        <v>5533</v>
      </c>
      <c r="E51" s="89"/>
      <c r="F51" s="89">
        <v>214193</v>
      </c>
      <c r="G51" s="89"/>
      <c r="H51" s="89">
        <f t="shared" si="5"/>
        <v>960781</v>
      </c>
      <c r="I51" s="110">
        <v>27872.256810000003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>
      <c r="A52" s="12">
        <v>6</v>
      </c>
      <c r="B52" s="13" t="s">
        <v>60</v>
      </c>
      <c r="C52" s="89">
        <v>0</v>
      </c>
      <c r="D52" s="89">
        <v>3366</v>
      </c>
      <c r="E52" s="89"/>
      <c r="F52" s="89">
        <v>1642754</v>
      </c>
      <c r="G52" s="89"/>
      <c r="H52" s="89">
        <f t="shared" si="5"/>
        <v>1646120</v>
      </c>
      <c r="I52" s="110">
        <v>12150.834780000001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19">
      <c r="A53" s="12">
        <v>7</v>
      </c>
      <c r="B53" s="13" t="s">
        <v>61</v>
      </c>
      <c r="C53" s="89">
        <v>0</v>
      </c>
      <c r="D53" s="89">
        <v>3580</v>
      </c>
      <c r="E53" s="89"/>
      <c r="F53" s="89">
        <v>6608568</v>
      </c>
      <c r="G53" s="89"/>
      <c r="H53" s="89">
        <f t="shared" si="5"/>
        <v>6612148</v>
      </c>
      <c r="I53" s="110">
        <v>130153.521232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>
      <c r="A54" s="12">
        <v>8</v>
      </c>
      <c r="B54" s="13" t="s">
        <v>62</v>
      </c>
      <c r="C54" s="89">
        <v>17</v>
      </c>
      <c r="D54" s="89">
        <v>1098</v>
      </c>
      <c r="E54" s="89"/>
      <c r="F54" s="89">
        <v>532919</v>
      </c>
      <c r="G54" s="89"/>
      <c r="H54" s="89">
        <f t="shared" si="5"/>
        <v>534034</v>
      </c>
      <c r="I54" s="110">
        <v>2627.9813140000001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19">
      <c r="A55" s="12">
        <v>9</v>
      </c>
      <c r="B55" s="13" t="s">
        <v>63</v>
      </c>
      <c r="C55" s="89">
        <v>4508</v>
      </c>
      <c r="D55" s="89">
        <v>5529</v>
      </c>
      <c r="E55" s="89"/>
      <c r="F55" s="89">
        <v>313469</v>
      </c>
      <c r="G55" s="89"/>
      <c r="H55" s="89">
        <f t="shared" si="5"/>
        <v>323506</v>
      </c>
      <c r="I55" s="110">
        <v>4263.80908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>
      <c r="A56" s="12">
        <v>10</v>
      </c>
      <c r="B56" s="13" t="s">
        <v>64</v>
      </c>
      <c r="C56" s="89">
        <v>0</v>
      </c>
      <c r="D56" s="89">
        <v>0</v>
      </c>
      <c r="E56" s="89"/>
      <c r="F56" s="89">
        <v>33137</v>
      </c>
      <c r="G56" s="89"/>
      <c r="H56" s="89">
        <f t="shared" si="5"/>
        <v>33137</v>
      </c>
      <c r="I56" s="110">
        <v>190.20638000000002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19">
      <c r="A57" s="12">
        <v>11</v>
      </c>
      <c r="B57" s="13" t="s">
        <v>65</v>
      </c>
      <c r="C57" s="89">
        <v>9371</v>
      </c>
      <c r="D57" s="89">
        <v>3673</v>
      </c>
      <c r="E57" s="89"/>
      <c r="F57" s="89">
        <v>341959</v>
      </c>
      <c r="G57" s="89"/>
      <c r="H57" s="89">
        <f t="shared" si="5"/>
        <v>355003</v>
      </c>
      <c r="I57" s="110">
        <v>10293.666988000001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19">
      <c r="A58" s="12">
        <v>12</v>
      </c>
      <c r="B58" s="13" t="s">
        <v>133</v>
      </c>
      <c r="C58" s="89">
        <v>0</v>
      </c>
      <c r="D58" s="89">
        <v>0.15395999999999999</v>
      </c>
      <c r="E58" s="89"/>
      <c r="F58" s="89">
        <v>148</v>
      </c>
      <c r="G58" s="89"/>
      <c r="H58" s="89">
        <f t="shared" si="5"/>
        <v>148.15396000000001</v>
      </c>
      <c r="I58" s="110">
        <v>2292.2380691200001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19" ht="27">
      <c r="A59" s="12">
        <v>13</v>
      </c>
      <c r="B59" s="133" t="s">
        <v>107</v>
      </c>
      <c r="C59" s="89">
        <v>0</v>
      </c>
      <c r="D59" s="89">
        <v>1.3455900000000001</v>
      </c>
      <c r="E59" s="89"/>
      <c r="F59" s="89">
        <v>45.94489699999999</v>
      </c>
      <c r="G59" s="89"/>
      <c r="H59" s="89">
        <f t="shared" si="5"/>
        <v>47.290486999999992</v>
      </c>
      <c r="I59" s="110">
        <v>43.452769398975995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19">
      <c r="A60" s="12">
        <v>14</v>
      </c>
      <c r="B60" s="13" t="s">
        <v>71</v>
      </c>
      <c r="C60" s="89">
        <v>0</v>
      </c>
      <c r="D60" s="89">
        <v>0</v>
      </c>
      <c r="E60" s="89"/>
      <c r="F60" s="89">
        <v>0</v>
      </c>
      <c r="G60" s="89"/>
      <c r="H60" s="89">
        <f t="shared" si="5"/>
        <v>0</v>
      </c>
      <c r="I60" s="110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19" ht="14.25" thickBot="1">
      <c r="A61" s="15">
        <v>15</v>
      </c>
      <c r="B61" s="16" t="s">
        <v>68</v>
      </c>
      <c r="C61" s="90">
        <v>0</v>
      </c>
      <c r="D61" s="90">
        <v>4.0830899999999994</v>
      </c>
      <c r="E61" s="90"/>
      <c r="F61" s="90">
        <v>5266.7143699999997</v>
      </c>
      <c r="G61" s="90"/>
      <c r="H61" s="90">
        <f t="shared" si="5"/>
        <v>5270.7974599999998</v>
      </c>
      <c r="I61" s="112">
        <v>13872</v>
      </c>
      <c r="J61" s="27"/>
      <c r="L61" s="27"/>
      <c r="M61" s="27"/>
      <c r="N61" s="27"/>
      <c r="O61" s="27"/>
      <c r="P61" s="27"/>
      <c r="Q61" s="27"/>
      <c r="R61" s="27"/>
      <c r="S61" s="27"/>
    </row>
    <row r="62" spans="1:19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1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19">
      <c r="A64" s="95" t="s">
        <v>216</v>
      </c>
    </row>
    <row r="65" spans="1:12" ht="6" customHeight="1" thickBot="1"/>
    <row r="66" spans="1:12" customFormat="1">
      <c r="A66" s="179" t="s">
        <v>165</v>
      </c>
      <c r="B66" s="180" t="s">
        <v>221</v>
      </c>
      <c r="C66" s="181" t="s">
        <v>222</v>
      </c>
      <c r="D66" s="181" t="s">
        <v>223</v>
      </c>
      <c r="E66" s="181" t="s">
        <v>224</v>
      </c>
      <c r="F66" s="181" t="s">
        <v>225</v>
      </c>
      <c r="G66" s="181" t="s">
        <v>226</v>
      </c>
      <c r="H66" s="181" t="s">
        <v>227</v>
      </c>
      <c r="I66" s="181" t="s">
        <v>228</v>
      </c>
      <c r="J66" s="182" t="s">
        <v>50</v>
      </c>
      <c r="K66" s="7"/>
      <c r="L66" s="7"/>
    </row>
    <row r="67" spans="1:12" customFormat="1">
      <c r="A67" s="183">
        <v>1</v>
      </c>
      <c r="B67" s="184" t="s">
        <v>217</v>
      </c>
      <c r="C67" s="185">
        <v>2504465</v>
      </c>
      <c r="D67" s="185">
        <v>3229131</v>
      </c>
      <c r="E67" s="185">
        <v>3071765</v>
      </c>
      <c r="F67" s="185">
        <v>2876368</v>
      </c>
      <c r="G67" s="185">
        <v>2587643</v>
      </c>
      <c r="H67" s="185">
        <v>2243150</v>
      </c>
      <c r="I67" s="185">
        <v>1996255</v>
      </c>
      <c r="J67" s="186">
        <f>SUM(C67:I67)</f>
        <v>18508777</v>
      </c>
      <c r="K67" s="7"/>
      <c r="L67" s="7"/>
    </row>
    <row r="68" spans="1:12" customFormat="1">
      <c r="A68" s="183">
        <v>2</v>
      </c>
      <c r="B68" s="187" t="s">
        <v>219</v>
      </c>
      <c r="C68" s="188">
        <v>0.9073</v>
      </c>
      <c r="D68" s="188">
        <v>0.90859999999999996</v>
      </c>
      <c r="E68" s="188">
        <v>0.92100000000000004</v>
      </c>
      <c r="F68" s="188">
        <v>0.92620000000000002</v>
      </c>
      <c r="G68" s="188">
        <v>0.93100000000000005</v>
      </c>
      <c r="H68" s="188">
        <v>0.93899999999999995</v>
      </c>
      <c r="I68" s="188">
        <v>0.94099999999999995</v>
      </c>
      <c r="J68" s="189">
        <f>AVERAGE(C68:I68)</f>
        <v>0.92487142857142868</v>
      </c>
      <c r="K68" s="7"/>
      <c r="L68" s="7"/>
    </row>
    <row r="69" spans="1:12" customFormat="1">
      <c r="A69" s="183">
        <v>3</v>
      </c>
      <c r="B69" s="187" t="s">
        <v>218</v>
      </c>
      <c r="C69" s="185">
        <v>20911</v>
      </c>
      <c r="D69" s="185">
        <v>23187</v>
      </c>
      <c r="E69" s="185">
        <v>23989</v>
      </c>
      <c r="F69" s="185">
        <v>24716</v>
      </c>
      <c r="G69" s="185">
        <v>51230</v>
      </c>
      <c r="H69" s="185">
        <v>56353</v>
      </c>
      <c r="I69" s="190" t="s">
        <v>241</v>
      </c>
      <c r="J69" s="186">
        <f>SUM(C69:I69)</f>
        <v>200386</v>
      </c>
      <c r="K69" s="7"/>
      <c r="L69" s="7"/>
    </row>
    <row r="70" spans="1:12" customFormat="1">
      <c r="A70" s="183">
        <v>4</v>
      </c>
      <c r="B70" s="187" t="s">
        <v>242</v>
      </c>
      <c r="C70" s="185">
        <f>27449866-26345512</f>
        <v>1104354</v>
      </c>
      <c r="D70" s="185">
        <f>37971242-36452902</f>
        <v>1518340</v>
      </c>
      <c r="E70" s="185">
        <f>35578790-34182540</f>
        <v>1396250</v>
      </c>
      <c r="F70" s="185">
        <f>31699820-30900671</f>
        <v>799149</v>
      </c>
      <c r="G70" s="185">
        <f>F70/F67*G67</f>
        <v>718931.76248901396</v>
      </c>
      <c r="H70" s="185">
        <f>F70/F67*H67</f>
        <v>623220.35266349791</v>
      </c>
      <c r="I70" s="185">
        <f>F70/F67*I67</f>
        <v>554624.85571908741</v>
      </c>
      <c r="J70" s="186">
        <f>SUM(C70:I70)</f>
        <v>6714869.9708715994</v>
      </c>
      <c r="K70" s="7"/>
      <c r="L70" s="7"/>
    </row>
    <row r="71" spans="1:12" customFormat="1">
      <c r="A71" s="183">
        <v>5</v>
      </c>
      <c r="B71" s="187" t="s">
        <v>220</v>
      </c>
      <c r="C71" s="185">
        <f>22613652-21996881</f>
        <v>616771</v>
      </c>
      <c r="D71" s="185">
        <f>32351762-31386120</f>
        <v>965642</v>
      </c>
      <c r="E71" s="185">
        <f>28954980-28045089</f>
        <v>909891</v>
      </c>
      <c r="F71" s="185">
        <f>28434973-27834985</f>
        <v>599988</v>
      </c>
      <c r="G71" s="185">
        <f>F71/F70*G70</f>
        <v>539762.20994114806</v>
      </c>
      <c r="H71" s="185">
        <f>F71/F70*H70</f>
        <v>467903.64869863668</v>
      </c>
      <c r="I71" s="185">
        <f>F71/F70*I70</f>
        <v>416403.27139642771</v>
      </c>
      <c r="J71" s="186">
        <f>SUM(C71:I71)</f>
        <v>4516361.1300362125</v>
      </c>
      <c r="K71" s="7"/>
      <c r="L71" s="7"/>
    </row>
    <row r="72" spans="1:12" customFormat="1" ht="14.25" thickBot="1">
      <c r="A72" s="191">
        <v>6</v>
      </c>
      <c r="B72" s="192" t="s">
        <v>243</v>
      </c>
      <c r="C72" s="193">
        <v>162580.83559999999</v>
      </c>
      <c r="D72" s="193">
        <v>254543.23120000001</v>
      </c>
      <c r="E72" s="193">
        <v>175972.91940000001</v>
      </c>
      <c r="F72" s="193">
        <v>116037.67920000001</v>
      </c>
      <c r="G72" s="193">
        <v>104390.01140261804</v>
      </c>
      <c r="H72" s="193">
        <v>90492.565658316336</v>
      </c>
      <c r="I72" s="193">
        <v>80532.392688069129</v>
      </c>
      <c r="J72" s="194">
        <v>873464.24254900357</v>
      </c>
      <c r="K72" s="7"/>
      <c r="L72" s="7"/>
    </row>
    <row r="74" spans="1:12">
      <c r="A74" s="95" t="s">
        <v>215</v>
      </c>
    </row>
    <row r="75" spans="1:12" ht="14.25" thickBot="1">
      <c r="A75" s="7" t="s">
        <v>214</v>
      </c>
    </row>
    <row r="76" spans="1:12">
      <c r="A76" s="74" t="s">
        <v>212</v>
      </c>
      <c r="B76" s="72" t="s">
        <v>213</v>
      </c>
      <c r="C76" s="72" t="s">
        <v>253</v>
      </c>
      <c r="D76" s="175" t="s">
        <v>251</v>
      </c>
      <c r="E76" s="175" t="s">
        <v>252</v>
      </c>
      <c r="F76" s="101" t="s">
        <v>255</v>
      </c>
      <c r="G76" s="72" t="s">
        <v>254</v>
      </c>
      <c r="H76" s="176" t="s">
        <v>229</v>
      </c>
      <c r="I76" s="29" t="s">
        <v>299</v>
      </c>
      <c r="J76" s="29"/>
    </row>
    <row r="77" spans="1:12">
      <c r="A77" s="2">
        <v>1</v>
      </c>
      <c r="B77" s="162" t="s">
        <v>55</v>
      </c>
      <c r="C77" s="85">
        <v>2757842</v>
      </c>
      <c r="D77" s="85">
        <v>1533235</v>
      </c>
      <c r="E77" s="85">
        <v>2001478</v>
      </c>
      <c r="F77" s="85">
        <f>+C77+D77-E77</f>
        <v>2289599</v>
      </c>
      <c r="G77" s="85">
        <v>2263201</v>
      </c>
      <c r="H77" s="174">
        <f>+G77-F77</f>
        <v>-26398</v>
      </c>
      <c r="I77" s="29"/>
      <c r="J77" s="29"/>
    </row>
    <row r="78" spans="1:12">
      <c r="A78" s="2">
        <v>2</v>
      </c>
      <c r="B78" s="162" t="s">
        <v>55</v>
      </c>
      <c r="C78" s="85">
        <v>158445</v>
      </c>
      <c r="D78" s="85">
        <v>2000</v>
      </c>
      <c r="E78" s="85">
        <v>1900</v>
      </c>
      <c r="F78" s="85">
        <f t="shared" ref="F78:F112" si="6">+C78+D78-E78</f>
        <v>158545</v>
      </c>
      <c r="G78" s="85">
        <v>170776</v>
      </c>
      <c r="H78" s="174">
        <f t="shared" ref="H78:H112" si="7">+G78-F78</f>
        <v>12231</v>
      </c>
      <c r="I78" s="210" t="s">
        <v>306</v>
      </c>
      <c r="J78" s="29"/>
    </row>
    <row r="79" spans="1:12">
      <c r="A79" s="2">
        <v>3</v>
      </c>
      <c r="B79" s="162" t="s">
        <v>56</v>
      </c>
      <c r="C79" s="85">
        <v>573566</v>
      </c>
      <c r="D79" s="85">
        <v>290632</v>
      </c>
      <c r="E79" s="85">
        <v>101809</v>
      </c>
      <c r="F79" s="85">
        <f t="shared" si="6"/>
        <v>762389</v>
      </c>
      <c r="G79" s="85">
        <f>574178+50000+140490</f>
        <v>764668</v>
      </c>
      <c r="H79" s="174">
        <f t="shared" si="7"/>
        <v>2279</v>
      </c>
      <c r="I79" s="29"/>
      <c r="J79" s="29"/>
    </row>
    <row r="80" spans="1:12">
      <c r="A80" s="2">
        <v>4</v>
      </c>
      <c r="B80" s="162" t="s">
        <v>56</v>
      </c>
      <c r="C80" s="85">
        <v>268786</v>
      </c>
      <c r="D80" s="85">
        <v>4200</v>
      </c>
      <c r="E80" s="85">
        <v>74546</v>
      </c>
      <c r="F80" s="85">
        <f t="shared" si="6"/>
        <v>198440</v>
      </c>
      <c r="G80" s="85">
        <f>291530-90000</f>
        <v>201530</v>
      </c>
      <c r="H80" s="174">
        <f t="shared" si="7"/>
        <v>3090</v>
      </c>
      <c r="I80" s="29"/>
      <c r="J80" s="29"/>
    </row>
    <row r="81" spans="1:8">
      <c r="A81" s="12">
        <v>5</v>
      </c>
      <c r="B81" s="162" t="s">
        <v>56</v>
      </c>
      <c r="C81" s="85">
        <v>70005</v>
      </c>
      <c r="D81" s="85">
        <v>0</v>
      </c>
      <c r="E81" s="85">
        <v>0</v>
      </c>
      <c r="F81" s="85">
        <f t="shared" si="6"/>
        <v>70005</v>
      </c>
      <c r="G81" s="85">
        <f>26360+40000</f>
        <v>66360</v>
      </c>
      <c r="H81" s="174">
        <f t="shared" si="7"/>
        <v>-3645</v>
      </c>
    </row>
    <row r="82" spans="1:8">
      <c r="A82" s="216">
        <v>6</v>
      </c>
      <c r="B82" s="162" t="s">
        <v>57</v>
      </c>
      <c r="C82" s="85">
        <v>276385</v>
      </c>
      <c r="D82" s="85">
        <v>0</v>
      </c>
      <c r="E82" s="85">
        <v>1120</v>
      </c>
      <c r="F82" s="85">
        <f t="shared" si="6"/>
        <v>275265</v>
      </c>
      <c r="G82" s="85">
        <v>46321</v>
      </c>
      <c r="H82" s="174">
        <f t="shared" si="7"/>
        <v>-228944</v>
      </c>
    </row>
    <row r="83" spans="1:8">
      <c r="A83" s="216">
        <v>7</v>
      </c>
      <c r="B83" s="162" t="s">
        <v>57</v>
      </c>
      <c r="C83" s="85">
        <v>2990703</v>
      </c>
      <c r="D83" s="85">
        <v>1979250</v>
      </c>
      <c r="E83" s="85">
        <v>2210384</v>
      </c>
      <c r="F83" s="85">
        <f t="shared" si="6"/>
        <v>2759569</v>
      </c>
      <c r="G83" s="85">
        <v>3542787</v>
      </c>
      <c r="H83" s="174">
        <f t="shared" si="7"/>
        <v>783218</v>
      </c>
    </row>
    <row r="84" spans="1:8">
      <c r="A84" s="216">
        <v>8</v>
      </c>
      <c r="B84" s="162" t="s">
        <v>57</v>
      </c>
      <c r="C84" s="85">
        <v>987300</v>
      </c>
      <c r="D84" s="85">
        <v>0</v>
      </c>
      <c r="E84" s="85">
        <v>0</v>
      </c>
      <c r="F84" s="85">
        <f t="shared" si="6"/>
        <v>987300</v>
      </c>
      <c r="G84" s="85">
        <v>237079</v>
      </c>
      <c r="H84" s="174">
        <f t="shared" si="7"/>
        <v>-750221</v>
      </c>
    </row>
    <row r="85" spans="1:8">
      <c r="A85" s="216">
        <v>9</v>
      </c>
      <c r="B85" s="162" t="s">
        <v>57</v>
      </c>
      <c r="C85" s="85">
        <v>8423</v>
      </c>
      <c r="D85" s="85">
        <v>0</v>
      </c>
      <c r="E85" s="85">
        <v>0</v>
      </c>
      <c r="F85" s="85">
        <f t="shared" si="6"/>
        <v>8423</v>
      </c>
      <c r="G85" s="85">
        <v>71424</v>
      </c>
      <c r="H85" s="174">
        <f t="shared" si="7"/>
        <v>63001</v>
      </c>
    </row>
    <row r="86" spans="1:8">
      <c r="A86" s="12">
        <v>10</v>
      </c>
      <c r="B86" s="162" t="s">
        <v>58</v>
      </c>
      <c r="C86" s="85">
        <v>1595332</v>
      </c>
      <c r="D86" s="85">
        <v>742700</v>
      </c>
      <c r="E86" s="85">
        <v>549565</v>
      </c>
      <c r="F86" s="85">
        <f t="shared" si="6"/>
        <v>1788467</v>
      </c>
      <c r="G86" s="85">
        <v>1243554</v>
      </c>
      <c r="H86" s="174">
        <f t="shared" si="7"/>
        <v>-544913</v>
      </c>
    </row>
    <row r="87" spans="1:8">
      <c r="A87" s="12">
        <v>11</v>
      </c>
      <c r="B87" s="162" t="s">
        <v>58</v>
      </c>
      <c r="C87" s="85">
        <v>1864874</v>
      </c>
      <c r="D87" s="85">
        <v>1566700</v>
      </c>
      <c r="E87" s="85">
        <v>741883</v>
      </c>
      <c r="F87" s="85">
        <f t="shared" si="6"/>
        <v>2689691</v>
      </c>
      <c r="G87" s="85">
        <v>1801413</v>
      </c>
      <c r="H87" s="174">
        <f t="shared" si="7"/>
        <v>-888278</v>
      </c>
    </row>
    <row r="88" spans="1:8">
      <c r="A88" s="12">
        <v>12</v>
      </c>
      <c r="B88" s="162" t="s">
        <v>58</v>
      </c>
      <c r="C88" s="85">
        <v>232519</v>
      </c>
      <c r="D88" s="85">
        <v>165500</v>
      </c>
      <c r="E88" s="85">
        <v>0</v>
      </c>
      <c r="F88" s="85">
        <f t="shared" si="6"/>
        <v>398019</v>
      </c>
      <c r="G88" s="85">
        <v>425260</v>
      </c>
      <c r="H88" s="174">
        <f t="shared" si="7"/>
        <v>27241</v>
      </c>
    </row>
    <row r="89" spans="1:8">
      <c r="A89" s="12">
        <v>13</v>
      </c>
      <c r="B89" s="162" t="s">
        <v>59</v>
      </c>
      <c r="C89" s="85">
        <v>4991211</v>
      </c>
      <c r="D89" s="85">
        <v>2002371</v>
      </c>
      <c r="E89" s="85">
        <v>2538229</v>
      </c>
      <c r="F89" s="85">
        <f t="shared" si="6"/>
        <v>4455353</v>
      </c>
      <c r="G89" s="85">
        <v>4086925</v>
      </c>
      <c r="H89" s="174">
        <f t="shared" si="7"/>
        <v>-368428</v>
      </c>
    </row>
    <row r="90" spans="1:8">
      <c r="A90" s="12">
        <v>14</v>
      </c>
      <c r="B90" s="162" t="s">
        <v>59</v>
      </c>
      <c r="C90" s="85">
        <v>3460372</v>
      </c>
      <c r="D90" s="85">
        <v>1089900</v>
      </c>
      <c r="E90" s="85">
        <v>1884779</v>
      </c>
      <c r="F90" s="85">
        <f t="shared" si="6"/>
        <v>2665493</v>
      </c>
      <c r="G90" s="85">
        <v>2585289</v>
      </c>
      <c r="H90" s="174">
        <f t="shared" si="7"/>
        <v>-80204</v>
      </c>
    </row>
    <row r="91" spans="1:8">
      <c r="A91" s="12">
        <v>15</v>
      </c>
      <c r="B91" s="162" t="s">
        <v>59</v>
      </c>
      <c r="C91" s="85">
        <v>130246</v>
      </c>
      <c r="D91" s="85">
        <v>0</v>
      </c>
      <c r="E91" s="85">
        <v>0</v>
      </c>
      <c r="F91" s="85">
        <f t="shared" si="6"/>
        <v>130246</v>
      </c>
      <c r="G91" s="85">
        <v>110168</v>
      </c>
      <c r="H91" s="174">
        <f t="shared" si="7"/>
        <v>-20078</v>
      </c>
    </row>
    <row r="92" spans="1:8">
      <c r="A92" s="12">
        <v>16</v>
      </c>
      <c r="B92" s="162" t="s">
        <v>60</v>
      </c>
      <c r="C92" s="85">
        <v>2214596</v>
      </c>
      <c r="D92" s="85">
        <v>1074254</v>
      </c>
      <c r="E92" s="85">
        <v>1016891</v>
      </c>
      <c r="F92" s="85">
        <f t="shared" si="6"/>
        <v>2271959</v>
      </c>
      <c r="G92" s="85">
        <v>1616240</v>
      </c>
      <c r="H92" s="174">
        <f t="shared" si="7"/>
        <v>-655719</v>
      </c>
    </row>
    <row r="93" spans="1:8">
      <c r="A93" s="12">
        <v>17</v>
      </c>
      <c r="B93" s="162" t="s">
        <v>60</v>
      </c>
      <c r="C93" s="85">
        <v>4067967</v>
      </c>
      <c r="D93" s="85">
        <v>1181000</v>
      </c>
      <c r="E93" s="85">
        <v>1459355</v>
      </c>
      <c r="F93" s="85">
        <f t="shared" si="6"/>
        <v>3789612</v>
      </c>
      <c r="G93" s="85">
        <v>2662944</v>
      </c>
      <c r="H93" s="174">
        <f t="shared" si="7"/>
        <v>-1126668</v>
      </c>
    </row>
    <row r="94" spans="1:8">
      <c r="A94" s="12">
        <v>18</v>
      </c>
      <c r="B94" s="162" t="s">
        <v>60</v>
      </c>
      <c r="C94" s="85">
        <v>203544</v>
      </c>
      <c r="D94" s="85">
        <v>50000</v>
      </c>
      <c r="E94" s="85">
        <v>233432</v>
      </c>
      <c r="F94" s="85">
        <f t="shared" si="6"/>
        <v>20112</v>
      </c>
      <c r="G94" s="85">
        <v>437298</v>
      </c>
      <c r="H94" s="174">
        <f t="shared" si="7"/>
        <v>417186</v>
      </c>
    </row>
    <row r="95" spans="1:8">
      <c r="A95" s="12">
        <v>19</v>
      </c>
      <c r="B95" s="162" t="s">
        <v>60</v>
      </c>
      <c r="C95" s="85">
        <v>30446</v>
      </c>
      <c r="D95" s="85">
        <v>0</v>
      </c>
      <c r="E95" s="85">
        <v>0</v>
      </c>
      <c r="F95" s="85">
        <f t="shared" si="6"/>
        <v>30446</v>
      </c>
      <c r="G95" s="85">
        <v>283406</v>
      </c>
      <c r="H95" s="174">
        <f t="shared" si="7"/>
        <v>252960</v>
      </c>
    </row>
    <row r="96" spans="1:8">
      <c r="A96" s="12">
        <v>20</v>
      </c>
      <c r="B96" s="162" t="s">
        <v>61</v>
      </c>
      <c r="C96" s="85">
        <v>2263864</v>
      </c>
      <c r="D96" s="85">
        <v>183000</v>
      </c>
      <c r="E96" s="85">
        <v>36416</v>
      </c>
      <c r="F96" s="85">
        <f t="shared" si="6"/>
        <v>2410448</v>
      </c>
      <c r="G96" s="85">
        <v>1308246</v>
      </c>
      <c r="H96" s="174">
        <f t="shared" si="7"/>
        <v>-1102202</v>
      </c>
    </row>
    <row r="97" spans="1:8">
      <c r="A97" s="12">
        <v>21</v>
      </c>
      <c r="B97" s="162" t="s">
        <v>61</v>
      </c>
      <c r="C97" s="85">
        <v>5581471</v>
      </c>
      <c r="D97" s="85">
        <v>1190250</v>
      </c>
      <c r="E97" s="85">
        <v>946172</v>
      </c>
      <c r="F97" s="85">
        <f t="shared" si="6"/>
        <v>5825549</v>
      </c>
      <c r="G97" s="85">
        <v>3535596</v>
      </c>
      <c r="H97" s="174">
        <f t="shared" si="7"/>
        <v>-2289953</v>
      </c>
    </row>
    <row r="98" spans="1:8">
      <c r="A98" s="12">
        <v>22</v>
      </c>
      <c r="B98" s="162" t="s">
        <v>61</v>
      </c>
      <c r="C98" s="85">
        <v>6061573</v>
      </c>
      <c r="D98" s="85">
        <v>1200409</v>
      </c>
      <c r="E98" s="85">
        <v>1257872</v>
      </c>
      <c r="F98" s="85">
        <f t="shared" si="6"/>
        <v>6004110</v>
      </c>
      <c r="G98" s="85">
        <v>5056855</v>
      </c>
      <c r="H98" s="174">
        <f t="shared" si="7"/>
        <v>-947255</v>
      </c>
    </row>
    <row r="99" spans="1:8">
      <c r="A99" s="12">
        <v>23</v>
      </c>
      <c r="B99" s="162" t="s">
        <v>62</v>
      </c>
      <c r="C99" s="85">
        <v>2141060</v>
      </c>
      <c r="D99" s="85">
        <v>1361381</v>
      </c>
      <c r="E99" s="85">
        <v>1153448</v>
      </c>
      <c r="F99" s="85">
        <f t="shared" si="6"/>
        <v>2348993</v>
      </c>
      <c r="G99" s="85">
        <v>2087504</v>
      </c>
      <c r="H99" s="174">
        <f t="shared" si="7"/>
        <v>-261489</v>
      </c>
    </row>
    <row r="100" spans="1:8">
      <c r="A100" s="12">
        <v>24</v>
      </c>
      <c r="B100" s="162" t="s">
        <v>62</v>
      </c>
      <c r="C100" s="85">
        <v>5193</v>
      </c>
      <c r="D100" s="85">
        <v>8253</v>
      </c>
      <c r="E100" s="85">
        <v>0</v>
      </c>
      <c r="F100" s="85">
        <f t="shared" si="6"/>
        <v>13446</v>
      </c>
      <c r="G100" s="85">
        <v>183194</v>
      </c>
      <c r="H100" s="174">
        <f t="shared" si="7"/>
        <v>169748</v>
      </c>
    </row>
    <row r="101" spans="1:8">
      <c r="A101" s="12">
        <v>25</v>
      </c>
      <c r="B101" s="162" t="s">
        <v>63</v>
      </c>
      <c r="C101" s="85">
        <v>2926450</v>
      </c>
      <c r="D101" s="85">
        <v>1138364</v>
      </c>
      <c r="E101" s="85">
        <v>1602364</v>
      </c>
      <c r="F101" s="85">
        <f t="shared" si="6"/>
        <v>2462450</v>
      </c>
      <c r="G101" s="85">
        <v>1846937</v>
      </c>
      <c r="H101" s="174">
        <f t="shared" si="7"/>
        <v>-615513</v>
      </c>
    </row>
    <row r="102" spans="1:8">
      <c r="A102" s="12">
        <v>26</v>
      </c>
      <c r="B102" s="162" t="s">
        <v>63</v>
      </c>
      <c r="C102" s="85"/>
      <c r="D102" s="85">
        <v>440525</v>
      </c>
      <c r="E102" s="85">
        <v>608240</v>
      </c>
      <c r="F102" s="85">
        <f t="shared" si="6"/>
        <v>-167715</v>
      </c>
      <c r="G102" s="85">
        <v>513504</v>
      </c>
      <c r="H102" s="174">
        <f t="shared" si="7"/>
        <v>681219</v>
      </c>
    </row>
    <row r="103" spans="1:8">
      <c r="A103" s="12">
        <v>27</v>
      </c>
      <c r="B103" s="162" t="s">
        <v>63</v>
      </c>
      <c r="C103" s="85">
        <v>183860</v>
      </c>
      <c r="D103" s="85">
        <v>63616</v>
      </c>
      <c r="E103" s="85">
        <v>0</v>
      </c>
      <c r="F103" s="85">
        <f t="shared" si="6"/>
        <v>247476</v>
      </c>
      <c r="G103" s="85">
        <v>280334</v>
      </c>
      <c r="H103" s="174">
        <f t="shared" si="7"/>
        <v>32858</v>
      </c>
    </row>
    <row r="104" spans="1:8">
      <c r="A104" s="12">
        <v>28</v>
      </c>
      <c r="B104" s="162" t="s">
        <v>64</v>
      </c>
      <c r="C104" s="85">
        <v>0</v>
      </c>
      <c r="D104" s="85">
        <v>0</v>
      </c>
      <c r="E104" s="85">
        <v>0</v>
      </c>
      <c r="F104" s="85">
        <f t="shared" si="6"/>
        <v>0</v>
      </c>
      <c r="G104" s="85">
        <v>395</v>
      </c>
      <c r="H104" s="174">
        <f t="shared" si="7"/>
        <v>395</v>
      </c>
    </row>
    <row r="105" spans="1:8">
      <c r="A105" s="12">
        <v>29</v>
      </c>
      <c r="B105" s="162" t="s">
        <v>64</v>
      </c>
      <c r="C105" s="85">
        <v>0</v>
      </c>
      <c r="D105" s="85">
        <v>0</v>
      </c>
      <c r="E105" s="85">
        <v>900</v>
      </c>
      <c r="F105" s="85">
        <f t="shared" si="6"/>
        <v>-900</v>
      </c>
      <c r="G105" s="85">
        <v>110180</v>
      </c>
      <c r="H105" s="174">
        <f t="shared" si="7"/>
        <v>111080</v>
      </c>
    </row>
    <row r="106" spans="1:8">
      <c r="A106" s="12">
        <v>30</v>
      </c>
      <c r="B106" s="162" t="s">
        <v>64</v>
      </c>
      <c r="C106" s="85">
        <v>0</v>
      </c>
      <c r="D106" s="85">
        <v>0</v>
      </c>
      <c r="E106" s="85">
        <v>0</v>
      </c>
      <c r="F106" s="85">
        <f t="shared" si="6"/>
        <v>0</v>
      </c>
      <c r="G106" s="85">
        <v>28702</v>
      </c>
      <c r="H106" s="174">
        <f t="shared" si="7"/>
        <v>28702</v>
      </c>
    </row>
    <row r="107" spans="1:8">
      <c r="A107" s="12">
        <v>31</v>
      </c>
      <c r="B107" s="162" t="s">
        <v>65</v>
      </c>
      <c r="C107" s="85">
        <v>368228</v>
      </c>
      <c r="D107" s="85">
        <v>1780155</v>
      </c>
      <c r="E107" s="85">
        <v>1178199</v>
      </c>
      <c r="F107" s="85">
        <f t="shared" si="6"/>
        <v>970184</v>
      </c>
      <c r="G107" s="85">
        <v>1055193</v>
      </c>
      <c r="H107" s="174">
        <f t="shared" si="7"/>
        <v>85009</v>
      </c>
    </row>
    <row r="108" spans="1:8">
      <c r="A108" s="12">
        <v>32</v>
      </c>
      <c r="B108" s="162" t="s">
        <v>65</v>
      </c>
      <c r="C108" s="85">
        <v>53863</v>
      </c>
      <c r="D108" s="85">
        <v>92447</v>
      </c>
      <c r="E108" s="85">
        <v>0</v>
      </c>
      <c r="F108" s="85">
        <f t="shared" si="6"/>
        <v>146310</v>
      </c>
      <c r="G108" s="85">
        <v>173893</v>
      </c>
      <c r="H108" s="174">
        <f t="shared" si="7"/>
        <v>27583</v>
      </c>
    </row>
    <row r="109" spans="1:8">
      <c r="A109" s="12">
        <v>33</v>
      </c>
      <c r="B109" s="162" t="s">
        <v>133</v>
      </c>
      <c r="C109" s="85">
        <v>6109.94</v>
      </c>
      <c r="D109" s="85">
        <v>331</v>
      </c>
      <c r="E109" s="85">
        <v>529.99543900000003</v>
      </c>
      <c r="F109" s="85">
        <f t="shared" si="6"/>
        <v>5910.9445609999993</v>
      </c>
      <c r="G109" s="85">
        <v>4928.6575439056669</v>
      </c>
      <c r="H109" s="174">
        <f t="shared" si="7"/>
        <v>-982.28701709433244</v>
      </c>
    </row>
    <row r="110" spans="1:8" ht="27">
      <c r="A110" s="12">
        <v>34</v>
      </c>
      <c r="B110" s="177" t="s">
        <v>107</v>
      </c>
      <c r="C110" s="85">
        <v>21498.61</v>
      </c>
      <c r="D110" s="85">
        <v>20000</v>
      </c>
      <c r="E110" s="85">
        <v>7373.6451899999993</v>
      </c>
      <c r="F110" s="85">
        <f t="shared" si="6"/>
        <v>34124.964810000005</v>
      </c>
      <c r="G110" s="85">
        <v>22338.607714200003</v>
      </c>
      <c r="H110" s="174">
        <f t="shared" si="7"/>
        <v>-11786.357095800002</v>
      </c>
    </row>
    <row r="111" spans="1:8">
      <c r="A111" s="12">
        <v>35</v>
      </c>
      <c r="B111" s="162" t="s">
        <v>71</v>
      </c>
      <c r="C111" s="85">
        <v>849.46</v>
      </c>
      <c r="D111" s="85">
        <v>0</v>
      </c>
      <c r="E111" s="85">
        <v>0</v>
      </c>
      <c r="F111" s="85">
        <f t="shared" si="6"/>
        <v>849.46</v>
      </c>
      <c r="G111" s="85">
        <v>804.658728</v>
      </c>
      <c r="H111" s="174">
        <f t="shared" si="7"/>
        <v>-44.80127200000004</v>
      </c>
    </row>
    <row r="112" spans="1:8">
      <c r="A112" s="12">
        <v>36</v>
      </c>
      <c r="B112" s="162" t="s">
        <v>68</v>
      </c>
      <c r="C112" s="85"/>
      <c r="D112" s="85">
        <v>14871.165999999999</v>
      </c>
      <c r="E112" s="85">
        <v>10266.790010000001</v>
      </c>
      <c r="F112" s="85">
        <f t="shared" si="6"/>
        <v>4604.3759899999986</v>
      </c>
      <c r="G112" s="85">
        <v>16690.108320000003</v>
      </c>
      <c r="H112" s="174">
        <f t="shared" si="7"/>
        <v>12085.732330000004</v>
      </c>
    </row>
    <row r="113" spans="1:10" ht="14.25" thickBot="1">
      <c r="A113" s="15" t="s">
        <v>256</v>
      </c>
      <c r="B113" s="178"/>
      <c r="C113" s="88">
        <f t="shared" ref="C113:H113" si="8">SUM(C77:C112)</f>
        <v>46496582.009999998</v>
      </c>
      <c r="D113" s="88">
        <f t="shared" si="8"/>
        <v>19175344.166000001</v>
      </c>
      <c r="E113" s="88">
        <f t="shared" si="8"/>
        <v>19617152.430639002</v>
      </c>
      <c r="F113" s="88">
        <f t="shared" si="8"/>
        <v>46054773.745361</v>
      </c>
      <c r="G113" s="88">
        <f t="shared" si="8"/>
        <v>38841938.032306105</v>
      </c>
      <c r="H113" s="99">
        <f t="shared" si="8"/>
        <v>-7212835.7130548945</v>
      </c>
    </row>
    <row r="114" spans="1:10">
      <c r="I114" s="135"/>
      <c r="J114" s="135"/>
    </row>
    <row r="115" spans="1:10">
      <c r="I115" s="135"/>
      <c r="J115" s="135"/>
    </row>
    <row r="116" spans="1:10">
      <c r="A116" s="95" t="s">
        <v>230</v>
      </c>
      <c r="B116" s="208"/>
      <c r="C116" s="208"/>
      <c r="D116" s="208"/>
      <c r="E116" s="208"/>
      <c r="F116" s="208"/>
      <c r="G116" s="208"/>
      <c r="H116" s="208"/>
      <c r="I116" s="135"/>
      <c r="J116" s="135"/>
    </row>
    <row r="117" spans="1:10">
      <c r="A117" s="208" t="s">
        <v>232</v>
      </c>
      <c r="B117" s="208"/>
      <c r="C117" s="208"/>
      <c r="D117" s="208"/>
      <c r="E117" s="208"/>
      <c r="F117" s="208"/>
      <c r="G117" s="208"/>
      <c r="H117" s="208"/>
      <c r="I117" s="135"/>
      <c r="J117" s="135"/>
    </row>
    <row r="118" spans="1:10">
      <c r="A118" s="208" t="s">
        <v>231</v>
      </c>
      <c r="B118" s="208"/>
      <c r="C118" s="208"/>
      <c r="D118" s="208"/>
      <c r="E118" s="208"/>
      <c r="F118" s="208"/>
      <c r="G118" s="208"/>
      <c r="H118" s="208"/>
      <c r="I118" s="135"/>
      <c r="J118" s="135"/>
    </row>
    <row r="119" spans="1:10">
      <c r="A119" s="208" t="s">
        <v>233</v>
      </c>
      <c r="B119" s="208"/>
      <c r="C119" s="208"/>
      <c r="D119" s="208"/>
      <c r="E119" s="208"/>
      <c r="F119" s="208"/>
      <c r="G119" s="208"/>
      <c r="H119" s="208"/>
      <c r="I119" s="135"/>
      <c r="J119" s="135"/>
    </row>
    <row r="120" spans="1:10">
      <c r="A120" s="208" t="s">
        <v>234</v>
      </c>
      <c r="B120" s="208"/>
      <c r="C120" s="208"/>
      <c r="D120" s="208"/>
      <c r="E120" s="208"/>
      <c r="F120" s="208"/>
      <c r="G120" s="208"/>
      <c r="H120" s="208"/>
      <c r="I120" s="135"/>
      <c r="J120" s="135"/>
    </row>
    <row r="121" spans="1:10">
      <c r="A121" s="208" t="s">
        <v>235</v>
      </c>
      <c r="B121" s="208"/>
      <c r="C121" s="208"/>
      <c r="D121" s="208"/>
      <c r="E121" s="208"/>
      <c r="F121" s="208"/>
      <c r="G121" s="208"/>
      <c r="H121" s="208"/>
    </row>
    <row r="122" spans="1:10">
      <c r="A122" s="208" t="s">
        <v>236</v>
      </c>
      <c r="B122" s="208"/>
      <c r="C122" s="208"/>
      <c r="D122" s="208"/>
      <c r="E122" s="208"/>
      <c r="F122" s="208"/>
      <c r="G122" s="208"/>
      <c r="H122" s="208"/>
    </row>
    <row r="123" spans="1:10">
      <c r="A123" s="208" t="s">
        <v>237</v>
      </c>
      <c r="B123" s="208"/>
      <c r="C123" s="208"/>
      <c r="D123" s="208"/>
      <c r="E123" s="208"/>
      <c r="F123" s="208"/>
      <c r="G123" s="208"/>
      <c r="H123" s="208"/>
    </row>
  </sheetData>
  <mergeCells count="2">
    <mergeCell ref="C26:J26"/>
    <mergeCell ref="L26:V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63"/>
  <sheetViews>
    <sheetView topLeftCell="F1" zoomScaleNormal="100" workbookViewId="0">
      <selection activeCell="E32" sqref="E32:Q32"/>
    </sheetView>
  </sheetViews>
  <sheetFormatPr defaultRowHeight="13.5"/>
  <cols>
    <col min="1" max="1" width="4.25" customWidth="1"/>
    <col min="2" max="2" width="16.875" style="49" customWidth="1"/>
    <col min="3" max="3" width="12.875" style="9" customWidth="1"/>
    <col min="4" max="4" width="12.375" customWidth="1"/>
    <col min="5" max="5" width="12" customWidth="1"/>
    <col min="6" max="6" width="11.25" customWidth="1"/>
    <col min="7" max="7" width="12.375" customWidth="1"/>
    <col min="8" max="8" width="12.125" customWidth="1"/>
    <col min="9" max="9" width="12.75" customWidth="1"/>
    <col min="10" max="10" width="12.875" customWidth="1"/>
    <col min="11" max="11" width="11.875" customWidth="1"/>
    <col min="12" max="13" width="10.875" customWidth="1"/>
    <col min="14" max="15" width="11.375" customWidth="1"/>
    <col min="16" max="16" width="11.125" customWidth="1"/>
    <col min="17" max="17" width="9.625" bestFit="1" customWidth="1"/>
    <col min="18" max="19" width="10.5" bestFit="1" customWidth="1"/>
  </cols>
  <sheetData>
    <row r="1" spans="1:16" ht="14.25">
      <c r="A1" s="1" t="s">
        <v>101</v>
      </c>
      <c r="C1"/>
    </row>
    <row r="2" spans="1:16">
      <c r="C2"/>
    </row>
    <row r="3" spans="1:16">
      <c r="A3" s="94" t="s">
        <v>102</v>
      </c>
      <c r="C3"/>
      <c r="F3" s="9"/>
    </row>
    <row r="4" spans="1:16" ht="14.25" thickBot="1">
      <c r="A4" s="93" t="s">
        <v>4</v>
      </c>
      <c r="C4"/>
    </row>
    <row r="5" spans="1:16">
      <c r="A5" s="388" t="s">
        <v>2</v>
      </c>
      <c r="B5" s="390" t="s">
        <v>7</v>
      </c>
      <c r="C5" s="392" t="s">
        <v>1</v>
      </c>
      <c r="D5" s="376" t="s">
        <v>49</v>
      </c>
      <c r="E5" s="376"/>
      <c r="F5" s="376"/>
      <c r="G5" s="376"/>
      <c r="H5" s="376" t="s">
        <v>51</v>
      </c>
      <c r="I5" s="376"/>
      <c r="J5" s="376"/>
      <c r="K5" s="376"/>
      <c r="L5" s="376" t="s">
        <v>52</v>
      </c>
      <c r="M5" s="376" t="s">
        <v>53</v>
      </c>
      <c r="N5" s="377" t="s">
        <v>54</v>
      </c>
      <c r="O5" s="59"/>
    </row>
    <row r="6" spans="1:16">
      <c r="A6" s="389"/>
      <c r="B6" s="391"/>
      <c r="C6" s="393"/>
      <c r="D6" s="8" t="s">
        <v>3</v>
      </c>
      <c r="E6" s="8" t="s">
        <v>47</v>
      </c>
      <c r="F6" s="8" t="s">
        <v>48</v>
      </c>
      <c r="G6" s="8" t="s">
        <v>15</v>
      </c>
      <c r="H6" s="8" t="s">
        <v>3</v>
      </c>
      <c r="I6" s="8" t="s">
        <v>47</v>
      </c>
      <c r="J6" s="8" t="s">
        <v>73</v>
      </c>
      <c r="K6" s="8" t="s">
        <v>15</v>
      </c>
      <c r="L6" s="386"/>
      <c r="M6" s="386"/>
      <c r="N6" s="387"/>
      <c r="O6" s="59"/>
    </row>
    <row r="7" spans="1:16">
      <c r="A7" s="39">
        <v>1</v>
      </c>
      <c r="B7" s="50" t="s">
        <v>55</v>
      </c>
      <c r="C7" s="89">
        <v>2961239</v>
      </c>
      <c r="D7" s="89">
        <v>2201754</v>
      </c>
      <c r="E7" s="89">
        <v>19500</v>
      </c>
      <c r="F7" s="89"/>
      <c r="G7" s="89">
        <f>D7+E7+F7</f>
        <v>2221254</v>
      </c>
      <c r="H7" s="89">
        <v>130272</v>
      </c>
      <c r="I7" s="89">
        <v>245240</v>
      </c>
      <c r="J7" s="89">
        <v>2273134</v>
      </c>
      <c r="K7" s="89">
        <f>H7+I7+J7</f>
        <v>2648646</v>
      </c>
      <c r="L7" s="89">
        <v>3325</v>
      </c>
      <c r="M7" s="89">
        <v>82378</v>
      </c>
      <c r="N7" s="110">
        <f>C7+G7-K7-L7-M7</f>
        <v>2448144</v>
      </c>
      <c r="O7" s="60"/>
      <c r="P7" s="9"/>
    </row>
    <row r="8" spans="1:16">
      <c r="A8" s="39">
        <v>2</v>
      </c>
      <c r="B8" s="50" t="s">
        <v>56</v>
      </c>
      <c r="C8" s="89">
        <v>924743</v>
      </c>
      <c r="D8" s="89">
        <v>526804</v>
      </c>
      <c r="E8" s="89">
        <v>0</v>
      </c>
      <c r="F8" s="89"/>
      <c r="G8" s="89">
        <f t="shared" ref="G8:G20" si="0">D8+E8+F8</f>
        <v>526804</v>
      </c>
      <c r="H8" s="89">
        <v>69923</v>
      </c>
      <c r="I8" s="89">
        <v>11854</v>
      </c>
      <c r="J8" s="89">
        <v>181623</v>
      </c>
      <c r="K8" s="89">
        <f t="shared" ref="K8:K20" si="1">H8+I8+J8</f>
        <v>263400</v>
      </c>
      <c r="L8" s="89">
        <v>103355</v>
      </c>
      <c r="M8" s="89">
        <v>53958</v>
      </c>
      <c r="N8" s="110">
        <f t="shared" ref="N8:N21" si="2">C8+G8-K8-L8-M8</f>
        <v>1030834</v>
      </c>
      <c r="O8" s="60"/>
      <c r="P8" s="9"/>
    </row>
    <row r="9" spans="1:16">
      <c r="A9" s="39">
        <v>3</v>
      </c>
      <c r="B9" s="50" t="s">
        <v>57</v>
      </c>
      <c r="C9" s="89">
        <v>4982123</v>
      </c>
      <c r="D9" s="89">
        <v>2863600</v>
      </c>
      <c r="E9" s="89">
        <v>0</v>
      </c>
      <c r="F9" s="89">
        <v>20000</v>
      </c>
      <c r="G9" s="89">
        <f t="shared" si="0"/>
        <v>2883600</v>
      </c>
      <c r="H9" s="89">
        <v>130272</v>
      </c>
      <c r="I9" s="89">
        <v>245240</v>
      </c>
      <c r="J9" s="89">
        <v>2596055</v>
      </c>
      <c r="K9" s="89">
        <f t="shared" si="1"/>
        <v>2971567</v>
      </c>
      <c r="L9" s="89">
        <v>165261</v>
      </c>
      <c r="M9" s="89">
        <v>698338</v>
      </c>
      <c r="N9" s="110">
        <f t="shared" si="2"/>
        <v>4030557</v>
      </c>
      <c r="O9" s="60"/>
      <c r="P9" s="9"/>
    </row>
    <row r="10" spans="1:16">
      <c r="A10" s="39">
        <v>4</v>
      </c>
      <c r="B10" s="50" t="s">
        <v>58</v>
      </c>
      <c r="C10" s="89">
        <v>2672260</v>
      </c>
      <c r="D10" s="89">
        <v>310400</v>
      </c>
      <c r="E10" s="89">
        <f>2078600-2068600</f>
        <v>10000</v>
      </c>
      <c r="F10" s="89">
        <v>4911050</v>
      </c>
      <c r="G10" s="89">
        <f t="shared" si="0"/>
        <v>5231450</v>
      </c>
      <c r="H10" s="89">
        <v>149045</v>
      </c>
      <c r="I10" s="89">
        <v>22204</v>
      </c>
      <c r="J10" s="89">
        <v>1825080</v>
      </c>
      <c r="K10" s="89">
        <f t="shared" si="1"/>
        <v>1996329</v>
      </c>
      <c r="L10" s="89">
        <v>1003444</v>
      </c>
      <c r="M10" s="89">
        <v>27760</v>
      </c>
      <c r="N10" s="110">
        <f t="shared" si="2"/>
        <v>4876177</v>
      </c>
      <c r="O10" s="60"/>
      <c r="P10" s="9"/>
    </row>
    <row r="11" spans="1:16">
      <c r="A11" s="39">
        <v>5</v>
      </c>
      <c r="B11" s="50" t="s">
        <v>59</v>
      </c>
      <c r="C11" s="89">
        <v>8697024</v>
      </c>
      <c r="D11" s="89">
        <v>5381671</v>
      </c>
      <c r="E11" s="89">
        <v>0</v>
      </c>
      <c r="F11" s="89"/>
      <c r="G11" s="89">
        <f t="shared" si="0"/>
        <v>5381671</v>
      </c>
      <c r="H11" s="89">
        <v>260544</v>
      </c>
      <c r="I11" s="89">
        <v>490480</v>
      </c>
      <c r="J11" s="89">
        <v>5192110</v>
      </c>
      <c r="K11" s="89">
        <f t="shared" si="1"/>
        <v>5943134</v>
      </c>
      <c r="L11" s="89">
        <v>618969</v>
      </c>
      <c r="M11" s="89">
        <v>265500</v>
      </c>
      <c r="N11" s="110">
        <f t="shared" si="2"/>
        <v>7251092</v>
      </c>
      <c r="O11" s="60"/>
      <c r="P11" s="9"/>
    </row>
    <row r="12" spans="1:16">
      <c r="A12" s="39">
        <v>6</v>
      </c>
      <c r="B12" s="50" t="s">
        <v>60</v>
      </c>
      <c r="C12" s="89">
        <v>7958832</v>
      </c>
      <c r="D12" s="89">
        <v>1401050</v>
      </c>
      <c r="E12" s="89">
        <v>975704</v>
      </c>
      <c r="F12" s="89">
        <v>1014800</v>
      </c>
      <c r="G12" s="89">
        <f t="shared" si="0"/>
        <v>3391554</v>
      </c>
      <c r="H12" s="89">
        <v>186772</v>
      </c>
      <c r="I12" s="89">
        <v>248194</v>
      </c>
      <c r="J12" s="89">
        <v>3232542</v>
      </c>
      <c r="K12" s="89">
        <f t="shared" si="1"/>
        <v>3667508</v>
      </c>
      <c r="L12" s="89">
        <v>60749</v>
      </c>
      <c r="M12" s="89">
        <v>1510000</v>
      </c>
      <c r="N12" s="110">
        <f t="shared" si="2"/>
        <v>6112129</v>
      </c>
      <c r="O12" s="60"/>
      <c r="P12" s="9"/>
    </row>
    <row r="13" spans="1:16">
      <c r="A13" s="39">
        <v>7</v>
      </c>
      <c r="B13" s="50" t="s">
        <v>61</v>
      </c>
      <c r="C13" s="89">
        <v>16184138</v>
      </c>
      <c r="D13" s="89">
        <v>1065080</v>
      </c>
      <c r="E13" s="89">
        <v>1538559</v>
      </c>
      <c r="F13" s="89">
        <v>544000</v>
      </c>
      <c r="G13" s="89">
        <f t="shared" si="0"/>
        <v>3147639</v>
      </c>
      <c r="H13" s="89">
        <v>178945</v>
      </c>
      <c r="I13" s="89">
        <v>245240</v>
      </c>
      <c r="J13" s="89">
        <v>2595963</v>
      </c>
      <c r="K13" s="89">
        <f t="shared" si="1"/>
        <v>3020148</v>
      </c>
      <c r="L13" s="89">
        <v>24522</v>
      </c>
      <c r="M13" s="89">
        <v>2047000</v>
      </c>
      <c r="N13" s="110">
        <f t="shared" si="2"/>
        <v>14240107</v>
      </c>
      <c r="O13" s="60"/>
      <c r="P13" s="9"/>
    </row>
    <row r="14" spans="1:16">
      <c r="A14" s="39">
        <v>8</v>
      </c>
      <c r="B14" s="50" t="s">
        <v>62</v>
      </c>
      <c r="C14" s="89">
        <v>2589957</v>
      </c>
      <c r="D14" s="89">
        <v>1457154</v>
      </c>
      <c r="E14" s="89">
        <v>144980</v>
      </c>
      <c r="F14" s="89">
        <v>56400</v>
      </c>
      <c r="G14" s="89">
        <f t="shared" si="0"/>
        <v>1658534</v>
      </c>
      <c r="H14" s="89">
        <v>60570</v>
      </c>
      <c r="I14" s="89">
        <v>8791</v>
      </c>
      <c r="J14" s="89">
        <v>1566691</v>
      </c>
      <c r="K14" s="89">
        <f t="shared" si="1"/>
        <v>1636052</v>
      </c>
      <c r="L14" s="89"/>
      <c r="M14" s="89">
        <v>250000</v>
      </c>
      <c r="N14" s="110">
        <f t="shared" si="2"/>
        <v>2362439</v>
      </c>
      <c r="O14" s="60"/>
      <c r="P14" s="9"/>
    </row>
    <row r="15" spans="1:16">
      <c r="A15" s="39">
        <v>9</v>
      </c>
      <c r="B15" s="50" t="s">
        <v>63</v>
      </c>
      <c r="C15" s="89">
        <f>2569437+1359124</f>
        <v>3928561</v>
      </c>
      <c r="D15" s="89">
        <v>9300</v>
      </c>
      <c r="E15" s="89">
        <v>1639205</v>
      </c>
      <c r="F15" s="89"/>
      <c r="G15" s="89">
        <f t="shared" si="0"/>
        <v>1648505</v>
      </c>
      <c r="H15" s="89">
        <v>126720</v>
      </c>
      <c r="I15" s="89">
        <v>245240</v>
      </c>
      <c r="J15" s="89">
        <v>2596055</v>
      </c>
      <c r="K15" s="89">
        <f t="shared" si="1"/>
        <v>2968015</v>
      </c>
      <c r="L15" s="89">
        <v>66840</v>
      </c>
      <c r="M15" s="89"/>
      <c r="N15" s="110">
        <f t="shared" si="2"/>
        <v>2542211</v>
      </c>
      <c r="O15" s="60"/>
      <c r="P15" s="9"/>
    </row>
    <row r="16" spans="1:16">
      <c r="A16" s="39">
        <v>10</v>
      </c>
      <c r="B16" s="50" t="s">
        <v>64</v>
      </c>
      <c r="C16" s="89">
        <f>122916-1205</f>
        <v>121711</v>
      </c>
      <c r="D16" s="89">
        <v>0</v>
      </c>
      <c r="E16" s="89">
        <v>0</v>
      </c>
      <c r="F16" s="89"/>
      <c r="G16" s="89"/>
      <c r="H16" s="89">
        <v>6457</v>
      </c>
      <c r="I16" s="89">
        <v>0</v>
      </c>
      <c r="J16" s="89">
        <v>0</v>
      </c>
      <c r="K16" s="89">
        <f t="shared" si="1"/>
        <v>6457</v>
      </c>
      <c r="L16" s="89">
        <v>116154</v>
      </c>
      <c r="M16" s="89"/>
      <c r="N16" s="110">
        <f t="shared" si="2"/>
        <v>-900</v>
      </c>
      <c r="O16" s="60"/>
      <c r="P16" s="9"/>
    </row>
    <row r="17" spans="1:19">
      <c r="A17" s="39">
        <v>11</v>
      </c>
      <c r="B17" s="50" t="s">
        <v>65</v>
      </c>
      <c r="C17" s="89">
        <v>911307</v>
      </c>
      <c r="D17" s="89">
        <v>4429</v>
      </c>
      <c r="E17" s="89">
        <v>1872602</v>
      </c>
      <c r="F17" s="89"/>
      <c r="G17" s="89">
        <f t="shared" si="0"/>
        <v>1877031</v>
      </c>
      <c r="H17" s="89">
        <v>10229</v>
      </c>
      <c r="I17" s="89">
        <v>7017</v>
      </c>
      <c r="J17" s="89">
        <v>1599498</v>
      </c>
      <c r="K17" s="89">
        <f t="shared" si="1"/>
        <v>1616744</v>
      </c>
      <c r="L17" s="89">
        <v>43600</v>
      </c>
      <c r="M17" s="89">
        <v>11500</v>
      </c>
      <c r="N17" s="110">
        <f t="shared" si="2"/>
        <v>1116494</v>
      </c>
      <c r="O17" s="60"/>
      <c r="P17" s="9"/>
    </row>
    <row r="18" spans="1:19">
      <c r="A18" s="39">
        <v>12</v>
      </c>
      <c r="B18" s="50" t="s">
        <v>143</v>
      </c>
      <c r="C18" s="89">
        <v>7070.0794419999993</v>
      </c>
      <c r="D18" s="89">
        <v>526</v>
      </c>
      <c r="E18" s="89">
        <v>0</v>
      </c>
      <c r="F18" s="89"/>
      <c r="G18" s="89">
        <f t="shared" si="0"/>
        <v>526</v>
      </c>
      <c r="H18" s="89">
        <v>12.301926000000002</v>
      </c>
      <c r="I18" s="89">
        <v>52.445439</v>
      </c>
      <c r="J18" s="89">
        <v>481.01751599999994</v>
      </c>
      <c r="K18" s="89">
        <f t="shared" si="1"/>
        <v>545.76488099999995</v>
      </c>
      <c r="L18" s="89">
        <v>32.5</v>
      </c>
      <c r="M18" s="89">
        <v>1106.8699999999999</v>
      </c>
      <c r="N18" s="110">
        <f t="shared" si="2"/>
        <v>5910.9445609999993</v>
      </c>
      <c r="O18" s="60"/>
      <c r="P18" s="9"/>
    </row>
    <row r="19" spans="1:19">
      <c r="A19" s="39">
        <v>13</v>
      </c>
      <c r="B19" s="50" t="s">
        <v>107</v>
      </c>
      <c r="C19" s="89">
        <v>42676.223509000003</v>
      </c>
      <c r="D19" s="89">
        <v>0</v>
      </c>
      <c r="E19" s="89">
        <v>0</v>
      </c>
      <c r="F19" s="89"/>
      <c r="G19" s="89">
        <f t="shared" si="0"/>
        <v>0</v>
      </c>
      <c r="H19" s="89">
        <v>141.923541</v>
      </c>
      <c r="I19" s="89">
        <v>1545.36519</v>
      </c>
      <c r="J19" s="89">
        <v>6863.9699680000003</v>
      </c>
      <c r="K19" s="89">
        <f t="shared" si="1"/>
        <v>8551.258699</v>
      </c>
      <c r="L19" s="89"/>
      <c r="M19" s="89"/>
      <c r="N19" s="110">
        <f t="shared" si="2"/>
        <v>34124.964810000005</v>
      </c>
      <c r="O19" s="60"/>
      <c r="P19" s="9"/>
    </row>
    <row r="20" spans="1:19">
      <c r="A20" s="39">
        <v>14</v>
      </c>
      <c r="B20" s="50" t="s">
        <v>68</v>
      </c>
      <c r="C20" s="89">
        <v>3348.7500200000013</v>
      </c>
      <c r="D20" s="89">
        <v>446.5</v>
      </c>
      <c r="E20" s="89">
        <v>14526.165999999999</v>
      </c>
      <c r="F20" s="89"/>
      <c r="G20" s="89">
        <f t="shared" si="0"/>
        <v>14972.665999999999</v>
      </c>
      <c r="H20" s="89">
        <v>557.06488000000002</v>
      </c>
      <c r="I20" s="89">
        <v>1051.4500100000002</v>
      </c>
      <c r="J20" s="89">
        <v>12108.525140000002</v>
      </c>
      <c r="K20" s="89">
        <f t="shared" si="1"/>
        <v>13717.040030000002</v>
      </c>
      <c r="L20" s="89"/>
      <c r="M20" s="89"/>
      <c r="N20" s="110">
        <f t="shared" si="2"/>
        <v>4604.3759899999986</v>
      </c>
      <c r="O20" s="60"/>
      <c r="P20" s="9"/>
    </row>
    <row r="21" spans="1:19">
      <c r="A21" s="67">
        <v>15</v>
      </c>
      <c r="B21" s="68" t="s">
        <v>71</v>
      </c>
      <c r="C21" s="111">
        <v>849.46</v>
      </c>
      <c r="D21" s="111">
        <v>0</v>
      </c>
      <c r="E21" s="111">
        <v>0</v>
      </c>
      <c r="F21" s="111"/>
      <c r="G21" s="89"/>
      <c r="H21" s="111">
        <v>0</v>
      </c>
      <c r="I21" s="111">
        <v>0</v>
      </c>
      <c r="J21" s="111">
        <v>0</v>
      </c>
      <c r="K21" s="89"/>
      <c r="L21" s="111"/>
      <c r="M21" s="111"/>
      <c r="N21" s="110">
        <f t="shared" si="2"/>
        <v>849.46</v>
      </c>
      <c r="O21" s="60"/>
      <c r="P21" s="9"/>
    </row>
    <row r="22" spans="1:19" ht="14.25" thickBot="1">
      <c r="A22" s="394" t="s">
        <v>142</v>
      </c>
      <c r="B22" s="395"/>
      <c r="C22" s="90">
        <f>SUM(C7:C21)</f>
        <v>51985839.512970999</v>
      </c>
      <c r="D22" s="90">
        <f>SUM(D7:D21)</f>
        <v>15222214.5</v>
      </c>
      <c r="E22" s="90">
        <f t="shared" ref="E22:N22" si="3">SUM(E7:E21)</f>
        <v>6215076.1660000002</v>
      </c>
      <c r="F22" s="90">
        <f t="shared" si="3"/>
        <v>6546250</v>
      </c>
      <c r="G22" s="90">
        <f t="shared" si="3"/>
        <v>27983540.666000001</v>
      </c>
      <c r="H22" s="90">
        <f t="shared" si="3"/>
        <v>1310460.2903470001</v>
      </c>
      <c r="I22" s="90">
        <f t="shared" si="3"/>
        <v>1772149.260639</v>
      </c>
      <c r="J22" s="90">
        <f t="shared" si="3"/>
        <v>23678204.512623996</v>
      </c>
      <c r="K22" s="90">
        <f t="shared" si="3"/>
        <v>26760814.063609999</v>
      </c>
      <c r="L22" s="90">
        <f t="shared" si="3"/>
        <v>2206251.5</v>
      </c>
      <c r="M22" s="90">
        <f t="shared" si="3"/>
        <v>4947540.87</v>
      </c>
      <c r="N22" s="112">
        <f t="shared" si="3"/>
        <v>46054773.745361</v>
      </c>
      <c r="O22" s="60"/>
    </row>
    <row r="23" spans="1:19">
      <c r="C23"/>
    </row>
    <row r="24" spans="1:19" ht="14.25" thickBot="1">
      <c r="A24" s="93" t="s">
        <v>115</v>
      </c>
      <c r="C24"/>
    </row>
    <row r="25" spans="1:19" s="7" customFormat="1">
      <c r="A25" s="368" t="s">
        <v>6</v>
      </c>
      <c r="B25" s="390" t="s">
        <v>7</v>
      </c>
      <c r="C25" s="364" t="s">
        <v>1</v>
      </c>
      <c r="D25" s="364" t="s">
        <v>14</v>
      </c>
      <c r="E25" s="364" t="s">
        <v>72</v>
      </c>
      <c r="F25" s="72" t="s">
        <v>8</v>
      </c>
      <c r="G25" s="72"/>
      <c r="H25" s="72"/>
      <c r="I25" s="72"/>
      <c r="J25" s="72"/>
      <c r="K25" s="77"/>
      <c r="L25" s="77"/>
      <c r="M25" s="364" t="s">
        <v>146</v>
      </c>
      <c r="N25" s="364"/>
      <c r="O25" s="364"/>
      <c r="P25" s="364"/>
      <c r="Q25" s="376" t="s">
        <v>155</v>
      </c>
      <c r="R25" s="376"/>
      <c r="S25" s="377"/>
    </row>
    <row r="26" spans="1:19" s="7" customFormat="1">
      <c r="A26" s="369"/>
      <c r="B26" s="391"/>
      <c r="C26" s="365"/>
      <c r="D26" s="365"/>
      <c r="E26" s="365"/>
      <c r="F26" s="3" t="s">
        <v>21</v>
      </c>
      <c r="G26" s="3" t="s">
        <v>9</v>
      </c>
      <c r="H26" s="3" t="s">
        <v>10</v>
      </c>
      <c r="I26" s="3" t="s">
        <v>11</v>
      </c>
      <c r="J26" s="3" t="s">
        <v>144</v>
      </c>
      <c r="K26" s="3" t="s">
        <v>145</v>
      </c>
      <c r="L26" s="78" t="s">
        <v>148</v>
      </c>
      <c r="M26" s="3" t="s">
        <v>147</v>
      </c>
      <c r="N26" s="73" t="s">
        <v>149</v>
      </c>
      <c r="O26" s="3" t="s">
        <v>151</v>
      </c>
      <c r="P26" s="78" t="s">
        <v>152</v>
      </c>
      <c r="Q26" s="44" t="s">
        <v>153</v>
      </c>
      <c r="R26" s="44" t="s">
        <v>154</v>
      </c>
      <c r="S26" s="79" t="s">
        <v>150</v>
      </c>
    </row>
    <row r="27" spans="1:19">
      <c r="A27" s="39">
        <v>1</v>
      </c>
      <c r="B27" s="50" t="s">
        <v>55</v>
      </c>
      <c r="C27" s="89">
        <v>830965</v>
      </c>
      <c r="D27" s="89">
        <v>2462367</v>
      </c>
      <c r="E27" s="89">
        <f>+C27+D27</f>
        <v>3293332</v>
      </c>
      <c r="F27" s="89">
        <v>3618</v>
      </c>
      <c r="G27" s="89">
        <v>6735</v>
      </c>
      <c r="H27" s="89">
        <v>0</v>
      </c>
      <c r="I27" s="89">
        <v>2607525</v>
      </c>
      <c r="J27" s="89">
        <v>0</v>
      </c>
      <c r="K27" s="89">
        <v>0</v>
      </c>
      <c r="L27" s="113">
        <f>+K27+J27+I27+H27+G27+F27</f>
        <v>2617878</v>
      </c>
      <c r="M27" s="89">
        <v>498791</v>
      </c>
      <c r="N27" s="89">
        <v>651899</v>
      </c>
      <c r="O27" s="89">
        <v>1153647</v>
      </c>
      <c r="P27" s="113">
        <f t="shared" ref="P27:P41" si="4">+M27+N27+O27</f>
        <v>2304337</v>
      </c>
      <c r="Q27" s="89">
        <v>44058</v>
      </c>
      <c r="R27" s="89">
        <v>14130</v>
      </c>
      <c r="S27" s="125">
        <f>+Q27+R27</f>
        <v>58188</v>
      </c>
    </row>
    <row r="28" spans="1:19">
      <c r="A28" s="39">
        <v>2</v>
      </c>
      <c r="B28" s="50" t="s">
        <v>56</v>
      </c>
      <c r="C28" s="89">
        <v>432368</v>
      </c>
      <c r="D28" s="89">
        <v>491178</v>
      </c>
      <c r="E28" s="89">
        <f t="shared" ref="E28:E40" si="5">+C28+D28</f>
        <v>923546</v>
      </c>
      <c r="F28" s="89">
        <v>1547</v>
      </c>
      <c r="G28" s="89">
        <v>5197</v>
      </c>
      <c r="H28" s="89">
        <v>0</v>
      </c>
      <c r="I28" s="89">
        <v>390786</v>
      </c>
      <c r="J28" s="89">
        <v>50000</v>
      </c>
      <c r="K28" s="89"/>
      <c r="L28" s="113">
        <f t="shared" ref="L28:L41" si="6">+K28+J28+I28+H28+G28+F28</f>
        <v>447530</v>
      </c>
      <c r="M28" s="89">
        <v>87371</v>
      </c>
      <c r="N28" s="89">
        <v>475946</v>
      </c>
      <c r="O28" s="89">
        <v>86634</v>
      </c>
      <c r="P28" s="113">
        <f t="shared" si="4"/>
        <v>649951</v>
      </c>
      <c r="Q28" s="89">
        <v>62466</v>
      </c>
      <c r="R28" s="89">
        <v>107690</v>
      </c>
      <c r="S28" s="125">
        <f t="shared" ref="S28:S41" si="7">+Q28+R28</f>
        <v>170156</v>
      </c>
    </row>
    <row r="29" spans="1:19">
      <c r="A29" s="39">
        <v>3</v>
      </c>
      <c r="B29" s="50" t="s">
        <v>57</v>
      </c>
      <c r="C29" s="89">
        <v>2284782</v>
      </c>
      <c r="D29" s="89">
        <v>2444149</v>
      </c>
      <c r="E29" s="89">
        <f t="shared" si="5"/>
        <v>4728931</v>
      </c>
      <c r="F29" s="89">
        <v>8180</v>
      </c>
      <c r="G29" s="89">
        <v>2883</v>
      </c>
      <c r="H29" s="89">
        <v>0</v>
      </c>
      <c r="I29" s="89">
        <v>2978394</v>
      </c>
      <c r="J29" s="89">
        <v>60155</v>
      </c>
      <c r="K29" s="89">
        <v>8000</v>
      </c>
      <c r="L29" s="113">
        <f t="shared" si="6"/>
        <v>3057612</v>
      </c>
      <c r="M29" s="89">
        <v>665819</v>
      </c>
      <c r="N29" s="89">
        <v>1671319</v>
      </c>
      <c r="O29" s="89">
        <v>1370500</v>
      </c>
      <c r="P29" s="113">
        <f t="shared" si="4"/>
        <v>3707638</v>
      </c>
      <c r="Q29" s="89">
        <v>96624</v>
      </c>
      <c r="R29" s="89">
        <v>79922</v>
      </c>
      <c r="S29" s="125">
        <f t="shared" si="7"/>
        <v>176546</v>
      </c>
    </row>
    <row r="30" spans="1:19">
      <c r="A30" s="39">
        <v>4</v>
      </c>
      <c r="B30" s="50" t="s">
        <v>58</v>
      </c>
      <c r="C30" s="89">
        <v>1338335</v>
      </c>
      <c r="D30" s="89">
        <v>2813156</v>
      </c>
      <c r="E30" s="89">
        <f t="shared" si="5"/>
        <v>4151491</v>
      </c>
      <c r="F30" s="89">
        <v>8582</v>
      </c>
      <c r="G30" s="89">
        <v>5936</v>
      </c>
      <c r="H30" s="89">
        <v>0</v>
      </c>
      <c r="I30" s="89">
        <v>2539663</v>
      </c>
      <c r="J30" s="89">
        <v>252260</v>
      </c>
      <c r="K30" s="89">
        <v>22500</v>
      </c>
      <c r="L30" s="113">
        <f t="shared" si="6"/>
        <v>2828941</v>
      </c>
      <c r="M30" s="89">
        <v>434502</v>
      </c>
      <c r="N30" s="89">
        <v>1322550</v>
      </c>
      <c r="O30" s="89">
        <v>1344324</v>
      </c>
      <c r="P30" s="113">
        <f t="shared" si="4"/>
        <v>3101376</v>
      </c>
      <c r="Q30" s="89">
        <v>187849</v>
      </c>
      <c r="R30" s="89">
        <v>138086</v>
      </c>
      <c r="S30" s="125">
        <f t="shared" si="7"/>
        <v>325935</v>
      </c>
    </row>
    <row r="31" spans="1:19">
      <c r="A31" s="39">
        <v>5</v>
      </c>
      <c r="B31" s="50" t="s">
        <v>59</v>
      </c>
      <c r="C31" s="89">
        <v>3152170</v>
      </c>
      <c r="D31" s="89">
        <v>5630561</v>
      </c>
      <c r="E31" s="89">
        <f t="shared" si="5"/>
        <v>8782731</v>
      </c>
      <c r="F31" s="89">
        <v>12277</v>
      </c>
      <c r="G31" s="89">
        <v>10741</v>
      </c>
      <c r="H31" s="89">
        <v>0</v>
      </c>
      <c r="I31" s="89">
        <v>5875753</v>
      </c>
      <c r="J31" s="89">
        <v>88436</v>
      </c>
      <c r="K31" s="89">
        <v>65500</v>
      </c>
      <c r="L31" s="113">
        <f t="shared" si="6"/>
        <v>6052707</v>
      </c>
      <c r="M31" s="89">
        <v>1331638</v>
      </c>
      <c r="N31" s="89">
        <v>2730024</v>
      </c>
      <c r="O31" s="89">
        <v>1701071</v>
      </c>
      <c r="P31" s="113">
        <f t="shared" si="4"/>
        <v>5762733</v>
      </c>
      <c r="Q31" s="89">
        <v>231499</v>
      </c>
      <c r="R31" s="89">
        <v>768959</v>
      </c>
      <c r="S31" s="125">
        <f t="shared" si="7"/>
        <v>1000458</v>
      </c>
    </row>
    <row r="32" spans="1:19">
      <c r="A32" s="39">
        <v>6</v>
      </c>
      <c r="B32" s="50" t="s">
        <v>60</v>
      </c>
      <c r="C32" s="89">
        <v>2757568</v>
      </c>
      <c r="D32" s="89">
        <v>3319358</v>
      </c>
      <c r="E32" s="89">
        <f t="shared" si="5"/>
        <v>6076926</v>
      </c>
      <c r="F32" s="89">
        <v>2607</v>
      </c>
      <c r="G32" s="89">
        <v>12188</v>
      </c>
      <c r="H32" s="89">
        <v>0</v>
      </c>
      <c r="I32" s="89">
        <v>3659399</v>
      </c>
      <c r="J32" s="89">
        <v>0</v>
      </c>
      <c r="K32" s="89">
        <v>10000</v>
      </c>
      <c r="L32" s="113">
        <f t="shared" si="6"/>
        <v>3684194</v>
      </c>
      <c r="M32" s="89">
        <v>736178</v>
      </c>
      <c r="N32" s="89">
        <v>2606472</v>
      </c>
      <c r="O32" s="89">
        <v>1579900</v>
      </c>
      <c r="P32" s="113">
        <f t="shared" si="4"/>
        <v>4922550</v>
      </c>
      <c r="Q32" s="89">
        <v>52757</v>
      </c>
      <c r="R32" s="89">
        <v>14169</v>
      </c>
      <c r="S32" s="125">
        <f t="shared" si="7"/>
        <v>66926</v>
      </c>
    </row>
    <row r="33" spans="1:19">
      <c r="A33" s="39">
        <v>7</v>
      </c>
      <c r="B33" s="50" t="s">
        <v>61</v>
      </c>
      <c r="C33" s="89">
        <v>9087537</v>
      </c>
      <c r="D33" s="89">
        <v>3184515</v>
      </c>
      <c r="E33" s="89">
        <f t="shared" si="5"/>
        <v>12272052</v>
      </c>
      <c r="F33" s="89">
        <v>4274</v>
      </c>
      <c r="G33" s="89">
        <v>4879</v>
      </c>
      <c r="H33" s="89">
        <v>0</v>
      </c>
      <c r="I33" s="89">
        <v>3372153</v>
      </c>
      <c r="J33" s="113">
        <v>1000000</v>
      </c>
      <c r="K33" s="89">
        <v>47000</v>
      </c>
      <c r="L33" s="113">
        <f t="shared" si="6"/>
        <v>4428306</v>
      </c>
      <c r="M33" s="89">
        <v>861795</v>
      </c>
      <c r="N33" s="89">
        <v>7867301</v>
      </c>
      <c r="O33" s="89">
        <v>1095500</v>
      </c>
      <c r="P33" s="113">
        <f t="shared" si="4"/>
        <v>9824596</v>
      </c>
      <c r="Q33" s="89">
        <v>51404</v>
      </c>
      <c r="R33" s="89">
        <v>13952</v>
      </c>
      <c r="S33" s="125">
        <f t="shared" si="7"/>
        <v>65356</v>
      </c>
    </row>
    <row r="34" spans="1:19">
      <c r="A34" s="39">
        <v>8</v>
      </c>
      <c r="B34" s="50" t="s">
        <v>62</v>
      </c>
      <c r="C34" s="89">
        <v>1355586</v>
      </c>
      <c r="D34" s="89">
        <v>1138950</v>
      </c>
      <c r="E34" s="89">
        <f t="shared" si="5"/>
        <v>2494536</v>
      </c>
      <c r="F34" s="89">
        <v>932</v>
      </c>
      <c r="G34" s="89">
        <v>1710</v>
      </c>
      <c r="H34" s="89">
        <v>0</v>
      </c>
      <c r="I34" s="89">
        <v>1458831</v>
      </c>
      <c r="J34" s="89">
        <v>0</v>
      </c>
      <c r="K34" s="89">
        <v>0</v>
      </c>
      <c r="L34" s="113">
        <f t="shared" si="6"/>
        <v>1461473</v>
      </c>
      <c r="M34" s="89">
        <v>302709</v>
      </c>
      <c r="N34" s="89">
        <v>813686</v>
      </c>
      <c r="O34" s="89">
        <v>1118000</v>
      </c>
      <c r="P34" s="113">
        <f t="shared" si="4"/>
        <v>2234395</v>
      </c>
      <c r="Q34" s="89">
        <v>41658</v>
      </c>
      <c r="R34" s="89">
        <v>6651</v>
      </c>
      <c r="S34" s="125">
        <f t="shared" si="7"/>
        <v>48309</v>
      </c>
    </row>
    <row r="35" spans="1:19">
      <c r="A35" s="39">
        <v>9</v>
      </c>
      <c r="B35" s="50" t="s">
        <v>63</v>
      </c>
      <c r="C35" s="89">
        <v>1919122</v>
      </c>
      <c r="D35" s="89">
        <v>2878797</v>
      </c>
      <c r="E35" s="89">
        <f t="shared" si="5"/>
        <v>4797919</v>
      </c>
      <c r="F35" s="89">
        <v>1266</v>
      </c>
      <c r="G35" s="89">
        <v>2665</v>
      </c>
      <c r="H35" s="89">
        <v>0</v>
      </c>
      <c r="I35" s="89">
        <v>2837685</v>
      </c>
      <c r="J35" s="89">
        <v>64102</v>
      </c>
      <c r="K35" s="89">
        <v>0</v>
      </c>
      <c r="L35" s="113">
        <f t="shared" si="6"/>
        <v>2905718</v>
      </c>
      <c r="M35" s="89">
        <v>665841</v>
      </c>
      <c r="N35" s="89">
        <v>1891230</v>
      </c>
      <c r="O35" s="89">
        <v>0</v>
      </c>
      <c r="P35" s="113">
        <f t="shared" si="4"/>
        <v>2557071</v>
      </c>
      <c r="Q35" s="89">
        <v>56580</v>
      </c>
      <c r="R35" s="89">
        <v>18460</v>
      </c>
      <c r="S35" s="125">
        <f t="shared" si="7"/>
        <v>75040</v>
      </c>
    </row>
    <row r="36" spans="1:19">
      <c r="A36" s="39">
        <v>10</v>
      </c>
      <c r="B36" s="50" t="s">
        <v>64</v>
      </c>
      <c r="C36" s="89">
        <v>111353</v>
      </c>
      <c r="D36" s="89">
        <v>0</v>
      </c>
      <c r="E36" s="89">
        <f t="shared" si="5"/>
        <v>111353</v>
      </c>
      <c r="F36" s="89">
        <v>0</v>
      </c>
      <c r="G36" s="89"/>
      <c r="H36" s="89">
        <v>0</v>
      </c>
      <c r="I36" s="89"/>
      <c r="J36" s="89">
        <v>0</v>
      </c>
      <c r="K36" s="89">
        <v>0</v>
      </c>
      <c r="L36" s="113">
        <f t="shared" si="6"/>
        <v>0</v>
      </c>
      <c r="M36" s="89">
        <v>1799</v>
      </c>
      <c r="N36" s="89">
        <v>117961</v>
      </c>
      <c r="O36" s="89">
        <v>0</v>
      </c>
      <c r="P36" s="113">
        <f t="shared" si="4"/>
        <v>119760</v>
      </c>
      <c r="Q36" s="89">
        <v>0</v>
      </c>
      <c r="R36" s="89">
        <v>0</v>
      </c>
      <c r="S36" s="125">
        <f t="shared" si="7"/>
        <v>0</v>
      </c>
    </row>
    <row r="37" spans="1:19">
      <c r="A37" s="39">
        <v>11</v>
      </c>
      <c r="B37" s="50" t="s">
        <v>65</v>
      </c>
      <c r="C37" s="89">
        <v>719537</v>
      </c>
      <c r="D37" s="89">
        <v>1814512</v>
      </c>
      <c r="E37" s="89">
        <f t="shared" si="5"/>
        <v>2534049</v>
      </c>
      <c r="F37" s="89">
        <v>1217</v>
      </c>
      <c r="G37" s="89">
        <v>538</v>
      </c>
      <c r="H37" s="89">
        <v>0</v>
      </c>
      <c r="I37" s="89">
        <v>1698363</v>
      </c>
      <c r="J37" s="89">
        <v>41075</v>
      </c>
      <c r="K37" s="89">
        <v>11500</v>
      </c>
      <c r="L37" s="113">
        <f t="shared" si="6"/>
        <v>1752693</v>
      </c>
      <c r="M37" s="89">
        <v>407327</v>
      </c>
      <c r="N37" s="89">
        <v>781356</v>
      </c>
      <c r="O37" s="89">
        <v>3627</v>
      </c>
      <c r="P37" s="113">
        <f t="shared" si="4"/>
        <v>1192310</v>
      </c>
      <c r="Q37" s="89">
        <v>2078.1800000000003</v>
      </c>
      <c r="R37" s="89">
        <v>12628</v>
      </c>
      <c r="S37" s="125">
        <f t="shared" si="7"/>
        <v>14706.18</v>
      </c>
    </row>
    <row r="38" spans="1:19">
      <c r="A38" s="39">
        <v>12</v>
      </c>
      <c r="B38" s="50" t="s">
        <v>66</v>
      </c>
      <c r="C38" s="89">
        <v>24060</v>
      </c>
      <c r="D38" s="89">
        <v>16340</v>
      </c>
      <c r="E38" s="89">
        <f t="shared" si="5"/>
        <v>40400</v>
      </c>
      <c r="F38" s="89">
        <v>0</v>
      </c>
      <c r="G38" s="89"/>
      <c r="H38" s="89">
        <v>12065</v>
      </c>
      <c r="I38" s="89"/>
      <c r="J38" s="89">
        <v>0</v>
      </c>
      <c r="K38" s="89">
        <v>0</v>
      </c>
      <c r="L38" s="113">
        <f t="shared" si="6"/>
        <v>12065</v>
      </c>
      <c r="M38" s="89">
        <v>330.363878</v>
      </c>
      <c r="N38" s="89">
        <v>3478</v>
      </c>
      <c r="O38" s="89">
        <v>0</v>
      </c>
      <c r="P38" s="113">
        <f t="shared" si="4"/>
        <v>3808.3638780000001</v>
      </c>
      <c r="Q38" s="89">
        <v>450</v>
      </c>
      <c r="R38" s="89">
        <v>549</v>
      </c>
      <c r="S38" s="125">
        <f t="shared" si="7"/>
        <v>999</v>
      </c>
    </row>
    <row r="39" spans="1:19">
      <c r="A39" s="39">
        <v>13</v>
      </c>
      <c r="B39" s="50" t="s">
        <v>107</v>
      </c>
      <c r="C39" s="89">
        <v>2000</v>
      </c>
      <c r="D39" s="89">
        <v>6000</v>
      </c>
      <c r="E39" s="89">
        <f t="shared" si="5"/>
        <v>8000</v>
      </c>
      <c r="F39" s="89">
        <v>0</v>
      </c>
      <c r="G39" s="89"/>
      <c r="H39" s="89">
        <v>6000</v>
      </c>
      <c r="I39" s="89"/>
      <c r="J39" s="89">
        <v>0</v>
      </c>
      <c r="K39" s="89">
        <v>0</v>
      </c>
      <c r="L39" s="113">
        <f t="shared" si="6"/>
        <v>6000</v>
      </c>
      <c r="M39" s="89">
        <v>1807.3393269999997</v>
      </c>
      <c r="N39" s="89">
        <v>2000</v>
      </c>
      <c r="O39" s="89">
        <v>6000</v>
      </c>
      <c r="P39" s="113">
        <f t="shared" si="4"/>
        <v>9807.3393269999997</v>
      </c>
      <c r="Q39" s="89">
        <v>8785</v>
      </c>
      <c r="R39" s="89">
        <v>3779</v>
      </c>
      <c r="S39" s="125">
        <f t="shared" si="7"/>
        <v>12564</v>
      </c>
    </row>
    <row r="40" spans="1:19">
      <c r="A40" s="39">
        <v>14</v>
      </c>
      <c r="B40" s="50" t="s">
        <v>68</v>
      </c>
      <c r="C40" s="89">
        <v>104447</v>
      </c>
      <c r="D40" s="89">
        <v>275655</v>
      </c>
      <c r="E40" s="89">
        <f t="shared" si="5"/>
        <v>380102</v>
      </c>
      <c r="F40" s="89">
        <v>0</v>
      </c>
      <c r="G40" s="89">
        <v>313</v>
      </c>
      <c r="H40" s="89">
        <v>0</v>
      </c>
      <c r="I40" s="89">
        <v>245094</v>
      </c>
      <c r="J40" s="89">
        <v>0</v>
      </c>
      <c r="K40" s="89">
        <v>0</v>
      </c>
      <c r="L40" s="113">
        <f t="shared" si="6"/>
        <v>245407</v>
      </c>
      <c r="M40" s="89">
        <v>3584.6531800000002</v>
      </c>
      <c r="N40" s="89">
        <v>130225.43</v>
      </c>
      <c r="O40" s="89">
        <v>0</v>
      </c>
      <c r="P40" s="113">
        <f t="shared" si="4"/>
        <v>133810.08317999999</v>
      </c>
      <c r="Q40" s="89">
        <v>442.06</v>
      </c>
      <c r="R40" s="89">
        <v>56.099719999999998</v>
      </c>
      <c r="S40" s="125">
        <f t="shared" si="7"/>
        <v>498.15971999999999</v>
      </c>
    </row>
    <row r="41" spans="1:19" ht="14.25" thickBot="1">
      <c r="A41" s="40">
        <v>15</v>
      </c>
      <c r="B41" s="51" t="s">
        <v>71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/>
      <c r="I41" s="90"/>
      <c r="J41" s="90">
        <v>0</v>
      </c>
      <c r="K41" s="90">
        <v>0</v>
      </c>
      <c r="L41" s="114">
        <f t="shared" si="6"/>
        <v>0</v>
      </c>
      <c r="M41" s="90"/>
      <c r="N41" s="90">
        <v>0</v>
      </c>
      <c r="O41" s="90">
        <v>0</v>
      </c>
      <c r="P41" s="114">
        <f t="shared" si="4"/>
        <v>0</v>
      </c>
      <c r="Q41" s="90">
        <v>461</v>
      </c>
      <c r="R41" s="90">
        <v>344</v>
      </c>
      <c r="S41" s="126">
        <f t="shared" si="7"/>
        <v>805</v>
      </c>
    </row>
    <row r="42" spans="1:19" s="7" customFormat="1">
      <c r="B42" s="52" t="s">
        <v>161</v>
      </c>
      <c r="C42" s="115">
        <f>SUM(C27:C41)</f>
        <v>24119830</v>
      </c>
      <c r="D42" s="115">
        <f t="shared" ref="D42:N42" si="8">SUM(D27:D41)</f>
        <v>26475538</v>
      </c>
      <c r="E42" s="115">
        <f t="shared" si="8"/>
        <v>50595368</v>
      </c>
      <c r="F42" s="115">
        <f t="shared" si="8"/>
        <v>44500</v>
      </c>
      <c r="G42" s="115">
        <f t="shared" si="8"/>
        <v>53785</v>
      </c>
      <c r="H42" s="115">
        <f t="shared" si="8"/>
        <v>18065</v>
      </c>
      <c r="I42" s="115">
        <f t="shared" si="8"/>
        <v>27663646</v>
      </c>
      <c r="J42" s="115">
        <f t="shared" si="8"/>
        <v>1556028</v>
      </c>
      <c r="K42" s="115">
        <f t="shared" si="8"/>
        <v>164500</v>
      </c>
      <c r="L42" s="116">
        <f t="shared" si="8"/>
        <v>29500524</v>
      </c>
      <c r="M42" s="115">
        <f t="shared" si="8"/>
        <v>5999492.3563850001</v>
      </c>
      <c r="N42" s="115">
        <f t="shared" si="8"/>
        <v>21065447.43</v>
      </c>
      <c r="O42" s="115">
        <f>SUM(O27:O41)</f>
        <v>9459203</v>
      </c>
      <c r="P42" s="116">
        <f>SUM(P27:P41)</f>
        <v>36524142.786385</v>
      </c>
      <c r="Q42" s="115">
        <f>SUM(Q27:Q41)</f>
        <v>837111.24000000011</v>
      </c>
      <c r="R42" s="115">
        <f>SUM(R27:R41)</f>
        <v>1179375.0997200001</v>
      </c>
      <c r="S42" s="116">
        <f>SUM(S27:S41)</f>
        <v>2016486.33972</v>
      </c>
    </row>
    <row r="43" spans="1:19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9" s="7" customFormat="1">
      <c r="A44" s="92" t="s">
        <v>103</v>
      </c>
      <c r="B44" s="49"/>
    </row>
    <row r="45" spans="1:19" s="7" customFormat="1" ht="6" customHeight="1" thickBot="1">
      <c r="B45" s="49"/>
    </row>
    <row r="46" spans="1:19" s="7" customFormat="1">
      <c r="A46" s="368" t="s">
        <v>2</v>
      </c>
      <c r="B46" s="390" t="s">
        <v>17</v>
      </c>
      <c r="C46" s="364" t="s">
        <v>18</v>
      </c>
      <c r="D46" s="364" t="s">
        <v>19</v>
      </c>
      <c r="E46" s="364" t="s">
        <v>157</v>
      </c>
      <c r="F46" s="396" t="s">
        <v>158</v>
      </c>
      <c r="G46" s="366" t="s">
        <v>159</v>
      </c>
      <c r="H46" s="364" t="s">
        <v>96</v>
      </c>
      <c r="I46" s="396" t="s">
        <v>162</v>
      </c>
      <c r="J46" s="398" t="s">
        <v>156</v>
      </c>
      <c r="K46" s="399"/>
      <c r="L46" s="400"/>
      <c r="O46" s="61"/>
      <c r="P46" s="7">
        <f>P42+S42</f>
        <v>38540629.126105003</v>
      </c>
    </row>
    <row r="47" spans="1:19" s="7" customFormat="1">
      <c r="A47" s="369"/>
      <c r="B47" s="391"/>
      <c r="C47" s="365"/>
      <c r="D47" s="365"/>
      <c r="E47" s="365"/>
      <c r="F47" s="397"/>
      <c r="G47" s="367"/>
      <c r="H47" s="365"/>
      <c r="I47" s="397"/>
      <c r="J47" s="13" t="s">
        <v>28</v>
      </c>
      <c r="K47" s="13" t="s">
        <v>29</v>
      </c>
      <c r="L47" s="79" t="s">
        <v>99</v>
      </c>
      <c r="O47" s="27"/>
    </row>
    <row r="48" spans="1:19">
      <c r="A48" s="39">
        <v>1</v>
      </c>
      <c r="B48" s="50" t="s">
        <v>55</v>
      </c>
      <c r="C48" s="85">
        <v>2448144</v>
      </c>
      <c r="D48" s="85">
        <v>2304337</v>
      </c>
      <c r="E48" s="85">
        <v>0</v>
      </c>
      <c r="F48" s="85">
        <v>0</v>
      </c>
      <c r="G48" s="85">
        <f>+D48+E48-F48-C48</f>
        <v>-143807</v>
      </c>
      <c r="H48" s="85">
        <v>58188</v>
      </c>
      <c r="I48" s="85">
        <f>+G48+H48</f>
        <v>-85619</v>
      </c>
      <c r="J48" s="85">
        <v>6849.52</v>
      </c>
      <c r="K48" s="85">
        <v>15719.648400000002</v>
      </c>
      <c r="L48" s="119">
        <f>+J48+K48</f>
        <v>22569.168400000002</v>
      </c>
      <c r="O48" s="60"/>
    </row>
    <row r="49" spans="1:15">
      <c r="A49" s="39">
        <v>2</v>
      </c>
      <c r="B49" s="50" t="s">
        <v>56</v>
      </c>
      <c r="C49" s="85">
        <v>1030834</v>
      </c>
      <c r="D49" s="85">
        <v>649951</v>
      </c>
      <c r="E49" s="85">
        <v>0</v>
      </c>
      <c r="F49" s="85">
        <v>0</v>
      </c>
      <c r="G49" s="85">
        <f t="shared" ref="G49:G62" si="9">+D49+E49-F49-C49</f>
        <v>-380883</v>
      </c>
      <c r="H49" s="85">
        <v>170156</v>
      </c>
      <c r="I49" s="85">
        <f t="shared" ref="I49:I62" si="10">+G49+H49</f>
        <v>-210727</v>
      </c>
      <c r="J49" s="85">
        <v>337.16320000000002</v>
      </c>
      <c r="K49" s="85">
        <v>2923.2049440000001</v>
      </c>
      <c r="L49" s="119">
        <f t="shared" ref="L49:L55" si="11">+J49+K49</f>
        <v>3260.368144</v>
      </c>
      <c r="O49" s="60"/>
    </row>
    <row r="50" spans="1:15" s="7" customFormat="1">
      <c r="A50" s="39">
        <v>3</v>
      </c>
      <c r="B50" s="50" t="s">
        <v>57</v>
      </c>
      <c r="C50" s="85">
        <v>4030557</v>
      </c>
      <c r="D50" s="85">
        <v>3707638</v>
      </c>
      <c r="E50" s="85">
        <v>0</v>
      </c>
      <c r="F50" s="85">
        <v>0</v>
      </c>
      <c r="G50" s="85">
        <f t="shared" si="9"/>
        <v>-322919</v>
      </c>
      <c r="H50" s="85">
        <v>176546</v>
      </c>
      <c r="I50" s="85">
        <f t="shared" si="10"/>
        <v>-146373</v>
      </c>
      <c r="J50" s="85">
        <v>351.29519999999997</v>
      </c>
      <c r="K50" s="85">
        <v>3045.7293840000002</v>
      </c>
      <c r="L50" s="119">
        <f t="shared" si="11"/>
        <v>3397.0245840000002</v>
      </c>
      <c r="O50" s="60"/>
    </row>
    <row r="51" spans="1:15" s="7" customFormat="1">
      <c r="A51" s="39">
        <v>4</v>
      </c>
      <c r="B51" s="50" t="s">
        <v>58</v>
      </c>
      <c r="C51" s="85">
        <v>4876177</v>
      </c>
      <c r="D51" s="85">
        <v>3101376</v>
      </c>
      <c r="E51" s="85">
        <v>151156</v>
      </c>
      <c r="F51" s="85">
        <v>0</v>
      </c>
      <c r="G51" s="85">
        <f t="shared" si="9"/>
        <v>-1623645</v>
      </c>
      <c r="H51" s="85">
        <v>325935</v>
      </c>
      <c r="I51" s="85">
        <f t="shared" si="10"/>
        <v>-1297710</v>
      </c>
      <c r="J51" s="85">
        <v>1816.7940000000003</v>
      </c>
      <c r="K51" s="85">
        <v>15751.603980000002</v>
      </c>
      <c r="L51" s="119">
        <f t="shared" si="11"/>
        <v>17568.397980000002</v>
      </c>
      <c r="O51" s="60"/>
    </row>
    <row r="52" spans="1:15" s="7" customFormat="1">
      <c r="A52" s="39">
        <v>5</v>
      </c>
      <c r="B52" s="50" t="s">
        <v>59</v>
      </c>
      <c r="C52" s="85">
        <v>7251092</v>
      </c>
      <c r="D52" s="85">
        <v>5762733</v>
      </c>
      <c r="E52" s="85">
        <v>0</v>
      </c>
      <c r="F52" s="85">
        <v>0</v>
      </c>
      <c r="G52" s="85">
        <f t="shared" si="9"/>
        <v>-1488359</v>
      </c>
      <c r="H52" s="85">
        <v>1000458</v>
      </c>
      <c r="I52" s="85">
        <f t="shared" si="10"/>
        <v>-487901</v>
      </c>
      <c r="J52" s="85">
        <v>1463.703</v>
      </c>
      <c r="K52" s="85">
        <v>12690.305009999998</v>
      </c>
      <c r="L52" s="119">
        <f t="shared" si="11"/>
        <v>14154.008009999998</v>
      </c>
      <c r="O52" s="60"/>
    </row>
    <row r="53" spans="1:15" s="7" customFormat="1">
      <c r="A53" s="39">
        <v>6</v>
      </c>
      <c r="B53" s="50" t="s">
        <v>60</v>
      </c>
      <c r="C53" s="85">
        <v>6112129</v>
      </c>
      <c r="D53" s="85">
        <v>4922550</v>
      </c>
      <c r="E53" s="85">
        <v>232150</v>
      </c>
      <c r="F53" s="85">
        <v>61040</v>
      </c>
      <c r="G53" s="85">
        <f t="shared" si="9"/>
        <v>-1018469</v>
      </c>
      <c r="H53" s="85">
        <v>66926</v>
      </c>
      <c r="I53" s="85">
        <f t="shared" si="10"/>
        <v>-951543</v>
      </c>
      <c r="J53" s="85">
        <v>1855.5088499999999</v>
      </c>
      <c r="K53" s="85">
        <v>5168.3058044999998</v>
      </c>
      <c r="L53" s="119">
        <f t="shared" si="11"/>
        <v>7023.8146545</v>
      </c>
      <c r="O53" s="60"/>
    </row>
    <row r="54" spans="1:15" s="7" customFormat="1">
      <c r="A54" s="39">
        <v>7</v>
      </c>
      <c r="B54" s="50" t="s">
        <v>61</v>
      </c>
      <c r="C54" s="85">
        <v>14240107</v>
      </c>
      <c r="D54" s="85">
        <v>9824596</v>
      </c>
      <c r="E54" s="85">
        <v>148350</v>
      </c>
      <c r="F54" s="85">
        <v>35890</v>
      </c>
      <c r="G54" s="85">
        <f t="shared" si="9"/>
        <v>-4303051</v>
      </c>
      <c r="H54" s="85">
        <v>65356</v>
      </c>
      <c r="I54" s="85">
        <f t="shared" si="10"/>
        <v>-4237695</v>
      </c>
      <c r="J54" s="85">
        <v>22036.014000000003</v>
      </c>
      <c r="K54" s="85">
        <v>61378.774380000017</v>
      </c>
      <c r="L54" s="119">
        <f t="shared" si="11"/>
        <v>83414.788380000013</v>
      </c>
      <c r="O54" s="60"/>
    </row>
    <row r="55" spans="1:15" s="7" customFormat="1">
      <c r="A55" s="39">
        <v>8</v>
      </c>
      <c r="B55" s="50" t="s">
        <v>62</v>
      </c>
      <c r="C55" s="85">
        <v>2362439</v>
      </c>
      <c r="D55" s="85">
        <v>2234395</v>
      </c>
      <c r="E55" s="85">
        <v>5000</v>
      </c>
      <c r="F55" s="85">
        <v>0</v>
      </c>
      <c r="G55" s="85">
        <f t="shared" si="9"/>
        <v>-123044</v>
      </c>
      <c r="H55" s="85">
        <v>48309</v>
      </c>
      <c r="I55" s="85">
        <f t="shared" si="10"/>
        <v>-74735</v>
      </c>
      <c r="J55" s="85">
        <v>97.155500000000004</v>
      </c>
      <c r="K55" s="85">
        <v>270.61543500000005</v>
      </c>
      <c r="L55" s="119">
        <f t="shared" si="11"/>
        <v>367.77093500000007</v>
      </c>
      <c r="O55" s="60"/>
    </row>
    <row r="56" spans="1:15" s="42" customFormat="1">
      <c r="A56" s="104">
        <v>9</v>
      </c>
      <c r="B56" s="105" t="s">
        <v>63</v>
      </c>
      <c r="C56" s="106">
        <v>2542211</v>
      </c>
      <c r="D56" s="106">
        <v>2557071</v>
      </c>
      <c r="E56" s="106">
        <v>0</v>
      </c>
      <c r="F56" s="106">
        <v>228140</v>
      </c>
      <c r="G56" s="106">
        <f t="shared" si="9"/>
        <v>-213280</v>
      </c>
      <c r="H56" s="106">
        <v>75040</v>
      </c>
      <c r="I56" s="106">
        <f t="shared" si="10"/>
        <v>-138240</v>
      </c>
      <c r="J56" s="106">
        <v>552.96</v>
      </c>
      <c r="K56" s="106">
        <v>1269.0432000000001</v>
      </c>
      <c r="L56" s="119"/>
      <c r="O56" s="107"/>
    </row>
    <row r="57" spans="1:15" s="7" customFormat="1">
      <c r="A57" s="80">
        <v>10</v>
      </c>
      <c r="B57" s="81" t="s">
        <v>64</v>
      </c>
      <c r="C57" s="86">
        <v>-900</v>
      </c>
      <c r="D57" s="86">
        <v>119760</v>
      </c>
      <c r="E57" s="86">
        <v>0</v>
      </c>
      <c r="F57" s="86">
        <v>0</v>
      </c>
      <c r="G57" s="86">
        <f t="shared" si="9"/>
        <v>120660</v>
      </c>
      <c r="H57" s="86">
        <v>0</v>
      </c>
      <c r="I57" s="86">
        <f t="shared" si="10"/>
        <v>120660</v>
      </c>
      <c r="J57" s="86"/>
      <c r="K57" s="86"/>
      <c r="L57" s="120"/>
      <c r="O57" s="60"/>
    </row>
    <row r="58" spans="1:15" s="42" customFormat="1">
      <c r="A58" s="104">
        <v>11</v>
      </c>
      <c r="B58" s="105" t="s">
        <v>65</v>
      </c>
      <c r="C58" s="106">
        <v>1116494</v>
      </c>
      <c r="D58" s="106">
        <v>1192310</v>
      </c>
      <c r="E58" s="106">
        <v>0</v>
      </c>
      <c r="F58" s="106">
        <v>207717</v>
      </c>
      <c r="G58" s="106">
        <f t="shared" si="9"/>
        <v>-131901</v>
      </c>
      <c r="H58" s="106">
        <v>14706.18</v>
      </c>
      <c r="I58" s="106">
        <f t="shared" si="10"/>
        <v>-117194.82</v>
      </c>
      <c r="J58" s="106">
        <v>1031.3144160000002</v>
      </c>
      <c r="K58" s="106">
        <v>2366.86658472</v>
      </c>
      <c r="L58" s="119"/>
      <c r="O58" s="107"/>
    </row>
    <row r="59" spans="1:15" s="7" customFormat="1">
      <c r="A59" s="39">
        <v>12</v>
      </c>
      <c r="B59" s="50" t="s">
        <v>66</v>
      </c>
      <c r="C59" s="85">
        <v>5910.9445609999993</v>
      </c>
      <c r="D59" s="85">
        <v>3808.3638780000001</v>
      </c>
      <c r="E59" s="85">
        <v>0</v>
      </c>
      <c r="F59" s="85">
        <v>0</v>
      </c>
      <c r="G59" s="85">
        <f t="shared" si="9"/>
        <v>-2102.5806829999992</v>
      </c>
      <c r="H59" s="85">
        <v>999</v>
      </c>
      <c r="I59" s="85">
        <f t="shared" si="10"/>
        <v>-1103.5806829999992</v>
      </c>
      <c r="J59" s="85">
        <v>1765.7290928</v>
      </c>
      <c r="K59" s="85">
        <v>15308.871234576001</v>
      </c>
      <c r="L59" s="119">
        <f>+J59+K59</f>
        <v>17074.600327376</v>
      </c>
      <c r="O59" s="60"/>
    </row>
    <row r="60" spans="1:15" s="7" customFormat="1">
      <c r="A60" s="39">
        <v>13</v>
      </c>
      <c r="B60" s="50" t="s">
        <v>107</v>
      </c>
      <c r="C60" s="85">
        <v>34124.964810000005</v>
      </c>
      <c r="D60" s="85">
        <v>9807.3393269999997</v>
      </c>
      <c r="E60" s="85">
        <v>0</v>
      </c>
      <c r="F60" s="85">
        <v>0</v>
      </c>
      <c r="G60" s="85">
        <f t="shared" si="9"/>
        <v>-24317.625483000003</v>
      </c>
      <c r="H60" s="85">
        <v>12564</v>
      </c>
      <c r="I60" s="85">
        <f t="shared" si="10"/>
        <v>-11753.625483000003</v>
      </c>
      <c r="J60" s="85">
        <v>1579.6872649152001</v>
      </c>
      <c r="K60" s="85">
        <v>9220.1080028883862</v>
      </c>
      <c r="L60" s="119">
        <f>+J60+K60</f>
        <v>10799.795267803587</v>
      </c>
      <c r="O60" s="60"/>
    </row>
    <row r="61" spans="1:15" s="7" customFormat="1">
      <c r="A61" s="82">
        <v>14</v>
      </c>
      <c r="B61" s="83" t="s">
        <v>68</v>
      </c>
      <c r="C61" s="87">
        <v>4604.3759899999986</v>
      </c>
      <c r="D61" s="87">
        <v>133810.08317999999</v>
      </c>
      <c r="E61" s="87">
        <v>0</v>
      </c>
      <c r="F61" s="87">
        <v>0</v>
      </c>
      <c r="G61" s="87">
        <f t="shared" si="9"/>
        <v>129205.70718999999</v>
      </c>
      <c r="H61" s="87">
        <v>498.15971999999999</v>
      </c>
      <c r="I61" s="87">
        <f t="shared" si="10"/>
        <v>129703.86690999998</v>
      </c>
      <c r="J61" s="87"/>
      <c r="K61" s="87"/>
      <c r="L61" s="119"/>
      <c r="O61" s="60"/>
    </row>
    <row r="62" spans="1:15" s="7" customFormat="1">
      <c r="A62" s="39">
        <v>15</v>
      </c>
      <c r="B62" s="50" t="s">
        <v>71</v>
      </c>
      <c r="C62" s="85">
        <v>849.46</v>
      </c>
      <c r="D62" s="85">
        <v>0</v>
      </c>
      <c r="E62" s="85">
        <v>0</v>
      </c>
      <c r="F62" s="85">
        <v>0</v>
      </c>
      <c r="G62" s="85">
        <f t="shared" si="9"/>
        <v>-849.46</v>
      </c>
      <c r="H62" s="85">
        <v>805</v>
      </c>
      <c r="I62" s="85">
        <f t="shared" si="10"/>
        <v>-44.460000000000036</v>
      </c>
      <c r="J62" s="85">
        <v>4.8600000000000003</v>
      </c>
      <c r="K62" s="85">
        <v>28.35</v>
      </c>
      <c r="L62" s="119">
        <f>+J62+K62</f>
        <v>33.21</v>
      </c>
      <c r="O62" s="60"/>
    </row>
    <row r="63" spans="1:15" s="7" customFormat="1" ht="14.25" thickBot="1">
      <c r="A63" s="40" t="s">
        <v>100</v>
      </c>
      <c r="B63" s="51"/>
      <c r="C63" s="88">
        <f t="shared" ref="C63:L63" si="12">SUM(C48:C62)</f>
        <v>46054773.745361</v>
      </c>
      <c r="D63" s="88">
        <f t="shared" si="12"/>
        <v>36524142.786385</v>
      </c>
      <c r="E63" s="88">
        <f t="shared" si="12"/>
        <v>536656</v>
      </c>
      <c r="F63" s="88">
        <f t="shared" si="12"/>
        <v>532787</v>
      </c>
      <c r="G63" s="88">
        <f t="shared" si="12"/>
        <v>-9526761.9589760024</v>
      </c>
      <c r="H63" s="88">
        <f t="shared" si="12"/>
        <v>2016486.33972</v>
      </c>
      <c r="I63" s="88">
        <f t="shared" si="12"/>
        <v>-7510275.619256</v>
      </c>
      <c r="J63" s="88">
        <f t="shared" si="12"/>
        <v>39741.704523715205</v>
      </c>
      <c r="K63" s="88">
        <f t="shared" si="12"/>
        <v>145141.42635968441</v>
      </c>
      <c r="L63" s="121">
        <f t="shared" si="12"/>
        <v>179662.94668267961</v>
      </c>
      <c r="O63" s="27"/>
    </row>
    <row r="64" spans="1:15" s="7" customFormat="1">
      <c r="A64" s="127" t="s">
        <v>197</v>
      </c>
      <c r="B64" s="117"/>
      <c r="C64" s="118"/>
      <c r="D64" s="118"/>
      <c r="E64" s="118"/>
      <c r="F64" s="118"/>
      <c r="G64" s="118"/>
      <c r="H64" s="109"/>
      <c r="I64" s="109"/>
      <c r="J64" s="109"/>
      <c r="K64" s="109"/>
      <c r="L64" s="109"/>
      <c r="O64" s="27"/>
    </row>
    <row r="65" spans="1:15" s="7" customFormat="1" ht="14.25" thickBot="1">
      <c r="A65" s="108"/>
      <c r="B65" s="52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O65" s="27"/>
    </row>
    <row r="66" spans="1:15" s="7" customFormat="1">
      <c r="A66" s="100" t="s">
        <v>186</v>
      </c>
      <c r="B66" s="75" t="s">
        <v>187</v>
      </c>
      <c r="C66" s="122" t="s">
        <v>188</v>
      </c>
      <c r="D66" s="122" t="s">
        <v>190</v>
      </c>
      <c r="E66" s="122" t="s">
        <v>189</v>
      </c>
      <c r="F66" s="122" t="s">
        <v>191</v>
      </c>
      <c r="G66" s="122" t="s">
        <v>192</v>
      </c>
      <c r="H66" s="123" t="s">
        <v>193</v>
      </c>
      <c r="I66" s="109"/>
      <c r="J66" s="109"/>
      <c r="K66" s="109"/>
      <c r="L66" s="109"/>
      <c r="O66" s="27"/>
    </row>
    <row r="67" spans="1:15" s="7" customFormat="1">
      <c r="A67" s="39">
        <v>1</v>
      </c>
      <c r="B67" s="50" t="s">
        <v>55</v>
      </c>
      <c r="C67" s="85">
        <v>108206</v>
      </c>
      <c r="D67" s="85">
        <v>82378</v>
      </c>
      <c r="E67" s="85">
        <f>+C67-D67</f>
        <v>25828</v>
      </c>
      <c r="F67" s="85">
        <v>85619</v>
      </c>
      <c r="G67" s="85">
        <f>+F67-E67</f>
        <v>59791</v>
      </c>
      <c r="H67" s="91">
        <v>10662</v>
      </c>
      <c r="I67" s="109"/>
      <c r="J67" s="109"/>
      <c r="K67" s="109"/>
      <c r="L67" s="109"/>
      <c r="O67" s="27"/>
    </row>
    <row r="68" spans="1:15" s="7" customFormat="1">
      <c r="A68" s="39">
        <v>2</v>
      </c>
      <c r="B68" s="50" t="s">
        <v>56</v>
      </c>
      <c r="C68" s="85">
        <v>221715</v>
      </c>
      <c r="D68" s="85">
        <v>53958</v>
      </c>
      <c r="E68" s="85">
        <f t="shared" ref="E68:E81" si="13">+C68-D68</f>
        <v>167757</v>
      </c>
      <c r="F68" s="85">
        <v>210727</v>
      </c>
      <c r="G68" s="85">
        <f t="shared" ref="G68:G81" si="14">+F68-E68</f>
        <v>42970</v>
      </c>
      <c r="H68" s="91">
        <v>61162</v>
      </c>
      <c r="I68" s="109"/>
      <c r="J68" s="109"/>
      <c r="K68" s="109"/>
      <c r="L68" s="109"/>
      <c r="O68" s="27"/>
    </row>
    <row r="69" spans="1:15" s="7" customFormat="1">
      <c r="A69" s="39">
        <v>3</v>
      </c>
      <c r="B69" s="50" t="s">
        <v>57</v>
      </c>
      <c r="C69" s="85">
        <v>741126</v>
      </c>
      <c r="D69" s="85">
        <f>698338-8000</f>
        <v>690338</v>
      </c>
      <c r="E69" s="85">
        <f t="shared" si="13"/>
        <v>50788</v>
      </c>
      <c r="F69" s="85">
        <v>146373</v>
      </c>
      <c r="G69" s="85">
        <f t="shared" si="14"/>
        <v>95585</v>
      </c>
      <c r="H69" s="91">
        <v>45683.000000000466</v>
      </c>
      <c r="I69" s="109"/>
      <c r="J69" s="109"/>
      <c r="K69" s="109"/>
      <c r="L69" s="109"/>
      <c r="O69" s="27"/>
    </row>
    <row r="70" spans="1:15" s="7" customFormat="1">
      <c r="A70" s="39">
        <v>4</v>
      </c>
      <c r="B70" s="50" t="s">
        <v>58</v>
      </c>
      <c r="C70" s="85">
        <v>1752684</v>
      </c>
      <c r="D70" s="85"/>
      <c r="E70" s="85">
        <f t="shared" si="13"/>
        <v>1752684</v>
      </c>
      <c r="F70" s="85">
        <v>1297710</v>
      </c>
      <c r="G70" s="85">
        <f t="shared" si="14"/>
        <v>-454974</v>
      </c>
      <c r="H70" s="91">
        <v>123492</v>
      </c>
      <c r="I70" s="109"/>
      <c r="J70" s="109"/>
      <c r="K70" s="109"/>
      <c r="L70" s="109"/>
      <c r="O70" s="27"/>
    </row>
    <row r="71" spans="1:15" s="7" customFormat="1">
      <c r="A71" s="39">
        <v>5</v>
      </c>
      <c r="B71" s="50" t="s">
        <v>59</v>
      </c>
      <c r="C71" s="85">
        <v>714595</v>
      </c>
      <c r="D71" s="85">
        <f>265500-65500</f>
        <v>200000</v>
      </c>
      <c r="E71" s="85">
        <f t="shared" si="13"/>
        <v>514595</v>
      </c>
      <c r="F71" s="85">
        <v>487901</v>
      </c>
      <c r="G71" s="85">
        <f t="shared" si="14"/>
        <v>-26694</v>
      </c>
      <c r="H71" s="91">
        <v>219928</v>
      </c>
      <c r="I71" s="109"/>
      <c r="J71" s="109"/>
      <c r="K71" s="109"/>
      <c r="L71" s="109"/>
      <c r="O71" s="27"/>
    </row>
    <row r="72" spans="1:15" s="7" customFormat="1">
      <c r="A72" s="39">
        <v>6</v>
      </c>
      <c r="B72" s="50" t="s">
        <v>60</v>
      </c>
      <c r="C72" s="85">
        <v>2521032</v>
      </c>
      <c r="D72" s="85">
        <v>1510000</v>
      </c>
      <c r="E72" s="85">
        <f t="shared" si="13"/>
        <v>1011032</v>
      </c>
      <c r="F72" s="85">
        <v>951543</v>
      </c>
      <c r="G72" s="85">
        <f t="shared" si="14"/>
        <v>-59489</v>
      </c>
      <c r="H72" s="91">
        <v>35785</v>
      </c>
      <c r="I72" s="109"/>
      <c r="J72" s="109"/>
      <c r="K72" s="109"/>
      <c r="L72" s="109"/>
      <c r="O72" s="27"/>
    </row>
    <row r="73" spans="1:15" s="7" customFormat="1">
      <c r="A73" s="39">
        <v>7</v>
      </c>
      <c r="B73" s="50" t="s">
        <v>61</v>
      </c>
      <c r="C73" s="85">
        <v>4562637</v>
      </c>
      <c r="D73" s="85">
        <f>2047000-47000</f>
        <v>2000000</v>
      </c>
      <c r="E73" s="85">
        <f t="shared" si="13"/>
        <v>2562637</v>
      </c>
      <c r="F73" s="85">
        <v>4237695</v>
      </c>
      <c r="G73" s="85">
        <f t="shared" si="14"/>
        <v>1675058</v>
      </c>
      <c r="H73" s="91">
        <v>294703</v>
      </c>
      <c r="I73" s="109"/>
      <c r="J73" s="109"/>
      <c r="K73" s="109"/>
      <c r="L73" s="109"/>
      <c r="O73" s="27"/>
    </row>
    <row r="74" spans="1:15" s="7" customFormat="1">
      <c r="A74" s="39">
        <v>8</v>
      </c>
      <c r="B74" s="50" t="s">
        <v>62</v>
      </c>
      <c r="C74" s="85">
        <v>187033</v>
      </c>
      <c r="D74" s="85">
        <f>250000-50000</f>
        <v>200000</v>
      </c>
      <c r="E74" s="85">
        <f t="shared" si="13"/>
        <v>-12967</v>
      </c>
      <c r="F74" s="85">
        <v>74735</v>
      </c>
      <c r="G74" s="85">
        <f t="shared" si="14"/>
        <v>87702</v>
      </c>
      <c r="H74" s="91">
        <v>10000</v>
      </c>
      <c r="I74" s="109"/>
      <c r="J74" s="109"/>
      <c r="K74" s="109"/>
      <c r="L74" s="109"/>
      <c r="O74" s="27"/>
    </row>
    <row r="75" spans="1:15" s="7" customFormat="1">
      <c r="A75" s="39">
        <v>9</v>
      </c>
      <c r="B75" s="50" t="s">
        <v>63</v>
      </c>
      <c r="C75" s="85">
        <v>0</v>
      </c>
      <c r="D75" s="85">
        <v>0</v>
      </c>
      <c r="E75" s="85">
        <v>0</v>
      </c>
      <c r="F75" s="85">
        <v>138240</v>
      </c>
      <c r="G75" s="85">
        <f t="shared" si="14"/>
        <v>138240</v>
      </c>
      <c r="H75" s="91">
        <v>5856</v>
      </c>
      <c r="I75" s="109"/>
      <c r="J75" s="109"/>
      <c r="K75" s="109"/>
      <c r="L75" s="109"/>
      <c r="O75" s="27"/>
    </row>
    <row r="76" spans="1:15" s="7" customFormat="1">
      <c r="A76" s="39">
        <v>10</v>
      </c>
      <c r="B76" s="50" t="s">
        <v>64</v>
      </c>
      <c r="C76" s="85">
        <v>0</v>
      </c>
      <c r="D76" s="85">
        <v>0</v>
      </c>
      <c r="E76" s="85">
        <f t="shared" si="13"/>
        <v>0</v>
      </c>
      <c r="F76" s="85">
        <v>0</v>
      </c>
      <c r="G76" s="85">
        <f t="shared" si="14"/>
        <v>0</v>
      </c>
      <c r="H76" s="91">
        <v>0</v>
      </c>
      <c r="I76" s="109"/>
      <c r="J76" s="109"/>
      <c r="K76" s="109"/>
      <c r="L76" s="109"/>
      <c r="O76" s="27"/>
    </row>
    <row r="77" spans="1:15" s="7" customFormat="1">
      <c r="A77" s="39">
        <v>11</v>
      </c>
      <c r="B77" s="50" t="s">
        <v>65</v>
      </c>
      <c r="C77" s="85">
        <v>169154</v>
      </c>
      <c r="D77" s="85">
        <v>11500</v>
      </c>
      <c r="E77" s="85">
        <f t="shared" si="13"/>
        <v>157654</v>
      </c>
      <c r="F77" s="85">
        <v>117194.82</v>
      </c>
      <c r="G77" s="85">
        <f t="shared" si="14"/>
        <v>-40459.179999999993</v>
      </c>
      <c r="H77" s="91">
        <v>7773.0000000002328</v>
      </c>
      <c r="I77" s="109"/>
      <c r="J77" s="109"/>
      <c r="K77" s="109"/>
      <c r="L77" s="109"/>
      <c r="O77" s="27"/>
    </row>
    <row r="78" spans="1:15" s="7" customFormat="1">
      <c r="A78" s="39">
        <v>12</v>
      </c>
      <c r="B78" s="50" t="s">
        <v>66</v>
      </c>
      <c r="C78" s="85">
        <v>2136.7594197053299</v>
      </c>
      <c r="D78" s="85">
        <v>1106.8699999999999</v>
      </c>
      <c r="E78" s="85">
        <f t="shared" si="13"/>
        <v>1029.8894197053301</v>
      </c>
      <c r="F78" s="85">
        <v>1103.5806829999999</v>
      </c>
      <c r="G78" s="85">
        <f t="shared" si="14"/>
        <v>73.691263294669852</v>
      </c>
      <c r="H78" s="91">
        <v>68</v>
      </c>
      <c r="I78" s="109"/>
      <c r="J78" s="109"/>
      <c r="K78" s="109"/>
      <c r="L78" s="109"/>
      <c r="O78" s="27"/>
    </row>
    <row r="79" spans="1:15" s="7" customFormat="1">
      <c r="A79" s="39">
        <v>13</v>
      </c>
      <c r="B79" s="50" t="s">
        <v>107</v>
      </c>
      <c r="C79" s="85">
        <v>18510</v>
      </c>
      <c r="D79" s="85">
        <v>11000</v>
      </c>
      <c r="E79" s="85">
        <f t="shared" si="13"/>
        <v>7510</v>
      </c>
      <c r="F79" s="85">
        <v>11753.625483</v>
      </c>
      <c r="G79" s="85">
        <f t="shared" si="14"/>
        <v>4243.6254829999998</v>
      </c>
      <c r="H79" s="91">
        <v>3246</v>
      </c>
      <c r="I79" s="109"/>
      <c r="J79" s="109"/>
      <c r="K79" s="109"/>
      <c r="L79" s="109"/>
      <c r="O79" s="27"/>
    </row>
    <row r="80" spans="1:15" s="7" customFormat="1">
      <c r="A80" s="39">
        <v>14</v>
      </c>
      <c r="B80" s="50" t="s">
        <v>68</v>
      </c>
      <c r="C80" s="85">
        <v>0</v>
      </c>
      <c r="D80" s="85">
        <v>0</v>
      </c>
      <c r="E80" s="85">
        <f t="shared" si="13"/>
        <v>0</v>
      </c>
      <c r="F80" s="85"/>
      <c r="G80" s="85">
        <f t="shared" si="14"/>
        <v>0</v>
      </c>
      <c r="H80" s="91">
        <v>10.307089999999999</v>
      </c>
      <c r="I80" s="109"/>
      <c r="J80" s="109"/>
      <c r="K80" s="109"/>
      <c r="L80" s="109"/>
      <c r="O80" s="27"/>
    </row>
    <row r="81" spans="1:15" s="7" customFormat="1" ht="14.25" thickBot="1">
      <c r="A81" s="40">
        <v>15</v>
      </c>
      <c r="B81" s="51" t="s">
        <v>71</v>
      </c>
      <c r="C81" s="88">
        <v>45</v>
      </c>
      <c r="D81" s="88">
        <v>0</v>
      </c>
      <c r="E81" s="88">
        <f t="shared" si="13"/>
        <v>45</v>
      </c>
      <c r="F81" s="88">
        <v>45</v>
      </c>
      <c r="G81" s="88">
        <f t="shared" si="14"/>
        <v>0</v>
      </c>
      <c r="H81" s="99">
        <v>0</v>
      </c>
      <c r="I81" s="109"/>
      <c r="J81" s="109"/>
      <c r="K81" s="109"/>
      <c r="L81" s="109"/>
      <c r="O81" s="27"/>
    </row>
    <row r="82" spans="1:15" s="7" customFormat="1" ht="8.25" customHeight="1">
      <c r="A82"/>
      <c r="B82" s="49"/>
    </row>
    <row r="83" spans="1:15" s="7" customFormat="1">
      <c r="A83" s="95" t="s">
        <v>163</v>
      </c>
      <c r="B83" s="49"/>
    </row>
    <row r="84" spans="1:15" s="7" customFormat="1">
      <c r="A84" s="53" t="s">
        <v>141</v>
      </c>
      <c r="B84" s="69" t="s">
        <v>117</v>
      </c>
      <c r="C84" s="54" t="s">
        <v>139</v>
      </c>
      <c r="D84" s="70" t="s">
        <v>164</v>
      </c>
      <c r="E84" s="55" t="s">
        <v>140</v>
      </c>
    </row>
    <row r="85" spans="1:15" s="7" customFormat="1">
      <c r="A85" s="71">
        <v>1</v>
      </c>
      <c r="B85" s="50" t="s">
        <v>55</v>
      </c>
      <c r="C85" s="128">
        <v>9023</v>
      </c>
      <c r="D85" s="128">
        <v>519</v>
      </c>
      <c r="E85" s="129">
        <v>1120</v>
      </c>
    </row>
    <row r="86" spans="1:15" s="7" customFormat="1">
      <c r="A86" s="56">
        <v>2</v>
      </c>
      <c r="B86" s="50" t="s">
        <v>56</v>
      </c>
      <c r="C86" s="128">
        <v>61044</v>
      </c>
      <c r="D86" s="128">
        <v>118</v>
      </c>
      <c r="E86" s="129">
        <v>0</v>
      </c>
    </row>
    <row r="87" spans="1:15" s="7" customFormat="1">
      <c r="A87" s="56">
        <v>3</v>
      </c>
      <c r="B87" s="50" t="s">
        <v>57</v>
      </c>
      <c r="C87" s="128">
        <v>43932.000000000466</v>
      </c>
      <c r="D87" s="128">
        <v>631</v>
      </c>
      <c r="E87" s="129">
        <v>1120</v>
      </c>
    </row>
    <row r="88" spans="1:15" s="7" customFormat="1">
      <c r="A88" s="56">
        <v>4</v>
      </c>
      <c r="B88" s="50" t="s">
        <v>58</v>
      </c>
      <c r="C88" s="128">
        <v>121848</v>
      </c>
      <c r="D88" s="128">
        <v>524</v>
      </c>
      <c r="E88" s="129">
        <v>1120</v>
      </c>
    </row>
    <row r="89" spans="1:15" s="7" customFormat="1">
      <c r="A89" s="56">
        <v>5</v>
      </c>
      <c r="B89" s="50" t="s">
        <v>59</v>
      </c>
      <c r="C89" s="128">
        <v>216426</v>
      </c>
      <c r="D89" s="128">
        <v>1262</v>
      </c>
      <c r="E89" s="129">
        <v>2240</v>
      </c>
    </row>
    <row r="90" spans="1:15" s="7" customFormat="1">
      <c r="A90" s="56">
        <v>6</v>
      </c>
      <c r="B90" s="50" t="s">
        <v>60</v>
      </c>
      <c r="C90" s="128">
        <v>33929</v>
      </c>
      <c r="D90" s="128">
        <v>736</v>
      </c>
      <c r="E90" s="129">
        <v>1120</v>
      </c>
    </row>
    <row r="91" spans="1:15" s="7" customFormat="1">
      <c r="A91" s="56">
        <v>7</v>
      </c>
      <c r="B91" s="50" t="s">
        <v>61</v>
      </c>
      <c r="C91" s="128">
        <v>292876</v>
      </c>
      <c r="D91" s="128">
        <v>707</v>
      </c>
      <c r="E91" s="129">
        <v>1120</v>
      </c>
    </row>
    <row r="92" spans="1:15" s="7" customFormat="1">
      <c r="A92" s="56">
        <v>8</v>
      </c>
      <c r="B92" s="50" t="s">
        <v>62</v>
      </c>
      <c r="C92" s="128">
        <v>8553</v>
      </c>
      <c r="D92" s="128">
        <v>327</v>
      </c>
      <c r="E92" s="129">
        <v>1120</v>
      </c>
    </row>
    <row r="93" spans="1:15" s="7" customFormat="1">
      <c r="A93" s="56">
        <v>9</v>
      </c>
      <c r="B93" s="50" t="s">
        <v>63</v>
      </c>
      <c r="C93" s="128">
        <v>4121</v>
      </c>
      <c r="D93" s="128">
        <v>615</v>
      </c>
      <c r="E93" s="129">
        <v>1120</v>
      </c>
    </row>
    <row r="94" spans="1:15" s="7" customFormat="1">
      <c r="A94" s="56">
        <v>10</v>
      </c>
      <c r="B94" s="50" t="s">
        <v>64</v>
      </c>
      <c r="C94" s="128"/>
      <c r="D94" s="128"/>
      <c r="E94" s="129"/>
    </row>
    <row r="95" spans="1:15" s="7" customFormat="1">
      <c r="A95" s="56">
        <v>11</v>
      </c>
      <c r="B95" s="50" t="s">
        <v>65</v>
      </c>
      <c r="C95" s="128">
        <v>7375.0000000002328</v>
      </c>
      <c r="D95" s="128">
        <v>398</v>
      </c>
      <c r="E95" s="129"/>
    </row>
    <row r="96" spans="1:15" s="7" customFormat="1">
      <c r="A96" s="56">
        <v>12</v>
      </c>
      <c r="B96" s="50" t="s">
        <v>66</v>
      </c>
      <c r="C96" s="128"/>
      <c r="D96" s="128"/>
      <c r="E96" s="129"/>
    </row>
    <row r="97" spans="1:11" s="7" customFormat="1">
      <c r="A97" s="56">
        <v>13</v>
      </c>
      <c r="B97" s="50" t="s">
        <v>107</v>
      </c>
      <c r="C97" s="128"/>
      <c r="D97" s="128">
        <v>1.3455900000000001</v>
      </c>
      <c r="E97" s="129">
        <v>4.5135999999999994</v>
      </c>
    </row>
    <row r="98" spans="1:11" s="7" customFormat="1">
      <c r="A98" s="56">
        <v>14</v>
      </c>
      <c r="B98" s="50" t="s">
        <v>68</v>
      </c>
      <c r="C98" s="128"/>
      <c r="D98" s="128">
        <v>3.083089999999999</v>
      </c>
      <c r="E98" s="129">
        <v>7.2240000000000002</v>
      </c>
    </row>
    <row r="99" spans="1:11" s="7" customFormat="1">
      <c r="A99" s="56">
        <v>15</v>
      </c>
      <c r="B99" s="50" t="s">
        <v>71</v>
      </c>
      <c r="C99" s="128"/>
      <c r="D99" s="128"/>
      <c r="E99" s="129"/>
    </row>
    <row r="100" spans="1:11" s="7" customFormat="1">
      <c r="A100" s="378" t="s">
        <v>142</v>
      </c>
      <c r="B100" s="379"/>
      <c r="C100" s="130">
        <f>SUM(C85:C99)</f>
        <v>799127.0000000007</v>
      </c>
      <c r="D100" s="130">
        <f>SUM(D85:D99)</f>
        <v>5841.42868</v>
      </c>
      <c r="E100" s="131">
        <f>SUM(E85:E99)</f>
        <v>10091.7376</v>
      </c>
    </row>
    <row r="101" spans="1:11" s="7" customFormat="1">
      <c r="B101" s="49"/>
      <c r="F101" s="30" t="s">
        <v>104</v>
      </c>
    </row>
    <row r="102" spans="1:11" s="7" customFormat="1">
      <c r="A102" s="7" t="s">
        <v>105</v>
      </c>
      <c r="B102" s="49"/>
      <c r="K102" s="7" t="s">
        <v>180</v>
      </c>
    </row>
    <row r="103" spans="1:11" s="7" customFormat="1">
      <c r="A103" s="53" t="s">
        <v>114</v>
      </c>
      <c r="B103" s="54" t="s">
        <v>108</v>
      </c>
      <c r="C103" s="54" t="s">
        <v>109</v>
      </c>
      <c r="D103" s="54" t="s">
        <v>111</v>
      </c>
      <c r="E103" s="54" t="s">
        <v>110</v>
      </c>
      <c r="F103" s="84" t="s">
        <v>112</v>
      </c>
    </row>
    <row r="104" spans="1:11" s="7" customFormat="1">
      <c r="A104" s="56">
        <v>1</v>
      </c>
      <c r="B104" s="50" t="s">
        <v>55</v>
      </c>
      <c r="C104" s="89">
        <v>3325</v>
      </c>
      <c r="D104" s="89">
        <v>2660</v>
      </c>
      <c r="E104" s="57">
        <v>0.2636</v>
      </c>
      <c r="F104" s="97">
        <f>+D104*E104</f>
        <v>701.17600000000004</v>
      </c>
    </row>
    <row r="105" spans="1:11" s="7" customFormat="1">
      <c r="A105" s="56">
        <v>2</v>
      </c>
      <c r="B105" s="50" t="s">
        <v>56</v>
      </c>
      <c r="C105" s="89">
        <v>103355</v>
      </c>
      <c r="D105" s="89">
        <v>7116.16</v>
      </c>
      <c r="E105" s="57">
        <v>0.19340000000000002</v>
      </c>
      <c r="F105" s="97">
        <f t="shared" ref="F105:F118" si="15">+D105*E105</f>
        <v>1376.2653440000001</v>
      </c>
    </row>
    <row r="106" spans="1:11" s="7" customFormat="1">
      <c r="A106" s="56">
        <v>3</v>
      </c>
      <c r="B106" s="50" t="s">
        <v>57</v>
      </c>
      <c r="C106" s="89">
        <v>165261</v>
      </c>
      <c r="D106" s="89">
        <v>18191.09</v>
      </c>
      <c r="E106" s="57">
        <v>0.19340000000000002</v>
      </c>
      <c r="F106" s="97">
        <f t="shared" si="15"/>
        <v>3518.1568060000004</v>
      </c>
    </row>
    <row r="107" spans="1:11" s="7" customFormat="1">
      <c r="A107" s="56">
        <v>4</v>
      </c>
      <c r="B107" s="50" t="s">
        <v>58</v>
      </c>
      <c r="C107" s="89">
        <v>1003444</v>
      </c>
      <c r="D107" s="89">
        <v>55382.310000000005</v>
      </c>
      <c r="E107" s="57">
        <v>0.19340000000000002</v>
      </c>
      <c r="F107" s="97">
        <f t="shared" si="15"/>
        <v>10710.938754000003</v>
      </c>
    </row>
    <row r="108" spans="1:11" s="7" customFormat="1">
      <c r="A108" s="56">
        <v>5</v>
      </c>
      <c r="B108" s="50" t="s">
        <v>59</v>
      </c>
      <c r="C108" s="89">
        <v>618969</v>
      </c>
      <c r="D108" s="89">
        <v>76924.26999999999</v>
      </c>
      <c r="E108" s="57">
        <v>0.19340000000000002</v>
      </c>
      <c r="F108" s="97">
        <f t="shared" si="15"/>
        <v>14877.153817999999</v>
      </c>
    </row>
    <row r="109" spans="1:11" s="7" customFormat="1">
      <c r="A109" s="56">
        <v>6</v>
      </c>
      <c r="B109" s="50" t="s">
        <v>60</v>
      </c>
      <c r="C109" s="89">
        <v>60749</v>
      </c>
      <c r="D109" s="89">
        <v>1646.76</v>
      </c>
      <c r="E109" s="57">
        <v>0.24605000000000002</v>
      </c>
      <c r="F109" s="97">
        <f t="shared" si="15"/>
        <v>405.18529800000005</v>
      </c>
    </row>
    <row r="110" spans="1:11" s="7" customFormat="1">
      <c r="A110" s="56">
        <v>7</v>
      </c>
      <c r="B110" s="50" t="s">
        <v>61</v>
      </c>
      <c r="C110" s="89">
        <v>24522</v>
      </c>
      <c r="D110" s="89">
        <v>1960.79</v>
      </c>
      <c r="E110" s="57">
        <v>0.24605000000000002</v>
      </c>
      <c r="F110" s="97">
        <f t="shared" si="15"/>
        <v>482.45237950000001</v>
      </c>
    </row>
    <row r="111" spans="1:11" s="7" customFormat="1">
      <c r="A111" s="56">
        <v>8</v>
      </c>
      <c r="B111" s="50" t="s">
        <v>62</v>
      </c>
      <c r="C111" s="89">
        <v>0</v>
      </c>
      <c r="D111" s="89">
        <v>0</v>
      </c>
      <c r="E111" s="57">
        <v>0.24605000000000002</v>
      </c>
      <c r="F111" s="97">
        <f t="shared" si="15"/>
        <v>0</v>
      </c>
    </row>
    <row r="112" spans="1:11" s="7" customFormat="1">
      <c r="A112" s="56">
        <v>9</v>
      </c>
      <c r="B112" s="50" t="s">
        <v>63</v>
      </c>
      <c r="C112" s="89">
        <v>66840</v>
      </c>
      <c r="D112" s="89">
        <v>2036.66</v>
      </c>
      <c r="E112" s="57">
        <v>0.2636</v>
      </c>
      <c r="F112" s="97">
        <f t="shared" si="15"/>
        <v>536.86357600000008</v>
      </c>
    </row>
    <row r="113" spans="1:256" s="7" customFormat="1">
      <c r="A113" s="56">
        <v>10</v>
      </c>
      <c r="B113" s="50" t="s">
        <v>64</v>
      </c>
      <c r="C113" s="89">
        <v>116154</v>
      </c>
      <c r="D113" s="89">
        <v>5467.8</v>
      </c>
      <c r="E113" s="57">
        <v>0.28700000000000003</v>
      </c>
      <c r="F113" s="97">
        <f t="shared" si="15"/>
        <v>1569.2586000000003</v>
      </c>
    </row>
    <row r="114" spans="1:256" s="7" customFormat="1">
      <c r="A114" s="56">
        <v>11</v>
      </c>
      <c r="B114" s="50" t="s">
        <v>65</v>
      </c>
      <c r="C114" s="89">
        <v>43600</v>
      </c>
      <c r="D114" s="89">
        <v>3936.8</v>
      </c>
      <c r="E114" s="57">
        <v>0.2636</v>
      </c>
      <c r="F114" s="97">
        <f t="shared" si="15"/>
        <v>1037.7404800000002</v>
      </c>
    </row>
    <row r="115" spans="1:256" s="7" customFormat="1">
      <c r="A115" s="56">
        <v>12</v>
      </c>
      <c r="B115" s="50" t="s">
        <v>66</v>
      </c>
      <c r="C115" s="89">
        <v>68</v>
      </c>
      <c r="D115" s="89">
        <v>2600</v>
      </c>
      <c r="E115" s="57">
        <v>0.19340000000000002</v>
      </c>
      <c r="F115" s="97">
        <f t="shared" si="15"/>
        <v>502.84000000000003</v>
      </c>
    </row>
    <row r="116" spans="1:256" s="7" customFormat="1">
      <c r="A116" s="56">
        <v>13</v>
      </c>
      <c r="B116" s="50" t="s">
        <v>107</v>
      </c>
      <c r="C116" s="89">
        <v>3246</v>
      </c>
      <c r="D116" s="89">
        <v>0</v>
      </c>
      <c r="E116" s="57">
        <v>0.2051</v>
      </c>
      <c r="F116" s="97">
        <f t="shared" si="15"/>
        <v>0</v>
      </c>
    </row>
    <row r="117" spans="1:256" s="7" customFormat="1">
      <c r="A117" s="56">
        <v>14</v>
      </c>
      <c r="B117" s="50" t="s">
        <v>68</v>
      </c>
      <c r="C117" s="89">
        <v>0</v>
      </c>
      <c r="D117" s="89">
        <v>0</v>
      </c>
      <c r="E117" s="57">
        <v>0.28700000000000003</v>
      </c>
      <c r="F117" s="97">
        <f t="shared" si="15"/>
        <v>0</v>
      </c>
    </row>
    <row r="118" spans="1:256" s="7" customFormat="1">
      <c r="A118" s="56">
        <v>15</v>
      </c>
      <c r="B118" s="50" t="s">
        <v>71</v>
      </c>
      <c r="C118" s="89">
        <v>0</v>
      </c>
      <c r="D118" s="89">
        <v>0</v>
      </c>
      <c r="E118" s="57">
        <v>0.2051</v>
      </c>
      <c r="F118" s="97">
        <f t="shared" si="15"/>
        <v>0</v>
      </c>
    </row>
    <row r="119" spans="1:256" s="7" customFormat="1">
      <c r="A119" s="378" t="s">
        <v>113</v>
      </c>
      <c r="B119" s="379"/>
      <c r="C119" s="96">
        <f>SUBTOTAL(9,C104:C118)</f>
        <v>2209533</v>
      </c>
      <c r="D119" s="96">
        <f>SUBTOTAL(9,D104:D118)</f>
        <v>177922.63999999998</v>
      </c>
      <c r="E119" s="58"/>
      <c r="F119" s="98">
        <f>SUBTOTAL(9,F104:F118)</f>
        <v>35718.031055499996</v>
      </c>
    </row>
    <row r="120" spans="1:256" s="7" customFormat="1">
      <c r="B120" s="49"/>
    </row>
    <row r="121" spans="1:256" s="7" customFormat="1">
      <c r="B121" s="49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s="7" customFormat="1">
      <c r="A122" s="7" t="s">
        <v>106</v>
      </c>
      <c r="B122" s="49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s="7" customFormat="1">
      <c r="A123" s="7" t="s">
        <v>116</v>
      </c>
      <c r="B123" s="49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s="7" customFormat="1" ht="14.25" thickBot="1">
      <c r="A124" s="7" t="s">
        <v>171</v>
      </c>
      <c r="B124" s="49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s="7" customFormat="1">
      <c r="A125" s="74" t="s">
        <v>165</v>
      </c>
      <c r="B125" s="75" t="s">
        <v>166</v>
      </c>
      <c r="C125" s="72" t="s">
        <v>167</v>
      </c>
      <c r="D125" s="364" t="s">
        <v>172</v>
      </c>
      <c r="E125" s="364"/>
      <c r="F125" s="364"/>
      <c r="G125" s="364"/>
      <c r="H125" s="364"/>
      <c r="I125" s="370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7" customFormat="1">
      <c r="A126" s="12">
        <v>1</v>
      </c>
      <c r="B126" s="50" t="s">
        <v>168</v>
      </c>
      <c r="C126" s="89">
        <v>82378</v>
      </c>
      <c r="D126" s="382" t="s">
        <v>174</v>
      </c>
      <c r="E126" s="382"/>
      <c r="F126" s="382"/>
      <c r="G126" s="382"/>
      <c r="H126" s="382"/>
      <c r="I126" s="383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7" customFormat="1">
      <c r="A127" s="12">
        <v>2</v>
      </c>
      <c r="B127" s="50" t="s">
        <v>169</v>
      </c>
      <c r="C127" s="89">
        <v>53958</v>
      </c>
      <c r="D127" s="382" t="s">
        <v>173</v>
      </c>
      <c r="E127" s="382"/>
      <c r="F127" s="382"/>
      <c r="G127" s="382"/>
      <c r="H127" s="382"/>
      <c r="I127" s="383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7" customFormat="1" ht="14.25" thickBot="1">
      <c r="A128" s="15">
        <v>3</v>
      </c>
      <c r="B128" s="51" t="s">
        <v>170</v>
      </c>
      <c r="C128" s="90">
        <v>690338</v>
      </c>
      <c r="D128" s="384"/>
      <c r="E128" s="384"/>
      <c r="F128" s="384"/>
      <c r="G128" s="384"/>
      <c r="H128" s="384"/>
      <c r="I128" s="385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7" customFormat="1">
      <c r="B129" s="4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7" customFormat="1">
      <c r="A130" s="7" t="s">
        <v>175</v>
      </c>
      <c r="B130" s="49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7" customFormat="1">
      <c r="A131" s="7" t="s">
        <v>176</v>
      </c>
      <c r="B131" s="49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7" customFormat="1">
      <c r="A132" s="7" t="s">
        <v>177</v>
      </c>
      <c r="B132" s="49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7" customFormat="1">
      <c r="B133" s="49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7" customFormat="1" ht="14.25" thickBot="1">
      <c r="A134" s="7" t="s">
        <v>178</v>
      </c>
      <c r="B134" s="49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7" customFormat="1">
      <c r="A135" s="368" t="s">
        <v>131</v>
      </c>
      <c r="B135" s="364"/>
      <c r="C135" s="364"/>
      <c r="D135" s="364" t="s">
        <v>132</v>
      </c>
      <c r="E135" s="364"/>
      <c r="F135" s="370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7" customFormat="1">
      <c r="A136" s="2" t="s">
        <v>118</v>
      </c>
      <c r="B136" s="76" t="s">
        <v>117</v>
      </c>
      <c r="C136" s="3" t="s">
        <v>130</v>
      </c>
      <c r="D136" s="3" t="s">
        <v>118</v>
      </c>
      <c r="E136" s="76" t="s">
        <v>117</v>
      </c>
      <c r="F136" s="6" t="s">
        <v>130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7" customFormat="1">
      <c r="A137" s="12">
        <v>1</v>
      </c>
      <c r="B137" s="50" t="s">
        <v>119</v>
      </c>
      <c r="C137" s="89">
        <v>2757842</v>
      </c>
      <c r="D137" s="3">
        <v>1</v>
      </c>
      <c r="E137" s="62" t="s">
        <v>55</v>
      </c>
      <c r="F137" s="91">
        <v>2757842</v>
      </c>
    </row>
    <row r="138" spans="1:256" s="7" customFormat="1">
      <c r="A138" s="12">
        <v>2</v>
      </c>
      <c r="B138" s="50" t="s">
        <v>119</v>
      </c>
      <c r="C138" s="89">
        <v>158445</v>
      </c>
      <c r="D138" s="3">
        <v>2</v>
      </c>
      <c r="E138" s="62" t="s">
        <v>55</v>
      </c>
      <c r="F138" s="91">
        <v>158445</v>
      </c>
    </row>
    <row r="139" spans="1:256" s="7" customFormat="1">
      <c r="A139" s="12">
        <v>3</v>
      </c>
      <c r="B139" s="50" t="s">
        <v>120</v>
      </c>
      <c r="C139" s="89">
        <v>573566</v>
      </c>
      <c r="D139" s="3">
        <v>3</v>
      </c>
      <c r="E139" s="62" t="s">
        <v>56</v>
      </c>
      <c r="F139" s="91">
        <v>573566</v>
      </c>
    </row>
    <row r="140" spans="1:256" s="7" customFormat="1">
      <c r="A140" s="12">
        <v>4</v>
      </c>
      <c r="B140" s="50" t="s">
        <v>120</v>
      </c>
      <c r="C140" s="89">
        <v>268786</v>
      </c>
      <c r="D140" s="3">
        <v>4</v>
      </c>
      <c r="E140" s="62" t="s">
        <v>56</v>
      </c>
      <c r="F140" s="91">
        <v>268786</v>
      </c>
    </row>
    <row r="141" spans="1:256" s="7" customFormat="1">
      <c r="A141" s="12">
        <v>5</v>
      </c>
      <c r="B141" s="50" t="s">
        <v>120</v>
      </c>
      <c r="C141" s="89">
        <v>70005</v>
      </c>
      <c r="D141" s="3">
        <v>5</v>
      </c>
      <c r="E141" s="62" t="s">
        <v>56</v>
      </c>
      <c r="F141" s="91">
        <v>70005</v>
      </c>
    </row>
    <row r="142" spans="1:256" s="7" customFormat="1">
      <c r="A142" s="12">
        <v>6</v>
      </c>
      <c r="B142" s="50" t="s">
        <v>121</v>
      </c>
      <c r="C142" s="89">
        <v>243419</v>
      </c>
      <c r="D142" s="365">
        <v>6</v>
      </c>
      <c r="E142" s="380" t="s">
        <v>57</v>
      </c>
      <c r="F142" s="381">
        <v>276385</v>
      </c>
    </row>
    <row r="143" spans="1:256" s="7" customFormat="1">
      <c r="A143" s="12">
        <v>38</v>
      </c>
      <c r="B143" s="50" t="s">
        <v>121</v>
      </c>
      <c r="C143" s="89">
        <v>32966</v>
      </c>
      <c r="D143" s="365"/>
      <c r="E143" s="380"/>
      <c r="F143" s="381"/>
    </row>
    <row r="144" spans="1:256" s="7" customFormat="1">
      <c r="A144" s="12">
        <v>7</v>
      </c>
      <c r="B144" s="50" t="s">
        <v>121</v>
      </c>
      <c r="C144" s="89">
        <v>2500611</v>
      </c>
      <c r="D144" s="365">
        <v>7</v>
      </c>
      <c r="E144" s="380" t="s">
        <v>57</v>
      </c>
      <c r="F144" s="381">
        <v>2990703</v>
      </c>
    </row>
    <row r="145" spans="1:6" s="7" customFormat="1">
      <c r="A145" s="12">
        <v>39</v>
      </c>
      <c r="B145" s="50" t="s">
        <v>121</v>
      </c>
      <c r="C145" s="89">
        <v>490092</v>
      </c>
      <c r="D145" s="365"/>
      <c r="E145" s="380"/>
      <c r="F145" s="381"/>
    </row>
    <row r="146" spans="1:6" s="7" customFormat="1">
      <c r="A146" s="12">
        <v>8</v>
      </c>
      <c r="B146" s="50" t="s">
        <v>121</v>
      </c>
      <c r="C146" s="89">
        <v>85374</v>
      </c>
      <c r="D146" s="365">
        <v>8</v>
      </c>
      <c r="E146" s="380" t="s">
        <v>57</v>
      </c>
      <c r="F146" s="381">
        <v>987300</v>
      </c>
    </row>
    <row r="147" spans="1:6" s="7" customFormat="1">
      <c r="A147" s="12">
        <v>40</v>
      </c>
      <c r="B147" s="50" t="s">
        <v>121</v>
      </c>
      <c r="C147" s="89">
        <v>901926</v>
      </c>
      <c r="D147" s="365"/>
      <c r="E147" s="380"/>
      <c r="F147" s="381"/>
    </row>
    <row r="148" spans="1:6" s="7" customFormat="1">
      <c r="A148" s="12">
        <v>34</v>
      </c>
      <c r="B148" s="50" t="s">
        <v>121</v>
      </c>
      <c r="C148" s="89">
        <v>274</v>
      </c>
      <c r="D148" s="365">
        <v>9</v>
      </c>
      <c r="E148" s="380" t="s">
        <v>57</v>
      </c>
      <c r="F148" s="381">
        <v>8423</v>
      </c>
    </row>
    <row r="149" spans="1:6" s="7" customFormat="1">
      <c r="A149" s="12">
        <v>41</v>
      </c>
      <c r="B149" s="50" t="s">
        <v>121</v>
      </c>
      <c r="C149" s="89">
        <v>8149</v>
      </c>
      <c r="D149" s="365"/>
      <c r="E149" s="380"/>
      <c r="F149" s="381"/>
    </row>
    <row r="150" spans="1:6" s="7" customFormat="1">
      <c r="A150" s="12">
        <v>9</v>
      </c>
      <c r="B150" s="50" t="s">
        <v>122</v>
      </c>
      <c r="C150" s="89">
        <v>1595332</v>
      </c>
      <c r="D150" s="3">
        <v>10</v>
      </c>
      <c r="E150" s="62" t="s">
        <v>58</v>
      </c>
      <c r="F150" s="91">
        <v>1595332</v>
      </c>
    </row>
    <row r="151" spans="1:6" s="7" customFormat="1">
      <c r="A151" s="12">
        <v>10</v>
      </c>
      <c r="B151" s="50" t="s">
        <v>122</v>
      </c>
      <c r="C151" s="89">
        <v>1864874</v>
      </c>
      <c r="D151" s="3">
        <v>11</v>
      </c>
      <c r="E151" s="62" t="s">
        <v>58</v>
      </c>
      <c r="F151" s="91">
        <v>1864874</v>
      </c>
    </row>
    <row r="152" spans="1:6" s="7" customFormat="1">
      <c r="A152" s="12">
        <v>11</v>
      </c>
      <c r="B152" s="50" t="s">
        <v>122</v>
      </c>
      <c r="C152" s="89">
        <v>232519</v>
      </c>
      <c r="D152" s="3">
        <v>12</v>
      </c>
      <c r="E152" s="62" t="s">
        <v>58</v>
      </c>
      <c r="F152" s="91">
        <v>232519</v>
      </c>
    </row>
    <row r="153" spans="1:6" s="7" customFormat="1">
      <c r="A153" s="12">
        <v>12</v>
      </c>
      <c r="B153" s="50" t="s">
        <v>123</v>
      </c>
      <c r="C153" s="89">
        <v>3024346</v>
      </c>
      <c r="D153" s="401">
        <v>13</v>
      </c>
      <c r="E153" s="404" t="s">
        <v>59</v>
      </c>
      <c r="F153" s="402">
        <v>4991211</v>
      </c>
    </row>
    <row r="154" spans="1:6" s="7" customFormat="1">
      <c r="A154" s="12">
        <v>42</v>
      </c>
      <c r="B154" s="50" t="s">
        <v>123</v>
      </c>
      <c r="C154" s="89">
        <v>1966865</v>
      </c>
      <c r="D154" s="367"/>
      <c r="E154" s="405"/>
      <c r="F154" s="403"/>
    </row>
    <row r="155" spans="1:6" s="7" customFormat="1">
      <c r="A155" s="12">
        <v>13</v>
      </c>
      <c r="B155" s="50" t="s">
        <v>123</v>
      </c>
      <c r="C155" s="89">
        <v>432455</v>
      </c>
      <c r="D155" s="401">
        <v>14</v>
      </c>
      <c r="E155" s="404" t="s">
        <v>59</v>
      </c>
      <c r="F155" s="402">
        <v>3460372</v>
      </c>
    </row>
    <row r="156" spans="1:6" s="7" customFormat="1">
      <c r="A156" s="12">
        <v>43</v>
      </c>
      <c r="B156" s="50" t="s">
        <v>123</v>
      </c>
      <c r="C156" s="89">
        <v>3027917</v>
      </c>
      <c r="D156" s="367"/>
      <c r="E156" s="405"/>
      <c r="F156" s="403"/>
    </row>
    <row r="157" spans="1:6" s="7" customFormat="1">
      <c r="A157" s="12">
        <v>35</v>
      </c>
      <c r="B157" s="50" t="s">
        <v>123</v>
      </c>
      <c r="C157" s="89">
        <v>109548</v>
      </c>
      <c r="D157" s="401">
        <v>15</v>
      </c>
      <c r="E157" s="404" t="s">
        <v>59</v>
      </c>
      <c r="F157" s="402">
        <v>130246</v>
      </c>
    </row>
    <row r="158" spans="1:6" s="7" customFormat="1">
      <c r="A158" s="12">
        <v>44</v>
      </c>
      <c r="B158" s="50" t="s">
        <v>123</v>
      </c>
      <c r="C158" s="89">
        <v>20698</v>
      </c>
      <c r="D158" s="367"/>
      <c r="E158" s="405"/>
      <c r="F158" s="403"/>
    </row>
    <row r="159" spans="1:6" s="7" customFormat="1">
      <c r="A159" s="12">
        <v>14</v>
      </c>
      <c r="B159" s="50" t="s">
        <v>124</v>
      </c>
      <c r="C159" s="89">
        <v>2214596</v>
      </c>
      <c r="D159" s="3">
        <v>16</v>
      </c>
      <c r="E159" s="62" t="s">
        <v>60</v>
      </c>
      <c r="F159" s="91">
        <v>2214596</v>
      </c>
    </row>
    <row r="160" spans="1:6" s="7" customFormat="1">
      <c r="A160" s="12">
        <v>15</v>
      </c>
      <c r="B160" s="63" t="s">
        <v>124</v>
      </c>
      <c r="C160" s="89">
        <v>4067967</v>
      </c>
      <c r="D160" s="3">
        <v>17</v>
      </c>
      <c r="E160" s="62" t="s">
        <v>60</v>
      </c>
      <c r="F160" s="91">
        <v>4067967</v>
      </c>
    </row>
    <row r="161" spans="1:256" s="7" customFormat="1">
      <c r="A161" s="12">
        <v>16</v>
      </c>
      <c r="B161" s="63" t="s">
        <v>124</v>
      </c>
      <c r="C161" s="89">
        <v>203544</v>
      </c>
      <c r="D161" s="3">
        <v>18</v>
      </c>
      <c r="E161" s="62" t="s">
        <v>60</v>
      </c>
      <c r="F161" s="91">
        <v>203544</v>
      </c>
    </row>
    <row r="162" spans="1:256" s="7" customFormat="1">
      <c r="A162" s="12">
        <v>45</v>
      </c>
      <c r="B162" s="50" t="s">
        <v>124</v>
      </c>
      <c r="C162" s="89">
        <v>30446</v>
      </c>
      <c r="D162" s="3">
        <v>19</v>
      </c>
      <c r="E162" s="62" t="s">
        <v>60</v>
      </c>
      <c r="F162" s="91">
        <v>30446</v>
      </c>
    </row>
    <row r="163" spans="1:256" s="7" customFormat="1">
      <c r="A163" s="12">
        <v>17</v>
      </c>
      <c r="B163" s="63" t="s">
        <v>125</v>
      </c>
      <c r="C163" s="89">
        <v>2263864</v>
      </c>
      <c r="D163" s="3">
        <v>20</v>
      </c>
      <c r="E163" s="62" t="s">
        <v>61</v>
      </c>
      <c r="F163" s="91">
        <v>2263864</v>
      </c>
    </row>
    <row r="164" spans="1:256" s="7" customFormat="1">
      <c r="A164" s="12">
        <v>18</v>
      </c>
      <c r="B164" s="63" t="s">
        <v>125</v>
      </c>
      <c r="C164" s="89">
        <v>5581471</v>
      </c>
      <c r="D164" s="3">
        <v>21</v>
      </c>
      <c r="E164" s="62" t="s">
        <v>61</v>
      </c>
      <c r="F164" s="91">
        <v>5581471</v>
      </c>
    </row>
    <row r="165" spans="1:256" s="7" customFormat="1">
      <c r="A165" s="12">
        <v>19</v>
      </c>
      <c r="B165" s="63" t="s">
        <v>125</v>
      </c>
      <c r="C165" s="89">
        <v>6061573</v>
      </c>
      <c r="D165" s="3">
        <v>22</v>
      </c>
      <c r="E165" s="62" t="s">
        <v>61</v>
      </c>
      <c r="F165" s="91">
        <v>6061573</v>
      </c>
    </row>
    <row r="166" spans="1:256" s="7" customFormat="1">
      <c r="A166" s="12">
        <v>20</v>
      </c>
      <c r="B166" s="63" t="s">
        <v>126</v>
      </c>
      <c r="C166" s="89">
        <v>2141060</v>
      </c>
      <c r="D166" s="3">
        <v>23</v>
      </c>
      <c r="E166" s="62" t="s">
        <v>62</v>
      </c>
      <c r="F166" s="91">
        <v>2141060</v>
      </c>
    </row>
    <row r="167" spans="1:256" s="7" customFormat="1">
      <c r="A167" s="12">
        <v>21</v>
      </c>
      <c r="B167" s="50" t="s">
        <v>126</v>
      </c>
      <c r="C167" s="89">
        <v>5193</v>
      </c>
      <c r="D167" s="3">
        <v>24</v>
      </c>
      <c r="E167" s="62" t="s">
        <v>62</v>
      </c>
      <c r="F167" s="91">
        <v>5193</v>
      </c>
    </row>
    <row r="168" spans="1:256" s="7" customFormat="1">
      <c r="A168" s="12">
        <v>22</v>
      </c>
      <c r="B168" s="66" t="s">
        <v>127</v>
      </c>
      <c r="C168" s="89">
        <v>2926450</v>
      </c>
      <c r="D168" s="3">
        <v>25</v>
      </c>
      <c r="E168" s="62" t="s">
        <v>63</v>
      </c>
      <c r="F168" s="91">
        <v>2926450</v>
      </c>
    </row>
    <row r="169" spans="1:256" s="7" customFormat="1">
      <c r="A169" s="12">
        <v>23</v>
      </c>
      <c r="B169" s="50" t="s">
        <v>127</v>
      </c>
      <c r="C169" s="89">
        <v>-338990</v>
      </c>
      <c r="D169" s="3">
        <v>26</v>
      </c>
      <c r="E169" s="62" t="s">
        <v>63</v>
      </c>
      <c r="F169" s="91"/>
    </row>
    <row r="170" spans="1:256" s="7" customFormat="1">
      <c r="A170" s="12">
        <v>24</v>
      </c>
      <c r="B170" s="50" t="s">
        <v>127</v>
      </c>
      <c r="C170" s="89">
        <v>183860</v>
      </c>
      <c r="D170" s="3">
        <v>27</v>
      </c>
      <c r="E170" s="62" t="s">
        <v>63</v>
      </c>
      <c r="F170" s="91">
        <v>183860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7" customFormat="1">
      <c r="A171" s="12">
        <v>25</v>
      </c>
      <c r="B171" s="50" t="s">
        <v>128</v>
      </c>
      <c r="C171" s="89">
        <v>0</v>
      </c>
      <c r="D171" s="3">
        <v>28</v>
      </c>
      <c r="E171" s="62" t="s">
        <v>64</v>
      </c>
      <c r="F171" s="91">
        <v>0</v>
      </c>
      <c r="I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7" customFormat="1">
      <c r="A172" s="12">
        <v>26</v>
      </c>
      <c r="B172" s="50" t="s">
        <v>128</v>
      </c>
      <c r="C172" s="89">
        <v>0</v>
      </c>
      <c r="D172" s="3">
        <v>29</v>
      </c>
      <c r="E172" s="62" t="s">
        <v>64</v>
      </c>
      <c r="F172" s="91">
        <v>0</v>
      </c>
      <c r="I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7" customFormat="1">
      <c r="A173" s="12">
        <v>36</v>
      </c>
      <c r="B173" s="50" t="s">
        <v>128</v>
      </c>
      <c r="C173" s="89">
        <v>0</v>
      </c>
      <c r="D173" s="3">
        <v>30</v>
      </c>
      <c r="E173" s="62" t="s">
        <v>64</v>
      </c>
      <c r="F173" s="91">
        <v>0</v>
      </c>
    </row>
    <row r="174" spans="1:256" s="7" customFormat="1">
      <c r="A174" s="12">
        <v>27</v>
      </c>
      <c r="B174" s="50" t="s">
        <v>129</v>
      </c>
      <c r="C174" s="89">
        <v>368228</v>
      </c>
      <c r="D174" s="3">
        <v>31</v>
      </c>
      <c r="E174" s="62" t="s">
        <v>65</v>
      </c>
      <c r="F174" s="91">
        <v>368228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7" customFormat="1" ht="14.25" customHeight="1">
      <c r="A175" s="12">
        <v>28</v>
      </c>
      <c r="B175" s="50" t="s">
        <v>129</v>
      </c>
      <c r="C175" s="89">
        <v>53863</v>
      </c>
      <c r="D175" s="3">
        <v>32</v>
      </c>
      <c r="E175" s="62" t="s">
        <v>65</v>
      </c>
      <c r="F175" s="91">
        <v>53863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7" customFormat="1">
      <c r="A176" s="12">
        <v>29</v>
      </c>
      <c r="B176" s="50" t="s">
        <v>66</v>
      </c>
      <c r="C176" s="89">
        <v>6109.94</v>
      </c>
      <c r="D176" s="3">
        <v>33</v>
      </c>
      <c r="E176" s="62" t="s">
        <v>66</v>
      </c>
      <c r="F176" s="91">
        <v>6109.94</v>
      </c>
      <c r="H176"/>
      <c r="J176"/>
      <c r="K176"/>
      <c r="L176"/>
      <c r="M176"/>
      <c r="N176"/>
      <c r="O176"/>
    </row>
    <row r="177" spans="1:15" s="7" customFormat="1">
      <c r="A177" s="12">
        <v>30</v>
      </c>
      <c r="B177" s="50" t="s">
        <v>107</v>
      </c>
      <c r="C177" s="89">
        <v>21498.61</v>
      </c>
      <c r="D177" s="3">
        <v>34</v>
      </c>
      <c r="E177" s="62" t="s">
        <v>107</v>
      </c>
      <c r="F177" s="91">
        <v>21498.61</v>
      </c>
      <c r="H177"/>
      <c r="J177"/>
      <c r="K177"/>
      <c r="L177"/>
      <c r="M177"/>
      <c r="N177"/>
      <c r="O177"/>
    </row>
    <row r="178" spans="1:15" s="7" customFormat="1">
      <c r="A178" s="12">
        <v>31</v>
      </c>
      <c r="B178" s="50" t="s">
        <v>68</v>
      </c>
      <c r="C178" s="89">
        <v>-40622.61</v>
      </c>
      <c r="D178" s="3">
        <v>36</v>
      </c>
      <c r="E178" s="62" t="s">
        <v>68</v>
      </c>
      <c r="F178" s="91"/>
      <c r="H178"/>
      <c r="J178"/>
      <c r="K178"/>
      <c r="L178"/>
      <c r="M178"/>
      <c r="N178"/>
      <c r="O178"/>
    </row>
    <row r="179" spans="1:15" s="7" customFormat="1" ht="14.25" thickBot="1">
      <c r="A179" s="15">
        <v>37</v>
      </c>
      <c r="B179" s="51" t="s">
        <v>71</v>
      </c>
      <c r="C179" s="90">
        <v>849.46</v>
      </c>
      <c r="D179" s="64">
        <v>35</v>
      </c>
      <c r="E179" s="65" t="s">
        <v>71</v>
      </c>
      <c r="F179" s="99">
        <v>849.46</v>
      </c>
    </row>
    <row r="180" spans="1:15" s="7" customFormat="1">
      <c r="B180" s="49"/>
    </row>
    <row r="181" spans="1:15" s="7" customFormat="1" ht="14.25" thickBot="1">
      <c r="A181" s="7" t="s">
        <v>179</v>
      </c>
      <c r="K181" s="30"/>
    </row>
    <row r="182" spans="1:15" s="7" customFormat="1">
      <c r="A182" s="74" t="s">
        <v>2</v>
      </c>
      <c r="B182" s="75" t="s">
        <v>117</v>
      </c>
      <c r="C182" s="101" t="s">
        <v>183</v>
      </c>
      <c r="D182" s="102" t="s">
        <v>184</v>
      </c>
      <c r="E182" s="103" t="s">
        <v>185</v>
      </c>
      <c r="F182" s="72" t="s">
        <v>134</v>
      </c>
      <c r="G182" s="72" t="s">
        <v>135</v>
      </c>
      <c r="H182" s="72" t="s">
        <v>136</v>
      </c>
      <c r="I182" s="72" t="s">
        <v>137</v>
      </c>
      <c r="J182" s="72" t="s">
        <v>138</v>
      </c>
      <c r="K182" s="124" t="s">
        <v>182</v>
      </c>
    </row>
    <row r="183" spans="1:15" s="7" customFormat="1">
      <c r="A183" s="12">
        <v>1</v>
      </c>
      <c r="B183" s="50" t="s">
        <v>55</v>
      </c>
      <c r="C183" s="89">
        <v>2757842</v>
      </c>
      <c r="D183" s="85">
        <v>1533235</v>
      </c>
      <c r="E183" s="85">
        <v>2001478</v>
      </c>
      <c r="F183" s="85">
        <v>0</v>
      </c>
      <c r="G183" s="85">
        <v>0</v>
      </c>
      <c r="H183" s="85">
        <f>+C183+D183-E183</f>
        <v>2289599</v>
      </c>
      <c r="I183" s="85">
        <v>2192027</v>
      </c>
      <c r="J183" s="85">
        <f>+I183-H183</f>
        <v>-97572</v>
      </c>
      <c r="K183" s="91">
        <v>14848.904320000001</v>
      </c>
    </row>
    <row r="184" spans="1:15" s="7" customFormat="1">
      <c r="A184" s="12">
        <v>2</v>
      </c>
      <c r="B184" s="50" t="s">
        <v>55</v>
      </c>
      <c r="C184" s="89">
        <v>158445</v>
      </c>
      <c r="D184" s="85">
        <v>2000</v>
      </c>
      <c r="E184" s="85">
        <v>1900</v>
      </c>
      <c r="F184" s="85">
        <v>0</v>
      </c>
      <c r="G184" s="85">
        <v>0</v>
      </c>
      <c r="H184" s="85">
        <f t="shared" ref="H184:H218" si="16">+C184+D184-E184</f>
        <v>158545</v>
      </c>
      <c r="I184" s="85">
        <v>170042</v>
      </c>
      <c r="J184" s="85">
        <f t="shared" ref="J184:J217" si="17">+I184-H184</f>
        <v>11497</v>
      </c>
      <c r="K184" s="91"/>
      <c r="L184" s="13" t="s">
        <v>55</v>
      </c>
      <c r="M184" s="7">
        <f>SUMIF(B183:B218,L184,H183:H218)</f>
        <v>2448144</v>
      </c>
    </row>
    <row r="185" spans="1:15" s="7" customFormat="1">
      <c r="A185" s="12">
        <v>3</v>
      </c>
      <c r="B185" s="50" t="s">
        <v>56</v>
      </c>
      <c r="C185" s="89">
        <v>573566</v>
      </c>
      <c r="D185" s="85">
        <v>290632</v>
      </c>
      <c r="E185" s="85">
        <v>101809</v>
      </c>
      <c r="F185" s="85">
        <v>0</v>
      </c>
      <c r="G185" s="85">
        <v>0</v>
      </c>
      <c r="H185" s="85">
        <f t="shared" si="16"/>
        <v>762389</v>
      </c>
      <c r="I185" s="85">
        <v>473245</v>
      </c>
      <c r="J185" s="85">
        <f t="shared" si="17"/>
        <v>-289144</v>
      </c>
      <c r="K185" s="91">
        <v>3355.2269760000004</v>
      </c>
      <c r="L185" s="13" t="s">
        <v>56</v>
      </c>
      <c r="M185" s="7">
        <f t="shared" ref="M185:M198" si="18">SUMIF(B184:B219,L185,H184:H219)</f>
        <v>1030834</v>
      </c>
    </row>
    <row r="186" spans="1:15" s="7" customFormat="1">
      <c r="A186" s="12">
        <v>4</v>
      </c>
      <c r="B186" s="50" t="s">
        <v>56</v>
      </c>
      <c r="C186" s="89">
        <v>268786</v>
      </c>
      <c r="D186" s="85">
        <v>4200</v>
      </c>
      <c r="E186" s="85">
        <v>74546</v>
      </c>
      <c r="F186" s="85">
        <v>0</v>
      </c>
      <c r="G186" s="85">
        <v>0</v>
      </c>
      <c r="H186" s="85">
        <f t="shared" si="16"/>
        <v>198440</v>
      </c>
      <c r="I186" s="85">
        <v>390600</v>
      </c>
      <c r="J186" s="85">
        <f t="shared" si="17"/>
        <v>192160</v>
      </c>
      <c r="K186" s="91"/>
      <c r="L186" s="13" t="s">
        <v>57</v>
      </c>
      <c r="M186" s="7">
        <f t="shared" si="18"/>
        <v>4030557</v>
      </c>
    </row>
    <row r="187" spans="1:15" s="7" customFormat="1">
      <c r="A187" s="12">
        <v>5</v>
      </c>
      <c r="B187" s="50" t="s">
        <v>56</v>
      </c>
      <c r="C187" s="89">
        <v>70005</v>
      </c>
      <c r="D187" s="85">
        <v>0</v>
      </c>
      <c r="E187" s="85">
        <v>0</v>
      </c>
      <c r="F187" s="85">
        <v>0</v>
      </c>
      <c r="G187" s="85">
        <v>0</v>
      </c>
      <c r="H187" s="85">
        <f t="shared" si="16"/>
        <v>70005</v>
      </c>
      <c r="I187" s="85">
        <v>8088</v>
      </c>
      <c r="J187" s="85">
        <f t="shared" si="17"/>
        <v>-61917</v>
      </c>
      <c r="K187" s="91">
        <v>957.97982400000001</v>
      </c>
      <c r="L187" s="13" t="s">
        <v>58</v>
      </c>
      <c r="M187" s="7">
        <f t="shared" si="18"/>
        <v>4876177</v>
      </c>
    </row>
    <row r="188" spans="1:15" s="7" customFormat="1">
      <c r="A188" s="12">
        <v>6</v>
      </c>
      <c r="B188" s="50" t="s">
        <v>57</v>
      </c>
      <c r="C188" s="89">
        <v>276385</v>
      </c>
      <c r="D188" s="85">
        <v>0</v>
      </c>
      <c r="E188" s="85">
        <v>1120</v>
      </c>
      <c r="F188" s="85">
        <v>0</v>
      </c>
      <c r="G188" s="85">
        <v>0</v>
      </c>
      <c r="H188" s="85">
        <f t="shared" si="16"/>
        <v>275265</v>
      </c>
      <c r="I188" s="85">
        <v>46290</v>
      </c>
      <c r="J188" s="85">
        <f t="shared" si="17"/>
        <v>-228975</v>
      </c>
      <c r="K188" s="91">
        <v>4428.3765000000003</v>
      </c>
      <c r="L188" s="13" t="s">
        <v>59</v>
      </c>
      <c r="M188" s="7">
        <f t="shared" si="18"/>
        <v>7251092</v>
      </c>
    </row>
    <row r="189" spans="1:15" s="7" customFormat="1">
      <c r="A189" s="12">
        <v>7</v>
      </c>
      <c r="B189" s="50" t="s">
        <v>57</v>
      </c>
      <c r="C189" s="89">
        <v>2990703</v>
      </c>
      <c r="D189" s="85">
        <v>1979250</v>
      </c>
      <c r="E189" s="85">
        <v>2210384</v>
      </c>
      <c r="F189" s="85">
        <v>0</v>
      </c>
      <c r="G189" s="85">
        <v>0</v>
      </c>
      <c r="H189" s="85">
        <f t="shared" si="16"/>
        <v>2759569</v>
      </c>
      <c r="I189" s="85">
        <v>3532110</v>
      </c>
      <c r="J189" s="85">
        <f t="shared" si="17"/>
        <v>772541</v>
      </c>
      <c r="K189" s="91"/>
      <c r="L189" s="13" t="s">
        <v>60</v>
      </c>
      <c r="M189" s="7">
        <f t="shared" si="18"/>
        <v>6112129</v>
      </c>
    </row>
    <row r="190" spans="1:15" s="7" customFormat="1">
      <c r="A190" s="12">
        <v>8</v>
      </c>
      <c r="B190" s="50" t="s">
        <v>57</v>
      </c>
      <c r="C190" s="89">
        <v>987300</v>
      </c>
      <c r="D190" s="85">
        <v>0</v>
      </c>
      <c r="E190" s="85">
        <v>0</v>
      </c>
      <c r="F190" s="85">
        <v>0</v>
      </c>
      <c r="G190" s="85">
        <v>0</v>
      </c>
      <c r="H190" s="85">
        <f t="shared" si="16"/>
        <v>987300</v>
      </c>
      <c r="I190" s="85">
        <v>236360</v>
      </c>
      <c r="J190" s="85">
        <f t="shared" si="17"/>
        <v>-750940</v>
      </c>
      <c r="K190" s="91">
        <v>17427.815520000004</v>
      </c>
      <c r="L190" s="13" t="s">
        <v>61</v>
      </c>
      <c r="M190" s="7">
        <f t="shared" si="18"/>
        <v>14240107</v>
      </c>
    </row>
    <row r="191" spans="1:15" s="7" customFormat="1">
      <c r="A191" s="12">
        <v>9</v>
      </c>
      <c r="B191" s="50" t="s">
        <v>57</v>
      </c>
      <c r="C191" s="89">
        <v>8423</v>
      </c>
      <c r="D191" s="85">
        <v>0</v>
      </c>
      <c r="E191" s="85">
        <v>0</v>
      </c>
      <c r="F191" s="85">
        <v>0</v>
      </c>
      <c r="G191" s="85">
        <v>0</v>
      </c>
      <c r="H191" s="85">
        <f t="shared" si="16"/>
        <v>8423</v>
      </c>
      <c r="I191" s="85">
        <v>71424</v>
      </c>
      <c r="J191" s="85">
        <f t="shared" si="17"/>
        <v>63001</v>
      </c>
      <c r="K191" s="91"/>
      <c r="L191" s="13" t="s">
        <v>62</v>
      </c>
      <c r="M191" s="7">
        <f t="shared" si="18"/>
        <v>2362439</v>
      </c>
    </row>
    <row r="192" spans="1:15" s="7" customFormat="1">
      <c r="A192" s="12">
        <v>10</v>
      </c>
      <c r="B192" s="50" t="s">
        <v>58</v>
      </c>
      <c r="C192" s="89">
        <v>1595332</v>
      </c>
      <c r="D192" s="85">
        <v>742700</v>
      </c>
      <c r="E192" s="85">
        <v>549565</v>
      </c>
      <c r="F192" s="85">
        <v>0</v>
      </c>
      <c r="G192" s="85">
        <v>0</v>
      </c>
      <c r="H192" s="85">
        <f t="shared" si="16"/>
        <v>1788467</v>
      </c>
      <c r="I192" s="85">
        <v>1241901</v>
      </c>
      <c r="J192" s="85">
        <f t="shared" si="17"/>
        <v>-546566</v>
      </c>
      <c r="K192" s="91">
        <v>5285.2932200000014</v>
      </c>
      <c r="L192" s="13" t="s">
        <v>63</v>
      </c>
      <c r="M192" s="7">
        <f t="shared" si="18"/>
        <v>2542211</v>
      </c>
    </row>
    <row r="193" spans="1:13">
      <c r="A193" s="12">
        <v>11</v>
      </c>
      <c r="B193" s="50" t="s">
        <v>58</v>
      </c>
      <c r="C193" s="89">
        <v>1864874</v>
      </c>
      <c r="D193" s="85">
        <v>1566700</v>
      </c>
      <c r="E193" s="85">
        <v>741883</v>
      </c>
      <c r="F193" s="85">
        <v>0</v>
      </c>
      <c r="G193" s="85">
        <v>0</v>
      </c>
      <c r="H193" s="85">
        <f t="shared" si="16"/>
        <v>2689691</v>
      </c>
      <c r="I193" s="85">
        <v>1951007</v>
      </c>
      <c r="J193" s="85">
        <f t="shared" si="17"/>
        <v>-738684</v>
      </c>
      <c r="K193" s="91">
        <v>8571.6891360000009</v>
      </c>
      <c r="L193" s="13" t="s">
        <v>64</v>
      </c>
      <c r="M193" s="7">
        <f t="shared" si="18"/>
        <v>-900</v>
      </c>
    </row>
    <row r="194" spans="1:13">
      <c r="A194" s="39">
        <v>12</v>
      </c>
      <c r="B194" s="50" t="s">
        <v>58</v>
      </c>
      <c r="C194" s="89">
        <v>232519</v>
      </c>
      <c r="D194" s="85">
        <v>165500</v>
      </c>
      <c r="E194" s="85">
        <v>0</v>
      </c>
      <c r="F194" s="85">
        <v>0</v>
      </c>
      <c r="G194" s="85">
        <v>0</v>
      </c>
      <c r="H194" s="85">
        <f t="shared" si="16"/>
        <v>398019</v>
      </c>
      <c r="I194" s="85">
        <v>425245</v>
      </c>
      <c r="J194" s="85">
        <f t="shared" si="17"/>
        <v>27226</v>
      </c>
      <c r="K194" s="91"/>
      <c r="L194" s="13" t="s">
        <v>65</v>
      </c>
      <c r="M194" s="7">
        <f t="shared" si="18"/>
        <v>1116494</v>
      </c>
    </row>
    <row r="195" spans="1:13">
      <c r="A195" s="39">
        <v>13</v>
      </c>
      <c r="B195" s="50" t="s">
        <v>59</v>
      </c>
      <c r="C195" s="89">
        <v>4991211</v>
      </c>
      <c r="D195" s="85">
        <v>2002371</v>
      </c>
      <c r="E195" s="85">
        <v>2538229</v>
      </c>
      <c r="F195" s="85">
        <v>0</v>
      </c>
      <c r="G195" s="85">
        <v>0</v>
      </c>
      <c r="H195" s="85">
        <f t="shared" si="16"/>
        <v>4455353</v>
      </c>
      <c r="I195" s="85">
        <v>4075206</v>
      </c>
      <c r="J195" s="85">
        <f t="shared" si="17"/>
        <v>-380147</v>
      </c>
      <c r="K195" s="91">
        <v>8192.1687120000006</v>
      </c>
      <c r="L195" s="13" t="s">
        <v>133</v>
      </c>
      <c r="M195" s="7">
        <f t="shared" si="18"/>
        <v>5910.9445609999993</v>
      </c>
    </row>
    <row r="196" spans="1:13" ht="27">
      <c r="A196" s="39">
        <v>14</v>
      </c>
      <c r="B196" s="50" t="s">
        <v>59</v>
      </c>
      <c r="C196" s="89">
        <v>3460372</v>
      </c>
      <c r="D196" s="85">
        <v>1089900</v>
      </c>
      <c r="E196" s="85">
        <v>1884779</v>
      </c>
      <c r="F196" s="85">
        <v>0</v>
      </c>
      <c r="G196" s="85">
        <v>0</v>
      </c>
      <c r="H196" s="85">
        <f t="shared" si="16"/>
        <v>2665493</v>
      </c>
      <c r="I196" s="85">
        <v>2581817</v>
      </c>
      <c r="J196" s="85">
        <f t="shared" si="17"/>
        <v>-83676</v>
      </c>
      <c r="K196" s="91">
        <v>1639.58718</v>
      </c>
      <c r="L196" s="133" t="s">
        <v>107</v>
      </c>
      <c r="M196" s="7">
        <f t="shared" si="18"/>
        <v>34124.964810000005</v>
      </c>
    </row>
    <row r="197" spans="1:13">
      <c r="A197" s="39">
        <v>15</v>
      </c>
      <c r="B197" s="50" t="s">
        <v>59</v>
      </c>
      <c r="C197" s="89">
        <v>130246</v>
      </c>
      <c r="D197" s="85">
        <v>0</v>
      </c>
      <c r="E197" s="85">
        <v>0</v>
      </c>
      <c r="F197" s="85">
        <v>0</v>
      </c>
      <c r="G197" s="85">
        <v>0</v>
      </c>
      <c r="H197" s="85">
        <f t="shared" si="16"/>
        <v>130246</v>
      </c>
      <c r="I197" s="85">
        <v>110168</v>
      </c>
      <c r="J197" s="85">
        <f t="shared" si="17"/>
        <v>-20078</v>
      </c>
      <c r="K197" s="91">
        <v>621.293632</v>
      </c>
      <c r="L197" s="13" t="s">
        <v>71</v>
      </c>
      <c r="M197" s="7">
        <f t="shared" si="18"/>
        <v>849.46</v>
      </c>
    </row>
    <row r="198" spans="1:13">
      <c r="A198" s="39">
        <v>16</v>
      </c>
      <c r="B198" s="50" t="s">
        <v>60</v>
      </c>
      <c r="C198" s="89">
        <v>2214596</v>
      </c>
      <c r="D198" s="85">
        <v>1074254</v>
      </c>
      <c r="E198" s="85">
        <v>1016891</v>
      </c>
      <c r="F198" s="85">
        <v>0</v>
      </c>
      <c r="G198" s="85">
        <v>0</v>
      </c>
      <c r="H198" s="85">
        <f t="shared" si="16"/>
        <v>2271959</v>
      </c>
      <c r="I198" s="85">
        <v>1738167</v>
      </c>
      <c r="J198" s="85">
        <f t="shared" si="17"/>
        <v>-533792</v>
      </c>
      <c r="K198" s="91">
        <v>1313.3952160000001</v>
      </c>
      <c r="L198" s="13" t="s">
        <v>68</v>
      </c>
      <c r="M198" s="7">
        <f t="shared" si="18"/>
        <v>4604.3759899999986</v>
      </c>
    </row>
    <row r="199" spans="1:13">
      <c r="A199" s="39">
        <v>17</v>
      </c>
      <c r="B199" s="50" t="s">
        <v>60</v>
      </c>
      <c r="C199" s="89">
        <v>4067967</v>
      </c>
      <c r="D199" s="85">
        <v>1181000</v>
      </c>
      <c r="E199" s="85">
        <v>1459355</v>
      </c>
      <c r="F199" s="85">
        <v>0</v>
      </c>
      <c r="G199" s="85">
        <v>0</v>
      </c>
      <c r="H199" s="85">
        <f t="shared" si="16"/>
        <v>3789612</v>
      </c>
      <c r="I199" s="85">
        <v>2653912</v>
      </c>
      <c r="J199" s="85">
        <f t="shared" si="17"/>
        <v>-1135700</v>
      </c>
      <c r="K199" s="91">
        <v>5455.1351820000009</v>
      </c>
    </row>
    <row r="200" spans="1:13">
      <c r="A200" s="39">
        <v>18</v>
      </c>
      <c r="B200" s="50" t="s">
        <v>60</v>
      </c>
      <c r="C200" s="89">
        <v>203544</v>
      </c>
      <c r="D200" s="85">
        <v>50000</v>
      </c>
      <c r="E200" s="85">
        <v>233432</v>
      </c>
      <c r="F200" s="85">
        <v>0</v>
      </c>
      <c r="G200" s="85">
        <v>0</v>
      </c>
      <c r="H200" s="85">
        <f t="shared" si="16"/>
        <v>20112</v>
      </c>
      <c r="I200" s="85">
        <v>486983</v>
      </c>
      <c r="J200" s="85">
        <f t="shared" si="17"/>
        <v>466871</v>
      </c>
      <c r="K200" s="91"/>
    </row>
    <row r="201" spans="1:13">
      <c r="A201" s="39">
        <v>19</v>
      </c>
      <c r="B201" s="50" t="s">
        <v>60</v>
      </c>
      <c r="C201" s="89">
        <v>30446</v>
      </c>
      <c r="D201" s="85">
        <v>0</v>
      </c>
      <c r="E201" s="85">
        <v>0</v>
      </c>
      <c r="F201" s="85">
        <v>0</v>
      </c>
      <c r="G201" s="85">
        <v>0</v>
      </c>
      <c r="H201" s="85">
        <f t="shared" si="16"/>
        <v>30446</v>
      </c>
      <c r="I201" s="85">
        <v>283406</v>
      </c>
      <c r="J201" s="85">
        <f t="shared" si="17"/>
        <v>252960</v>
      </c>
      <c r="K201" s="91"/>
    </row>
    <row r="202" spans="1:13">
      <c r="A202" s="39">
        <v>20</v>
      </c>
      <c r="B202" s="50" t="s">
        <v>61</v>
      </c>
      <c r="C202" s="89">
        <v>2263864</v>
      </c>
      <c r="D202" s="85">
        <v>183000</v>
      </c>
      <c r="E202" s="85">
        <v>36416</v>
      </c>
      <c r="F202" s="85">
        <v>0</v>
      </c>
      <c r="G202" s="85">
        <v>0</v>
      </c>
      <c r="H202" s="85">
        <f t="shared" si="16"/>
        <v>2410448</v>
      </c>
      <c r="I202" s="85">
        <v>1306552</v>
      </c>
      <c r="J202" s="85">
        <f t="shared" si="17"/>
        <v>-1103896</v>
      </c>
      <c r="K202" s="91">
        <v>16296.816648</v>
      </c>
    </row>
    <row r="203" spans="1:13">
      <c r="A203" s="39">
        <v>21</v>
      </c>
      <c r="B203" s="50" t="s">
        <v>61</v>
      </c>
      <c r="C203" s="89">
        <v>5581471</v>
      </c>
      <c r="D203" s="85">
        <v>1190250</v>
      </c>
      <c r="E203" s="85">
        <v>946172</v>
      </c>
      <c r="F203" s="85">
        <v>0</v>
      </c>
      <c r="G203" s="85">
        <v>0</v>
      </c>
      <c r="H203" s="85">
        <f t="shared" si="16"/>
        <v>5825549</v>
      </c>
      <c r="I203" s="85">
        <v>3629574</v>
      </c>
      <c r="J203" s="85">
        <f t="shared" si="17"/>
        <v>-2195975</v>
      </c>
      <c r="K203" s="91">
        <v>37822.375412500012</v>
      </c>
    </row>
    <row r="204" spans="1:13">
      <c r="A204" s="39">
        <v>22</v>
      </c>
      <c r="B204" s="50" t="s">
        <v>61</v>
      </c>
      <c r="C204" s="89">
        <v>6061573</v>
      </c>
      <c r="D204" s="85">
        <v>1200409</v>
      </c>
      <c r="E204" s="85">
        <v>1257872</v>
      </c>
      <c r="F204" s="85">
        <v>0</v>
      </c>
      <c r="G204" s="85">
        <v>0</v>
      </c>
      <c r="H204" s="85">
        <f t="shared" si="16"/>
        <v>6004110</v>
      </c>
      <c r="I204" s="85">
        <v>5066638</v>
      </c>
      <c r="J204" s="85">
        <f t="shared" si="17"/>
        <v>-937472</v>
      </c>
      <c r="K204" s="91">
        <v>17918.620776</v>
      </c>
    </row>
    <row r="205" spans="1:13">
      <c r="A205" s="39">
        <v>23</v>
      </c>
      <c r="B205" s="50" t="s">
        <v>62</v>
      </c>
      <c r="C205" s="89">
        <v>2141060</v>
      </c>
      <c r="D205" s="85">
        <v>1361381</v>
      </c>
      <c r="E205" s="85">
        <v>1153448</v>
      </c>
      <c r="F205" s="85">
        <v>0</v>
      </c>
      <c r="G205" s="85">
        <v>0</v>
      </c>
      <c r="H205" s="85">
        <f t="shared" si="16"/>
        <v>2348993</v>
      </c>
      <c r="I205" s="85">
        <v>2087628</v>
      </c>
      <c r="J205" s="85">
        <f t="shared" si="17"/>
        <v>-261365</v>
      </c>
      <c r="K205" s="91">
        <v>643.08858250000003</v>
      </c>
    </row>
    <row r="206" spans="1:13">
      <c r="A206" s="39">
        <v>24</v>
      </c>
      <c r="B206" s="50" t="s">
        <v>62</v>
      </c>
      <c r="C206" s="89">
        <v>5193</v>
      </c>
      <c r="D206" s="85">
        <v>8253</v>
      </c>
      <c r="E206" s="85">
        <v>0</v>
      </c>
      <c r="F206" s="85">
        <v>0</v>
      </c>
      <c r="G206" s="85">
        <v>0</v>
      </c>
      <c r="H206" s="85">
        <f t="shared" si="16"/>
        <v>13446</v>
      </c>
      <c r="I206" s="85">
        <v>183103</v>
      </c>
      <c r="J206" s="85">
        <f t="shared" si="17"/>
        <v>169657</v>
      </c>
      <c r="K206" s="91"/>
    </row>
    <row r="207" spans="1:13">
      <c r="A207" s="39">
        <v>25</v>
      </c>
      <c r="B207" s="50" t="s">
        <v>63</v>
      </c>
      <c r="C207" s="89">
        <v>2926450</v>
      </c>
      <c r="D207" s="85">
        <v>1138364</v>
      </c>
      <c r="E207" s="85">
        <v>1602364</v>
      </c>
      <c r="F207" s="85">
        <v>0</v>
      </c>
      <c r="G207" s="85">
        <v>0</v>
      </c>
      <c r="H207" s="85">
        <f t="shared" si="16"/>
        <v>2462450</v>
      </c>
      <c r="I207" s="85">
        <v>1664007</v>
      </c>
      <c r="J207" s="85">
        <f t="shared" si="17"/>
        <v>-798443</v>
      </c>
      <c r="K207" s="91">
        <v>4412.118348</v>
      </c>
    </row>
    <row r="208" spans="1:13">
      <c r="A208" s="39">
        <v>26</v>
      </c>
      <c r="B208" s="50" t="s">
        <v>63</v>
      </c>
      <c r="C208" s="89"/>
      <c r="D208" s="85">
        <v>440525</v>
      </c>
      <c r="E208" s="85">
        <v>608240</v>
      </c>
      <c r="F208" s="85">
        <v>0</v>
      </c>
      <c r="G208" s="85">
        <v>0</v>
      </c>
      <c r="H208" s="85">
        <f t="shared" si="16"/>
        <v>-167715</v>
      </c>
      <c r="I208" s="85">
        <v>458854</v>
      </c>
      <c r="J208" s="85">
        <f t="shared" si="17"/>
        <v>626569</v>
      </c>
      <c r="K208" s="91"/>
    </row>
    <row r="209" spans="1:11">
      <c r="A209" s="39">
        <v>27</v>
      </c>
      <c r="B209" s="50" t="s">
        <v>63</v>
      </c>
      <c r="C209" s="89">
        <v>183860</v>
      </c>
      <c r="D209" s="85">
        <v>63616</v>
      </c>
      <c r="E209" s="85">
        <v>0</v>
      </c>
      <c r="F209" s="85">
        <v>0</v>
      </c>
      <c r="G209" s="85">
        <v>0</v>
      </c>
      <c r="H209" s="85">
        <f t="shared" si="16"/>
        <v>247476</v>
      </c>
      <c r="I209" s="85">
        <v>279557</v>
      </c>
      <c r="J209" s="85">
        <f t="shared" si="17"/>
        <v>32081</v>
      </c>
      <c r="K209" s="91"/>
    </row>
    <row r="210" spans="1:11">
      <c r="A210" s="39">
        <v>28</v>
      </c>
      <c r="B210" s="50" t="s">
        <v>64</v>
      </c>
      <c r="C210" s="89">
        <v>0</v>
      </c>
      <c r="D210" s="85">
        <v>0</v>
      </c>
      <c r="E210" s="85">
        <v>0</v>
      </c>
      <c r="F210" s="85">
        <v>0</v>
      </c>
      <c r="G210" s="85">
        <v>0</v>
      </c>
      <c r="H210" s="85">
        <f t="shared" si="16"/>
        <v>0</v>
      </c>
      <c r="I210" s="85">
        <v>395</v>
      </c>
      <c r="J210" s="85">
        <f t="shared" si="17"/>
        <v>395</v>
      </c>
      <c r="K210" s="91"/>
    </row>
    <row r="211" spans="1:11">
      <c r="A211" s="39">
        <v>29</v>
      </c>
      <c r="B211" s="50" t="s">
        <v>64</v>
      </c>
      <c r="C211" s="89">
        <v>0</v>
      </c>
      <c r="D211" s="85">
        <v>0</v>
      </c>
      <c r="E211" s="85">
        <v>900</v>
      </c>
      <c r="F211" s="85">
        <v>0</v>
      </c>
      <c r="G211" s="85">
        <v>0</v>
      </c>
      <c r="H211" s="85">
        <f t="shared" si="16"/>
        <v>-900</v>
      </c>
      <c r="I211" s="85">
        <v>110180</v>
      </c>
      <c r="J211" s="85">
        <f t="shared" si="17"/>
        <v>111080</v>
      </c>
      <c r="K211" s="91"/>
    </row>
    <row r="212" spans="1:11">
      <c r="A212" s="39">
        <v>30</v>
      </c>
      <c r="B212" s="50" t="s">
        <v>64</v>
      </c>
      <c r="C212" s="89">
        <v>0</v>
      </c>
      <c r="D212" s="85">
        <v>0</v>
      </c>
      <c r="E212" s="85">
        <v>0</v>
      </c>
      <c r="F212" s="85">
        <v>0</v>
      </c>
      <c r="G212" s="85">
        <v>0</v>
      </c>
      <c r="H212" s="85">
        <f t="shared" si="16"/>
        <v>0</v>
      </c>
      <c r="I212" s="85">
        <v>28702</v>
      </c>
      <c r="J212" s="85">
        <f t="shared" si="17"/>
        <v>28702</v>
      </c>
      <c r="K212" s="91"/>
    </row>
    <row r="213" spans="1:11">
      <c r="A213" s="39">
        <v>31</v>
      </c>
      <c r="B213" s="50" t="s">
        <v>65</v>
      </c>
      <c r="C213" s="89">
        <v>368228</v>
      </c>
      <c r="D213" s="85">
        <v>1780155</v>
      </c>
      <c r="E213" s="85">
        <v>1178199</v>
      </c>
      <c r="F213" s="85">
        <v>0</v>
      </c>
      <c r="G213" s="85">
        <v>0</v>
      </c>
      <c r="H213" s="85">
        <f t="shared" si="16"/>
        <v>970184</v>
      </c>
      <c r="I213" s="85">
        <v>955342.69600000011</v>
      </c>
      <c r="J213" s="85">
        <f t="shared" si="17"/>
        <v>-14841.303999999887</v>
      </c>
      <c r="K213" s="91"/>
    </row>
    <row r="214" spans="1:11">
      <c r="A214" s="39">
        <v>32</v>
      </c>
      <c r="B214" s="50" t="s">
        <v>65</v>
      </c>
      <c r="C214" s="89">
        <v>53863</v>
      </c>
      <c r="D214" s="85">
        <v>92447</v>
      </c>
      <c r="E214" s="85">
        <v>0</v>
      </c>
      <c r="F214" s="85">
        <v>0</v>
      </c>
      <c r="G214" s="85">
        <v>0</v>
      </c>
      <c r="H214" s="85">
        <f t="shared" si="16"/>
        <v>146310</v>
      </c>
      <c r="I214" s="85">
        <v>169428</v>
      </c>
      <c r="J214" s="85">
        <f t="shared" si="17"/>
        <v>23118</v>
      </c>
      <c r="K214" s="91"/>
    </row>
    <row r="215" spans="1:11">
      <c r="A215" s="39">
        <v>33</v>
      </c>
      <c r="B215" s="50" t="s">
        <v>133</v>
      </c>
      <c r="C215" s="89">
        <v>6109.94</v>
      </c>
      <c r="D215" s="85">
        <v>331</v>
      </c>
      <c r="E215" s="85">
        <v>529.99543900000003</v>
      </c>
      <c r="F215" s="85">
        <v>0</v>
      </c>
      <c r="G215" s="85">
        <v>0</v>
      </c>
      <c r="H215" s="85">
        <f t="shared" si="16"/>
        <v>5910.9445609999993</v>
      </c>
      <c r="I215" s="85">
        <v>4925.6044472389985</v>
      </c>
      <c r="J215" s="85">
        <f t="shared" si="17"/>
        <v>-985.34011376100079</v>
      </c>
      <c r="K215" s="91">
        <v>15149.799433358206</v>
      </c>
    </row>
    <row r="216" spans="1:11">
      <c r="A216" s="39">
        <v>34</v>
      </c>
      <c r="B216" s="50" t="s">
        <v>107</v>
      </c>
      <c r="C216" s="89">
        <v>21498.61</v>
      </c>
      <c r="D216" s="85">
        <v>20000</v>
      </c>
      <c r="E216" s="85">
        <v>7373.6451899999993</v>
      </c>
      <c r="F216" s="85">
        <v>0</v>
      </c>
      <c r="G216" s="85">
        <v>0</v>
      </c>
      <c r="H216" s="85">
        <f t="shared" si="16"/>
        <v>34124.964810000005</v>
      </c>
      <c r="I216" s="85">
        <v>22263.562454200001</v>
      </c>
      <c r="J216" s="85">
        <f t="shared" si="17"/>
        <v>-11861.402355800004</v>
      </c>
      <c r="K216" s="91">
        <v>10826.45901726852</v>
      </c>
    </row>
    <row r="217" spans="1:11">
      <c r="A217" s="39">
        <v>35</v>
      </c>
      <c r="B217" s="50" t="s">
        <v>71</v>
      </c>
      <c r="C217" s="89">
        <v>849.46</v>
      </c>
      <c r="D217" s="85">
        <v>0</v>
      </c>
      <c r="E217" s="85">
        <v>0</v>
      </c>
      <c r="F217" s="85">
        <v>0</v>
      </c>
      <c r="G217" s="85">
        <v>0</v>
      </c>
      <c r="H217" s="85">
        <f t="shared" si="16"/>
        <v>849.46</v>
      </c>
      <c r="I217" s="85">
        <v>804.658728</v>
      </c>
      <c r="J217" s="85">
        <f t="shared" si="17"/>
        <v>-44.80127200000004</v>
      </c>
      <c r="K217" s="91">
        <v>117.90753963688002</v>
      </c>
    </row>
    <row r="218" spans="1:11">
      <c r="A218" s="39">
        <v>36</v>
      </c>
      <c r="B218" s="50" t="s">
        <v>68</v>
      </c>
      <c r="C218" s="89"/>
      <c r="D218" s="85">
        <v>14871.165999999999</v>
      </c>
      <c r="E218" s="85">
        <v>10266.790010000001</v>
      </c>
      <c r="F218" s="85">
        <v>0</v>
      </c>
      <c r="G218" s="85">
        <v>0</v>
      </c>
      <c r="H218" s="85">
        <f t="shared" si="16"/>
        <v>4604.3759899999986</v>
      </c>
      <c r="I218" s="85">
        <v>12468.872650000001</v>
      </c>
      <c r="J218" s="85">
        <f>+I218-H218</f>
        <v>7864.4966600000025</v>
      </c>
      <c r="K218" s="91"/>
    </row>
    <row r="219" spans="1:11" ht="14.25" thickBot="1">
      <c r="A219" s="40" t="s">
        <v>160</v>
      </c>
      <c r="B219" s="51"/>
      <c r="C219" s="90"/>
      <c r="D219" s="88">
        <f>SUM(D183:D218)</f>
        <v>19175344.166000001</v>
      </c>
      <c r="E219" s="88">
        <f t="shared" ref="E219:K219" si="19">SUM(E183:E218)</f>
        <v>19617152.430639002</v>
      </c>
      <c r="F219" s="88">
        <f t="shared" si="19"/>
        <v>0</v>
      </c>
      <c r="G219" s="88">
        <f t="shared" si="19"/>
        <v>0</v>
      </c>
      <c r="H219" s="88">
        <f t="shared" si="19"/>
        <v>46054773.745361</v>
      </c>
      <c r="I219" s="88">
        <f t="shared" si="19"/>
        <v>38648421.394279443</v>
      </c>
      <c r="J219" s="88">
        <f t="shared" si="19"/>
        <v>-7406352.3510815613</v>
      </c>
      <c r="K219" s="99">
        <f t="shared" si="19"/>
        <v>175284.05117526365</v>
      </c>
    </row>
    <row r="220" spans="1:11" ht="9" customHeight="1"/>
    <row r="221" spans="1:11">
      <c r="A221" t="s">
        <v>196</v>
      </c>
    </row>
    <row r="222" spans="1:11">
      <c r="A222" t="s">
        <v>198</v>
      </c>
    </row>
    <row r="223" spans="1:11">
      <c r="A223" t="s">
        <v>181</v>
      </c>
    </row>
    <row r="224" spans="1:11">
      <c r="A224" t="s">
        <v>194</v>
      </c>
    </row>
    <row r="225" spans="1:5">
      <c r="A225" t="s">
        <v>195</v>
      </c>
    </row>
    <row r="226" spans="1:5">
      <c r="E226" s="9"/>
    </row>
    <row r="227" spans="1:5">
      <c r="E227" s="9"/>
    </row>
    <row r="228" spans="1:5">
      <c r="E228" s="9"/>
    </row>
    <row r="229" spans="1:5">
      <c r="E229" s="9"/>
    </row>
    <row r="230" spans="1:5">
      <c r="E230" s="9"/>
    </row>
    <row r="231" spans="1:5">
      <c r="E231" s="9"/>
    </row>
    <row r="232" spans="1:5">
      <c r="E232" s="9"/>
    </row>
    <row r="233" spans="1:5">
      <c r="E233" s="9"/>
    </row>
    <row r="234" spans="1:5">
      <c r="E234" s="9"/>
    </row>
    <row r="235" spans="1:5">
      <c r="E235" s="9"/>
    </row>
    <row r="236" spans="1:5">
      <c r="E236" s="9"/>
    </row>
    <row r="237" spans="1:5">
      <c r="E237" s="9"/>
    </row>
    <row r="238" spans="1:5">
      <c r="E238" s="9"/>
    </row>
    <row r="239" spans="1:5">
      <c r="E239" s="9"/>
    </row>
    <row r="240" spans="1:5">
      <c r="E240" s="9"/>
    </row>
    <row r="241" spans="5:5">
      <c r="E241" s="9"/>
    </row>
    <row r="242" spans="5:5">
      <c r="E242" s="9"/>
    </row>
    <row r="243" spans="5:5">
      <c r="E243" s="9"/>
    </row>
    <row r="244" spans="5:5">
      <c r="E244" s="9"/>
    </row>
    <row r="245" spans="5:5">
      <c r="E245" s="9"/>
    </row>
    <row r="246" spans="5:5">
      <c r="E246" s="9"/>
    </row>
    <row r="247" spans="5:5">
      <c r="E247" s="9"/>
    </row>
    <row r="248" spans="5:5">
      <c r="E248" s="9"/>
    </row>
    <row r="249" spans="5:5">
      <c r="E249" s="9"/>
    </row>
    <row r="250" spans="5:5">
      <c r="E250" s="9"/>
    </row>
    <row r="251" spans="5:5">
      <c r="E251" s="9"/>
    </row>
    <row r="252" spans="5:5">
      <c r="E252" s="9"/>
    </row>
    <row r="253" spans="5:5">
      <c r="E253" s="9"/>
    </row>
    <row r="254" spans="5:5">
      <c r="E254" s="9"/>
    </row>
    <row r="255" spans="5:5">
      <c r="E255" s="9"/>
    </row>
    <row r="256" spans="5:5">
      <c r="E256" s="9"/>
    </row>
    <row r="257" spans="5:5">
      <c r="E257" s="9"/>
    </row>
    <row r="258" spans="5:5">
      <c r="E258" s="9"/>
    </row>
    <row r="259" spans="5:5">
      <c r="E259" s="9"/>
    </row>
    <row r="260" spans="5:5">
      <c r="E260" s="9"/>
    </row>
    <row r="261" spans="5:5">
      <c r="E261" s="9"/>
    </row>
    <row r="262" spans="5:5">
      <c r="E262" s="9"/>
    </row>
    <row r="263" spans="5:5">
      <c r="E263" s="9"/>
    </row>
  </sheetData>
  <mergeCells count="55">
    <mergeCell ref="D157:D158"/>
    <mergeCell ref="F153:F154"/>
    <mergeCell ref="F155:F156"/>
    <mergeCell ref="F157:F158"/>
    <mergeCell ref="E153:E154"/>
    <mergeCell ref="E155:E156"/>
    <mergeCell ref="E157:E158"/>
    <mergeCell ref="D153:D154"/>
    <mergeCell ref="D155:D156"/>
    <mergeCell ref="D148:D149"/>
    <mergeCell ref="E148:E149"/>
    <mergeCell ref="F148:F149"/>
    <mergeCell ref="D144:D145"/>
    <mergeCell ref="E144:E145"/>
    <mergeCell ref="D127:I127"/>
    <mergeCell ref="F144:F145"/>
    <mergeCell ref="B25:B26"/>
    <mergeCell ref="C25:C26"/>
    <mergeCell ref="D25:D26"/>
    <mergeCell ref="E25:E26"/>
    <mergeCell ref="I46:I47"/>
    <mergeCell ref="J46:L46"/>
    <mergeCell ref="A22:B22"/>
    <mergeCell ref="M25:P25"/>
    <mergeCell ref="A46:A47"/>
    <mergeCell ref="B46:B47"/>
    <mergeCell ref="C46:C47"/>
    <mergeCell ref="D46:D47"/>
    <mergeCell ref="E46:E47"/>
    <mergeCell ref="F46:F47"/>
    <mergeCell ref="G46:G47"/>
    <mergeCell ref="A25:A26"/>
    <mergeCell ref="A5:A6"/>
    <mergeCell ref="B5:B6"/>
    <mergeCell ref="C5:C6"/>
    <mergeCell ref="D5:G5"/>
    <mergeCell ref="H5:K5"/>
    <mergeCell ref="L5:L6"/>
    <mergeCell ref="E142:E143"/>
    <mergeCell ref="F142:F143"/>
    <mergeCell ref="D135:F135"/>
    <mergeCell ref="D128:I128"/>
    <mergeCell ref="M5:M6"/>
    <mergeCell ref="N5:N6"/>
    <mergeCell ref="D125:I125"/>
    <mergeCell ref="Q25:S25"/>
    <mergeCell ref="A100:B100"/>
    <mergeCell ref="E146:E147"/>
    <mergeCell ref="F146:F147"/>
    <mergeCell ref="D146:D147"/>
    <mergeCell ref="A119:B119"/>
    <mergeCell ref="H46:H47"/>
    <mergeCell ref="D126:I126"/>
    <mergeCell ref="A135:C135"/>
    <mergeCell ref="D142:D143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20" sqref="J20"/>
    </sheetView>
  </sheetViews>
  <sheetFormatPr defaultRowHeight="13.5"/>
  <cols>
    <col min="2" max="2" width="10.625" customWidth="1"/>
  </cols>
  <sheetData>
    <row r="1" spans="1:9" ht="18" customHeight="1">
      <c r="A1" s="406" t="s">
        <v>265</v>
      </c>
      <c r="B1" s="407"/>
      <c r="C1" s="407"/>
      <c r="D1" s="407"/>
      <c r="E1" s="407"/>
      <c r="F1" s="407"/>
      <c r="G1" s="407"/>
      <c r="H1" s="407"/>
      <c r="I1" s="408"/>
    </row>
    <row r="2" spans="1:9" ht="27">
      <c r="A2" s="71" t="s">
        <v>266</v>
      </c>
      <c r="B2" s="140" t="s">
        <v>267</v>
      </c>
      <c r="C2" s="140" t="s">
        <v>268</v>
      </c>
      <c r="D2" s="140" t="s">
        <v>269</v>
      </c>
      <c r="E2" s="141" t="s">
        <v>270</v>
      </c>
      <c r="F2" s="141" t="s">
        <v>271</v>
      </c>
      <c r="G2" s="140" t="s">
        <v>272</v>
      </c>
      <c r="H2" s="140" t="s">
        <v>273</v>
      </c>
      <c r="I2" s="142" t="s">
        <v>274</v>
      </c>
    </row>
    <row r="3" spans="1:9">
      <c r="A3" s="71" t="s">
        <v>55</v>
      </c>
      <c r="B3" s="140">
        <v>2565766</v>
      </c>
      <c r="C3" s="140">
        <v>4104</v>
      </c>
      <c r="D3" s="140">
        <v>2554969</v>
      </c>
      <c r="E3" s="140">
        <v>1097</v>
      </c>
      <c r="F3" s="140">
        <v>49</v>
      </c>
      <c r="G3" s="140">
        <v>6131</v>
      </c>
      <c r="H3" s="140">
        <v>864</v>
      </c>
      <c r="I3" s="142">
        <f>+B3+C3-D3-E3-F3-G3-H3</f>
        <v>6760</v>
      </c>
    </row>
    <row r="4" spans="1:9">
      <c r="A4" s="71" t="s">
        <v>56</v>
      </c>
      <c r="B4" s="140">
        <v>2942395</v>
      </c>
      <c r="C4" s="140">
        <v>6914</v>
      </c>
      <c r="D4" s="140">
        <v>2857895</v>
      </c>
      <c r="E4" s="140">
        <v>59467</v>
      </c>
      <c r="F4" s="140">
        <v>379</v>
      </c>
      <c r="G4" s="140">
        <v>6582</v>
      </c>
      <c r="H4" s="140">
        <v>965</v>
      </c>
      <c r="I4" s="142">
        <f t="shared" ref="I4:I13" si="0">+B4+C4-D4-E4-F4-G4-H4</f>
        <v>24021</v>
      </c>
    </row>
    <row r="5" spans="1:9">
      <c r="A5" s="71" t="s">
        <v>57</v>
      </c>
      <c r="B5" s="140">
        <v>2911821</v>
      </c>
      <c r="C5" s="140">
        <v>6914</v>
      </c>
      <c r="D5" s="140">
        <v>2857895</v>
      </c>
      <c r="E5" s="140">
        <v>22158</v>
      </c>
      <c r="F5" s="140">
        <v>803</v>
      </c>
      <c r="G5" s="140">
        <v>6582</v>
      </c>
      <c r="H5" s="140">
        <v>965</v>
      </c>
      <c r="I5" s="142">
        <f t="shared" si="0"/>
        <v>30332</v>
      </c>
    </row>
    <row r="6" spans="1:9">
      <c r="A6" s="71" t="s">
        <v>58</v>
      </c>
      <c r="B6" s="140">
        <v>4340423</v>
      </c>
      <c r="C6" s="140">
        <v>6184</v>
      </c>
      <c r="D6" s="140">
        <v>1792685</v>
      </c>
      <c r="E6" s="140">
        <v>34309</v>
      </c>
      <c r="F6" s="140">
        <v>22701</v>
      </c>
      <c r="G6" s="140">
        <v>2292</v>
      </c>
      <c r="H6" s="140">
        <v>473</v>
      </c>
      <c r="I6" s="142">
        <f t="shared" si="0"/>
        <v>2494147</v>
      </c>
    </row>
    <row r="7" spans="1:9">
      <c r="A7" s="71" t="s">
        <v>59</v>
      </c>
      <c r="B7" s="140">
        <v>5954934</v>
      </c>
      <c r="C7" s="140">
        <v>13828</v>
      </c>
      <c r="D7" s="140">
        <v>5715790</v>
      </c>
      <c r="E7" s="140">
        <v>233333</v>
      </c>
      <c r="F7" s="140">
        <v>8873</v>
      </c>
      <c r="G7" s="140">
        <v>13164</v>
      </c>
      <c r="H7" s="140">
        <v>1930</v>
      </c>
      <c r="I7" s="142">
        <f t="shared" si="0"/>
        <v>-4328</v>
      </c>
    </row>
    <row r="8" spans="1:9">
      <c r="A8" s="71" t="s">
        <v>60</v>
      </c>
      <c r="B8" s="140">
        <v>3614680</v>
      </c>
      <c r="C8" s="140">
        <v>6914</v>
      </c>
      <c r="D8" s="140">
        <v>3546920</v>
      </c>
      <c r="E8" s="140">
        <v>0</v>
      </c>
      <c r="F8" s="140">
        <v>12</v>
      </c>
      <c r="G8" s="140">
        <v>6669</v>
      </c>
      <c r="H8" s="140">
        <v>1057</v>
      </c>
      <c r="I8" s="142">
        <f t="shared" si="0"/>
        <v>66936</v>
      </c>
    </row>
    <row r="9" spans="1:9">
      <c r="A9" s="71" t="s">
        <v>61</v>
      </c>
      <c r="B9" s="140">
        <v>3371447</v>
      </c>
      <c r="C9" s="140">
        <v>6941</v>
      </c>
      <c r="D9" s="140">
        <v>3058637</v>
      </c>
      <c r="E9" s="140">
        <v>0</v>
      </c>
      <c r="F9" s="140"/>
      <c r="G9" s="140">
        <v>6582</v>
      </c>
      <c r="H9" s="140">
        <v>1236</v>
      </c>
      <c r="I9" s="142">
        <f t="shared" si="0"/>
        <v>311933</v>
      </c>
    </row>
    <row r="10" spans="1:9">
      <c r="A10" s="71" t="s">
        <v>62</v>
      </c>
      <c r="B10" s="140">
        <v>1448259</v>
      </c>
      <c r="C10" s="140">
        <v>1914</v>
      </c>
      <c r="D10" s="140">
        <v>1425959</v>
      </c>
      <c r="E10" s="140">
        <v>0</v>
      </c>
      <c r="F10" s="140">
        <v>2520</v>
      </c>
      <c r="G10" s="140">
        <v>6096</v>
      </c>
      <c r="H10" s="140">
        <v>314</v>
      </c>
      <c r="I10" s="142">
        <f t="shared" si="0"/>
        <v>15284</v>
      </c>
    </row>
    <row r="11" spans="1:9">
      <c r="A11" s="71" t="s">
        <v>63</v>
      </c>
      <c r="B11" s="140">
        <v>2807825</v>
      </c>
      <c r="C11" s="140">
        <v>5790</v>
      </c>
      <c r="D11" s="140">
        <v>2829737</v>
      </c>
      <c r="E11" s="140">
        <v>513</v>
      </c>
      <c r="F11" s="140">
        <v>10</v>
      </c>
      <c r="G11" s="140">
        <v>6582</v>
      </c>
      <c r="H11" s="140">
        <v>938</v>
      </c>
      <c r="I11" s="142">
        <f t="shared" si="0"/>
        <v>-24165</v>
      </c>
    </row>
    <row r="12" spans="1:9">
      <c r="A12" s="71" t="s">
        <v>64</v>
      </c>
      <c r="B12" s="140">
        <v>0</v>
      </c>
      <c r="C12" s="140">
        <v>0</v>
      </c>
      <c r="D12" s="140">
        <v>0</v>
      </c>
      <c r="E12" s="140">
        <v>0</v>
      </c>
      <c r="F12" s="140"/>
      <c r="G12" s="140">
        <v>0</v>
      </c>
      <c r="H12" s="140">
        <v>0</v>
      </c>
      <c r="I12" s="142">
        <f t="shared" si="0"/>
        <v>0</v>
      </c>
    </row>
    <row r="13" spans="1:9">
      <c r="A13" s="143" t="s">
        <v>65</v>
      </c>
      <c r="B13" s="144">
        <v>1685655</v>
      </c>
      <c r="C13" s="144">
        <v>2482</v>
      </c>
      <c r="D13" s="144">
        <v>1679582</v>
      </c>
      <c r="E13" s="144">
        <v>3215</v>
      </c>
      <c r="F13" s="144">
        <v>8</v>
      </c>
      <c r="G13" s="144">
        <v>3018</v>
      </c>
      <c r="H13" s="144">
        <v>446</v>
      </c>
      <c r="I13" s="145">
        <f t="shared" si="0"/>
        <v>1868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K1"/>
    </sheetView>
  </sheetViews>
  <sheetFormatPr defaultRowHeight="13.5"/>
  <cols>
    <col min="1" max="1" width="9" style="9"/>
    <col min="2" max="2" width="11.125" style="9" customWidth="1"/>
    <col min="3" max="3" width="10.625" style="9" customWidth="1"/>
    <col min="4" max="4" width="10.125" style="9" customWidth="1"/>
    <col min="5" max="5" width="11" style="9" customWidth="1"/>
    <col min="6" max="6" width="8.625" style="9" customWidth="1"/>
    <col min="7" max="7" width="11.125" style="9" customWidth="1"/>
    <col min="8" max="9" width="9" style="9"/>
    <col min="10" max="10" width="9.5" style="9" bestFit="1" customWidth="1"/>
    <col min="11" max="11" width="9" style="9"/>
    <col min="12" max="12" width="9.5" style="9" bestFit="1" customWidth="1"/>
    <col min="13" max="16384" width="9" style="9"/>
  </cols>
  <sheetData>
    <row r="1" spans="1:11" ht="46.5" customHeight="1">
      <c r="A1" s="409" t="s">
        <v>290</v>
      </c>
      <c r="B1" s="410"/>
      <c r="C1" s="410"/>
      <c r="D1" s="410"/>
      <c r="E1" s="410"/>
      <c r="F1" s="410"/>
      <c r="G1" s="410"/>
      <c r="H1" s="410"/>
      <c r="I1" s="410"/>
      <c r="J1" s="410"/>
      <c r="K1" s="411"/>
    </row>
    <row r="2" spans="1:11" ht="40.5">
      <c r="A2" s="146" t="s">
        <v>279</v>
      </c>
      <c r="B2" s="147" t="s">
        <v>275</v>
      </c>
      <c r="C2" s="148" t="s">
        <v>276</v>
      </c>
      <c r="D2" s="148" t="s">
        <v>277</v>
      </c>
      <c r="E2" s="148" t="s">
        <v>285</v>
      </c>
      <c r="F2" s="148" t="s">
        <v>281</v>
      </c>
      <c r="G2" s="148" t="s">
        <v>278</v>
      </c>
      <c r="H2" s="148" t="s">
        <v>280</v>
      </c>
      <c r="I2" s="149" t="s">
        <v>282</v>
      </c>
      <c r="J2" s="148" t="s">
        <v>283</v>
      </c>
      <c r="K2" s="152" t="s">
        <v>284</v>
      </c>
    </row>
    <row r="3" spans="1:11">
      <c r="A3" s="146" t="s">
        <v>55</v>
      </c>
      <c r="B3" s="149">
        <v>16975</v>
      </c>
      <c r="C3" s="149">
        <v>2581262</v>
      </c>
      <c r="D3" s="149">
        <v>5358</v>
      </c>
      <c r="E3" s="148">
        <f>+C3-B3+D3</f>
        <v>2569645</v>
      </c>
      <c r="F3" s="148">
        <v>4104</v>
      </c>
      <c r="G3" s="149">
        <v>2554969</v>
      </c>
      <c r="H3" s="149">
        <v>864</v>
      </c>
      <c r="I3" s="149">
        <v>6131</v>
      </c>
      <c r="J3" s="149">
        <f>+F3+G3-H3-I3</f>
        <v>2552078</v>
      </c>
      <c r="K3" s="153">
        <f>+J3-E3</f>
        <v>-17567</v>
      </c>
    </row>
    <row r="4" spans="1:11">
      <c r="A4" s="146" t="s">
        <v>56</v>
      </c>
      <c r="B4" s="149">
        <v>25419</v>
      </c>
      <c r="C4" s="149">
        <v>2897780</v>
      </c>
      <c r="D4" s="149">
        <f>D5</f>
        <v>12199</v>
      </c>
      <c r="E4" s="148">
        <f t="shared" ref="E4:E13" si="0">+C4-B4+D4</f>
        <v>2884560</v>
      </c>
      <c r="F4" s="148">
        <v>6914</v>
      </c>
      <c r="G4" s="149">
        <v>2857895</v>
      </c>
      <c r="H4" s="149">
        <v>965</v>
      </c>
      <c r="I4" s="149">
        <v>6582</v>
      </c>
      <c r="J4" s="149">
        <f t="shared" ref="J4:J13" si="1">+F4+G4-H4-I4</f>
        <v>2857262</v>
      </c>
      <c r="K4" s="153">
        <f t="shared" ref="K4:K13" si="2">+J4-E4</f>
        <v>-27298</v>
      </c>
    </row>
    <row r="5" spans="1:11">
      <c r="A5" s="146" t="s">
        <v>57</v>
      </c>
      <c r="B5" s="149">
        <v>25419</v>
      </c>
      <c r="C5" s="149">
        <v>2897780</v>
      </c>
      <c r="D5" s="149">
        <v>12199</v>
      </c>
      <c r="E5" s="148">
        <f t="shared" si="0"/>
        <v>2884560</v>
      </c>
      <c r="F5" s="148">
        <v>6914</v>
      </c>
      <c r="G5" s="149">
        <v>2857895</v>
      </c>
      <c r="H5" s="149">
        <v>965</v>
      </c>
      <c r="I5" s="149">
        <v>6582</v>
      </c>
      <c r="J5" s="149">
        <f t="shared" si="1"/>
        <v>2857262</v>
      </c>
      <c r="K5" s="153">
        <f t="shared" si="2"/>
        <v>-27298</v>
      </c>
    </row>
    <row r="6" spans="1:11">
      <c r="A6" s="154" t="s">
        <v>58</v>
      </c>
      <c r="B6" s="155">
        <v>13977</v>
      </c>
      <c r="C6" s="155">
        <v>1748306</v>
      </c>
      <c r="D6" s="155">
        <v>9559</v>
      </c>
      <c r="E6" s="156">
        <f t="shared" si="0"/>
        <v>1743888</v>
      </c>
      <c r="F6" s="156">
        <v>6184</v>
      </c>
      <c r="G6" s="155">
        <v>1792685</v>
      </c>
      <c r="H6" s="155">
        <v>473</v>
      </c>
      <c r="I6" s="155">
        <v>2292</v>
      </c>
      <c r="J6" s="155">
        <f t="shared" si="1"/>
        <v>1796104</v>
      </c>
      <c r="K6" s="157">
        <f t="shared" si="2"/>
        <v>52216</v>
      </c>
    </row>
    <row r="7" spans="1:11">
      <c r="A7" s="146" t="s">
        <v>59</v>
      </c>
      <c r="B7" s="149">
        <v>50838</v>
      </c>
      <c r="C7" s="149">
        <v>5795560</v>
      </c>
      <c r="D7" s="149">
        <v>24398</v>
      </c>
      <c r="E7" s="148">
        <f t="shared" si="0"/>
        <v>5769120</v>
      </c>
      <c r="F7" s="148">
        <v>13828</v>
      </c>
      <c r="G7" s="149">
        <v>5715790</v>
      </c>
      <c r="H7" s="149">
        <v>1930</v>
      </c>
      <c r="I7" s="149">
        <v>13164</v>
      </c>
      <c r="J7" s="149">
        <f t="shared" si="1"/>
        <v>5714524</v>
      </c>
      <c r="K7" s="153">
        <f t="shared" si="2"/>
        <v>-54596</v>
      </c>
    </row>
    <row r="8" spans="1:11">
      <c r="A8" s="146" t="s">
        <v>60</v>
      </c>
      <c r="B8" s="149">
        <v>26263</v>
      </c>
      <c r="C8" s="149">
        <v>3592167</v>
      </c>
      <c r="D8" s="149">
        <v>12664</v>
      </c>
      <c r="E8" s="148">
        <f t="shared" si="0"/>
        <v>3578568</v>
      </c>
      <c r="F8" s="148">
        <v>6914</v>
      </c>
      <c r="G8" s="149">
        <v>3546920</v>
      </c>
      <c r="H8" s="149">
        <v>1057</v>
      </c>
      <c r="I8" s="149">
        <v>6669</v>
      </c>
      <c r="J8" s="149">
        <f t="shared" si="1"/>
        <v>3546108</v>
      </c>
      <c r="K8" s="153">
        <f t="shared" si="2"/>
        <v>-32460</v>
      </c>
    </row>
    <row r="9" spans="1:11">
      <c r="A9" s="146" t="s">
        <v>61</v>
      </c>
      <c r="B9" s="149">
        <v>25491</v>
      </c>
      <c r="C9" s="149">
        <v>3099280</v>
      </c>
      <c r="D9" s="149">
        <v>14183</v>
      </c>
      <c r="E9" s="148">
        <f t="shared" si="0"/>
        <v>3087972</v>
      </c>
      <c r="F9" s="148">
        <v>6941</v>
      </c>
      <c r="G9" s="149">
        <v>3058637</v>
      </c>
      <c r="H9" s="149">
        <v>1236</v>
      </c>
      <c r="I9" s="149">
        <v>6582</v>
      </c>
      <c r="J9" s="149">
        <f t="shared" si="1"/>
        <v>3057760</v>
      </c>
      <c r="K9" s="153">
        <f t="shared" si="2"/>
        <v>-30212</v>
      </c>
    </row>
    <row r="10" spans="1:11">
      <c r="A10" s="146" t="s">
        <v>62</v>
      </c>
      <c r="B10" s="149">
        <v>9190</v>
      </c>
      <c r="C10" s="149">
        <v>1444516</v>
      </c>
      <c r="D10" s="149">
        <v>4407</v>
      </c>
      <c r="E10" s="148">
        <f t="shared" si="0"/>
        <v>1439733</v>
      </c>
      <c r="F10" s="148">
        <v>1914</v>
      </c>
      <c r="G10" s="149">
        <v>1425959</v>
      </c>
      <c r="H10" s="149">
        <v>314</v>
      </c>
      <c r="I10" s="149">
        <v>6096</v>
      </c>
      <c r="J10" s="149">
        <f t="shared" si="1"/>
        <v>1421463</v>
      </c>
      <c r="K10" s="153">
        <f t="shared" si="2"/>
        <v>-18270</v>
      </c>
    </row>
    <row r="11" spans="1:11">
      <c r="A11" s="146" t="s">
        <v>63</v>
      </c>
      <c r="B11" s="149">
        <v>25416</v>
      </c>
      <c r="C11" s="149">
        <v>2868039</v>
      </c>
      <c r="D11" s="149">
        <v>12180</v>
      </c>
      <c r="E11" s="148">
        <f t="shared" si="0"/>
        <v>2854803</v>
      </c>
      <c r="F11" s="148">
        <v>5790</v>
      </c>
      <c r="G11" s="149">
        <v>2829737</v>
      </c>
      <c r="H11" s="149">
        <v>938</v>
      </c>
      <c r="I11" s="149">
        <v>6582</v>
      </c>
      <c r="J11" s="149">
        <f t="shared" si="1"/>
        <v>2828007</v>
      </c>
      <c r="K11" s="153">
        <f t="shared" si="2"/>
        <v>-26796</v>
      </c>
    </row>
    <row r="12" spans="1:11">
      <c r="A12" s="146" t="s">
        <v>64</v>
      </c>
      <c r="B12" s="149">
        <v>0</v>
      </c>
      <c r="C12" s="149">
        <v>0</v>
      </c>
      <c r="D12" s="149">
        <v>0</v>
      </c>
      <c r="E12" s="148">
        <f t="shared" si="0"/>
        <v>0</v>
      </c>
      <c r="F12" s="148">
        <v>0</v>
      </c>
      <c r="G12" s="149">
        <v>0</v>
      </c>
      <c r="H12" s="149">
        <v>0</v>
      </c>
      <c r="I12" s="149">
        <v>0</v>
      </c>
      <c r="J12" s="149">
        <f t="shared" si="1"/>
        <v>0</v>
      </c>
      <c r="K12" s="153">
        <f t="shared" si="2"/>
        <v>0</v>
      </c>
    </row>
    <row r="13" spans="1:11">
      <c r="A13" s="158" t="s">
        <v>65</v>
      </c>
      <c r="B13" s="159">
        <v>2407</v>
      </c>
      <c r="C13" s="159">
        <v>1686982</v>
      </c>
      <c r="D13" s="159">
        <v>2262</v>
      </c>
      <c r="E13" s="160">
        <f t="shared" si="0"/>
        <v>1686837</v>
      </c>
      <c r="F13" s="160">
        <v>2482</v>
      </c>
      <c r="G13" s="159">
        <v>1679582</v>
      </c>
      <c r="H13" s="159">
        <v>446</v>
      </c>
      <c r="I13" s="159">
        <v>3018</v>
      </c>
      <c r="J13" s="159">
        <f t="shared" si="1"/>
        <v>1678600</v>
      </c>
      <c r="K13" s="161">
        <f t="shared" si="2"/>
        <v>-8237</v>
      </c>
    </row>
    <row r="15" spans="1:11">
      <c r="A15" s="138" t="s">
        <v>286</v>
      </c>
      <c r="B15" s="139"/>
      <c r="C15" s="139"/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8"/>
  <sheetViews>
    <sheetView tabSelected="1" workbookViewId="0">
      <selection activeCell="F18" sqref="F18"/>
    </sheetView>
  </sheetViews>
  <sheetFormatPr defaultRowHeight="13.5"/>
  <cols>
    <col min="1" max="1" width="3.75" customWidth="1"/>
    <col min="2" max="2" width="15.125" customWidth="1"/>
    <col min="3" max="4" width="12.5" customWidth="1"/>
    <col min="5" max="5" width="11.75" customWidth="1"/>
    <col min="6" max="6" width="11.5" customWidth="1"/>
    <col min="7" max="7" width="12.625" customWidth="1"/>
    <col min="8" max="8" width="11.625" customWidth="1"/>
    <col min="9" max="10" width="14.25" customWidth="1"/>
    <col min="11" max="13" width="12.5" customWidth="1"/>
    <col min="14" max="14" width="11.625" customWidth="1"/>
    <col min="15" max="18" width="10.375" customWidth="1"/>
    <col min="19" max="19" width="10.75" customWidth="1"/>
  </cols>
  <sheetData>
    <row r="1" spans="1:24">
      <c r="A1" s="94" t="s">
        <v>308</v>
      </c>
    </row>
    <row r="3" spans="1:24">
      <c r="A3" t="s">
        <v>309</v>
      </c>
    </row>
    <row r="5" spans="1:24">
      <c r="A5" t="s">
        <v>310</v>
      </c>
    </row>
    <row r="6" spans="1:24">
      <c r="A6" s="95" t="s">
        <v>312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4.25" thickBot="1">
      <c r="A7" s="7" t="s">
        <v>214</v>
      </c>
      <c r="B7" s="7"/>
      <c r="C7" s="7"/>
      <c r="D7" s="7"/>
      <c r="E7" s="7"/>
      <c r="F7" s="7"/>
      <c r="G7" s="7"/>
      <c r="H7" s="7"/>
      <c r="I7" s="7"/>
      <c r="J7" s="7"/>
      <c r="K7" s="29" t="s">
        <v>300</v>
      </c>
      <c r="L7" s="29"/>
      <c r="M7" s="29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368" t="s">
        <v>200</v>
      </c>
      <c r="B8" s="364" t="s">
        <v>201</v>
      </c>
      <c r="C8" s="364" t="s">
        <v>202</v>
      </c>
      <c r="D8" s="364" t="s">
        <v>203</v>
      </c>
      <c r="E8" s="364" t="s">
        <v>204</v>
      </c>
      <c r="F8" s="364" t="s">
        <v>247</v>
      </c>
      <c r="G8" s="364" t="s">
        <v>248</v>
      </c>
      <c r="H8" s="364" t="s">
        <v>205</v>
      </c>
      <c r="I8" s="364" t="s">
        <v>244</v>
      </c>
      <c r="J8" s="361" t="s">
        <v>245</v>
      </c>
      <c r="K8" s="436" t="s">
        <v>344</v>
      </c>
      <c r="L8" s="437"/>
      <c r="M8" s="38" t="s">
        <v>207</v>
      </c>
      <c r="N8" s="38" t="s">
        <v>207</v>
      </c>
      <c r="O8" s="38" t="s">
        <v>207</v>
      </c>
      <c r="P8" s="101" t="s">
        <v>10</v>
      </c>
      <c r="Q8" s="101"/>
      <c r="R8" s="72" t="s">
        <v>11</v>
      </c>
      <c r="S8" s="72"/>
      <c r="T8" s="72"/>
      <c r="U8" s="361" t="s">
        <v>305</v>
      </c>
      <c r="V8" s="132"/>
    </row>
    <row r="9" spans="1:24">
      <c r="A9" s="369"/>
      <c r="B9" s="365"/>
      <c r="C9" s="365"/>
      <c r="D9" s="365"/>
      <c r="E9" s="365"/>
      <c r="F9" s="365"/>
      <c r="G9" s="365"/>
      <c r="H9" s="365"/>
      <c r="I9" s="365"/>
      <c r="J9" s="362"/>
      <c r="K9" s="294" t="s">
        <v>345</v>
      </c>
      <c r="L9" s="3" t="s">
        <v>206</v>
      </c>
      <c r="M9" s="3" t="s">
        <v>208</v>
      </c>
      <c r="N9" s="3" t="s">
        <v>249</v>
      </c>
      <c r="O9" s="3" t="s">
        <v>250</v>
      </c>
      <c r="P9" s="3" t="s">
        <v>246</v>
      </c>
      <c r="Q9" s="3" t="s">
        <v>238</v>
      </c>
      <c r="R9" s="3" t="s">
        <v>209</v>
      </c>
      <c r="S9" s="3" t="s">
        <v>210</v>
      </c>
      <c r="T9" s="44" t="s">
        <v>239</v>
      </c>
      <c r="U9" s="362"/>
      <c r="V9" s="6" t="s">
        <v>240</v>
      </c>
    </row>
    <row r="10" spans="1:24">
      <c r="A10" s="12">
        <v>1</v>
      </c>
      <c r="B10" s="13" t="s">
        <v>55</v>
      </c>
      <c r="C10" s="89">
        <v>2961239</v>
      </c>
      <c r="D10" s="89">
        <v>2221254</v>
      </c>
      <c r="E10" s="89">
        <v>2648646</v>
      </c>
      <c r="F10" s="89">
        <v>3325</v>
      </c>
      <c r="G10" s="89">
        <v>82378</v>
      </c>
      <c r="H10" s="89">
        <f t="shared" ref="H10:H24" si="0">+C10+D10-E10-F10-G10</f>
        <v>2448144</v>
      </c>
      <c r="I10" s="89">
        <f t="shared" ref="I10:I24" si="1">SUM(K10:V10)</f>
        <v>2434227</v>
      </c>
      <c r="J10" s="113">
        <f t="shared" ref="J10:J24" si="2">+I10-H10</f>
        <v>-13917</v>
      </c>
      <c r="K10" s="213">
        <v>2132002</v>
      </c>
      <c r="L10" s="89">
        <v>171879</v>
      </c>
      <c r="M10" s="89">
        <v>31523</v>
      </c>
      <c r="N10" s="89">
        <v>5358</v>
      </c>
      <c r="O10" s="89">
        <v>519</v>
      </c>
      <c r="P10" s="89"/>
      <c r="Q10" s="89">
        <v>6652</v>
      </c>
      <c r="R10" s="89">
        <v>20233</v>
      </c>
      <c r="S10" s="89">
        <v>29956</v>
      </c>
      <c r="T10" s="213">
        <v>250</v>
      </c>
      <c r="U10" s="113"/>
      <c r="V10" s="110">
        <v>35855</v>
      </c>
    </row>
    <row r="11" spans="1:24">
      <c r="A11" s="12">
        <v>2</v>
      </c>
      <c r="B11" s="13" t="s">
        <v>56</v>
      </c>
      <c r="C11" s="89">
        <v>924743</v>
      </c>
      <c r="D11" s="89">
        <v>526804</v>
      </c>
      <c r="E11" s="89">
        <v>263400</v>
      </c>
      <c r="F11" s="89">
        <v>103355</v>
      </c>
      <c r="G11" s="89">
        <v>53958</v>
      </c>
      <c r="H11" s="89">
        <f t="shared" si="0"/>
        <v>1030834</v>
      </c>
      <c r="I11" s="89">
        <f t="shared" si="1"/>
        <v>1026894</v>
      </c>
      <c r="J11" s="113">
        <f t="shared" si="2"/>
        <v>-3940</v>
      </c>
      <c r="K11" s="213">
        <v>523142</v>
      </c>
      <c r="L11" s="89">
        <v>178474</v>
      </c>
      <c r="M11" s="89">
        <v>19494</v>
      </c>
      <c r="N11" s="89">
        <v>1001</v>
      </c>
      <c r="O11" s="89">
        <v>118</v>
      </c>
      <c r="P11" s="89"/>
      <c r="Q11" s="89">
        <f>107212+140490-6421-5676</f>
        <v>235605</v>
      </c>
      <c r="R11" s="89">
        <v>23237</v>
      </c>
      <c r="S11" s="89">
        <v>45811</v>
      </c>
      <c r="T11" s="213">
        <v>12</v>
      </c>
      <c r="U11" s="113"/>
      <c r="V11" s="110"/>
    </row>
    <row r="12" spans="1:24">
      <c r="A12" s="12">
        <v>3</v>
      </c>
      <c r="B12" s="13" t="s">
        <v>57</v>
      </c>
      <c r="C12" s="89">
        <v>4982123</v>
      </c>
      <c r="D12" s="89">
        <v>2883600</v>
      </c>
      <c r="E12" s="89">
        <v>2971567</v>
      </c>
      <c r="F12" s="89">
        <v>165261</v>
      </c>
      <c r="G12" s="89">
        <v>698338</v>
      </c>
      <c r="H12" s="89">
        <f t="shared" si="0"/>
        <v>4030557</v>
      </c>
      <c r="I12" s="89">
        <f t="shared" si="1"/>
        <v>3897893</v>
      </c>
      <c r="J12" s="113">
        <f t="shared" si="2"/>
        <v>-132664</v>
      </c>
      <c r="K12" s="213">
        <v>3128103</v>
      </c>
      <c r="L12" s="89">
        <v>581535</v>
      </c>
      <c r="M12" s="89">
        <v>5967</v>
      </c>
      <c r="N12" s="89">
        <v>12199</v>
      </c>
      <c r="O12" s="89">
        <v>631</v>
      </c>
      <c r="P12" s="89"/>
      <c r="Q12" s="89">
        <v>65970</v>
      </c>
      <c r="R12" s="89">
        <v>50630</v>
      </c>
      <c r="S12" s="89">
        <v>52576</v>
      </c>
      <c r="T12" s="213">
        <v>282</v>
      </c>
      <c r="U12" s="113"/>
      <c r="V12" s="110"/>
    </row>
    <row r="13" spans="1:24">
      <c r="A13" s="12">
        <v>4</v>
      </c>
      <c r="B13" s="13" t="s">
        <v>58</v>
      </c>
      <c r="C13" s="89">
        <v>2672260</v>
      </c>
      <c r="D13" s="89">
        <v>5231450</v>
      </c>
      <c r="E13" s="89">
        <v>1996329</v>
      </c>
      <c r="F13" s="89">
        <v>1003444</v>
      </c>
      <c r="G13" s="89">
        <v>27760</v>
      </c>
      <c r="H13" s="89">
        <f t="shared" si="0"/>
        <v>4876177</v>
      </c>
      <c r="I13" s="89">
        <f t="shared" si="1"/>
        <v>3470541</v>
      </c>
      <c r="J13" s="113">
        <f t="shared" si="2"/>
        <v>-1405636</v>
      </c>
      <c r="K13" s="213">
        <v>3005213</v>
      </c>
      <c r="L13" s="89">
        <v>135849</v>
      </c>
      <c r="M13" s="89">
        <v>2800</v>
      </c>
      <c r="N13" s="89">
        <v>9559</v>
      </c>
      <c r="O13" s="89">
        <v>524</v>
      </c>
      <c r="P13" s="89"/>
      <c r="Q13" s="89">
        <v>126141</v>
      </c>
      <c r="R13" s="89">
        <v>97157</v>
      </c>
      <c r="S13" s="89">
        <v>92984</v>
      </c>
      <c r="T13" s="213">
        <v>314</v>
      </c>
      <c r="U13" s="113"/>
      <c r="V13" s="110"/>
    </row>
    <row r="14" spans="1:24">
      <c r="A14" s="12">
        <v>5</v>
      </c>
      <c r="B14" s="13" t="s">
        <v>59</v>
      </c>
      <c r="C14" s="89">
        <v>8697024</v>
      </c>
      <c r="D14" s="89">
        <v>5381671</v>
      </c>
      <c r="E14" s="89">
        <v>5943134</v>
      </c>
      <c r="F14" s="89">
        <v>618969</v>
      </c>
      <c r="G14" s="89">
        <v>265500</v>
      </c>
      <c r="H14" s="89">
        <f t="shared" si="0"/>
        <v>7251092</v>
      </c>
      <c r="I14" s="89">
        <f t="shared" si="1"/>
        <v>6783209</v>
      </c>
      <c r="J14" s="113">
        <f t="shared" si="2"/>
        <v>-467883</v>
      </c>
      <c r="K14" s="213">
        <v>5552540</v>
      </c>
      <c r="L14" s="89">
        <v>214193</v>
      </c>
      <c r="M14" s="89">
        <v>4271</v>
      </c>
      <c r="N14" s="89">
        <v>24398</v>
      </c>
      <c r="O14" s="89">
        <v>1262</v>
      </c>
      <c r="P14" s="89"/>
      <c r="Q14" s="89">
        <v>741055</v>
      </c>
      <c r="R14" s="89">
        <v>99805</v>
      </c>
      <c r="S14" s="89">
        <v>144858</v>
      </c>
      <c r="T14" s="213">
        <v>827</v>
      </c>
      <c r="U14" s="113"/>
      <c r="V14" s="110"/>
    </row>
    <row r="15" spans="1:24">
      <c r="A15" s="12">
        <v>6</v>
      </c>
      <c r="B15" s="13" t="s">
        <v>60</v>
      </c>
      <c r="C15" s="89">
        <v>7958832</v>
      </c>
      <c r="D15" s="89">
        <v>3391554</v>
      </c>
      <c r="E15" s="89">
        <v>3667508</v>
      </c>
      <c r="F15" s="89">
        <v>60749</v>
      </c>
      <c r="G15" s="89">
        <v>1510000</v>
      </c>
      <c r="H15" s="89">
        <f t="shared" si="0"/>
        <v>6112129</v>
      </c>
      <c r="I15" s="89">
        <f t="shared" si="1"/>
        <v>5000144</v>
      </c>
      <c r="J15" s="113">
        <f t="shared" si="2"/>
        <v>-1111985</v>
      </c>
      <c r="K15" s="213">
        <v>3281678</v>
      </c>
      <c r="L15" s="89">
        <v>1642754</v>
      </c>
      <c r="M15" s="89">
        <v>2630</v>
      </c>
      <c r="N15" s="89">
        <v>12664</v>
      </c>
      <c r="O15" s="89">
        <v>736</v>
      </c>
      <c r="P15" s="89"/>
      <c r="Q15" s="89">
        <v>0</v>
      </c>
      <c r="R15" s="89">
        <v>33286</v>
      </c>
      <c r="S15" s="89">
        <v>26140</v>
      </c>
      <c r="T15" s="213">
        <v>256</v>
      </c>
      <c r="U15" s="113"/>
      <c r="V15" s="110"/>
    </row>
    <row r="16" spans="1:24">
      <c r="A16" s="12">
        <v>7</v>
      </c>
      <c r="B16" s="13" t="s">
        <v>61</v>
      </c>
      <c r="C16" s="89">
        <v>16184138</v>
      </c>
      <c r="D16" s="89">
        <v>3147639</v>
      </c>
      <c r="E16" s="89">
        <v>3020148</v>
      </c>
      <c r="F16" s="89">
        <v>24522</v>
      </c>
      <c r="G16" s="89">
        <v>2047000</v>
      </c>
      <c r="H16" s="89">
        <f t="shared" si="0"/>
        <v>14240107</v>
      </c>
      <c r="I16" s="89">
        <f t="shared" si="1"/>
        <v>9900980</v>
      </c>
      <c r="J16" s="113">
        <f t="shared" si="2"/>
        <v>-4339127</v>
      </c>
      <c r="K16" s="213">
        <v>3216380</v>
      </c>
      <c r="L16" s="89">
        <v>6608568</v>
      </c>
      <c r="M16" s="89">
        <v>2873</v>
      </c>
      <c r="N16" s="89">
        <v>14183</v>
      </c>
      <c r="O16" s="89">
        <v>707</v>
      </c>
      <c r="P16" s="89"/>
      <c r="Q16" s="89">
        <v>0</v>
      </c>
      <c r="R16" s="89">
        <v>24364</v>
      </c>
      <c r="S16" s="89">
        <v>33622</v>
      </c>
      <c r="T16" s="213">
        <v>283</v>
      </c>
      <c r="U16" s="113"/>
      <c r="V16" s="110"/>
    </row>
    <row r="17" spans="1:24">
      <c r="A17" s="12">
        <v>8</v>
      </c>
      <c r="B17" s="13" t="s">
        <v>62</v>
      </c>
      <c r="C17" s="89">
        <v>2589957</v>
      </c>
      <c r="D17" s="89">
        <v>1658534</v>
      </c>
      <c r="E17" s="89">
        <v>1636052</v>
      </c>
      <c r="F17" s="89"/>
      <c r="G17" s="89">
        <v>250000</v>
      </c>
      <c r="H17" s="89">
        <f t="shared" si="0"/>
        <v>2362439</v>
      </c>
      <c r="I17" s="89">
        <f t="shared" si="1"/>
        <v>2270698</v>
      </c>
      <c r="J17" s="113">
        <f t="shared" si="2"/>
        <v>-91741</v>
      </c>
      <c r="K17" s="213">
        <v>1684503</v>
      </c>
      <c r="L17" s="89">
        <v>532919</v>
      </c>
      <c r="M17" s="89">
        <v>771</v>
      </c>
      <c r="N17" s="89">
        <v>4407</v>
      </c>
      <c r="O17" s="89">
        <v>327</v>
      </c>
      <c r="P17" s="89"/>
      <c r="Q17" s="89">
        <v>17</v>
      </c>
      <c r="R17" s="89">
        <v>18450</v>
      </c>
      <c r="S17" s="89">
        <v>29304</v>
      </c>
      <c r="T17" s="213">
        <v>0</v>
      </c>
      <c r="U17" s="113"/>
      <c r="V17" s="110"/>
    </row>
    <row r="18" spans="1:24">
      <c r="A18" s="12">
        <v>9</v>
      </c>
      <c r="B18" s="13" t="s">
        <v>63</v>
      </c>
      <c r="C18" s="89">
        <v>3928561</v>
      </c>
      <c r="D18" s="89">
        <v>1648505</v>
      </c>
      <c r="E18" s="89">
        <v>2968015</v>
      </c>
      <c r="F18" s="89">
        <v>66840</v>
      </c>
      <c r="G18" s="89"/>
      <c r="H18" s="89">
        <f t="shared" si="0"/>
        <v>2542211</v>
      </c>
      <c r="I18" s="89">
        <f t="shared" si="1"/>
        <v>2641031</v>
      </c>
      <c r="J18" s="113">
        <f t="shared" si="2"/>
        <v>98820</v>
      </c>
      <c r="K18" s="213">
        <v>2242049</v>
      </c>
      <c r="L18" s="89">
        <v>313469</v>
      </c>
      <c r="M18" s="89">
        <v>4914</v>
      </c>
      <c r="N18" s="89">
        <v>12180</v>
      </c>
      <c r="O18" s="89">
        <v>615</v>
      </c>
      <c r="P18" s="89"/>
      <c r="Q18" s="89">
        <v>4508</v>
      </c>
      <c r="R18" s="89">
        <v>23542</v>
      </c>
      <c r="S18" s="89">
        <v>39498</v>
      </c>
      <c r="T18" s="213">
        <v>256</v>
      </c>
      <c r="U18" s="113"/>
      <c r="V18" s="110"/>
    </row>
    <row r="19" spans="1:24">
      <c r="A19" s="12">
        <v>10</v>
      </c>
      <c r="B19" s="13" t="s">
        <v>64</v>
      </c>
      <c r="C19" s="89">
        <v>121711</v>
      </c>
      <c r="D19" s="89"/>
      <c r="E19" s="89">
        <v>6457</v>
      </c>
      <c r="F19" s="89">
        <v>116154</v>
      </c>
      <c r="G19" s="89"/>
      <c r="H19" s="89">
        <f t="shared" si="0"/>
        <v>-900</v>
      </c>
      <c r="I19" s="89">
        <f t="shared" si="1"/>
        <v>139277</v>
      </c>
      <c r="J19" s="113">
        <f t="shared" si="2"/>
        <v>140177</v>
      </c>
      <c r="K19" s="213">
        <v>106140</v>
      </c>
      <c r="L19" s="89">
        <v>33137</v>
      </c>
      <c r="M19" s="89">
        <v>0</v>
      </c>
      <c r="N19" s="89">
        <v>0</v>
      </c>
      <c r="O19" s="89">
        <v>0</v>
      </c>
      <c r="P19" s="89"/>
      <c r="Q19" s="89">
        <v>0</v>
      </c>
      <c r="R19" s="89"/>
      <c r="S19" s="89"/>
      <c r="T19" s="213">
        <v>0</v>
      </c>
      <c r="U19" s="113"/>
      <c r="V19" s="110"/>
    </row>
    <row r="20" spans="1:24">
      <c r="A20" s="12">
        <v>11</v>
      </c>
      <c r="B20" s="13" t="s">
        <v>65</v>
      </c>
      <c r="C20" s="89">
        <v>911307</v>
      </c>
      <c r="D20" s="89">
        <v>1877031</v>
      </c>
      <c r="E20" s="89">
        <v>1616744</v>
      </c>
      <c r="F20" s="89">
        <v>43600</v>
      </c>
      <c r="G20" s="89">
        <v>11500</v>
      </c>
      <c r="H20" s="89">
        <f t="shared" si="0"/>
        <v>1116494</v>
      </c>
      <c r="I20" s="89">
        <f t="shared" si="1"/>
        <v>1229086</v>
      </c>
      <c r="J20" s="113">
        <f t="shared" si="2"/>
        <v>112592</v>
      </c>
      <c r="K20" s="213">
        <v>849353</v>
      </c>
      <c r="L20" s="89">
        <v>341959</v>
      </c>
      <c r="M20" s="89">
        <v>3275</v>
      </c>
      <c r="N20" s="89">
        <v>2262</v>
      </c>
      <c r="O20" s="89">
        <v>398</v>
      </c>
      <c r="P20" s="89"/>
      <c r="Q20" s="89">
        <v>9371</v>
      </c>
      <c r="R20" s="89">
        <v>11205</v>
      </c>
      <c r="S20" s="89">
        <v>11263</v>
      </c>
      <c r="T20" s="213">
        <v>0</v>
      </c>
      <c r="U20" s="113"/>
      <c r="V20" s="110"/>
    </row>
    <row r="21" spans="1:24">
      <c r="A21" s="12">
        <v>12</v>
      </c>
      <c r="B21" s="13" t="s">
        <v>301</v>
      </c>
      <c r="C21" s="89">
        <v>7070.0794419999993</v>
      </c>
      <c r="D21" s="89">
        <v>526</v>
      </c>
      <c r="E21" s="89">
        <v>545.76488099999995</v>
      </c>
      <c r="F21" s="89">
        <v>32.5</v>
      </c>
      <c r="G21" s="89">
        <v>1106.8699999999999</v>
      </c>
      <c r="H21" s="89">
        <f t="shared" si="0"/>
        <v>5910.9445609999993</v>
      </c>
      <c r="I21" s="89">
        <f t="shared" si="1"/>
        <v>4927.7370639056662</v>
      </c>
      <c r="J21" s="113">
        <f t="shared" si="2"/>
        <v>-983.20749709433312</v>
      </c>
      <c r="K21" s="213">
        <v>3779</v>
      </c>
      <c r="L21" s="89">
        <v>148</v>
      </c>
      <c r="M21" s="89">
        <v>0</v>
      </c>
      <c r="N21" s="89">
        <v>2.9837099999999999</v>
      </c>
      <c r="O21" s="89">
        <v>0.15395999999999999</v>
      </c>
      <c r="P21" s="89">
        <v>997.59939390566649</v>
      </c>
      <c r="Q21" s="89">
        <v>0</v>
      </c>
      <c r="R21" s="89"/>
      <c r="S21" s="89"/>
      <c r="T21" s="213"/>
      <c r="U21" s="113"/>
      <c r="V21" s="110"/>
    </row>
    <row r="22" spans="1:24" ht="27">
      <c r="A22" s="12">
        <v>13</v>
      </c>
      <c r="B22" s="133" t="s">
        <v>302</v>
      </c>
      <c r="C22" s="89">
        <v>42676.223509000003</v>
      </c>
      <c r="D22" s="89">
        <v>0</v>
      </c>
      <c r="E22" s="89">
        <v>8551.258699</v>
      </c>
      <c r="F22" s="89"/>
      <c r="G22" s="89"/>
      <c r="H22" s="89">
        <f t="shared" si="0"/>
        <v>34124.964810000005</v>
      </c>
      <c r="I22" s="89">
        <f t="shared" si="1"/>
        <v>22323.697884200003</v>
      </c>
      <c r="J22" s="113">
        <f t="shared" si="2"/>
        <v>-11801.266925800002</v>
      </c>
      <c r="K22" s="213">
        <v>11653</v>
      </c>
      <c r="L22" s="89">
        <v>45.94489699999999</v>
      </c>
      <c r="M22" s="89">
        <v>0</v>
      </c>
      <c r="N22" s="89">
        <v>36.781289999999998</v>
      </c>
      <c r="O22" s="89">
        <v>1.3455900000000001</v>
      </c>
      <c r="P22" s="89">
        <v>10586.626107200002</v>
      </c>
      <c r="Q22" s="89">
        <v>0</v>
      </c>
      <c r="R22" s="89"/>
      <c r="S22" s="89"/>
      <c r="T22" s="213"/>
      <c r="U22" s="113"/>
      <c r="V22" s="110"/>
    </row>
    <row r="23" spans="1:24">
      <c r="A23" s="12">
        <v>14</v>
      </c>
      <c r="B23" s="13" t="s">
        <v>303</v>
      </c>
      <c r="C23" s="89">
        <v>849.46</v>
      </c>
      <c r="D23" s="89"/>
      <c r="E23" s="89"/>
      <c r="F23" s="89"/>
      <c r="G23" s="89"/>
      <c r="H23" s="89">
        <f t="shared" si="0"/>
        <v>849.46</v>
      </c>
      <c r="I23" s="89">
        <f t="shared" si="1"/>
        <v>804.658728</v>
      </c>
      <c r="J23" s="113">
        <f t="shared" si="2"/>
        <v>-44.80127200000004</v>
      </c>
      <c r="K23" s="213">
        <v>0</v>
      </c>
      <c r="L23" s="89">
        <v>0</v>
      </c>
      <c r="M23" s="89">
        <v>0</v>
      </c>
      <c r="N23" s="89">
        <v>0</v>
      </c>
      <c r="O23" s="89">
        <v>0</v>
      </c>
      <c r="P23" s="89">
        <v>804.658728</v>
      </c>
      <c r="Q23" s="89">
        <v>0</v>
      </c>
      <c r="R23" s="89"/>
      <c r="S23" s="89"/>
      <c r="T23" s="213"/>
      <c r="U23" s="113"/>
      <c r="V23" s="110"/>
    </row>
    <row r="24" spans="1:24">
      <c r="A24" s="12">
        <v>15</v>
      </c>
      <c r="B24" s="13" t="s">
        <v>304</v>
      </c>
      <c r="C24" s="89">
        <v>3348.7500200000013</v>
      </c>
      <c r="D24" s="89">
        <v>14972.665999999999</v>
      </c>
      <c r="E24" s="89">
        <v>13717</v>
      </c>
      <c r="F24" s="89"/>
      <c r="G24" s="89"/>
      <c r="H24" s="89">
        <f t="shared" si="0"/>
        <v>4604.4160200000006</v>
      </c>
      <c r="I24" s="89">
        <f t="shared" si="1"/>
        <v>24278.259959999999</v>
      </c>
      <c r="J24" s="113">
        <f t="shared" si="2"/>
        <v>19673.843939999999</v>
      </c>
      <c r="K24" s="213">
        <v>14291.99</v>
      </c>
      <c r="L24" s="89">
        <v>5266.7143699999997</v>
      </c>
      <c r="M24" s="89">
        <v>1</v>
      </c>
      <c r="N24" s="89">
        <v>57.472500000000011</v>
      </c>
      <c r="O24" s="89">
        <v>3.0830899999999994</v>
      </c>
      <c r="P24" s="89"/>
      <c r="Q24" s="89">
        <v>0</v>
      </c>
      <c r="R24" s="89">
        <v>4637</v>
      </c>
      <c r="S24" s="89">
        <v>21</v>
      </c>
      <c r="T24" s="213"/>
      <c r="U24" s="113"/>
      <c r="V24" s="110"/>
    </row>
    <row r="25" spans="1:24" ht="14.25" thickBot="1">
      <c r="A25" s="424" t="s">
        <v>259</v>
      </c>
      <c r="B25" s="384"/>
      <c r="C25" s="90">
        <f t="shared" ref="C25:T25" si="3">SUM(C10:C24)</f>
        <v>51985839.512970999</v>
      </c>
      <c r="D25" s="90">
        <f t="shared" si="3"/>
        <v>27983540.666000001</v>
      </c>
      <c r="E25" s="90">
        <f t="shared" si="3"/>
        <v>26760814.02358</v>
      </c>
      <c r="F25" s="90">
        <f t="shared" si="3"/>
        <v>2206251.5</v>
      </c>
      <c r="G25" s="90">
        <f t="shared" si="3"/>
        <v>4947540.87</v>
      </c>
      <c r="H25" s="90">
        <f t="shared" si="3"/>
        <v>46054773.785390995</v>
      </c>
      <c r="I25" s="90">
        <f t="shared" si="3"/>
        <v>38846314.353636116</v>
      </c>
      <c r="J25" s="114">
        <f t="shared" si="3"/>
        <v>-7208459.4317548946</v>
      </c>
      <c r="K25" s="271">
        <f t="shared" si="3"/>
        <v>25750826.989999998</v>
      </c>
      <c r="L25" s="90">
        <f t="shared" si="3"/>
        <v>10760196.659266999</v>
      </c>
      <c r="M25" s="90">
        <f t="shared" si="3"/>
        <v>78519</v>
      </c>
      <c r="N25" s="90">
        <f t="shared" si="3"/>
        <v>98308.237500000003</v>
      </c>
      <c r="O25" s="90">
        <f t="shared" si="3"/>
        <v>5841.5826399999996</v>
      </c>
      <c r="P25" s="90">
        <f t="shared" si="3"/>
        <v>12388.884229105668</v>
      </c>
      <c r="Q25" s="90">
        <f t="shared" si="3"/>
        <v>1189319</v>
      </c>
      <c r="R25" s="90">
        <f t="shared" si="3"/>
        <v>406546</v>
      </c>
      <c r="S25" s="90">
        <f t="shared" si="3"/>
        <v>506033</v>
      </c>
      <c r="T25" s="271">
        <f t="shared" si="3"/>
        <v>2480</v>
      </c>
      <c r="U25" s="114"/>
      <c r="V25" s="112">
        <f>SUM(V10:V24)</f>
        <v>35855</v>
      </c>
    </row>
    <row r="26" spans="1:2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7"/>
      <c r="W26" s="7"/>
      <c r="X26" s="7"/>
    </row>
    <row r="27" spans="1:24">
      <c r="A27" s="27"/>
      <c r="B27" s="27"/>
      <c r="C27" s="195" t="s">
        <v>298</v>
      </c>
      <c r="D27" s="196"/>
      <c r="E27" s="19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7"/>
      <c r="W27" s="7"/>
      <c r="X27" s="7"/>
    </row>
    <row r="28" spans="1:24">
      <c r="A28" s="94" t="s">
        <v>315</v>
      </c>
    </row>
    <row r="29" spans="1:24" ht="14.25" thickBot="1"/>
    <row r="30" spans="1:24">
      <c r="A30" s="100" t="s">
        <v>186</v>
      </c>
      <c r="B30" s="217" t="s">
        <v>318</v>
      </c>
      <c r="C30" s="220" t="s">
        <v>319</v>
      </c>
      <c r="D30" s="220" t="s">
        <v>320</v>
      </c>
      <c r="E30" s="220" t="s">
        <v>321</v>
      </c>
      <c r="F30" s="220" t="s">
        <v>322</v>
      </c>
      <c r="G30" s="220" t="s">
        <v>323</v>
      </c>
      <c r="H30" s="220" t="s">
        <v>324</v>
      </c>
      <c r="I30" s="220" t="s">
        <v>325</v>
      </c>
      <c r="J30" s="218" t="s">
        <v>326</v>
      </c>
      <c r="L30" s="277"/>
      <c r="M30" s="277"/>
    </row>
    <row r="31" spans="1:24">
      <c r="A31" s="219">
        <v>1</v>
      </c>
      <c r="B31" s="221" t="s">
        <v>327</v>
      </c>
      <c r="C31" s="222">
        <v>2504465</v>
      </c>
      <c r="D31" s="222">
        <v>3229131</v>
      </c>
      <c r="E31" s="222">
        <v>3071765</v>
      </c>
      <c r="F31" s="222">
        <v>2876368</v>
      </c>
      <c r="G31" s="222">
        <v>2587643</v>
      </c>
      <c r="H31" s="222">
        <v>2243150</v>
      </c>
      <c r="I31" s="222">
        <v>1996255</v>
      </c>
      <c r="J31" s="223">
        <v>18508777</v>
      </c>
      <c r="L31" s="287"/>
      <c r="M31" s="287"/>
    </row>
    <row r="32" spans="1:24">
      <c r="A32" s="219">
        <v>2</v>
      </c>
      <c r="B32" s="224" t="s">
        <v>328</v>
      </c>
      <c r="C32" s="225">
        <v>0.9073</v>
      </c>
      <c r="D32" s="225">
        <v>0.90859999999999996</v>
      </c>
      <c r="E32" s="225">
        <v>0.92100000000000004</v>
      </c>
      <c r="F32" s="225">
        <v>0.92620000000000002</v>
      </c>
      <c r="G32" s="225">
        <v>0.93100000000000005</v>
      </c>
      <c r="H32" s="225">
        <v>0.93899999999999995</v>
      </c>
      <c r="I32" s="225">
        <v>0.94099999999999995</v>
      </c>
      <c r="J32" s="226">
        <v>0.92487142857142868</v>
      </c>
      <c r="L32" s="288"/>
      <c r="M32" s="288"/>
    </row>
    <row r="33" spans="1:19">
      <c r="A33" s="219">
        <v>3</v>
      </c>
      <c r="B33" s="224" t="s">
        <v>329</v>
      </c>
      <c r="C33" s="222">
        <v>20911</v>
      </c>
      <c r="D33" s="222">
        <v>23187</v>
      </c>
      <c r="E33" s="222">
        <v>23989</v>
      </c>
      <c r="F33" s="222">
        <v>24716</v>
      </c>
      <c r="G33" s="222">
        <v>51230</v>
      </c>
      <c r="H33" s="222">
        <v>56353</v>
      </c>
      <c r="I33" s="227" t="s">
        <v>330</v>
      </c>
      <c r="J33" s="223">
        <v>200386</v>
      </c>
      <c r="L33" s="287"/>
      <c r="M33" s="287"/>
    </row>
    <row r="34" spans="1:19">
      <c r="A34" s="219">
        <v>4</v>
      </c>
      <c r="B34" s="224" t="s">
        <v>331</v>
      </c>
      <c r="C34" s="222">
        <v>1104354</v>
      </c>
      <c r="D34" s="222">
        <v>1518340</v>
      </c>
      <c r="E34" s="222">
        <v>1396250</v>
      </c>
      <c r="F34" s="222">
        <v>799149</v>
      </c>
      <c r="G34" s="222">
        <v>718931.76248901396</v>
      </c>
      <c r="H34" s="222">
        <v>623220.35266349791</v>
      </c>
      <c r="I34" s="222">
        <v>554624.85571908741</v>
      </c>
      <c r="J34" s="223">
        <v>6714869.9708715994</v>
      </c>
      <c r="L34" s="287"/>
      <c r="M34" s="287"/>
    </row>
    <row r="35" spans="1:19">
      <c r="A35" s="219">
        <v>5</v>
      </c>
      <c r="B35" s="224" t="s">
        <v>332</v>
      </c>
      <c r="C35" s="222">
        <v>616771</v>
      </c>
      <c r="D35" s="222">
        <v>965642</v>
      </c>
      <c r="E35" s="222">
        <v>909891</v>
      </c>
      <c r="F35" s="222">
        <v>599988</v>
      </c>
      <c r="G35" s="222">
        <v>539762.20994114806</v>
      </c>
      <c r="H35" s="222">
        <v>467903.64869863668</v>
      </c>
      <c r="I35" s="222">
        <v>416403.27139642771</v>
      </c>
      <c r="J35" s="223">
        <v>4516361.1300362125</v>
      </c>
      <c r="L35" s="287"/>
      <c r="M35" s="287"/>
    </row>
    <row r="36" spans="1:19">
      <c r="A36" s="228">
        <v>6</v>
      </c>
      <c r="B36" s="229" t="s">
        <v>333</v>
      </c>
      <c r="C36" s="230">
        <v>133715.9528</v>
      </c>
      <c r="D36" s="230">
        <v>16748.094848000001</v>
      </c>
      <c r="E36" s="230">
        <v>23671.724256000001</v>
      </c>
      <c r="F36" s="230">
        <v>9105.4178880000018</v>
      </c>
      <c r="G36" s="230">
        <v>17553.067067286138</v>
      </c>
      <c r="H36" s="230">
        <v>3043.2453311359332</v>
      </c>
      <c r="I36" s="230">
        <v>7222.0983390996425</v>
      </c>
      <c r="J36" s="231">
        <v>211059.60052952173</v>
      </c>
      <c r="L36" s="289"/>
      <c r="M36" s="289"/>
    </row>
    <row r="37" spans="1:19">
      <c r="A37" s="421" t="s">
        <v>334</v>
      </c>
      <c r="B37" s="232" t="s">
        <v>331</v>
      </c>
      <c r="C37" s="233">
        <v>184059.00000000698</v>
      </c>
      <c r="D37" s="233">
        <v>783659.35483871039</v>
      </c>
      <c r="E37" s="233">
        <v>741757.81250000547</v>
      </c>
      <c r="F37" s="233">
        <v>277964.86956521764</v>
      </c>
      <c r="G37" s="233">
        <v>205409.07499686131</v>
      </c>
      <c r="H37" s="233">
        <v>131204.28477126284</v>
      </c>
      <c r="I37" s="233">
        <v>92437.475953184738</v>
      </c>
      <c r="J37" s="234">
        <v>2416491.872625249</v>
      </c>
      <c r="L37" s="287"/>
      <c r="M37" s="287"/>
    </row>
    <row r="38" spans="1:19">
      <c r="A38" s="422"/>
      <c r="B38" s="235" t="s">
        <v>332</v>
      </c>
      <c r="C38" s="236">
        <v>102795.16666667057</v>
      </c>
      <c r="D38" s="236">
        <v>498395.8709677424</v>
      </c>
      <c r="E38" s="236">
        <v>483379.59375000355</v>
      </c>
      <c r="F38" s="236">
        <v>208691.47826086974</v>
      </c>
      <c r="G38" s="236">
        <v>154217.77426889958</v>
      </c>
      <c r="H38" s="236">
        <v>98506.031304976234</v>
      </c>
      <c r="I38" s="236">
        <v>69400.54523274058</v>
      </c>
      <c r="J38" s="237">
        <v>1615386.4604519024</v>
      </c>
      <c r="L38" s="290"/>
      <c r="M38" s="290"/>
    </row>
    <row r="39" spans="1:19" ht="14.25" thickBot="1">
      <c r="A39" s="423"/>
      <c r="B39" s="238" t="s">
        <v>333</v>
      </c>
      <c r="C39" s="239">
        <v>22285.992133334181</v>
      </c>
      <c r="D39" s="239">
        <v>8644.1779860645256</v>
      </c>
      <c r="E39" s="239">
        <v>12575.603511000094</v>
      </c>
      <c r="F39" s="239">
        <v>3167.1018740869599</v>
      </c>
      <c r="G39" s="239">
        <v>5015.1620192246146</v>
      </c>
      <c r="H39" s="239">
        <v>640.68322760756553</v>
      </c>
      <c r="I39" s="239">
        <v>1203.6830565166526</v>
      </c>
      <c r="J39" s="240">
        <v>53532.403807834591</v>
      </c>
      <c r="L39" s="290"/>
      <c r="M39" s="290"/>
    </row>
    <row r="40" spans="1:19" ht="24.75" customHeight="1"/>
    <row r="41" spans="1:19" s="356" customFormat="1" ht="27" customHeight="1" thickBot="1">
      <c r="A41" s="356" t="s">
        <v>375</v>
      </c>
    </row>
    <row r="42" spans="1:19" s="268" customFormat="1" ht="24" customHeight="1">
      <c r="A42" s="434" t="s">
        <v>341</v>
      </c>
      <c r="B42" s="432" t="s">
        <v>356</v>
      </c>
      <c r="C42" s="430" t="s">
        <v>357</v>
      </c>
      <c r="D42" s="427" t="s">
        <v>349</v>
      </c>
      <c r="E42" s="428"/>
      <c r="F42" s="428"/>
      <c r="G42" s="428"/>
      <c r="H42" s="429"/>
      <c r="I42" s="425" t="s">
        <v>336</v>
      </c>
      <c r="J42" s="426"/>
      <c r="K42" s="443" t="s">
        <v>339</v>
      </c>
      <c r="L42" s="426"/>
      <c r="M42" s="295"/>
      <c r="N42" s="295"/>
      <c r="O42" s="412" t="s">
        <v>364</v>
      </c>
      <c r="P42" s="414" t="s">
        <v>373</v>
      </c>
      <c r="Q42" s="414" t="s">
        <v>365</v>
      </c>
      <c r="R42" s="419" t="s">
        <v>366</v>
      </c>
      <c r="S42" s="343"/>
    </row>
    <row r="43" spans="1:19" s="268" customFormat="1" ht="27">
      <c r="A43" s="435"/>
      <c r="B43" s="433"/>
      <c r="C43" s="431"/>
      <c r="D43" s="326" t="s">
        <v>362</v>
      </c>
      <c r="E43" s="304" t="s">
        <v>337</v>
      </c>
      <c r="F43" s="305" t="s">
        <v>350</v>
      </c>
      <c r="G43" s="306" t="s">
        <v>351</v>
      </c>
      <c r="H43" s="327" t="s">
        <v>363</v>
      </c>
      <c r="I43" s="313" t="s">
        <v>342</v>
      </c>
      <c r="J43" s="333" t="s">
        <v>347</v>
      </c>
      <c r="K43" s="328" t="s">
        <v>348</v>
      </c>
      <c r="L43" s="314" t="s">
        <v>340</v>
      </c>
      <c r="M43" s="307" t="s">
        <v>338</v>
      </c>
      <c r="N43" s="334" t="s">
        <v>346</v>
      </c>
      <c r="O43" s="413"/>
      <c r="P43" s="415"/>
      <c r="Q43" s="416"/>
      <c r="R43" s="420"/>
    </row>
    <row r="44" spans="1:19" s="266" customFormat="1">
      <c r="A44" s="323">
        <v>1</v>
      </c>
      <c r="B44" s="357">
        <v>1</v>
      </c>
      <c r="C44" s="324" t="s">
        <v>358</v>
      </c>
      <c r="D44" s="279">
        <v>1783858</v>
      </c>
      <c r="E44" s="280">
        <v>1688280</v>
      </c>
      <c r="F44" s="280">
        <f>+E44-D44</f>
        <v>-95578</v>
      </c>
      <c r="G44" s="280">
        <v>82378</v>
      </c>
      <c r="H44" s="344">
        <f>F44+G44</f>
        <v>-13200</v>
      </c>
      <c r="I44" s="315">
        <v>2757842</v>
      </c>
      <c r="J44" s="316">
        <v>1533235</v>
      </c>
      <c r="K44" s="329">
        <v>1756238</v>
      </c>
      <c r="L44" s="316">
        <v>245240</v>
      </c>
      <c r="M44" s="308">
        <v>51926</v>
      </c>
      <c r="N44" s="335"/>
      <c r="O44" s="284">
        <f t="shared" ref="O44:O57" si="4">I44+J44-K44-L44</f>
        <v>2289599</v>
      </c>
      <c r="P44" s="281">
        <v>2263451</v>
      </c>
      <c r="Q44" s="224">
        <f t="shared" ref="Q44:Q57" si="5">+P44-O44</f>
        <v>-26148</v>
      </c>
      <c r="R44" s="417">
        <f>SUM(Q44:Q45)</f>
        <v>-13917</v>
      </c>
    </row>
    <row r="45" spans="1:19" s="266" customFormat="1">
      <c r="A45" s="323">
        <v>2</v>
      </c>
      <c r="B45" s="357">
        <v>2</v>
      </c>
      <c r="C45" s="324" t="s">
        <v>359</v>
      </c>
      <c r="D45" s="279">
        <v>19471</v>
      </c>
      <c r="E45" s="280">
        <v>32671</v>
      </c>
      <c r="F45" s="280">
        <f t="shared" ref="F45:F55" si="6">+E45-D45</f>
        <v>13200</v>
      </c>
      <c r="G45" s="280"/>
      <c r="H45" s="344">
        <v>13200</v>
      </c>
      <c r="I45" s="317">
        <v>158445</v>
      </c>
      <c r="J45" s="318">
        <v>2000</v>
      </c>
      <c r="K45" s="329">
        <v>1900</v>
      </c>
      <c r="L45" s="316"/>
      <c r="M45" s="308"/>
      <c r="N45" s="335"/>
      <c r="O45" s="284">
        <f t="shared" si="4"/>
        <v>158545</v>
      </c>
      <c r="P45" s="281">
        <v>170776</v>
      </c>
      <c r="Q45" s="224">
        <f t="shared" si="5"/>
        <v>12231</v>
      </c>
      <c r="R45" s="417"/>
    </row>
    <row r="46" spans="1:19" s="266" customFormat="1">
      <c r="A46" s="323">
        <v>3</v>
      </c>
      <c r="B46" s="358">
        <v>3</v>
      </c>
      <c r="C46" s="324" t="s">
        <v>361</v>
      </c>
      <c r="D46" s="282">
        <v>347779</v>
      </c>
      <c r="E46" s="283">
        <v>357578</v>
      </c>
      <c r="F46" s="280">
        <f t="shared" si="6"/>
        <v>9799</v>
      </c>
      <c r="G46" s="283"/>
      <c r="H46" s="345">
        <v>9799</v>
      </c>
      <c r="I46" s="317">
        <v>573566</v>
      </c>
      <c r="J46" s="318">
        <v>290632</v>
      </c>
      <c r="K46" s="330">
        <v>98309</v>
      </c>
      <c r="L46" s="318">
        <v>3500</v>
      </c>
      <c r="M46" s="309">
        <v>37495</v>
      </c>
      <c r="N46" s="336"/>
      <c r="O46" s="284">
        <f t="shared" si="4"/>
        <v>762389</v>
      </c>
      <c r="P46" s="281">
        <f>764668-5676</f>
        <v>758992</v>
      </c>
      <c r="Q46" s="224">
        <f t="shared" si="5"/>
        <v>-3397</v>
      </c>
      <c r="R46" s="417">
        <f>SUM(Q46:Q48)</f>
        <v>-3940</v>
      </c>
    </row>
    <row r="47" spans="1:19" s="266" customFormat="1">
      <c r="A47" s="323">
        <v>4</v>
      </c>
      <c r="B47" s="358">
        <v>4</v>
      </c>
      <c r="C47" s="324" t="s">
        <v>361</v>
      </c>
      <c r="D47" s="282">
        <v>599600</v>
      </c>
      <c r="E47" s="283">
        <v>569684</v>
      </c>
      <c r="F47" s="280">
        <f t="shared" si="6"/>
        <v>-29916</v>
      </c>
      <c r="G47" s="283">
        <v>29916</v>
      </c>
      <c r="H47" s="345">
        <v>0</v>
      </c>
      <c r="I47" s="317">
        <v>268786</v>
      </c>
      <c r="J47" s="318">
        <v>4200</v>
      </c>
      <c r="K47" s="330">
        <v>66192</v>
      </c>
      <c r="L47" s="318">
        <v>8354</v>
      </c>
      <c r="M47" s="309">
        <v>385638</v>
      </c>
      <c r="N47" s="336"/>
      <c r="O47" s="284">
        <f t="shared" si="4"/>
        <v>198440</v>
      </c>
      <c r="P47" s="281">
        <v>201542</v>
      </c>
      <c r="Q47" s="224">
        <f t="shared" si="5"/>
        <v>3102</v>
      </c>
      <c r="R47" s="417"/>
    </row>
    <row r="48" spans="1:19" s="266" customFormat="1">
      <c r="A48" s="323">
        <v>5</v>
      </c>
      <c r="B48" s="358">
        <v>5</v>
      </c>
      <c r="C48" s="324" t="s">
        <v>361</v>
      </c>
      <c r="D48" s="282">
        <v>115690</v>
      </c>
      <c r="E48" s="283">
        <v>81849</v>
      </c>
      <c r="F48" s="280">
        <f t="shared" si="6"/>
        <v>-33841</v>
      </c>
      <c r="G48" s="283">
        <v>24042</v>
      </c>
      <c r="H48" s="345">
        <f>G48+F48</f>
        <v>-9799</v>
      </c>
      <c r="I48" s="319">
        <v>70005</v>
      </c>
      <c r="J48" s="320">
        <v>0</v>
      </c>
      <c r="K48" s="330">
        <v>0</v>
      </c>
      <c r="L48" s="318"/>
      <c r="M48" s="309">
        <v>20335</v>
      </c>
      <c r="N48" s="336"/>
      <c r="O48" s="284">
        <f t="shared" si="4"/>
        <v>70005</v>
      </c>
      <c r="P48" s="281">
        <v>66360</v>
      </c>
      <c r="Q48" s="224">
        <f t="shared" si="5"/>
        <v>-3645</v>
      </c>
      <c r="R48" s="417"/>
      <c r="S48" s="270"/>
    </row>
    <row r="49" spans="1:19" s="266" customFormat="1">
      <c r="A49" s="323">
        <v>6</v>
      </c>
      <c r="B49" s="359" t="s">
        <v>352</v>
      </c>
      <c r="C49" s="324" t="s">
        <v>360</v>
      </c>
      <c r="D49" s="284">
        <v>243419</v>
      </c>
      <c r="E49" s="267">
        <v>108</v>
      </c>
      <c r="F49" s="280">
        <f t="shared" si="6"/>
        <v>-243311</v>
      </c>
      <c r="G49" s="224"/>
      <c r="H49" s="346">
        <f>F49</f>
        <v>-243311</v>
      </c>
      <c r="I49" s="319">
        <v>276385</v>
      </c>
      <c r="J49" s="320">
        <v>0</v>
      </c>
      <c r="K49" s="331">
        <v>170</v>
      </c>
      <c r="L49" s="320">
        <v>950</v>
      </c>
      <c r="M49" s="309">
        <v>36</v>
      </c>
      <c r="N49" s="337"/>
      <c r="O49" s="284">
        <f t="shared" si="4"/>
        <v>275265</v>
      </c>
      <c r="P49" s="224">
        <v>46321</v>
      </c>
      <c r="Q49" s="224">
        <f t="shared" si="5"/>
        <v>-228944</v>
      </c>
      <c r="R49" s="417">
        <f>SUM(Q49:Q57)</f>
        <v>-132664</v>
      </c>
    </row>
    <row r="50" spans="1:19" s="266" customFormat="1">
      <c r="A50" s="323">
        <v>7</v>
      </c>
      <c r="B50" s="359" t="s">
        <v>353</v>
      </c>
      <c r="C50" s="324" t="s">
        <v>360</v>
      </c>
      <c r="D50" s="39">
        <v>3374132</v>
      </c>
      <c r="E50" s="140">
        <v>2459950</v>
      </c>
      <c r="F50" s="280">
        <f t="shared" si="6"/>
        <v>-914182</v>
      </c>
      <c r="G50" s="276">
        <v>690338</v>
      </c>
      <c r="H50" s="346">
        <f>G50+F50</f>
        <v>-223844</v>
      </c>
      <c r="I50" s="319">
        <v>2990703</v>
      </c>
      <c r="J50" s="320">
        <v>1979250</v>
      </c>
      <c r="K50" s="331">
        <v>1966094</v>
      </c>
      <c r="L50" s="320">
        <v>244290</v>
      </c>
      <c r="M50" s="309">
        <v>171333</v>
      </c>
      <c r="N50" s="337">
        <v>8000</v>
      </c>
      <c r="O50" s="284">
        <f t="shared" si="4"/>
        <v>2759569</v>
      </c>
      <c r="P50" s="224">
        <f>3543069-720000</f>
        <v>2823069</v>
      </c>
      <c r="Q50" s="224">
        <f t="shared" si="5"/>
        <v>63500</v>
      </c>
      <c r="R50" s="417"/>
    </row>
    <row r="51" spans="1:19" s="266" customFormat="1">
      <c r="A51" s="323">
        <v>8</v>
      </c>
      <c r="B51" s="359" t="s">
        <v>354</v>
      </c>
      <c r="C51" s="324" t="s">
        <v>360</v>
      </c>
      <c r="D51" s="39">
        <v>-254626</v>
      </c>
      <c r="E51" s="140">
        <v>0</v>
      </c>
      <c r="F51" s="280">
        <f t="shared" si="6"/>
        <v>254626</v>
      </c>
      <c r="G51" s="224"/>
      <c r="H51" s="346">
        <f>F51</f>
        <v>254626</v>
      </c>
      <c r="I51" s="319">
        <v>987300</v>
      </c>
      <c r="J51" s="320">
        <v>0</v>
      </c>
      <c r="K51" s="331">
        <v>0</v>
      </c>
      <c r="L51" s="318">
        <v>0</v>
      </c>
      <c r="M51" s="310"/>
      <c r="N51" s="337"/>
      <c r="O51" s="284">
        <f t="shared" si="4"/>
        <v>987300</v>
      </c>
      <c r="P51" s="224">
        <f>237079+720000</f>
        <v>957079</v>
      </c>
      <c r="Q51" s="224">
        <f t="shared" si="5"/>
        <v>-30221</v>
      </c>
      <c r="R51" s="417"/>
    </row>
    <row r="52" spans="1:19" s="266" customFormat="1">
      <c r="A52" s="323">
        <v>34</v>
      </c>
      <c r="B52" s="359" t="s">
        <v>355</v>
      </c>
      <c r="C52" s="324" t="s">
        <v>360</v>
      </c>
      <c r="D52" s="39">
        <v>-44726</v>
      </c>
      <c r="E52" s="140">
        <v>0</v>
      </c>
      <c r="F52" s="280">
        <f t="shared" si="6"/>
        <v>44726</v>
      </c>
      <c r="G52" s="224"/>
      <c r="H52" s="285">
        <f>F52</f>
        <v>44726</v>
      </c>
      <c r="I52" s="319">
        <v>8423</v>
      </c>
      <c r="J52" s="320">
        <v>0</v>
      </c>
      <c r="K52" s="331">
        <v>0</v>
      </c>
      <c r="L52" s="320">
        <v>0</v>
      </c>
      <c r="M52" s="310"/>
      <c r="N52" s="337"/>
      <c r="O52" s="284">
        <f t="shared" si="4"/>
        <v>8423</v>
      </c>
      <c r="P52" s="340">
        <v>71424</v>
      </c>
      <c r="Q52" s="224">
        <f t="shared" si="5"/>
        <v>63001</v>
      </c>
      <c r="R52" s="417"/>
      <c r="S52" s="269"/>
    </row>
    <row r="53" spans="1:19" s="266" customFormat="1">
      <c r="A53" s="39">
        <v>38</v>
      </c>
      <c r="B53" s="360"/>
      <c r="C53" s="324" t="s">
        <v>360</v>
      </c>
      <c r="D53" s="39">
        <v>-286658</v>
      </c>
      <c r="E53" s="140">
        <v>47405</v>
      </c>
      <c r="F53" s="280">
        <f t="shared" si="6"/>
        <v>334063</v>
      </c>
      <c r="G53" s="224"/>
      <c r="H53" s="285">
        <f>F53</f>
        <v>334063</v>
      </c>
      <c r="I53" s="319"/>
      <c r="J53" s="320"/>
      <c r="K53" s="331"/>
      <c r="L53" s="320"/>
      <c r="M53" s="310"/>
      <c r="N53" s="337"/>
      <c r="O53" s="284">
        <f t="shared" si="4"/>
        <v>0</v>
      </c>
      <c r="P53" s="340">
        <v>0</v>
      </c>
      <c r="Q53" s="224">
        <f t="shared" si="5"/>
        <v>0</v>
      </c>
      <c r="R53" s="417"/>
      <c r="S53" s="269"/>
    </row>
    <row r="54" spans="1:19" s="266" customFormat="1">
      <c r="A54" s="39">
        <v>39</v>
      </c>
      <c r="B54" s="278"/>
      <c r="C54" s="324" t="s">
        <v>360</v>
      </c>
      <c r="D54" s="39">
        <v>189166</v>
      </c>
      <c r="E54" s="140">
        <v>974597</v>
      </c>
      <c r="F54" s="280">
        <f t="shared" si="6"/>
        <v>785431</v>
      </c>
      <c r="G54" s="224"/>
      <c r="H54" s="285">
        <f>F54</f>
        <v>785431</v>
      </c>
      <c r="I54" s="319"/>
      <c r="J54" s="320"/>
      <c r="K54" s="331"/>
      <c r="L54" s="320"/>
      <c r="M54" s="310"/>
      <c r="N54" s="337">
        <v>77800</v>
      </c>
      <c r="O54" s="284">
        <f t="shared" si="4"/>
        <v>0</v>
      </c>
      <c r="P54" s="340">
        <v>0</v>
      </c>
      <c r="Q54" s="224">
        <f t="shared" si="5"/>
        <v>0</v>
      </c>
      <c r="R54" s="417"/>
      <c r="S54" s="269"/>
    </row>
    <row r="55" spans="1:19" s="266" customFormat="1">
      <c r="A55" s="39">
        <v>40</v>
      </c>
      <c r="B55" s="278"/>
      <c r="C55" s="324" t="s">
        <v>360</v>
      </c>
      <c r="D55" s="39">
        <v>1079160</v>
      </c>
      <c r="E55" s="140">
        <v>66434</v>
      </c>
      <c r="F55" s="280">
        <f t="shared" si="6"/>
        <v>-1012726</v>
      </c>
      <c r="G55" s="224"/>
      <c r="H55" s="285">
        <f>F55</f>
        <v>-1012726</v>
      </c>
      <c r="I55" s="319"/>
      <c r="J55" s="320"/>
      <c r="K55" s="331"/>
      <c r="L55" s="320"/>
      <c r="M55" s="310"/>
      <c r="N55" s="337"/>
      <c r="O55" s="284">
        <f t="shared" si="4"/>
        <v>0</v>
      </c>
      <c r="P55" s="340">
        <v>0</v>
      </c>
      <c r="Q55" s="224">
        <f t="shared" si="5"/>
        <v>0</v>
      </c>
      <c r="R55" s="417"/>
      <c r="S55" s="269"/>
    </row>
    <row r="56" spans="1:19" s="266" customFormat="1">
      <c r="A56" s="39">
        <v>41</v>
      </c>
      <c r="B56" s="278"/>
      <c r="C56" s="324" t="s">
        <v>360</v>
      </c>
      <c r="D56" s="39">
        <v>8149</v>
      </c>
      <c r="E56" s="140">
        <v>69184</v>
      </c>
      <c r="F56" s="280">
        <v>61035</v>
      </c>
      <c r="G56" s="224"/>
      <c r="H56" s="285">
        <v>61035</v>
      </c>
      <c r="I56" s="319"/>
      <c r="J56" s="320"/>
      <c r="K56" s="331"/>
      <c r="L56" s="320"/>
      <c r="M56" s="311"/>
      <c r="N56" s="338"/>
      <c r="O56" s="284">
        <f t="shared" si="4"/>
        <v>0</v>
      </c>
      <c r="P56" s="340">
        <v>0</v>
      </c>
      <c r="Q56" s="224">
        <f t="shared" si="5"/>
        <v>0</v>
      </c>
      <c r="R56" s="417"/>
      <c r="S56" s="269"/>
    </row>
    <row r="57" spans="1:19" s="266" customFormat="1" ht="14.25" thickBot="1">
      <c r="A57" s="441" t="s">
        <v>343</v>
      </c>
      <c r="B57" s="442"/>
      <c r="C57" s="325"/>
      <c r="D57" s="40">
        <f>SUM(D44:D56)</f>
        <v>7174414</v>
      </c>
      <c r="E57" s="275">
        <f>SUM(E44:E56)</f>
        <v>6347740</v>
      </c>
      <c r="F57" s="275">
        <f>SUM(F44:F56)</f>
        <v>-826674</v>
      </c>
      <c r="G57" s="275">
        <f>SUM(G44:G56)</f>
        <v>826674</v>
      </c>
      <c r="H57" s="286">
        <f>SUM(H44:H56)</f>
        <v>0</v>
      </c>
      <c r="I57" s="321"/>
      <c r="J57" s="322"/>
      <c r="K57" s="332"/>
      <c r="L57" s="322"/>
      <c r="M57" s="312"/>
      <c r="N57" s="339"/>
      <c r="O57" s="341">
        <f t="shared" si="4"/>
        <v>0</v>
      </c>
      <c r="P57" s="342">
        <v>0</v>
      </c>
      <c r="Q57" s="347">
        <f t="shared" si="5"/>
        <v>0</v>
      </c>
      <c r="R57" s="418"/>
      <c r="S57" s="269"/>
    </row>
    <row r="58" spans="1:19" s="266" customFormat="1">
      <c r="A58"/>
      <c r="B58"/>
      <c r="C58" s="296"/>
      <c r="D58"/>
      <c r="E58"/>
      <c r="F58" s="273"/>
      <c r="G58" s="272"/>
      <c r="H58" s="272"/>
      <c r="I58" s="273"/>
      <c r="J58" s="273"/>
      <c r="K58" s="273"/>
      <c r="L58" s="273"/>
      <c r="M58" s="273"/>
      <c r="N58" s="274"/>
      <c r="O58" s="272"/>
      <c r="R58" s="269"/>
    </row>
    <row r="59" spans="1:19" s="266" customFormat="1">
      <c r="A59"/>
      <c r="B59"/>
      <c r="C59"/>
      <c r="D59"/>
      <c r="E59"/>
      <c r="F59" s="273"/>
      <c r="G59" s="272"/>
      <c r="H59" s="272"/>
      <c r="I59" s="273"/>
      <c r="J59" s="273"/>
      <c r="K59" s="273"/>
      <c r="L59" s="273"/>
      <c r="M59" s="273"/>
      <c r="N59" s="274"/>
      <c r="O59" s="272"/>
      <c r="R59" s="269"/>
    </row>
    <row r="60" spans="1:19">
      <c r="A60" t="s">
        <v>314</v>
      </c>
      <c r="B60" s="134" t="s">
        <v>104</v>
      </c>
    </row>
    <row r="61" spans="1:19" ht="14.25" thickBot="1">
      <c r="A61" s="134" t="s">
        <v>313</v>
      </c>
      <c r="C61" s="27"/>
      <c r="D61" s="27"/>
      <c r="E61" s="27"/>
      <c r="F61" s="27"/>
      <c r="G61" s="27"/>
      <c r="H61" s="27"/>
      <c r="I61" s="27"/>
      <c r="J61" s="27"/>
    </row>
    <row r="62" spans="1:19">
      <c r="A62" s="74" t="s">
        <v>186</v>
      </c>
      <c r="B62" s="72" t="s">
        <v>260</v>
      </c>
      <c r="C62" s="72" t="s">
        <v>257</v>
      </c>
      <c r="D62" s="72" t="s">
        <v>258</v>
      </c>
      <c r="E62" s="72" t="s">
        <v>311</v>
      </c>
      <c r="F62" s="72" t="s">
        <v>262</v>
      </c>
      <c r="G62" s="72" t="s">
        <v>263</v>
      </c>
      <c r="H62" s="72" t="s">
        <v>15</v>
      </c>
      <c r="I62" s="132" t="s">
        <v>264</v>
      </c>
      <c r="J62" s="61"/>
    </row>
    <row r="63" spans="1:19">
      <c r="A63" s="2">
        <v>1</v>
      </c>
      <c r="B63" s="162" t="s">
        <v>55</v>
      </c>
      <c r="C63" s="85">
        <v>6652</v>
      </c>
      <c r="D63" s="85">
        <v>32042</v>
      </c>
      <c r="E63" s="85"/>
      <c r="F63" s="85">
        <v>171879</v>
      </c>
      <c r="G63" s="85">
        <v>35855</v>
      </c>
      <c r="H63" s="85">
        <f t="shared" ref="H63:H77" si="7">SUM(C63:G63)</f>
        <v>246428</v>
      </c>
      <c r="I63" s="91">
        <v>64958.4208</v>
      </c>
      <c r="J63" s="109"/>
    </row>
    <row r="64" spans="1:19">
      <c r="A64" s="12">
        <v>2</v>
      </c>
      <c r="B64" s="13" t="s">
        <v>56</v>
      </c>
      <c r="C64" s="89">
        <v>107212</v>
      </c>
      <c r="D64" s="89">
        <v>19612</v>
      </c>
      <c r="E64" s="89"/>
      <c r="F64" s="89">
        <v>178474</v>
      </c>
      <c r="G64" s="89"/>
      <c r="H64" s="89">
        <f t="shared" si="7"/>
        <v>305298</v>
      </c>
      <c r="I64" s="110">
        <v>4723.5706560000008</v>
      </c>
      <c r="J64" s="115"/>
    </row>
    <row r="65" spans="1:13">
      <c r="A65" s="12">
        <v>3</v>
      </c>
      <c r="B65" s="13" t="s">
        <v>57</v>
      </c>
      <c r="C65" s="89">
        <v>65970</v>
      </c>
      <c r="D65" s="89">
        <v>6598</v>
      </c>
      <c r="E65" s="89"/>
      <c r="F65" s="89">
        <v>581535</v>
      </c>
      <c r="G65" s="89"/>
      <c r="H65" s="89">
        <f t="shared" si="7"/>
        <v>654103</v>
      </c>
      <c r="I65" s="110">
        <v>15180.422424000002</v>
      </c>
      <c r="J65" s="115"/>
    </row>
    <row r="66" spans="1:13">
      <c r="A66" s="12">
        <v>4</v>
      </c>
      <c r="B66" s="13" t="s">
        <v>58</v>
      </c>
      <c r="C66" s="89">
        <v>126141</v>
      </c>
      <c r="D66" s="89">
        <v>3324</v>
      </c>
      <c r="E66" s="89"/>
      <c r="F66" s="89">
        <v>135849</v>
      </c>
      <c r="G66" s="89"/>
      <c r="H66" s="89">
        <f t="shared" si="7"/>
        <v>265314</v>
      </c>
      <c r="I66" s="110">
        <v>3591.820932000001</v>
      </c>
      <c r="J66" s="115"/>
    </row>
    <row r="67" spans="1:13">
      <c r="A67" s="12">
        <v>5</v>
      </c>
      <c r="B67" s="13" t="s">
        <v>59</v>
      </c>
      <c r="C67" s="89">
        <v>741055</v>
      </c>
      <c r="D67" s="89">
        <v>5533</v>
      </c>
      <c r="E67" s="89"/>
      <c r="F67" s="89">
        <v>214193</v>
      </c>
      <c r="G67" s="89"/>
      <c r="H67" s="89">
        <f t="shared" si="7"/>
        <v>960781</v>
      </c>
      <c r="I67" s="110">
        <v>27872.256810000003</v>
      </c>
      <c r="J67" s="115"/>
    </row>
    <row r="68" spans="1:13">
      <c r="A68" s="12">
        <v>6</v>
      </c>
      <c r="B68" s="13" t="s">
        <v>60</v>
      </c>
      <c r="C68" s="89">
        <v>0</v>
      </c>
      <c r="D68" s="89">
        <v>3366</v>
      </c>
      <c r="E68" s="89"/>
      <c r="F68" s="89">
        <v>1642754</v>
      </c>
      <c r="G68" s="89"/>
      <c r="H68" s="89">
        <f t="shared" si="7"/>
        <v>1646120</v>
      </c>
      <c r="I68" s="110">
        <v>12150.834780000001</v>
      </c>
      <c r="J68" s="115"/>
    </row>
    <row r="69" spans="1:13">
      <c r="A69" s="12">
        <v>7</v>
      </c>
      <c r="B69" s="13" t="s">
        <v>61</v>
      </c>
      <c r="C69" s="89">
        <v>0</v>
      </c>
      <c r="D69" s="89">
        <v>3580</v>
      </c>
      <c r="E69" s="89"/>
      <c r="F69" s="89">
        <v>6608568</v>
      </c>
      <c r="G69" s="89"/>
      <c r="H69" s="89">
        <f t="shared" si="7"/>
        <v>6612148</v>
      </c>
      <c r="I69" s="110">
        <v>130153.521232</v>
      </c>
      <c r="J69" s="115"/>
    </row>
    <row r="70" spans="1:13">
      <c r="A70" s="12">
        <v>8</v>
      </c>
      <c r="B70" s="13" t="s">
        <v>62</v>
      </c>
      <c r="C70" s="89">
        <v>17</v>
      </c>
      <c r="D70" s="89">
        <v>1098</v>
      </c>
      <c r="E70" s="89"/>
      <c r="F70" s="89">
        <v>532919</v>
      </c>
      <c r="G70" s="89"/>
      <c r="H70" s="89">
        <f t="shared" si="7"/>
        <v>534034</v>
      </c>
      <c r="I70" s="110">
        <v>2627.9813140000001</v>
      </c>
      <c r="J70" s="115"/>
    </row>
    <row r="71" spans="1:13">
      <c r="A71" s="12">
        <v>9</v>
      </c>
      <c r="B71" s="13" t="s">
        <v>63</v>
      </c>
      <c r="C71" s="89">
        <v>4508</v>
      </c>
      <c r="D71" s="89">
        <v>5529</v>
      </c>
      <c r="E71" s="89"/>
      <c r="F71" s="89">
        <v>313469</v>
      </c>
      <c r="G71" s="89"/>
      <c r="H71" s="89">
        <f t="shared" si="7"/>
        <v>323506</v>
      </c>
      <c r="I71" s="110">
        <v>4263.80908</v>
      </c>
      <c r="J71" s="115"/>
    </row>
    <row r="72" spans="1:13">
      <c r="A72" s="12">
        <v>10</v>
      </c>
      <c r="B72" s="13" t="s">
        <v>64</v>
      </c>
      <c r="C72" s="89">
        <v>0</v>
      </c>
      <c r="D72" s="89">
        <v>0</v>
      </c>
      <c r="E72" s="89"/>
      <c r="F72" s="89">
        <v>33137</v>
      </c>
      <c r="G72" s="89"/>
      <c r="H72" s="89">
        <f t="shared" si="7"/>
        <v>33137</v>
      </c>
      <c r="I72" s="110">
        <v>190.20638000000002</v>
      </c>
      <c r="J72" s="115"/>
    </row>
    <row r="73" spans="1:13">
      <c r="A73" s="12">
        <v>11</v>
      </c>
      <c r="B73" s="13" t="s">
        <v>65</v>
      </c>
      <c r="C73" s="89">
        <v>9371</v>
      </c>
      <c r="D73" s="89">
        <v>3673</v>
      </c>
      <c r="E73" s="89"/>
      <c r="F73" s="89">
        <v>341959</v>
      </c>
      <c r="G73" s="89"/>
      <c r="H73" s="89">
        <f t="shared" si="7"/>
        <v>355003</v>
      </c>
      <c r="I73" s="110">
        <v>10293.666988000001</v>
      </c>
      <c r="J73" s="115"/>
    </row>
    <row r="74" spans="1:13">
      <c r="A74" s="12">
        <v>12</v>
      </c>
      <c r="B74" s="13" t="s">
        <v>133</v>
      </c>
      <c r="C74" s="89">
        <v>0</v>
      </c>
      <c r="D74" s="89">
        <v>0.15395999999999999</v>
      </c>
      <c r="E74" s="89"/>
      <c r="F74" s="89">
        <v>148</v>
      </c>
      <c r="G74" s="89"/>
      <c r="H74" s="89">
        <f t="shared" si="7"/>
        <v>148.15396000000001</v>
      </c>
      <c r="I74" s="110">
        <v>2292.2380691200001</v>
      </c>
      <c r="J74" s="115"/>
    </row>
    <row r="75" spans="1:13" ht="27">
      <c r="A75" s="12">
        <v>13</v>
      </c>
      <c r="B75" s="133" t="s">
        <v>107</v>
      </c>
      <c r="C75" s="89">
        <v>0</v>
      </c>
      <c r="D75" s="89">
        <v>1.3455900000000001</v>
      </c>
      <c r="E75" s="89"/>
      <c r="F75" s="89">
        <v>45.94489699999999</v>
      </c>
      <c r="G75" s="89"/>
      <c r="H75" s="89">
        <f t="shared" si="7"/>
        <v>47.290486999999992</v>
      </c>
      <c r="I75" s="110">
        <v>43.452769398975995</v>
      </c>
      <c r="J75" s="115"/>
    </row>
    <row r="76" spans="1:13">
      <c r="A76" s="12">
        <v>14</v>
      </c>
      <c r="B76" s="13" t="s">
        <v>71</v>
      </c>
      <c r="C76" s="89">
        <v>0</v>
      </c>
      <c r="D76" s="89">
        <v>0</v>
      </c>
      <c r="E76" s="89"/>
      <c r="F76" s="89">
        <v>0</v>
      </c>
      <c r="G76" s="89"/>
      <c r="H76" s="89">
        <f t="shared" si="7"/>
        <v>0</v>
      </c>
      <c r="I76" s="110"/>
      <c r="J76" s="115"/>
    </row>
    <row r="77" spans="1:13" ht="14.25" thickBot="1">
      <c r="A77" s="15">
        <v>15</v>
      </c>
      <c r="B77" s="16" t="s">
        <v>68</v>
      </c>
      <c r="C77" s="90">
        <v>0</v>
      </c>
      <c r="D77" s="90">
        <v>4.0830899999999994</v>
      </c>
      <c r="E77" s="90"/>
      <c r="F77" s="90">
        <v>5266.7143699999997</v>
      </c>
      <c r="G77" s="90"/>
      <c r="H77" s="90">
        <f t="shared" si="7"/>
        <v>5270.7974599999998</v>
      </c>
      <c r="I77" s="112">
        <v>13872</v>
      </c>
      <c r="J77" s="115"/>
    </row>
    <row r="79" spans="1:13" ht="14.25" thickBot="1">
      <c r="A79" s="95" t="s">
        <v>335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244" t="s">
        <v>186</v>
      </c>
      <c r="B80" s="245" t="s">
        <v>318</v>
      </c>
      <c r="C80" s="246" t="s">
        <v>319</v>
      </c>
      <c r="D80" s="246" t="s">
        <v>320</v>
      </c>
      <c r="E80" s="246" t="s">
        <v>321</v>
      </c>
      <c r="F80" s="246" t="s">
        <v>322</v>
      </c>
      <c r="G80" s="246" t="s">
        <v>323</v>
      </c>
      <c r="H80" s="246" t="s">
        <v>324</v>
      </c>
      <c r="I80" s="246" t="s">
        <v>325</v>
      </c>
      <c r="J80" s="297"/>
      <c r="K80" s="247" t="s">
        <v>326</v>
      </c>
      <c r="L80" s="291"/>
      <c r="M80" s="291"/>
    </row>
    <row r="81" spans="1:13">
      <c r="A81" s="248">
        <v>1</v>
      </c>
      <c r="B81" s="249" t="s">
        <v>327</v>
      </c>
      <c r="C81" s="250">
        <v>2504465</v>
      </c>
      <c r="D81" s="250">
        <v>3229131</v>
      </c>
      <c r="E81" s="250">
        <v>3071765</v>
      </c>
      <c r="F81" s="250">
        <v>2876368</v>
      </c>
      <c r="G81" s="250">
        <v>2587643</v>
      </c>
      <c r="H81" s="250">
        <v>2243150</v>
      </c>
      <c r="I81" s="250">
        <v>1996255</v>
      </c>
      <c r="J81" s="298"/>
      <c r="K81" s="251">
        <v>18508777</v>
      </c>
      <c r="L81" s="292"/>
      <c r="M81" s="292"/>
    </row>
    <row r="82" spans="1:13">
      <c r="A82" s="248">
        <v>2</v>
      </c>
      <c r="B82" s="252" t="s">
        <v>328</v>
      </c>
      <c r="C82" s="253">
        <v>0.9073</v>
      </c>
      <c r="D82" s="253">
        <v>0.90859999999999996</v>
      </c>
      <c r="E82" s="253">
        <v>0.92100000000000004</v>
      </c>
      <c r="F82" s="253">
        <v>0.92620000000000002</v>
      </c>
      <c r="G82" s="253">
        <v>0.93100000000000005</v>
      </c>
      <c r="H82" s="253">
        <v>0.93899999999999995</v>
      </c>
      <c r="I82" s="253">
        <v>0.94099999999999995</v>
      </c>
      <c r="J82" s="299"/>
      <c r="K82" s="254">
        <v>0.92487142857142868</v>
      </c>
      <c r="L82" s="293"/>
      <c r="M82" s="293"/>
    </row>
    <row r="83" spans="1:13">
      <c r="A83" s="248">
        <v>3</v>
      </c>
      <c r="B83" s="252" t="s">
        <v>329</v>
      </c>
      <c r="C83" s="250">
        <v>20911</v>
      </c>
      <c r="D83" s="250">
        <v>23187</v>
      </c>
      <c r="E83" s="250">
        <v>23989</v>
      </c>
      <c r="F83" s="250">
        <v>24716</v>
      </c>
      <c r="G83" s="250">
        <v>51230</v>
      </c>
      <c r="H83" s="250">
        <v>56353</v>
      </c>
      <c r="I83" s="255" t="s">
        <v>330</v>
      </c>
      <c r="J83" s="300"/>
      <c r="K83" s="251">
        <v>200386</v>
      </c>
      <c r="L83" s="292"/>
      <c r="M83" s="292"/>
    </row>
    <row r="84" spans="1:13">
      <c r="A84" s="248">
        <v>4</v>
      </c>
      <c r="B84" s="252" t="s">
        <v>331</v>
      </c>
      <c r="C84" s="250">
        <v>1104354</v>
      </c>
      <c r="D84" s="250">
        <v>1518340</v>
      </c>
      <c r="E84" s="250">
        <v>1396250</v>
      </c>
      <c r="F84" s="250">
        <v>799149</v>
      </c>
      <c r="G84" s="250">
        <v>718931.76248901396</v>
      </c>
      <c r="H84" s="250">
        <v>623220.35266349791</v>
      </c>
      <c r="I84" s="250">
        <v>554624.85571908741</v>
      </c>
      <c r="J84" s="298"/>
      <c r="K84" s="251">
        <v>6714869.9708715994</v>
      </c>
      <c r="L84" s="292"/>
      <c r="M84" s="292"/>
    </row>
    <row r="85" spans="1:13">
      <c r="A85" s="248">
        <v>5</v>
      </c>
      <c r="B85" s="252" t="s">
        <v>332</v>
      </c>
      <c r="C85" s="250">
        <v>616771</v>
      </c>
      <c r="D85" s="250">
        <v>965642</v>
      </c>
      <c r="E85" s="250">
        <v>909891</v>
      </c>
      <c r="F85" s="250">
        <v>599988</v>
      </c>
      <c r="G85" s="250">
        <v>539762.20994114806</v>
      </c>
      <c r="H85" s="250">
        <v>467903.64869863668</v>
      </c>
      <c r="I85" s="250">
        <v>416403.27139642771</v>
      </c>
      <c r="J85" s="298"/>
      <c r="K85" s="251">
        <v>4516361.1300362125</v>
      </c>
      <c r="L85" s="292"/>
      <c r="M85" s="292"/>
    </row>
    <row r="86" spans="1:13">
      <c r="A86" s="256">
        <v>6</v>
      </c>
      <c r="B86" s="257" t="s">
        <v>333</v>
      </c>
      <c r="C86" s="258">
        <v>133715.9528</v>
      </c>
      <c r="D86" s="258">
        <v>16748.094848000001</v>
      </c>
      <c r="E86" s="258">
        <v>23671.724256000001</v>
      </c>
      <c r="F86" s="258">
        <v>9105.4178880000018</v>
      </c>
      <c r="G86" s="258">
        <v>17553.067067286138</v>
      </c>
      <c r="H86" s="258">
        <v>3043.2453311359332</v>
      </c>
      <c r="I86" s="258">
        <v>7222.0983390996425</v>
      </c>
      <c r="J86" s="301"/>
      <c r="K86" s="259">
        <v>211059.60052952173</v>
      </c>
      <c r="L86" s="292"/>
      <c r="M86" s="292"/>
    </row>
    <row r="87" spans="1:13">
      <c r="A87" s="438" t="s">
        <v>334</v>
      </c>
      <c r="B87" s="260" t="s">
        <v>331</v>
      </c>
      <c r="C87" s="261">
        <v>184059.00000000698</v>
      </c>
      <c r="D87" s="261">
        <v>783659.35483871039</v>
      </c>
      <c r="E87" s="261">
        <v>741757.81250000547</v>
      </c>
      <c r="F87" s="261">
        <v>277964.86956521764</v>
      </c>
      <c r="G87" s="261">
        <v>205409.07499686131</v>
      </c>
      <c r="H87" s="261">
        <v>131204.28477126284</v>
      </c>
      <c r="I87" s="261">
        <v>92437.475953184738</v>
      </c>
      <c r="J87" s="302"/>
      <c r="K87" s="262">
        <v>2416491.872625249</v>
      </c>
      <c r="L87" s="292"/>
      <c r="M87" s="292"/>
    </row>
    <row r="88" spans="1:13">
      <c r="A88" s="439"/>
      <c r="B88" s="252" t="s">
        <v>332</v>
      </c>
      <c r="C88" s="250">
        <v>102795.16666667057</v>
      </c>
      <c r="D88" s="250">
        <v>498395.8709677424</v>
      </c>
      <c r="E88" s="250">
        <v>483379.59375000355</v>
      </c>
      <c r="F88" s="250">
        <v>208691.47826086974</v>
      </c>
      <c r="G88" s="250">
        <v>154217.77426889958</v>
      </c>
      <c r="H88" s="250">
        <v>98506.031304976234</v>
      </c>
      <c r="I88" s="250">
        <v>69400.54523274058</v>
      </c>
      <c r="J88" s="298"/>
      <c r="K88" s="251">
        <v>1615386.4604519024</v>
      </c>
      <c r="L88" s="292"/>
      <c r="M88" s="292"/>
    </row>
    <row r="89" spans="1:13" ht="14.25" thickBot="1">
      <c r="A89" s="440"/>
      <c r="B89" s="263" t="s">
        <v>333</v>
      </c>
      <c r="C89" s="264">
        <v>22285.992133334181</v>
      </c>
      <c r="D89" s="264">
        <v>8644.1779860645256</v>
      </c>
      <c r="E89" s="264">
        <v>12575.603511000094</v>
      </c>
      <c r="F89" s="264">
        <v>3167.1018740869599</v>
      </c>
      <c r="G89" s="264">
        <v>5015.1620192246146</v>
      </c>
      <c r="H89" s="264">
        <v>640.68322760756553</v>
      </c>
      <c r="I89" s="264">
        <v>1203.6830565166526</v>
      </c>
      <c r="J89" s="303"/>
      <c r="K89" s="265">
        <v>53532.403807834591</v>
      </c>
      <c r="L89" s="292"/>
      <c r="M89" s="292"/>
    </row>
    <row r="90" spans="1: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95" t="s">
        <v>316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ht="14.25" thickBot="1">
      <c r="A92" s="349" t="s">
        <v>370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s="354" customFormat="1" ht="45.75" customHeight="1">
      <c r="A93" s="350" t="s">
        <v>200</v>
      </c>
      <c r="B93" s="351" t="s">
        <v>201</v>
      </c>
      <c r="C93" s="348" t="s">
        <v>367</v>
      </c>
      <c r="D93" s="352" t="s">
        <v>368</v>
      </c>
      <c r="E93" s="352" t="s">
        <v>369</v>
      </c>
      <c r="F93" s="348" t="s">
        <v>371</v>
      </c>
      <c r="G93" s="348" t="s">
        <v>372</v>
      </c>
      <c r="H93" s="355" t="s">
        <v>374</v>
      </c>
      <c r="I93" s="353" t="s">
        <v>299</v>
      </c>
      <c r="J93" s="353"/>
      <c r="K93" s="353"/>
      <c r="L93" s="353"/>
      <c r="M93" s="353"/>
    </row>
    <row r="94" spans="1:13">
      <c r="A94" s="241">
        <v>1</v>
      </c>
      <c r="B94" s="162" t="s">
        <v>55</v>
      </c>
      <c r="C94" s="85">
        <v>2757842</v>
      </c>
      <c r="D94" s="85">
        <v>1533235</v>
      </c>
      <c r="E94" s="85">
        <v>2001478</v>
      </c>
      <c r="F94" s="85">
        <f t="shared" ref="F94:F129" si="8">+C94+D94-E94</f>
        <v>2289599</v>
      </c>
      <c r="G94" s="85">
        <f>2263201+250</f>
        <v>2263451</v>
      </c>
      <c r="H94" s="174">
        <f t="shared" ref="H94:H129" si="9">+G94-F94</f>
        <v>-26148</v>
      </c>
      <c r="I94" s="29"/>
      <c r="J94" s="29"/>
      <c r="K94" s="29"/>
      <c r="L94" s="29"/>
      <c r="M94" s="29"/>
    </row>
    <row r="95" spans="1:13" ht="12.75" customHeight="1">
      <c r="A95" s="241">
        <v>2</v>
      </c>
      <c r="B95" s="162" t="s">
        <v>55</v>
      </c>
      <c r="C95" s="85">
        <v>158445</v>
      </c>
      <c r="D95" s="85">
        <v>2000</v>
      </c>
      <c r="E95" s="85">
        <v>1900</v>
      </c>
      <c r="F95" s="85">
        <f t="shared" si="8"/>
        <v>158545</v>
      </c>
      <c r="G95" s="85">
        <v>170776</v>
      </c>
      <c r="H95" s="174">
        <f t="shared" si="9"/>
        <v>12231</v>
      </c>
      <c r="I95" s="210" t="s">
        <v>306</v>
      </c>
      <c r="J95" s="210"/>
      <c r="K95" s="29"/>
      <c r="L95" s="29"/>
      <c r="M95" s="29"/>
    </row>
    <row r="96" spans="1:13">
      <c r="A96" s="241">
        <v>3</v>
      </c>
      <c r="B96" s="162" t="s">
        <v>56</v>
      </c>
      <c r="C96" s="85">
        <v>573566</v>
      </c>
      <c r="D96" s="85">
        <v>290632</v>
      </c>
      <c r="E96" s="85">
        <v>101809</v>
      </c>
      <c r="F96" s="85">
        <f t="shared" si="8"/>
        <v>762389</v>
      </c>
      <c r="G96" s="85">
        <f>574178+50000+140490-5676</f>
        <v>758992</v>
      </c>
      <c r="H96" s="174">
        <f t="shared" si="9"/>
        <v>-3397</v>
      </c>
      <c r="I96" s="29"/>
      <c r="J96" s="29"/>
      <c r="K96" s="29"/>
      <c r="L96" s="29"/>
      <c r="M96" s="29"/>
    </row>
    <row r="97" spans="1:13">
      <c r="A97" s="241">
        <v>4</v>
      </c>
      <c r="B97" s="162" t="s">
        <v>56</v>
      </c>
      <c r="C97" s="85">
        <v>268786</v>
      </c>
      <c r="D97" s="85">
        <v>4200</v>
      </c>
      <c r="E97" s="85">
        <v>74546</v>
      </c>
      <c r="F97" s="85">
        <f t="shared" si="8"/>
        <v>198440</v>
      </c>
      <c r="G97" s="85">
        <f>291530-90000+12</f>
        <v>201542</v>
      </c>
      <c r="H97" s="174">
        <f t="shared" si="9"/>
        <v>3102</v>
      </c>
      <c r="I97" s="29"/>
      <c r="J97" s="29"/>
      <c r="K97" s="29"/>
      <c r="L97" s="29"/>
      <c r="M97" s="29"/>
    </row>
    <row r="98" spans="1:13">
      <c r="A98" s="241">
        <v>5</v>
      </c>
      <c r="B98" s="162" t="s">
        <v>56</v>
      </c>
      <c r="C98" s="85">
        <v>70005</v>
      </c>
      <c r="D98" s="85">
        <v>0</v>
      </c>
      <c r="E98" s="85">
        <v>0</v>
      </c>
      <c r="F98" s="85">
        <f t="shared" si="8"/>
        <v>70005</v>
      </c>
      <c r="G98" s="85">
        <f>26360+40000</f>
        <v>66360</v>
      </c>
      <c r="H98" s="174">
        <f t="shared" si="9"/>
        <v>-3645</v>
      </c>
      <c r="I98" s="7"/>
      <c r="J98" s="7"/>
      <c r="K98" s="7"/>
      <c r="L98" s="7"/>
      <c r="M98" s="7"/>
    </row>
    <row r="99" spans="1:13">
      <c r="A99" s="242">
        <v>6</v>
      </c>
      <c r="B99" s="162" t="s">
        <v>57</v>
      </c>
      <c r="C99" s="85">
        <v>276385</v>
      </c>
      <c r="D99" s="85">
        <v>0</v>
      </c>
      <c r="E99" s="85">
        <v>1120</v>
      </c>
      <c r="F99" s="85">
        <f t="shared" si="8"/>
        <v>275265</v>
      </c>
      <c r="G99" s="85">
        <v>46321</v>
      </c>
      <c r="H99" s="174">
        <f t="shared" si="9"/>
        <v>-228944</v>
      </c>
      <c r="I99" s="7"/>
      <c r="J99" s="7"/>
      <c r="K99" s="7"/>
      <c r="L99" s="7"/>
      <c r="M99" s="7"/>
    </row>
    <row r="100" spans="1:13">
      <c r="A100" s="242">
        <v>7</v>
      </c>
      <c r="B100" s="162" t="s">
        <v>57</v>
      </c>
      <c r="C100" s="85">
        <v>2990703</v>
      </c>
      <c r="D100" s="85">
        <v>1979250</v>
      </c>
      <c r="E100" s="85">
        <v>2210384</v>
      </c>
      <c r="F100" s="85">
        <f t="shared" si="8"/>
        <v>2759569</v>
      </c>
      <c r="G100" s="85">
        <f>3542787+282-720000</f>
        <v>2823069</v>
      </c>
      <c r="H100" s="174">
        <f t="shared" si="9"/>
        <v>63500</v>
      </c>
      <c r="I100" s="7"/>
      <c r="J100" s="7"/>
      <c r="K100" s="7"/>
      <c r="L100" s="7"/>
      <c r="M100" s="7"/>
    </row>
    <row r="101" spans="1:13">
      <c r="A101" s="242">
        <v>8</v>
      </c>
      <c r="B101" s="162" t="s">
        <v>57</v>
      </c>
      <c r="C101" s="85">
        <v>987300</v>
      </c>
      <c r="D101" s="85">
        <v>0</v>
      </c>
      <c r="E101" s="85">
        <v>0</v>
      </c>
      <c r="F101" s="85">
        <f t="shared" si="8"/>
        <v>987300</v>
      </c>
      <c r="G101" s="85">
        <f>237079+720000</f>
        <v>957079</v>
      </c>
      <c r="H101" s="174">
        <f t="shared" si="9"/>
        <v>-30221</v>
      </c>
      <c r="I101" s="7"/>
      <c r="J101" s="7"/>
      <c r="K101" s="7"/>
      <c r="L101" s="7"/>
      <c r="M101" s="7"/>
    </row>
    <row r="102" spans="1:13">
      <c r="A102" s="242">
        <v>9</v>
      </c>
      <c r="B102" s="162" t="s">
        <v>57</v>
      </c>
      <c r="C102" s="85">
        <v>8423</v>
      </c>
      <c r="D102" s="85">
        <v>0</v>
      </c>
      <c r="E102" s="85">
        <v>0</v>
      </c>
      <c r="F102" s="85">
        <f t="shared" si="8"/>
        <v>8423</v>
      </c>
      <c r="G102" s="85">
        <v>71424</v>
      </c>
      <c r="H102" s="174">
        <f t="shared" si="9"/>
        <v>63001</v>
      </c>
      <c r="I102" s="7"/>
      <c r="J102" s="7"/>
      <c r="K102" s="7"/>
      <c r="L102" s="7"/>
      <c r="M102" s="7"/>
    </row>
    <row r="103" spans="1:13">
      <c r="A103" s="2">
        <v>10</v>
      </c>
      <c r="B103" s="162" t="s">
        <v>58</v>
      </c>
      <c r="C103" s="85">
        <v>1595332</v>
      </c>
      <c r="D103" s="85">
        <v>742700</v>
      </c>
      <c r="E103" s="85">
        <v>549565</v>
      </c>
      <c r="F103" s="85">
        <f t="shared" si="8"/>
        <v>1788467</v>
      </c>
      <c r="G103" s="85">
        <f>1243554+314</f>
        <v>1243868</v>
      </c>
      <c r="H103" s="174">
        <f t="shared" si="9"/>
        <v>-544599</v>
      </c>
      <c r="I103" s="7"/>
      <c r="J103" s="7"/>
      <c r="K103" s="7"/>
      <c r="L103" s="7"/>
      <c r="M103" s="7"/>
    </row>
    <row r="104" spans="1:13">
      <c r="A104" s="2">
        <v>11</v>
      </c>
      <c r="B104" s="162" t="s">
        <v>58</v>
      </c>
      <c r="C104" s="85">
        <v>1864874</v>
      </c>
      <c r="D104" s="85">
        <v>1566700</v>
      </c>
      <c r="E104" s="85">
        <v>741883</v>
      </c>
      <c r="F104" s="85">
        <f t="shared" si="8"/>
        <v>2689691</v>
      </c>
      <c r="G104" s="85">
        <v>1801413</v>
      </c>
      <c r="H104" s="174">
        <f t="shared" si="9"/>
        <v>-888278</v>
      </c>
      <c r="I104" s="7"/>
      <c r="J104" s="7"/>
      <c r="K104" s="7"/>
      <c r="L104" s="7"/>
      <c r="M104" s="7"/>
    </row>
    <row r="105" spans="1:13">
      <c r="A105" s="2">
        <v>12</v>
      </c>
      <c r="B105" s="162" t="s">
        <v>58</v>
      </c>
      <c r="C105" s="85">
        <v>232519</v>
      </c>
      <c r="D105" s="85">
        <v>165500</v>
      </c>
      <c r="E105" s="85">
        <v>0</v>
      </c>
      <c r="F105" s="85">
        <f t="shared" si="8"/>
        <v>398019</v>
      </c>
      <c r="G105" s="85">
        <v>425260</v>
      </c>
      <c r="H105" s="174">
        <f t="shared" si="9"/>
        <v>27241</v>
      </c>
      <c r="I105" s="7"/>
      <c r="J105" s="7"/>
      <c r="K105" s="7"/>
      <c r="L105" s="7"/>
      <c r="M105" s="7"/>
    </row>
    <row r="106" spans="1:13">
      <c r="A106" s="2">
        <v>13</v>
      </c>
      <c r="B106" s="162" t="s">
        <v>59</v>
      </c>
      <c r="C106" s="85">
        <v>4991211</v>
      </c>
      <c r="D106" s="85">
        <v>2002371</v>
      </c>
      <c r="E106" s="85">
        <v>2538229</v>
      </c>
      <c r="F106" s="85">
        <f t="shared" si="8"/>
        <v>4455353</v>
      </c>
      <c r="G106" s="85">
        <v>4086925</v>
      </c>
      <c r="H106" s="174">
        <f t="shared" si="9"/>
        <v>-368428</v>
      </c>
      <c r="I106" s="7"/>
      <c r="J106" s="7"/>
      <c r="K106" s="7"/>
      <c r="L106" s="7"/>
      <c r="M106" s="7"/>
    </row>
    <row r="107" spans="1:13">
      <c r="A107" s="2">
        <v>14</v>
      </c>
      <c r="B107" s="162" t="s">
        <v>59</v>
      </c>
      <c r="C107" s="85">
        <v>3460372</v>
      </c>
      <c r="D107" s="85">
        <v>1089900</v>
      </c>
      <c r="E107" s="85">
        <v>1884779</v>
      </c>
      <c r="F107" s="85">
        <f t="shared" si="8"/>
        <v>2665493</v>
      </c>
      <c r="G107" s="85">
        <f>2585289+827</f>
        <v>2586116</v>
      </c>
      <c r="H107" s="174">
        <f t="shared" si="9"/>
        <v>-79377</v>
      </c>
      <c r="I107" s="7"/>
      <c r="J107" s="7"/>
      <c r="K107" s="7"/>
      <c r="L107" s="7"/>
      <c r="M107" s="7"/>
    </row>
    <row r="108" spans="1:13">
      <c r="A108" s="2">
        <v>15</v>
      </c>
      <c r="B108" s="162" t="s">
        <v>59</v>
      </c>
      <c r="C108" s="85">
        <v>130246</v>
      </c>
      <c r="D108" s="85">
        <v>0</v>
      </c>
      <c r="E108" s="85">
        <v>0</v>
      </c>
      <c r="F108" s="85">
        <f t="shared" si="8"/>
        <v>130246</v>
      </c>
      <c r="G108" s="85">
        <v>110168</v>
      </c>
      <c r="H108" s="174">
        <f t="shared" si="9"/>
        <v>-20078</v>
      </c>
      <c r="I108" s="7"/>
      <c r="J108" s="7"/>
      <c r="K108" s="7"/>
      <c r="L108" s="7"/>
      <c r="M108" s="7"/>
    </row>
    <row r="109" spans="1:13">
      <c r="A109" s="2">
        <v>16</v>
      </c>
      <c r="B109" s="162" t="s">
        <v>60</v>
      </c>
      <c r="C109" s="85">
        <v>2214596</v>
      </c>
      <c r="D109" s="85">
        <v>1074254</v>
      </c>
      <c r="E109" s="85">
        <v>1016891</v>
      </c>
      <c r="F109" s="85">
        <f t="shared" si="8"/>
        <v>2271959</v>
      </c>
      <c r="G109" s="85">
        <v>1616240</v>
      </c>
      <c r="H109" s="174">
        <f t="shared" si="9"/>
        <v>-655719</v>
      </c>
      <c r="I109" s="7"/>
      <c r="J109" s="7"/>
      <c r="K109" s="7"/>
      <c r="L109" s="7"/>
      <c r="M109" s="7"/>
    </row>
    <row r="110" spans="1:13">
      <c r="A110" s="2">
        <v>17</v>
      </c>
      <c r="B110" s="162" t="s">
        <v>60</v>
      </c>
      <c r="C110" s="85">
        <v>4067967</v>
      </c>
      <c r="D110" s="85">
        <v>1181000</v>
      </c>
      <c r="E110" s="85">
        <v>1459355</v>
      </c>
      <c r="F110" s="85">
        <f t="shared" si="8"/>
        <v>3789612</v>
      </c>
      <c r="G110" s="85">
        <v>2662944</v>
      </c>
      <c r="H110" s="174">
        <f t="shared" si="9"/>
        <v>-1126668</v>
      </c>
      <c r="I110" s="7"/>
      <c r="J110" s="7"/>
      <c r="K110" s="7"/>
      <c r="L110" s="7"/>
      <c r="M110" s="7"/>
    </row>
    <row r="111" spans="1:13">
      <c r="A111" s="2">
        <v>18</v>
      </c>
      <c r="B111" s="162" t="s">
        <v>60</v>
      </c>
      <c r="C111" s="85">
        <v>203544</v>
      </c>
      <c r="D111" s="85">
        <v>50000</v>
      </c>
      <c r="E111" s="85">
        <v>233432</v>
      </c>
      <c r="F111" s="85">
        <f t="shared" si="8"/>
        <v>20112</v>
      </c>
      <c r="G111" s="85">
        <f>437298+256</f>
        <v>437554</v>
      </c>
      <c r="H111" s="174">
        <f t="shared" si="9"/>
        <v>417442</v>
      </c>
      <c r="I111" s="7"/>
      <c r="J111" s="7"/>
      <c r="K111" s="7"/>
      <c r="L111" s="7"/>
      <c r="M111" s="7"/>
    </row>
    <row r="112" spans="1:13">
      <c r="A112" s="2">
        <v>19</v>
      </c>
      <c r="B112" s="162" t="s">
        <v>60</v>
      </c>
      <c r="C112" s="85">
        <v>30446</v>
      </c>
      <c r="D112" s="85">
        <v>0</v>
      </c>
      <c r="E112" s="85">
        <v>0</v>
      </c>
      <c r="F112" s="85">
        <f t="shared" si="8"/>
        <v>30446</v>
      </c>
      <c r="G112" s="85">
        <v>283406</v>
      </c>
      <c r="H112" s="174">
        <f t="shared" si="9"/>
        <v>252960</v>
      </c>
      <c r="I112" s="7"/>
      <c r="J112" s="7"/>
      <c r="K112" s="7"/>
      <c r="L112" s="7"/>
      <c r="M112" s="7"/>
    </row>
    <row r="113" spans="1:13">
      <c r="A113" s="2">
        <v>20</v>
      </c>
      <c r="B113" s="162" t="s">
        <v>61</v>
      </c>
      <c r="C113" s="85">
        <v>2263864</v>
      </c>
      <c r="D113" s="85">
        <v>183000</v>
      </c>
      <c r="E113" s="85">
        <v>36416</v>
      </c>
      <c r="F113" s="85">
        <f t="shared" si="8"/>
        <v>2410448</v>
      </c>
      <c r="G113" s="85">
        <v>1308246</v>
      </c>
      <c r="H113" s="174">
        <f t="shared" si="9"/>
        <v>-1102202</v>
      </c>
      <c r="I113" s="7"/>
      <c r="J113" s="7"/>
      <c r="K113" s="7"/>
      <c r="L113" s="7"/>
      <c r="M113" s="7"/>
    </row>
    <row r="114" spans="1:13">
      <c r="A114" s="2">
        <v>21</v>
      </c>
      <c r="B114" s="162" t="s">
        <v>61</v>
      </c>
      <c r="C114" s="85">
        <v>5581471</v>
      </c>
      <c r="D114" s="85">
        <v>1190250</v>
      </c>
      <c r="E114" s="85">
        <v>946172</v>
      </c>
      <c r="F114" s="85">
        <f t="shared" si="8"/>
        <v>5825549</v>
      </c>
      <c r="G114" s="85">
        <f>3535596+283</f>
        <v>3535879</v>
      </c>
      <c r="H114" s="174">
        <f t="shared" si="9"/>
        <v>-2289670</v>
      </c>
      <c r="I114" s="7"/>
      <c r="J114" s="7"/>
      <c r="K114" s="7"/>
      <c r="L114" s="7"/>
      <c r="M114" s="7"/>
    </row>
    <row r="115" spans="1:13">
      <c r="A115" s="2">
        <v>22</v>
      </c>
      <c r="B115" s="162" t="s">
        <v>61</v>
      </c>
      <c r="C115" s="85">
        <v>6061573</v>
      </c>
      <c r="D115" s="85">
        <v>1200409</v>
      </c>
      <c r="E115" s="85">
        <v>1257872</v>
      </c>
      <c r="F115" s="85">
        <f t="shared" si="8"/>
        <v>6004110</v>
      </c>
      <c r="G115" s="85">
        <v>5056855</v>
      </c>
      <c r="H115" s="174">
        <f t="shared" si="9"/>
        <v>-947255</v>
      </c>
      <c r="I115" s="7"/>
      <c r="J115" s="7"/>
      <c r="K115" s="7"/>
      <c r="L115" s="7"/>
      <c r="M115" s="7"/>
    </row>
    <row r="116" spans="1:13">
      <c r="A116" s="2">
        <v>23</v>
      </c>
      <c r="B116" s="162" t="s">
        <v>62</v>
      </c>
      <c r="C116" s="85">
        <v>2141060</v>
      </c>
      <c r="D116" s="85">
        <v>1361381</v>
      </c>
      <c r="E116" s="85">
        <v>1153448</v>
      </c>
      <c r="F116" s="85">
        <f t="shared" si="8"/>
        <v>2348993</v>
      </c>
      <c r="G116" s="85">
        <v>2087504</v>
      </c>
      <c r="H116" s="174">
        <f t="shared" si="9"/>
        <v>-261489</v>
      </c>
      <c r="I116" s="7"/>
      <c r="J116" s="7"/>
      <c r="K116" s="7"/>
      <c r="L116" s="7"/>
      <c r="M116" s="7"/>
    </row>
    <row r="117" spans="1:13">
      <c r="A117" s="2">
        <v>24</v>
      </c>
      <c r="B117" s="162" t="s">
        <v>62</v>
      </c>
      <c r="C117" s="85">
        <v>5193</v>
      </c>
      <c r="D117" s="85">
        <v>8253</v>
      </c>
      <c r="E117" s="85">
        <v>0</v>
      </c>
      <c r="F117" s="85">
        <f t="shared" si="8"/>
        <v>13446</v>
      </c>
      <c r="G117" s="85">
        <v>183194</v>
      </c>
      <c r="H117" s="174">
        <f t="shared" si="9"/>
        <v>169748</v>
      </c>
      <c r="I117" s="7"/>
      <c r="J117" s="7"/>
      <c r="K117" s="7"/>
      <c r="L117" s="7"/>
      <c r="M117" s="7"/>
    </row>
    <row r="118" spans="1:13">
      <c r="A118" s="2">
        <v>25</v>
      </c>
      <c r="B118" s="162" t="s">
        <v>63</v>
      </c>
      <c r="C118" s="85">
        <v>2926450</v>
      </c>
      <c r="D118" s="85">
        <v>1138364</v>
      </c>
      <c r="E118" s="85">
        <v>1602364</v>
      </c>
      <c r="F118" s="85">
        <f t="shared" si="8"/>
        <v>2462450</v>
      </c>
      <c r="G118" s="85">
        <v>1846937</v>
      </c>
      <c r="H118" s="174">
        <f t="shared" si="9"/>
        <v>-615513</v>
      </c>
      <c r="I118" s="7"/>
      <c r="J118" s="7"/>
      <c r="K118" s="7"/>
      <c r="L118" s="7"/>
      <c r="M118" s="7"/>
    </row>
    <row r="119" spans="1:13">
      <c r="A119" s="2">
        <v>26</v>
      </c>
      <c r="B119" s="162" t="s">
        <v>63</v>
      </c>
      <c r="C119" s="85"/>
      <c r="D119" s="85">
        <v>440525</v>
      </c>
      <c r="E119" s="85">
        <v>608240</v>
      </c>
      <c r="F119" s="85">
        <f t="shared" si="8"/>
        <v>-167715</v>
      </c>
      <c r="G119" s="85">
        <v>513504</v>
      </c>
      <c r="H119" s="174">
        <f t="shared" si="9"/>
        <v>681219</v>
      </c>
      <c r="I119" s="7"/>
      <c r="J119" s="7"/>
      <c r="K119" s="7"/>
      <c r="L119" s="7"/>
      <c r="M119" s="7"/>
    </row>
    <row r="120" spans="1:13">
      <c r="A120" s="2">
        <v>27</v>
      </c>
      <c r="B120" s="162" t="s">
        <v>63</v>
      </c>
      <c r="C120" s="85">
        <v>183860</v>
      </c>
      <c r="D120" s="85">
        <v>63616</v>
      </c>
      <c r="E120" s="85">
        <v>0</v>
      </c>
      <c r="F120" s="85">
        <f t="shared" si="8"/>
        <v>247476</v>
      </c>
      <c r="G120" s="85">
        <v>280334</v>
      </c>
      <c r="H120" s="174">
        <f t="shared" si="9"/>
        <v>32858</v>
      </c>
      <c r="I120" s="7"/>
      <c r="J120" s="7"/>
      <c r="K120" s="7"/>
      <c r="L120" s="7"/>
      <c r="M120" s="7"/>
    </row>
    <row r="121" spans="1:13">
      <c r="A121" s="2">
        <v>28</v>
      </c>
      <c r="B121" s="162" t="s">
        <v>64</v>
      </c>
      <c r="C121" s="85">
        <v>0</v>
      </c>
      <c r="D121" s="85">
        <v>0</v>
      </c>
      <c r="E121" s="85">
        <v>0</v>
      </c>
      <c r="F121" s="85">
        <f t="shared" si="8"/>
        <v>0</v>
      </c>
      <c r="G121" s="85">
        <v>395</v>
      </c>
      <c r="H121" s="174">
        <f t="shared" si="9"/>
        <v>395</v>
      </c>
      <c r="I121" s="7"/>
      <c r="J121" s="7"/>
      <c r="K121" s="7"/>
      <c r="L121" s="7"/>
      <c r="M121" s="7"/>
    </row>
    <row r="122" spans="1:13">
      <c r="A122" s="2">
        <v>29</v>
      </c>
      <c r="B122" s="162" t="s">
        <v>64</v>
      </c>
      <c r="C122" s="85">
        <v>0</v>
      </c>
      <c r="D122" s="85">
        <v>0</v>
      </c>
      <c r="E122" s="85">
        <v>900</v>
      </c>
      <c r="F122" s="85">
        <f t="shared" si="8"/>
        <v>-900</v>
      </c>
      <c r="G122" s="85">
        <v>110180</v>
      </c>
      <c r="H122" s="174">
        <f t="shared" si="9"/>
        <v>111080</v>
      </c>
      <c r="I122" s="7"/>
      <c r="J122" s="7"/>
      <c r="K122" s="7"/>
      <c r="L122" s="7"/>
      <c r="M122" s="7"/>
    </row>
    <row r="123" spans="1:13">
      <c r="A123" s="2">
        <v>30</v>
      </c>
      <c r="B123" s="162" t="s">
        <v>64</v>
      </c>
      <c r="C123" s="85">
        <v>0</v>
      </c>
      <c r="D123" s="85">
        <v>0</v>
      </c>
      <c r="E123" s="85">
        <v>0</v>
      </c>
      <c r="F123" s="85">
        <f t="shared" si="8"/>
        <v>0</v>
      </c>
      <c r="G123" s="85">
        <v>28702</v>
      </c>
      <c r="H123" s="174">
        <f t="shared" si="9"/>
        <v>28702</v>
      </c>
      <c r="I123" s="7"/>
      <c r="J123" s="7"/>
      <c r="K123" s="7"/>
      <c r="L123" s="7"/>
      <c r="M123" s="7"/>
    </row>
    <row r="124" spans="1:13">
      <c r="A124" s="2">
        <v>31</v>
      </c>
      <c r="B124" s="162" t="s">
        <v>65</v>
      </c>
      <c r="C124" s="85">
        <v>368228</v>
      </c>
      <c r="D124" s="85">
        <v>1780155</v>
      </c>
      <c r="E124" s="85">
        <v>1178199</v>
      </c>
      <c r="F124" s="85">
        <f t="shared" si="8"/>
        <v>970184</v>
      </c>
      <c r="G124" s="85">
        <v>1055193</v>
      </c>
      <c r="H124" s="174">
        <f t="shared" si="9"/>
        <v>85009</v>
      </c>
      <c r="I124" s="7"/>
      <c r="J124" s="7"/>
      <c r="K124" s="7"/>
      <c r="L124" s="7"/>
      <c r="M124" s="7"/>
    </row>
    <row r="125" spans="1:13">
      <c r="A125" s="2">
        <v>32</v>
      </c>
      <c r="B125" s="162" t="s">
        <v>65</v>
      </c>
      <c r="C125" s="85">
        <v>53863</v>
      </c>
      <c r="D125" s="85">
        <v>92447</v>
      </c>
      <c r="E125" s="85">
        <v>0</v>
      </c>
      <c r="F125" s="85">
        <f t="shared" si="8"/>
        <v>146310</v>
      </c>
      <c r="G125" s="85">
        <v>173893</v>
      </c>
      <c r="H125" s="174">
        <f t="shared" si="9"/>
        <v>27583</v>
      </c>
      <c r="I125" s="7"/>
      <c r="J125" s="7"/>
      <c r="K125" s="7"/>
      <c r="L125" s="7"/>
      <c r="M125" s="7"/>
    </row>
    <row r="126" spans="1:13">
      <c r="A126" s="2">
        <v>33</v>
      </c>
      <c r="B126" s="162" t="s">
        <v>133</v>
      </c>
      <c r="C126" s="85">
        <v>6109.94</v>
      </c>
      <c r="D126" s="85">
        <v>331</v>
      </c>
      <c r="E126" s="85">
        <v>529.99543900000003</v>
      </c>
      <c r="F126" s="85">
        <f t="shared" si="8"/>
        <v>5910.9445609999993</v>
      </c>
      <c r="G126" s="85">
        <v>4928.6575439056669</v>
      </c>
      <c r="H126" s="174">
        <f t="shared" si="9"/>
        <v>-982.28701709433244</v>
      </c>
      <c r="I126" s="7"/>
      <c r="J126" s="7"/>
      <c r="K126" s="7"/>
      <c r="L126" s="7"/>
      <c r="M126" s="7"/>
    </row>
    <row r="127" spans="1:13" ht="27">
      <c r="A127" s="2">
        <v>34</v>
      </c>
      <c r="B127" s="177" t="s">
        <v>107</v>
      </c>
      <c r="C127" s="85">
        <v>21498.61</v>
      </c>
      <c r="D127" s="85">
        <v>20000</v>
      </c>
      <c r="E127" s="85">
        <v>7373.6451899999993</v>
      </c>
      <c r="F127" s="85">
        <f t="shared" si="8"/>
        <v>34124.964810000005</v>
      </c>
      <c r="G127" s="85">
        <v>22338.607714200003</v>
      </c>
      <c r="H127" s="174">
        <f t="shared" si="9"/>
        <v>-11786.357095800002</v>
      </c>
      <c r="I127" s="7"/>
      <c r="J127" s="7"/>
      <c r="K127" s="7"/>
      <c r="L127" s="7"/>
      <c r="M127" s="7"/>
    </row>
    <row r="128" spans="1:13">
      <c r="A128" s="2">
        <v>35</v>
      </c>
      <c r="B128" s="162" t="s">
        <v>71</v>
      </c>
      <c r="C128" s="85">
        <v>849.46</v>
      </c>
      <c r="D128" s="85">
        <v>0</v>
      </c>
      <c r="E128" s="85">
        <v>0</v>
      </c>
      <c r="F128" s="85">
        <f t="shared" si="8"/>
        <v>849.46</v>
      </c>
      <c r="G128" s="85">
        <v>804.658728</v>
      </c>
      <c r="H128" s="174">
        <f t="shared" si="9"/>
        <v>-44.80127200000004</v>
      </c>
      <c r="I128" s="7"/>
      <c r="J128" s="7"/>
      <c r="K128" s="7"/>
      <c r="L128" s="7"/>
      <c r="M128" s="7"/>
    </row>
    <row r="129" spans="1:13">
      <c r="A129" s="2">
        <v>36</v>
      </c>
      <c r="B129" s="162" t="s">
        <v>68</v>
      </c>
      <c r="C129" s="85"/>
      <c r="D129" s="85">
        <v>14871.165999999999</v>
      </c>
      <c r="E129" s="85">
        <v>10266.790010000001</v>
      </c>
      <c r="F129" s="85">
        <f t="shared" si="8"/>
        <v>4604.3759899999986</v>
      </c>
      <c r="G129" s="85">
        <v>16690.108320000003</v>
      </c>
      <c r="H129" s="174">
        <f t="shared" si="9"/>
        <v>12085.732330000004</v>
      </c>
      <c r="I129" s="7"/>
      <c r="J129" s="7"/>
      <c r="K129" s="7"/>
      <c r="L129" s="7"/>
      <c r="M129" s="7"/>
    </row>
    <row r="130" spans="1:13" ht="14.25" thickBot="1">
      <c r="A130" s="243" t="s">
        <v>15</v>
      </c>
      <c r="B130" s="178"/>
      <c r="C130" s="88">
        <f t="shared" ref="C130:H130" si="10">SUM(C94:C129)</f>
        <v>46496582.009999998</v>
      </c>
      <c r="D130" s="88">
        <f t="shared" si="10"/>
        <v>19175344.166000001</v>
      </c>
      <c r="E130" s="88">
        <f t="shared" si="10"/>
        <v>19617152.430639002</v>
      </c>
      <c r="F130" s="88">
        <f t="shared" si="10"/>
        <v>46054773.745361</v>
      </c>
      <c r="G130" s="88">
        <f t="shared" si="10"/>
        <v>38838486.032306105</v>
      </c>
      <c r="H130" s="99">
        <f t="shared" si="10"/>
        <v>-7216287.7130548945</v>
      </c>
      <c r="I130" s="7"/>
      <c r="J130" s="7"/>
      <c r="K130" s="7"/>
      <c r="L130" s="7"/>
      <c r="M130" s="7"/>
    </row>
    <row r="131" spans="1:13">
      <c r="A131" s="7"/>
      <c r="B131" s="7"/>
      <c r="C131" s="7"/>
      <c r="D131" s="7"/>
      <c r="E131" s="7"/>
      <c r="F131" s="7"/>
      <c r="G131" s="7"/>
      <c r="H131" s="7"/>
      <c r="I131" s="135"/>
      <c r="J131" s="135"/>
      <c r="K131" s="135"/>
      <c r="L131" s="135"/>
      <c r="M131" s="135"/>
    </row>
    <row r="132" spans="1:13" ht="15.95" customHeight="1">
      <c r="A132" s="95" t="s">
        <v>230</v>
      </c>
      <c r="B132" s="208"/>
      <c r="C132" s="208"/>
      <c r="D132" s="208"/>
      <c r="E132" s="208"/>
      <c r="F132" s="208"/>
      <c r="G132" s="208"/>
      <c r="H132" s="208"/>
      <c r="I132" s="135"/>
      <c r="J132" s="135"/>
      <c r="K132" s="135"/>
      <c r="L132" s="135"/>
      <c r="M132" s="135"/>
    </row>
    <row r="133" spans="1:13" ht="15.95" customHeight="1">
      <c r="A133" s="208" t="s">
        <v>232</v>
      </c>
      <c r="B133" s="208"/>
      <c r="C133" s="208"/>
      <c r="D133" s="208"/>
      <c r="E133" s="208"/>
      <c r="F133" s="208"/>
      <c r="G133" s="208"/>
      <c r="H133" s="208"/>
      <c r="I133" s="135"/>
      <c r="J133" s="135"/>
      <c r="K133" s="135"/>
      <c r="L133" s="135"/>
      <c r="M133" s="135"/>
    </row>
    <row r="134" spans="1:13" ht="15.95" customHeight="1">
      <c r="A134" s="208" t="s">
        <v>231</v>
      </c>
      <c r="B134" s="208"/>
      <c r="C134" s="208"/>
      <c r="D134" s="208"/>
      <c r="E134" s="208"/>
      <c r="F134" s="208"/>
      <c r="G134" s="208"/>
      <c r="H134" s="208"/>
      <c r="I134" s="135"/>
      <c r="J134" s="135"/>
      <c r="K134" s="135"/>
      <c r="L134" s="135"/>
      <c r="M134" s="135"/>
    </row>
    <row r="135" spans="1:13" ht="15.95" customHeight="1">
      <c r="A135" s="208" t="s">
        <v>233</v>
      </c>
      <c r="B135" s="208"/>
      <c r="C135" s="208"/>
      <c r="D135" s="208"/>
      <c r="E135" s="208"/>
      <c r="F135" s="208"/>
      <c r="G135" s="208"/>
      <c r="H135" s="208"/>
      <c r="I135" s="135"/>
      <c r="J135" s="135"/>
      <c r="K135" s="135"/>
      <c r="L135" s="135"/>
      <c r="M135" s="135"/>
    </row>
    <row r="136" spans="1:13" ht="15.95" customHeight="1">
      <c r="A136" s="208" t="s">
        <v>234</v>
      </c>
      <c r="B136" s="208"/>
      <c r="C136" s="208"/>
      <c r="D136" s="208"/>
      <c r="E136" s="208"/>
      <c r="F136" s="208"/>
      <c r="G136" s="208"/>
      <c r="H136" s="208"/>
      <c r="I136" s="135"/>
      <c r="J136" s="135"/>
      <c r="K136" s="135"/>
      <c r="L136" s="135"/>
      <c r="M136" s="135"/>
    </row>
    <row r="137" spans="1:13" ht="15.95" customHeight="1">
      <c r="A137" s="208" t="s">
        <v>235</v>
      </c>
      <c r="B137" s="208"/>
      <c r="C137" s="208"/>
      <c r="D137" s="208"/>
      <c r="E137" s="208"/>
      <c r="F137" s="208"/>
      <c r="G137" s="208"/>
      <c r="H137" s="208"/>
      <c r="I137" s="7"/>
      <c r="J137" s="7"/>
      <c r="K137" s="7"/>
      <c r="L137" s="7"/>
      <c r="M137" s="7"/>
    </row>
    <row r="138" spans="1:13" ht="15.95" customHeight="1">
      <c r="A138" s="208" t="s">
        <v>236</v>
      </c>
      <c r="B138" s="208"/>
      <c r="C138" s="208"/>
      <c r="D138" s="208"/>
      <c r="E138" s="208"/>
      <c r="F138" s="208"/>
      <c r="G138" s="208"/>
      <c r="H138" s="208"/>
      <c r="I138" s="7"/>
      <c r="J138" s="7"/>
      <c r="K138" s="7"/>
      <c r="L138" s="7"/>
      <c r="M138" s="7"/>
    </row>
    <row r="139" spans="1:13" ht="15.95" customHeight="1">
      <c r="A139" s="208" t="s">
        <v>237</v>
      </c>
      <c r="B139" s="208"/>
      <c r="C139" s="208"/>
      <c r="D139" s="208"/>
      <c r="E139" s="208"/>
      <c r="F139" s="208"/>
      <c r="G139" s="208"/>
      <c r="H139" s="208"/>
      <c r="I139" s="7"/>
      <c r="J139" s="7"/>
      <c r="K139" s="7"/>
      <c r="L139" s="7"/>
      <c r="M139" s="7"/>
    </row>
    <row r="140" spans="1:13" ht="15.95" customHeight="1">
      <c r="A140" s="7" t="s">
        <v>317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5.9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</sheetData>
  <mergeCells count="27">
    <mergeCell ref="C8:C9"/>
    <mergeCell ref="D8:D9"/>
    <mergeCell ref="E8:E9"/>
    <mergeCell ref="K8:L8"/>
    <mergeCell ref="A87:A89"/>
    <mergeCell ref="A57:B57"/>
    <mergeCell ref="G8:G9"/>
    <mergeCell ref="A8:A9"/>
    <mergeCell ref="B8:B9"/>
    <mergeCell ref="K42:L42"/>
    <mergeCell ref="A37:A39"/>
    <mergeCell ref="A25:B25"/>
    <mergeCell ref="H8:H9"/>
    <mergeCell ref="I8:I9"/>
    <mergeCell ref="F8:F9"/>
    <mergeCell ref="I42:J42"/>
    <mergeCell ref="D42:H42"/>
    <mergeCell ref="C42:C43"/>
    <mergeCell ref="B42:B43"/>
    <mergeCell ref="A42:A43"/>
    <mergeCell ref="O42:O43"/>
    <mergeCell ref="P42:P43"/>
    <mergeCell ref="Q42:Q43"/>
    <mergeCell ref="R44:R45"/>
    <mergeCell ref="R46:R48"/>
    <mergeCell ref="R49:R57"/>
    <mergeCell ref="R42:R4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:IV24"/>
    </sheetView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8月报</vt:lpstr>
      <vt:lpstr>Sheet1</vt:lpstr>
      <vt:lpstr>9月报</vt:lpstr>
      <vt:lpstr>BL制造数差</vt:lpstr>
      <vt:lpstr>QA数差</vt:lpstr>
      <vt:lpstr>汇报</vt:lpstr>
      <vt:lpstr>Sheet2</vt:lpstr>
      <vt:lpstr>汇报!Print_Area</vt:lpstr>
    </vt:vector>
  </TitlesOfParts>
  <Company>Information Systems Dept.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000900030</dc:creator>
  <cp:lastModifiedBy>000084150</cp:lastModifiedBy>
  <cp:lastPrinted>2013-10-23T09:01:39Z</cp:lastPrinted>
  <dcterms:created xsi:type="dcterms:W3CDTF">2013-08-30T05:38:17Z</dcterms:created>
  <dcterms:modified xsi:type="dcterms:W3CDTF">2013-10-24T07:43:17Z</dcterms:modified>
</cp:coreProperties>
</file>