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en\Documents\Optim\"/>
    </mc:Choice>
  </mc:AlternateContent>
  <bookViews>
    <workbookView xWindow="0" yWindow="0" windowWidth="13590" windowHeight="5430" activeTab="3" xr2:uid="{A0EA460A-83D8-4388-8E10-28E518662E5F}"/>
  </bookViews>
  <sheets>
    <sheet name="9.3" sheetId="2" r:id="rId1"/>
    <sheet name="9.4" sheetId="3" r:id="rId2"/>
    <sheet name="9.7" sheetId="14" r:id="rId3"/>
    <sheet name="9.8" sheetId="13" r:id="rId4"/>
  </sheets>
  <definedNames>
    <definedName name="advertisingRevenue">'9.4'!$C$5:$C$13</definedName>
    <definedName name="allowedNumCoursesFall">'9.8'!$H$27</definedName>
    <definedName name="allowedNumCoursesSpring">'9.8'!$H$28</definedName>
    <definedName name="Arlington">'9.3'!$C$14:$H$14</definedName>
    <definedName name="ATMlocationToggle">'9.3'!$J$6:$O$6</definedName>
    <definedName name="Belmont">'9.3'!$C$15:$H$15</definedName>
    <definedName name="Cambridge">'9.3'!$C$16:$H$16</definedName>
    <definedName name="chomperCapacity">'9.7'!$D$21</definedName>
    <definedName name="chomperChosen">'9.7'!$D$5:$D$16</definedName>
    <definedName name="chomperDemand" localSheetId="2">'9.7'!$M$5:$M$16</definedName>
    <definedName name="chomperDemand">#REF!</definedName>
    <definedName name="chomperHoldingCost">'9.7'!$D$25</definedName>
    <definedName name="chomperInventory" localSheetId="2">'9.7'!$O$5:$O$16</definedName>
    <definedName name="chomperInventory">#REF!</definedName>
    <definedName name="chomperMonthlyCap" localSheetId="2">'9.7'!#REF!</definedName>
    <definedName name="chomperMonthlyCap">#REF!</definedName>
    <definedName name="chomperMonthlyCapacity">'9.7'!$K$5:$K$16</definedName>
    <definedName name="chompersAvailable" localSheetId="2">'9.7'!#REF!</definedName>
    <definedName name="chompersAvailable">#REF!</definedName>
    <definedName name="chomperStartInventory">'9.7'!$D$23</definedName>
    <definedName name="ChoseOnly9fromOriginalSoltion">'9.8'!$H$33</definedName>
    <definedName name="comedy">'9.4'!$F$5:$F$13</definedName>
    <definedName name="comedyDramaConstraintLHS">'9.4'!$K$11</definedName>
    <definedName name="comedyDramaConstraintRHS">'9.4'!$M$11</definedName>
    <definedName name="Concord">'9.3'!$C$18:$H$18</definedName>
    <definedName name="containsViolence">'9.4'!$E$5:$E$13</definedName>
    <definedName name="course10picked">'9.8'!$K$14</definedName>
    <definedName name="course11picked">'9.8'!$K$15</definedName>
    <definedName name="course12picked">'9.8'!$K$16</definedName>
    <definedName name="course13picked">'9.8'!$K$17</definedName>
    <definedName name="course14picked">'9.8'!$K$18</definedName>
    <definedName name="course15picked">'9.8'!$K$19</definedName>
    <definedName name="course16picked">'9.8'!$K$20</definedName>
    <definedName name="course17picked">'9.8'!$K$21</definedName>
    <definedName name="course18picked">'9.8'!$K$22</definedName>
    <definedName name="course19picked">'9.8'!$K$23</definedName>
    <definedName name="course1picked">'9.8'!$K$5</definedName>
    <definedName name="course20picked">'9.8'!$K$24</definedName>
    <definedName name="course2picked">'9.8'!$K$6</definedName>
    <definedName name="course3picked">'9.8'!$K$7</definedName>
    <definedName name="course4picked">'9.8'!$K$8</definedName>
    <definedName name="course5picked">'9.8'!$K$9</definedName>
    <definedName name="course6picked">'9.8'!$K$10</definedName>
    <definedName name="course7picked">'9.8'!$K$11</definedName>
    <definedName name="course8picked">'9.8'!$K$12</definedName>
    <definedName name="course9picked">'9.8'!$K$13</definedName>
    <definedName name="CourseTaken">'9.8'!$K$5:$K$24</definedName>
    <definedName name="directionalSwitchMade">'9.7'!$E$5:$E$16</definedName>
    <definedName name="drama">'9.4'!$G$5:$G$13</definedName>
    <definedName name="Fall1">'9.8'!$I$5</definedName>
    <definedName name="Fall10">'9.8'!$I$14</definedName>
    <definedName name="Fall11">'9.8'!$I$15</definedName>
    <definedName name="Fall12">'9.8'!$I$16</definedName>
    <definedName name="Fall13">'9.8'!$I$17</definedName>
    <definedName name="Fall14">'9.8'!$I$18</definedName>
    <definedName name="Fall15">'9.8'!$I$19</definedName>
    <definedName name="Fall16">'9.8'!$I$20</definedName>
    <definedName name="Fall17">'9.8'!$I$21</definedName>
    <definedName name="Fall18">'9.8'!$I$22</definedName>
    <definedName name="Fall19">'9.8'!$I$23</definedName>
    <definedName name="Fall2">'9.8'!$I$6</definedName>
    <definedName name="Fall20">'9.8'!$I$24</definedName>
    <definedName name="Fall3">'9.8'!$I$7</definedName>
    <definedName name="Fall4">'9.8'!$I$8</definedName>
    <definedName name="Fall5">'9.8'!$I$9</definedName>
    <definedName name="Fall6">'9.8'!$I$10</definedName>
    <definedName name="Fall7">'9.8'!$I$11</definedName>
    <definedName name="Fall8">'9.8'!$I$12</definedName>
    <definedName name="Fall9">'9.8'!$I$13</definedName>
    <definedName name="FallCoursesTaken">'9.8'!$I$5:$I$24</definedName>
    <definedName name="interestLevel">'9.8'!$H$5:$H$24</definedName>
    <definedName name="Lexington">'9.3'!$C$17:$H$17</definedName>
    <definedName name="lossIfTooManyViolentShows">'9.4'!$K$7</definedName>
    <definedName name="marketingCourseConstraint">'9.8'!$H$31</definedName>
    <definedName name="mustTakeMarketing">'9.8'!$F$31</definedName>
    <definedName name="mustTakeOperationsManagement">'9.8'!$F$32</definedName>
    <definedName name="mustTakeThree">'9.8'!$H$29</definedName>
    <definedName name="negDirectionalSwitchMade">'9.7'!$F$5:$F$16</definedName>
    <definedName name="NoOfShowSlots">'9.4'!$M$10</definedName>
    <definedName name="NoOfShowsPicked">'9.4'!$K$10</definedName>
    <definedName name="NotBoth8and14">'9.8'!$H$30</definedName>
    <definedName name="NotBothSciAndUrban">'9.4'!$M$12</definedName>
    <definedName name="NumATMsProvidingCoverageForEachCity">'9.3'!$I$14:$I$19</definedName>
    <definedName name="numCoursesFall">'9.8'!$F$27</definedName>
    <definedName name="numCoursesSpring">'9.8'!$F$28</definedName>
    <definedName name="offeredInFall">'9.8'!$E$5:$E$24</definedName>
    <definedName name="offeredInSpring">'9.8'!$F$5:$F$24</definedName>
    <definedName name="opManageConstraint">'9.8'!$H$32</definedName>
    <definedName name="positive">'9.4'!$M$14</definedName>
    <definedName name="productionOfChomper" localSheetId="2">'9.7'!$J$5:$J$16</definedName>
    <definedName name="productionOfChomper">#REF!</definedName>
    <definedName name="productionOfWarrior" localSheetId="2">'9.7'!$H$5:$H$16</definedName>
    <definedName name="productionOfWarrior">#REF!</definedName>
    <definedName name="publicInterest">'9.4'!$D$5:$D$13</definedName>
    <definedName name="publicInterestMinusContainsViolence">'9.4'!$K$14</definedName>
    <definedName name="sciJakeLawRHS">'9.4'!$M$13</definedName>
    <definedName name="SciMinusJakeAndLaw">'9.4'!$K$13</definedName>
    <definedName name="ShowPicked">'9.4'!$H$5:$H$13</definedName>
    <definedName name="solver_adj" localSheetId="0" hidden="1">'9.3'!$J$6:$O$6</definedName>
    <definedName name="solver_adj" localSheetId="1" hidden="1">'9.4'!$H$5:$H$13</definedName>
    <definedName name="solver_adj" localSheetId="2" hidden="1">'9.7'!$C$5:$C$16,'9.7'!$G$5:$G$16,'9.7'!$H$5:$H$16,'9.7'!$J$5:$J$16</definedName>
    <definedName name="solver_adj" localSheetId="3" hidden="1">'9.8'!$I$5:$I$24,'9.8'!$J$5:$J$24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2</definedName>
    <definedName name="solver_drv" localSheetId="1" hidden="1">1</definedName>
    <definedName name="solver_drv" localSheetId="2" hidden="1">2</definedName>
    <definedName name="solver_drv" localSheetId="3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'9.3'!$I$14:$I$19</definedName>
    <definedName name="solver_lhs1" localSheetId="1" hidden="1">'9.4'!$K$13</definedName>
    <definedName name="solver_lhs1" localSheetId="2" hidden="1">'9.7'!$O$5:$O$16</definedName>
    <definedName name="solver_lhs1" localSheetId="3" hidden="1">'9.8'!$I$15</definedName>
    <definedName name="solver_lhs10" localSheetId="0" hidden="1">'9.3'!$C$22</definedName>
    <definedName name="solver_lhs10" localSheetId="2" hidden="1">'9.7'!$N$5:$N$16</definedName>
    <definedName name="solver_lhs10" localSheetId="3" hidden="1">'9.8'!$I$22</definedName>
    <definedName name="solver_lhs11" localSheetId="0" hidden="1">'9.3'!$C$22:$H$22</definedName>
    <definedName name="solver_lhs11" localSheetId="3" hidden="1">'9.8'!$I$11</definedName>
    <definedName name="solver_lhs12" localSheetId="0" hidden="1">'9.3'!$C$22:$H$27</definedName>
    <definedName name="solver_lhs12" localSheetId="3" hidden="1">'9.8'!$I$11</definedName>
    <definedName name="solver_lhs13" localSheetId="0" hidden="1">'9.3'!$C$23:$H$23</definedName>
    <definedName name="solver_lhs13" localSheetId="3" hidden="1">'9.8'!$I$12</definedName>
    <definedName name="solver_lhs14" localSheetId="0" hidden="1">'9.3'!$C$24:$H$24</definedName>
    <definedName name="solver_lhs14" localSheetId="3" hidden="1">'9.8'!$I$12</definedName>
    <definedName name="solver_lhs15" localSheetId="0" hidden="1">'9.3'!$C$25:$H$25</definedName>
    <definedName name="solver_lhs15" localSheetId="3" hidden="1">'9.8'!$I$9</definedName>
    <definedName name="solver_lhs16" localSheetId="0" hidden="1">'9.3'!$C$26:$H$26</definedName>
    <definedName name="solver_lhs16" localSheetId="3" hidden="1">'9.8'!$I$13</definedName>
    <definedName name="solver_lhs17" localSheetId="0" hidden="1">'9.3'!$C$27:$H$27</definedName>
    <definedName name="solver_lhs17" localSheetId="3" hidden="1">'9.8'!$I$5:$I$24</definedName>
    <definedName name="solver_lhs18" localSheetId="0" hidden="1">'9.3'!$I$30:$I$35</definedName>
    <definedName name="solver_lhs18" localSheetId="3" hidden="1">'9.8'!$I$5:$I$24</definedName>
    <definedName name="solver_lhs19" localSheetId="3" hidden="1">'9.8'!$J$15</definedName>
    <definedName name="solver_lhs2" localSheetId="0" hidden="1">'9.3'!$J$6:$O$6</definedName>
    <definedName name="solver_lhs2" localSheetId="1" hidden="1">'9.4'!$H$5:$H$13</definedName>
    <definedName name="solver_lhs2" localSheetId="2" hidden="1">'9.7'!$J$5:$J$16</definedName>
    <definedName name="solver_lhs2" localSheetId="3" hidden="1">'9.8'!$I$21</definedName>
    <definedName name="solver_lhs20" localSheetId="3" hidden="1">'9.8'!$J$22</definedName>
    <definedName name="solver_lhs21" localSheetId="3" hidden="1">'9.8'!$J$22</definedName>
    <definedName name="solver_lhs22" localSheetId="3" hidden="1">'9.8'!$J$18</definedName>
    <definedName name="solver_lhs23" localSheetId="3" hidden="1">'9.8'!$J$22</definedName>
    <definedName name="solver_lhs24" localSheetId="3" hidden="1">'9.8'!$J$9</definedName>
    <definedName name="solver_lhs25" localSheetId="3" hidden="1">'9.8'!$J$21</definedName>
    <definedName name="solver_lhs26" localSheetId="3" hidden="1">'9.8'!$J$20</definedName>
    <definedName name="solver_lhs27" localSheetId="3" hidden="1">'9.8'!$J$12</definedName>
    <definedName name="solver_lhs28" localSheetId="3" hidden="1">'9.8'!$J$23</definedName>
    <definedName name="solver_lhs29" localSheetId="3" hidden="1">'9.8'!$J$11</definedName>
    <definedName name="solver_lhs3" localSheetId="0" hidden="1">'9.3'!$C$22</definedName>
    <definedName name="solver_lhs3" localSheetId="1" hidden="1">'9.4'!$K$10</definedName>
    <definedName name="solver_lhs3" localSheetId="2" hidden="1">'9.7'!$J$5:$J$16</definedName>
    <definedName name="solver_lhs3" localSheetId="3" hidden="1">'9.8'!$I$22</definedName>
    <definedName name="solver_lhs30" localSheetId="3" hidden="1">'9.8'!$J$11</definedName>
    <definedName name="solver_lhs31" localSheetId="3" hidden="1">'9.8'!$J$17</definedName>
    <definedName name="solver_lhs32" localSheetId="3" hidden="1">'9.8'!$J$15</definedName>
    <definedName name="solver_lhs33" localSheetId="3" hidden="1">'9.8'!$J$17</definedName>
    <definedName name="solver_lhs34" localSheetId="3" hidden="1">'9.8'!$I$22</definedName>
    <definedName name="solver_lhs35" localSheetId="3" hidden="1">'9.8'!$F$30</definedName>
    <definedName name="solver_lhs36" localSheetId="3" hidden="1">'9.8'!$F$31</definedName>
    <definedName name="solver_lhs37" localSheetId="3" hidden="1">'9.8'!$J$5:$J$24</definedName>
    <definedName name="solver_lhs38" localSheetId="3" hidden="1">'9.8'!$J$12</definedName>
    <definedName name="solver_lhs39" localSheetId="3" hidden="1">'9.8'!$J$5:$J$24</definedName>
    <definedName name="solver_lhs4" localSheetId="0" hidden="1">'9.3'!$C$22</definedName>
    <definedName name="solver_lhs4" localSheetId="1" hidden="1">'9.4'!$K$14</definedName>
    <definedName name="solver_lhs4" localSheetId="2" hidden="1">'9.7'!$H$5:$H$16</definedName>
    <definedName name="solver_lhs4" localSheetId="3" hidden="1">'9.8'!$I$18</definedName>
    <definedName name="solver_lhs40" localSheetId="3" hidden="1">'9.8'!$F$28</definedName>
    <definedName name="solver_lhs41" localSheetId="3" hidden="1">'9.8'!$J$13</definedName>
    <definedName name="solver_lhs42" localSheetId="3" hidden="1">'9.8'!$F$32</definedName>
    <definedName name="solver_lhs43" localSheetId="3" hidden="1">'9.8'!$F$27</definedName>
    <definedName name="solver_lhs44" localSheetId="3" hidden="1">'9.8'!$I$17</definedName>
    <definedName name="solver_lhs45" localSheetId="3" hidden="1">'9.8'!$F$29</definedName>
    <definedName name="solver_lhs46" localSheetId="3" hidden="1">'9.8'!$F$33</definedName>
    <definedName name="solver_lhs5" localSheetId="0" hidden="1">'9.3'!$C$22</definedName>
    <definedName name="solver_lhs5" localSheetId="1" hidden="1">'9.4'!$K$11</definedName>
    <definedName name="solver_lhs5" localSheetId="2" hidden="1">'9.7'!$H$5:$H$16</definedName>
    <definedName name="solver_lhs5" localSheetId="3" hidden="1">'9.8'!$I$20</definedName>
    <definedName name="solver_lhs6" localSheetId="0" hidden="1">'9.3'!$C$22</definedName>
    <definedName name="solver_lhs6" localSheetId="1" hidden="1">'9.4'!$K$12</definedName>
    <definedName name="solver_lhs6" localSheetId="2" hidden="1">'9.7'!$G$5:$G$16</definedName>
    <definedName name="solver_lhs6" localSheetId="3" hidden="1">'9.8'!$I$15</definedName>
    <definedName name="solver_lhs7" localSheetId="0" hidden="1">'9.3'!$C$22</definedName>
    <definedName name="solver_lhs7" localSheetId="2" hidden="1">'9.7'!$G$5:$G$16</definedName>
    <definedName name="solver_lhs7" localSheetId="3" hidden="1">'9.8'!$I$17</definedName>
    <definedName name="solver_lhs8" localSheetId="0" hidden="1">'9.3'!$C$22</definedName>
    <definedName name="solver_lhs8" localSheetId="2" hidden="1">'9.7'!$G$5:$G$16</definedName>
    <definedName name="solver_lhs8" localSheetId="3" hidden="1">'9.8'!$K$5:$K$24</definedName>
    <definedName name="solver_lhs9" localSheetId="0" hidden="1">'9.3'!$C$22</definedName>
    <definedName name="solver_lhs9" localSheetId="2" hidden="1">'9.7'!$C$5:$C$16</definedName>
    <definedName name="solver_lhs9" localSheetId="3" hidden="1">'9.8'!$I$23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6</definedName>
    <definedName name="solver_num" localSheetId="2" hidden="1">10</definedName>
    <definedName name="solver_num" localSheetId="3" hidden="1">45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'9.3'!$P$6</definedName>
    <definedName name="solver_opt" localSheetId="1" hidden="1">'9.4'!$K$5</definedName>
    <definedName name="solver_opt" localSheetId="2" hidden="1">'9.7'!$S$9</definedName>
    <definedName name="solver_opt" localSheetId="3" hidden="1">'9.8'!$M$14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2</definedName>
    <definedName name="solver_rbv" localSheetId="1" hidden="1">1</definedName>
    <definedName name="solver_rbv" localSheetId="2" hidden="1">2</definedName>
    <definedName name="solver_rbv" localSheetId="3" hidden="1">2</definedName>
    <definedName name="solver_rel1" localSheetId="0" hidden="1">3</definedName>
    <definedName name="solver_rel1" localSheetId="1" hidden="1">1</definedName>
    <definedName name="solver_rel1" localSheetId="2" hidden="1">3</definedName>
    <definedName name="solver_rel1" localSheetId="3" hidden="1">1</definedName>
    <definedName name="solver_rel10" localSheetId="0" hidden="1">2</definedName>
    <definedName name="solver_rel10" localSheetId="2" hidden="1">3</definedName>
    <definedName name="solver_rel10" localSheetId="3" hidden="1">1</definedName>
    <definedName name="solver_rel11" localSheetId="0" hidden="1">2</definedName>
    <definedName name="solver_rel11" localSheetId="3" hidden="1">1</definedName>
    <definedName name="solver_rel12" localSheetId="0" hidden="1">5</definedName>
    <definedName name="solver_rel12" localSheetId="3" hidden="1">1</definedName>
    <definedName name="solver_rel13" localSheetId="0" hidden="1">2</definedName>
    <definedName name="solver_rel13" localSheetId="3" hidden="1">1</definedName>
    <definedName name="solver_rel14" localSheetId="0" hidden="1">2</definedName>
    <definedName name="solver_rel14" localSheetId="3" hidden="1">1</definedName>
    <definedName name="solver_rel15" localSheetId="0" hidden="1">2</definedName>
    <definedName name="solver_rel15" localSheetId="3" hidden="1">1</definedName>
    <definedName name="solver_rel16" localSheetId="0" hidden="1">2</definedName>
    <definedName name="solver_rel16" localSheetId="3" hidden="1">1</definedName>
    <definedName name="solver_rel17" localSheetId="0" hidden="1">2</definedName>
    <definedName name="solver_rel17" localSheetId="3" hidden="1">5</definedName>
    <definedName name="solver_rel18" localSheetId="0" hidden="1">3</definedName>
    <definedName name="solver_rel18" localSheetId="3" hidden="1">1</definedName>
    <definedName name="solver_rel19" localSheetId="3" hidden="1">1</definedName>
    <definedName name="solver_rel2" localSheetId="0" hidden="1">5</definedName>
    <definedName name="solver_rel2" localSheetId="1" hidden="1">5</definedName>
    <definedName name="solver_rel2" localSheetId="2" hidden="1">1</definedName>
    <definedName name="solver_rel2" localSheetId="3" hidden="1">1</definedName>
    <definedName name="solver_rel20" localSheetId="3" hidden="1">1</definedName>
    <definedName name="solver_rel21" localSheetId="3" hidden="1">1</definedName>
    <definedName name="solver_rel22" localSheetId="3" hidden="1">1</definedName>
    <definedName name="solver_rel23" localSheetId="3" hidden="1">1</definedName>
    <definedName name="solver_rel24" localSheetId="3" hidden="1">1</definedName>
    <definedName name="solver_rel25" localSheetId="3" hidden="1">1</definedName>
    <definedName name="solver_rel26" localSheetId="3" hidden="1">1</definedName>
    <definedName name="solver_rel27" localSheetId="3" hidden="1">1</definedName>
    <definedName name="solver_rel28" localSheetId="3" hidden="1">1</definedName>
    <definedName name="solver_rel29" localSheetId="3" hidden="1">1</definedName>
    <definedName name="solver_rel3" localSheetId="0" hidden="1">2</definedName>
    <definedName name="solver_rel3" localSheetId="1" hidden="1">2</definedName>
    <definedName name="solver_rel3" localSheetId="2" hidden="1">4</definedName>
    <definedName name="solver_rel3" localSheetId="3" hidden="1">1</definedName>
    <definedName name="solver_rel30" localSheetId="3" hidden="1">1</definedName>
    <definedName name="solver_rel31" localSheetId="3" hidden="1">1</definedName>
    <definedName name="solver_rel32" localSheetId="3" hidden="1">1</definedName>
    <definedName name="solver_rel33" localSheetId="3" hidden="1">1</definedName>
    <definedName name="solver_rel34" localSheetId="3" hidden="1">1</definedName>
    <definedName name="solver_rel35" localSheetId="3" hidden="1">1</definedName>
    <definedName name="solver_rel36" localSheetId="3" hidden="1">2</definedName>
    <definedName name="solver_rel37" localSheetId="3" hidden="1">1</definedName>
    <definedName name="solver_rel38" localSheetId="3" hidden="1">1</definedName>
    <definedName name="solver_rel39" localSheetId="3" hidden="1">5</definedName>
    <definedName name="solver_rel4" localSheetId="0" hidden="1">2</definedName>
    <definedName name="solver_rel4" localSheetId="1" hidden="1">3</definedName>
    <definedName name="solver_rel4" localSheetId="2" hidden="1">1</definedName>
    <definedName name="solver_rel4" localSheetId="3" hidden="1">1</definedName>
    <definedName name="solver_rel40" localSheetId="3" hidden="1">1</definedName>
    <definedName name="solver_rel41" localSheetId="3" hidden="1">1</definedName>
    <definedName name="solver_rel42" localSheetId="3" hidden="1">2</definedName>
    <definedName name="solver_rel43" localSheetId="3" hidden="1">1</definedName>
    <definedName name="solver_rel44" localSheetId="3" hidden="1">1</definedName>
    <definedName name="solver_rel45" localSheetId="3" hidden="1">3</definedName>
    <definedName name="solver_rel46" localSheetId="3" hidden="1">1</definedName>
    <definedName name="solver_rel5" localSheetId="0" hidden="1">2</definedName>
    <definedName name="solver_rel5" localSheetId="1" hidden="1">3</definedName>
    <definedName name="solver_rel5" localSheetId="2" hidden="1">4</definedName>
    <definedName name="solver_rel5" localSheetId="3" hidden="1">1</definedName>
    <definedName name="solver_rel6" localSheetId="0" hidden="1">2</definedName>
    <definedName name="solver_rel6" localSheetId="1" hidden="1">1</definedName>
    <definedName name="solver_rel6" localSheetId="2" hidden="1">5</definedName>
    <definedName name="solver_rel6" localSheetId="3" hidden="1">1</definedName>
    <definedName name="solver_rel7" localSheetId="0" hidden="1">2</definedName>
    <definedName name="solver_rel7" localSheetId="2" hidden="1">3</definedName>
    <definedName name="solver_rel7" localSheetId="3" hidden="1">1</definedName>
    <definedName name="solver_rel8" localSheetId="0" hidden="1">2</definedName>
    <definedName name="solver_rel8" localSheetId="2" hidden="1">3</definedName>
    <definedName name="solver_rel8" localSheetId="3" hidden="1">1</definedName>
    <definedName name="solver_rel9" localSheetId="0" hidden="1">2</definedName>
    <definedName name="solver_rel9" localSheetId="2" hidden="1">5</definedName>
    <definedName name="solver_rel9" localSheetId="3" hidden="1">1</definedName>
    <definedName name="solver_rhs1" localSheetId="0" hidden="1">1</definedName>
    <definedName name="solver_rhs1" localSheetId="1" hidden="1">sciJakeLawRHS</definedName>
    <definedName name="solver_rhs1" localSheetId="2" hidden="1">0</definedName>
    <definedName name="solver_rhs1" localSheetId="3" hidden="1">Fall10</definedName>
    <definedName name="solver_rhs10" localSheetId="0" hidden="1">'9.3'!$H$22</definedName>
    <definedName name="solver_rhs10" localSheetId="2" hidden="1">0</definedName>
    <definedName name="solver_rhs10" localSheetId="3" hidden="1">Fall17</definedName>
    <definedName name="solver_rhs11" localSheetId="0" hidden="1">'9.3'!$C$22:$C$27</definedName>
    <definedName name="solver_rhs11" localSheetId="3" hidden="1">Fall6</definedName>
    <definedName name="solver_rhs12" localSheetId="0" hidden="1">binary</definedName>
    <definedName name="solver_rhs12" localSheetId="3" hidden="1">Fall2</definedName>
    <definedName name="solver_rhs13" localSheetId="0" hidden="1">'9.3'!$D$22:$D$27</definedName>
    <definedName name="solver_rhs13" localSheetId="3" hidden="1">Fall3</definedName>
    <definedName name="solver_rhs14" localSheetId="0" hidden="1">'9.3'!$E$22:$E$27</definedName>
    <definedName name="solver_rhs14" localSheetId="3" hidden="1">Fall1</definedName>
    <definedName name="solver_rhs15" localSheetId="0" hidden="1">'9.3'!$F$22:$F$27</definedName>
    <definedName name="solver_rhs15" localSheetId="3" hidden="1">Fall4</definedName>
    <definedName name="solver_rhs16" localSheetId="0" hidden="1">'9.3'!$G$22:$G$27</definedName>
    <definedName name="solver_rhs16" localSheetId="3" hidden="1">Fall1</definedName>
    <definedName name="solver_rhs17" localSheetId="0" hidden="1">'9.3'!$H$22:$H$27</definedName>
    <definedName name="solver_rhs17" localSheetId="3" hidden="1">binary</definedName>
    <definedName name="solver_rhs18" localSheetId="0" hidden="1">1</definedName>
    <definedName name="solver_rhs18" localSheetId="3" hidden="1">offeredInFall</definedName>
    <definedName name="solver_rhs19" localSheetId="3" hidden="1">course1picked</definedName>
    <definedName name="solver_rhs2" localSheetId="0" hidden="1">binary</definedName>
    <definedName name="solver_rhs2" localSheetId="1" hidden="1">binary</definedName>
    <definedName name="solver_rhs2" localSheetId="2" hidden="1">chomperMonthlyCapacity</definedName>
    <definedName name="solver_rhs2" localSheetId="3" hidden="1">Fall4</definedName>
    <definedName name="solver_rhs20" localSheetId="3" hidden="1">course12picked</definedName>
    <definedName name="solver_rhs21" localSheetId="3" hidden="1">course10picked</definedName>
    <definedName name="solver_rhs22" localSheetId="3" hidden="1">course3picked</definedName>
    <definedName name="solver_rhs23" localSheetId="3" hidden="1">course17picked</definedName>
    <definedName name="solver_rhs24" localSheetId="3" hidden="1">course4picked</definedName>
    <definedName name="solver_rhs25" localSheetId="3" hidden="1">course4picked</definedName>
    <definedName name="solver_rhs26" localSheetId="3" hidden="1">course15picked</definedName>
    <definedName name="solver_rhs27" localSheetId="3" hidden="1">course1picked</definedName>
    <definedName name="solver_rhs28" localSheetId="3" hidden="1">course4picked</definedName>
    <definedName name="solver_rhs29" localSheetId="3" hidden="1">course6picked</definedName>
    <definedName name="solver_rhs3" localSheetId="0" hidden="1">'9.3'!$C$25</definedName>
    <definedName name="solver_rhs3" localSheetId="1" hidden="1">NoOfShowSlots</definedName>
    <definedName name="solver_rhs3" localSheetId="2" hidden="1">integer</definedName>
    <definedName name="solver_rhs3" localSheetId="3" hidden="1">Fall10</definedName>
    <definedName name="solver_rhs30" localSheetId="3" hidden="1">course2picked</definedName>
    <definedName name="solver_rhs31" localSheetId="3" hidden="1">course9picked</definedName>
    <definedName name="solver_rhs32" localSheetId="3" hidden="1">course10picked</definedName>
    <definedName name="solver_rhs33" localSheetId="3" hidden="1">course12picked</definedName>
    <definedName name="solver_rhs34" localSheetId="3" hidden="1">Fall12</definedName>
    <definedName name="solver_rhs35" localSheetId="3" hidden="1">NotBoth8and14</definedName>
    <definedName name="solver_rhs36" localSheetId="3" hidden="1">marketingCourseConstraint</definedName>
    <definedName name="solver_rhs37" localSheetId="3" hidden="1">offeredInSpring</definedName>
    <definedName name="solver_rhs38" localSheetId="3" hidden="1">course3picked</definedName>
    <definedName name="solver_rhs39" localSheetId="3" hidden="1">binary</definedName>
    <definedName name="solver_rhs4" localSheetId="0" hidden="1">'9.3'!$C$26</definedName>
    <definedName name="solver_rhs4" localSheetId="1" hidden="1">positive</definedName>
    <definedName name="solver_rhs4" localSheetId="2" hidden="1">warriorMonthlyCapacity</definedName>
    <definedName name="solver_rhs4" localSheetId="3" hidden="1">Fall3</definedName>
    <definedName name="solver_rhs40" localSheetId="3" hidden="1">allowedNumCoursesSpring</definedName>
    <definedName name="solver_rhs41" localSheetId="3" hidden="1">course1picked</definedName>
    <definedName name="solver_rhs42" localSheetId="3" hidden="1">opManageConstraint</definedName>
    <definedName name="solver_rhs43" localSheetId="3" hidden="1">allowedNumCoursesFall</definedName>
    <definedName name="solver_rhs44" localSheetId="3" hidden="1">Fall12</definedName>
    <definedName name="solver_rhs45" localSheetId="3" hidden="1">mustTakeThree</definedName>
    <definedName name="solver_rhs46" localSheetId="3" hidden="1">ChoseOnly9fromOriginalSoltion</definedName>
    <definedName name="solver_rhs5" localSheetId="0" hidden="1">'9.3'!$C$27</definedName>
    <definedName name="solver_rhs5" localSheetId="1" hidden="1">comedyDramaConstraintRHS</definedName>
    <definedName name="solver_rhs5" localSheetId="2" hidden="1">integer</definedName>
    <definedName name="solver_rhs5" localSheetId="3" hidden="1">Fall15</definedName>
    <definedName name="solver_rhs6" localSheetId="0" hidden="1">'9.3'!$D$22</definedName>
    <definedName name="solver_rhs6" localSheetId="1" hidden="1">NotBothSciAndUrban</definedName>
    <definedName name="solver_rhs6" localSheetId="2" hidden="1">binary</definedName>
    <definedName name="solver_rhs6" localSheetId="3" hidden="1">Fall1</definedName>
    <definedName name="solver_rhs7" localSheetId="0" hidden="1">'9.3'!$E$22</definedName>
    <definedName name="solver_rhs7" localSheetId="2" hidden="1">directionalSwitchMade</definedName>
    <definedName name="solver_rhs7" localSheetId="3" hidden="1">Fall9</definedName>
    <definedName name="solver_rhs8" localSheetId="0" hidden="1">'9.3'!$F$22</definedName>
    <definedName name="solver_rhs8" localSheetId="2" hidden="1">negDirectionalSwitchMade</definedName>
    <definedName name="solver_rhs8" localSheetId="3" hidden="1">1</definedName>
    <definedName name="solver_rhs9" localSheetId="0" hidden="1">'9.3'!$G$22</definedName>
    <definedName name="solver_rhs9" localSheetId="2" hidden="1">binary</definedName>
    <definedName name="solver_rhs9" localSheetId="3" hidden="1">Fall4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pring1">'9.8'!$J$5</definedName>
    <definedName name="Spring10">'9.8'!$J$14</definedName>
    <definedName name="Spring11">'9.8'!$J$15</definedName>
    <definedName name="Spring12">'9.8'!$J$16</definedName>
    <definedName name="Spring13">'9.8'!$J$17</definedName>
    <definedName name="Spring14">'9.8'!$J$18</definedName>
    <definedName name="Spring15">'9.8'!$J$19</definedName>
    <definedName name="Spring16">'9.8'!$J$20</definedName>
    <definedName name="Spring17">'9.8'!$J$21</definedName>
    <definedName name="Spring18">'9.8'!$J$22</definedName>
    <definedName name="Spring19">'9.8'!$J$23</definedName>
    <definedName name="Spring2">'9.8'!$J$6</definedName>
    <definedName name="Spring20">'9.8'!$J$24</definedName>
    <definedName name="Spring3">'9.8'!$J$7</definedName>
    <definedName name="Spring4">'9.8'!$J$8</definedName>
    <definedName name="Spring5">'9.8'!$J$9</definedName>
    <definedName name="Spring6">'9.8'!$J$10</definedName>
    <definedName name="Spring7">'9.8'!$J$11</definedName>
    <definedName name="Spring8">'9.8'!$J$12</definedName>
    <definedName name="Spring9">'9.8'!$J$13</definedName>
    <definedName name="springCoursesTaken">'9.8'!$J$5:$J$24</definedName>
    <definedName name="sum5courses3ofWhichMustBeTaken">'9.8'!$F$29</definedName>
    <definedName name="sum8and14">'9.8'!$F$30</definedName>
    <definedName name="sumChomperInventory">'9.7'!$O$17</definedName>
    <definedName name="sumComedy">'9.4'!$F$14</definedName>
    <definedName name="sumContainsViolence">'9.4'!$E$14</definedName>
    <definedName name="sumDrama">'9.4'!$G$14</definedName>
    <definedName name="sumOriginalSolution">'9.8'!$F$33</definedName>
    <definedName name="sumPublicInterest">'9.4'!$D$14</definedName>
    <definedName name="sumSciAndUrban">'9.4'!$K$12</definedName>
    <definedName name="SumWarriorInventory">'9.7'!$N$17</definedName>
    <definedName name="switchingCost">'9.7'!$D$26</definedName>
    <definedName name="switchMade" localSheetId="2">'9.7'!$G$5:$G$16</definedName>
    <definedName name="switchMade">#REF!</definedName>
    <definedName name="switchoverCost">'9.7'!#REF!</definedName>
    <definedName name="Total_InterestLevel">'9.8'!$M$14</definedName>
    <definedName name="TotalNumOfATMs">'9.3'!$P$6</definedName>
    <definedName name="TotalNumSwitches">'9.7'!$G$17</definedName>
    <definedName name="totalRenvenue">'9.4'!$K$5</definedName>
    <definedName name="truckCost" localSheetId="2">'9.7'!$S$9</definedName>
    <definedName name="TruckCost">#REF!</definedName>
    <definedName name="variableCostOfChomper">'9.7'!$Q$5:$Q$16</definedName>
    <definedName name="variableCostOfWarrior">'9.7'!$P$5:$P$16</definedName>
    <definedName name="warriorCapacity">'9.7'!$D$20</definedName>
    <definedName name="warriorChosen">'9.7'!$C$5:$C$16</definedName>
    <definedName name="warriorDemand" localSheetId="2">'9.7'!$L$5:$L$16</definedName>
    <definedName name="warriorDemand">#REF!</definedName>
    <definedName name="warriorHoldingCost">'9.7'!$D$24</definedName>
    <definedName name="warriorInventory" localSheetId="2">'9.7'!$N$5:$N$16</definedName>
    <definedName name="warriorInventory">#REF!</definedName>
    <definedName name="warriorMonthlyCap" localSheetId="2">'9.7'!#REF!</definedName>
    <definedName name="warriorMonthlyCap">#REF!</definedName>
    <definedName name="warriorMonthlyCapacity">'9.7'!$I$5:$I$16</definedName>
    <definedName name="warriorsAvailable" localSheetId="2">'9.7'!#REF!</definedName>
    <definedName name="warriorsAvailable">#REF!</definedName>
    <definedName name="warriorStartInventory">'9.7'!$D$22</definedName>
    <definedName name="Winchester">'9.3'!$C$19:$H$19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  <c r="I18" i="2"/>
  <c r="I17" i="2"/>
  <c r="I16" i="2"/>
  <c r="I15" i="2"/>
  <c r="I14" i="2"/>
  <c r="F33" i="13"/>
  <c r="D5" i="14" l="1"/>
  <c r="K5" i="14" s="1"/>
  <c r="E5" i="14"/>
  <c r="F5" i="14" s="1"/>
  <c r="I5" i="14"/>
  <c r="N5" i="14"/>
  <c r="N6" i="14" s="1"/>
  <c r="O5" i="14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D6" i="14"/>
  <c r="K6" i="14" s="1"/>
  <c r="E6" i="14"/>
  <c r="F6" i="14" s="1"/>
  <c r="I6" i="14"/>
  <c r="D7" i="14"/>
  <c r="K7" i="14" s="1"/>
  <c r="E7" i="14"/>
  <c r="F7" i="14" s="1"/>
  <c r="I7" i="14"/>
  <c r="D8" i="14"/>
  <c r="K8" i="14" s="1"/>
  <c r="E8" i="14"/>
  <c r="F8" i="14" s="1"/>
  <c r="I8" i="14"/>
  <c r="D9" i="14"/>
  <c r="K9" i="14" s="1"/>
  <c r="E9" i="14"/>
  <c r="F9" i="14" s="1"/>
  <c r="I9" i="14"/>
  <c r="D10" i="14"/>
  <c r="K10" i="14" s="1"/>
  <c r="E10" i="14"/>
  <c r="F10" i="14" s="1"/>
  <c r="I10" i="14"/>
  <c r="D11" i="14"/>
  <c r="K11" i="14" s="1"/>
  <c r="E11" i="14"/>
  <c r="F11" i="14" s="1"/>
  <c r="I11" i="14"/>
  <c r="P11" i="14"/>
  <c r="Q11" i="14"/>
  <c r="D12" i="14"/>
  <c r="K12" i="14" s="1"/>
  <c r="E12" i="14"/>
  <c r="F12" i="14" s="1"/>
  <c r="I12" i="14"/>
  <c r="P12" i="14"/>
  <c r="Q12" i="14"/>
  <c r="D13" i="14"/>
  <c r="K13" i="14" s="1"/>
  <c r="E13" i="14"/>
  <c r="F13" i="14" s="1"/>
  <c r="I13" i="14"/>
  <c r="P13" i="14"/>
  <c r="Q13" i="14"/>
  <c r="D14" i="14"/>
  <c r="K14" i="14" s="1"/>
  <c r="E14" i="14"/>
  <c r="F14" i="14" s="1"/>
  <c r="I14" i="14"/>
  <c r="P14" i="14"/>
  <c r="Q14" i="14"/>
  <c r="D15" i="14"/>
  <c r="K15" i="14" s="1"/>
  <c r="E15" i="14"/>
  <c r="F15" i="14" s="1"/>
  <c r="I15" i="14"/>
  <c r="P15" i="14"/>
  <c r="Q15" i="14"/>
  <c r="D16" i="14"/>
  <c r="K16" i="14" s="1"/>
  <c r="E16" i="14"/>
  <c r="F16" i="14" s="1"/>
  <c r="I16" i="14"/>
  <c r="P16" i="14"/>
  <c r="Q16" i="14"/>
  <c r="G17" i="14"/>
  <c r="O17" i="14" l="1"/>
  <c r="N7" i="14"/>
  <c r="N8" i="14" s="1"/>
  <c r="N9" i="14" s="1"/>
  <c r="N10" i="14" s="1"/>
  <c r="N11" i="14" s="1"/>
  <c r="N12" i="14" s="1"/>
  <c r="N13" i="14" s="1"/>
  <c r="N14" i="14" s="1"/>
  <c r="N15" i="14" s="1"/>
  <c r="N16" i="14" s="1"/>
  <c r="F28" i="13"/>
  <c r="F27" i="13"/>
  <c r="F29" i="13"/>
  <c r="F32" i="13"/>
  <c r="F31" i="13"/>
  <c r="F30" i="13"/>
  <c r="N17" i="14" l="1"/>
  <c r="S9" i="14" s="1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5" i="13"/>
  <c r="M14" i="13" l="1"/>
  <c r="K13" i="3"/>
  <c r="K12" i="3"/>
  <c r="K10" i="3"/>
  <c r="E14" i="3"/>
  <c r="K5" i="3" s="1"/>
  <c r="F14" i="3"/>
  <c r="G14" i="3"/>
  <c r="D14" i="3"/>
  <c r="K11" i="3" l="1"/>
  <c r="K14" i="3"/>
  <c r="C19" i="2" l="1"/>
  <c r="D19" i="2"/>
  <c r="E19" i="2"/>
  <c r="F19" i="2"/>
  <c r="G19" i="2"/>
  <c r="H19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D14" i="2"/>
  <c r="E14" i="2"/>
  <c r="F14" i="2"/>
  <c r="G14" i="2"/>
  <c r="H14" i="2"/>
  <c r="C14" i="2"/>
  <c r="P6" i="2"/>
</calcChain>
</file>

<file path=xl/sharedStrings.xml><?xml version="1.0" encoding="utf-8"?>
<sst xmlns="http://schemas.openxmlformats.org/spreadsheetml/2006/main" count="164" uniqueCount="128">
  <si>
    <t>minimize</t>
  </si>
  <si>
    <t>Total no. banks</t>
  </si>
  <si>
    <t>Arlington</t>
  </si>
  <si>
    <t>Belmont</t>
  </si>
  <si>
    <t>Cambridge</t>
  </si>
  <si>
    <t>Lexington</t>
  </si>
  <si>
    <t>Concord</t>
  </si>
  <si>
    <t>Winchester</t>
  </si>
  <si>
    <t>ATM Locations</t>
  </si>
  <si>
    <t>Belmont Banks</t>
  </si>
  <si>
    <t>Number ATMs providing coverage for this city</t>
  </si>
  <si>
    <t>Television Show</t>
  </si>
  <si>
    <t>Advertising Revenue ($ million)</t>
  </si>
  <si>
    <t>Public Interest</t>
  </si>
  <si>
    <t>Contains Violence</t>
  </si>
  <si>
    <t>Comedy</t>
  </si>
  <si>
    <t>Drama</t>
  </si>
  <si>
    <t>Cheers</t>
  </si>
  <si>
    <t>Dynasty</t>
  </si>
  <si>
    <t>L.A. Law</t>
  </si>
  <si>
    <t>Jake</t>
  </si>
  <si>
    <t>Bob Newhart</t>
  </si>
  <si>
    <t>News Special-the Middle East</t>
  </si>
  <si>
    <t>Focus on Science: The Fusion Issue</t>
  </si>
  <si>
    <t>Beaches</t>
  </si>
  <si>
    <t>Urban Action For Education</t>
  </si>
  <si>
    <t>Picks</t>
  </si>
  <si>
    <t>Total Revenue</t>
  </si>
  <si>
    <t>maximize</t>
  </si>
  <si>
    <t>sum chosen in a category</t>
  </si>
  <si>
    <t>loss if CV&gt;3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</si>
  <si>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</si>
  <si>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</si>
  <si>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</si>
  <si>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</si>
  <si>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</si>
  <si>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</si>
  <si>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</si>
  <si>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</si>
  <si>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</si>
  <si>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</si>
  <si>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</si>
  <si>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</si>
  <si>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variable cost of warrior</t>
  </si>
  <si>
    <t>variable cost of chomper</t>
  </si>
  <si>
    <t>warrior holding cost</t>
  </si>
  <si>
    <t>chomper holding cost</t>
  </si>
  <si>
    <t>cost (in thousands)</t>
  </si>
  <si>
    <t>Course Number</t>
  </si>
  <si>
    <t>Course Title</t>
  </si>
  <si>
    <t>Interest Level</t>
  </si>
  <si>
    <t>Offered in Fall</t>
  </si>
  <si>
    <t>Offered In Spring</t>
  </si>
  <si>
    <t>Fall Course Picked</t>
  </si>
  <si>
    <t>Spring Course Picked</t>
  </si>
  <si>
    <t>In the fall, must take 3 of 5 courses (1,2,3,6,20)</t>
  </si>
  <si>
    <t>chomper capacity</t>
  </si>
  <si>
    <t>not both course 8 and course 14 (both are only offered in spring)</t>
  </si>
  <si>
    <t>at least one marketing course (12 or 13) *</t>
  </si>
  <si>
    <t>at least one op.management (10 or 11) *</t>
  </si>
  <si>
    <t>*if she has taken 13 then she's taken 12 (because it's a prereq), so this requirement just says she needs to take 12, same thing for 10 &amp; 11.</t>
  </si>
  <si>
    <t>=</t>
  </si>
  <si>
    <t>Total of interest level</t>
  </si>
  <si>
    <t>Add'l constraint to find second optimal solution**</t>
  </si>
  <si>
    <t>**sum the 10 classes chosen in the original schedule and then only pick 9 of those.  This will force a schedule different by at least one course.</t>
  </si>
  <si>
    <t>Course taken in fall or spring</t>
  </si>
  <si>
    <t>Course Prerequisites</t>
  </si>
  <si>
    <t>2,6</t>
  </si>
  <si>
    <t>1,3</t>
  </si>
  <si>
    <t>1,10</t>
  </si>
  <si>
    <t>9,12</t>
  </si>
  <si>
    <t>10, 12, 17</t>
  </si>
  <si>
    <t>Constraints</t>
  </si>
  <si>
    <t>Linda Johansen Course Schedule</t>
  </si>
  <si>
    <t>switching cost</t>
  </si>
  <si>
    <t>chomper start inventory</t>
  </si>
  <si>
    <t>warrior start inventory</t>
  </si>
  <si>
    <t>warrior capacity</t>
  </si>
  <si>
    <t>chomper inventory</t>
  </si>
  <si>
    <t>warrior inventory</t>
  </si>
  <si>
    <t>Chomper Demand</t>
  </si>
  <si>
    <t>Warrior Demand</t>
  </si>
  <si>
    <t>chomper monthly capacity</t>
  </si>
  <si>
    <t>Production of Chomper</t>
  </si>
  <si>
    <t>warrior Monthly Capacity</t>
  </si>
  <si>
    <t>Production of Warrior</t>
  </si>
  <si>
    <t>switch</t>
  </si>
  <si>
    <t>directional switch made</t>
  </si>
  <si>
    <t>chomper chosen</t>
  </si>
  <si>
    <t>warrior chosen</t>
  </si>
  <si>
    <t>Quantitative Methods</t>
  </si>
  <si>
    <t>Microeconomics</t>
  </si>
  <si>
    <t>provides coverage (within 10 minutes of eachother)</t>
  </si>
  <si>
    <t>Distances Between city centers</t>
  </si>
  <si>
    <t>Finance Theory</t>
  </si>
  <si>
    <t>Strategy I</t>
  </si>
  <si>
    <t>Strategy II</t>
  </si>
  <si>
    <t>Accounting I</t>
  </si>
  <si>
    <t>Accounting II</t>
  </si>
  <si>
    <t>Financial Engineering</t>
  </si>
  <si>
    <t>Statistics</t>
  </si>
  <si>
    <t>Operations Management I</t>
  </si>
  <si>
    <t>Operations Management II</t>
  </si>
  <si>
    <t>Marketing I</t>
  </si>
  <si>
    <t>Marketing II</t>
  </si>
  <si>
    <t>Options and Futures</t>
  </si>
  <si>
    <t>Information Technology I</t>
  </si>
  <si>
    <t>Information Technology II</t>
  </si>
  <si>
    <t>Entrepreneurship</t>
  </si>
  <si>
    <t>New Product Development</t>
  </si>
  <si>
    <t>Organizational Processes</t>
  </si>
  <si>
    <t>Business Communications</t>
  </si>
  <si>
    <t>Ohio Truck Company</t>
  </si>
  <si>
    <t>Totals</t>
  </si>
  <si>
    <t>Parameters</t>
  </si>
  <si>
    <t>Total Picks</t>
  </si>
  <si>
    <t>WCBN-TV Wednesday TV Program Plan</t>
  </si>
  <si>
    <t>≥</t>
  </si>
  <si>
    <t>2+ commedies --&gt; 1+ drama*</t>
  </si>
  <si>
    <t>Not Both (Sci &amp; Urban Action)</t>
  </si>
  <si>
    <t>if sci --&gt; jake or law</t>
  </si>
  <si>
    <t>pub interest ≥ contains violence</t>
  </si>
  <si>
    <t>≤</t>
  </si>
  <si>
    <t>Allowed number of courses for fall</t>
  </si>
  <si>
    <t>Allowed number of courses for spring</t>
  </si>
  <si>
    <t>negative directional switch</t>
  </si>
  <si>
    <t xml:space="preserve">Note: the prerequisites constraints shown in the course table are not repeated in the constraint table and instead input directly into solver </t>
  </si>
  <si>
    <t>(in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</si>
</sst>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7" borderId="15" applyNumberFormat="0" applyAlignment="0" applyProtection="0"/>
    <xf numFmtId="0" fontId="3" fillId="8" borderId="15" applyNumberFormat="0" applyAlignment="0" applyProtection="0"/>
    <xf numFmtId="0" fontId="1" fillId="9" borderId="0" applyNumberFormat="0" applyBorder="0" applyAlignment="0" applyProtection="0"/>
  </cellStyleXfs>
  <cellXfs count="81">
    <xf numFmtId="0" fontId="0" fillId="0" borderId="0" xfId="0"/>
    <xf numFmtId="0" fontId="0" fillId="2" borderId="1" xfId="0" applyFill="1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2" xfId="0" applyFill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4" borderId="1" xfId="0" applyFill="1" applyBorder="1"/>
    <xf numFmtId="49" fontId="0" fillId="0" borderId="0" xfId="0" applyNumberFormat="1" applyAlignment="1">
      <alignment horizontal="center"/>
    </xf>
    <xf numFmtId="0" fontId="0" fillId="5" borderId="0" xfId="0" applyFill="1"/>
    <xf numFmtId="0" fontId="0" fillId="3" borderId="1" xfId="0" applyFill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0" fontId="0" fillId="0" borderId="6" xfId="0" applyFill="1" applyBorder="1"/>
    <xf numFmtId="0" fontId="0" fillId="0" borderId="11" xfId="0" applyBorder="1" applyAlignment="1">
      <alignment wrapText="1"/>
    </xf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3" xfId="0" applyFill="1" applyBorder="1" applyAlignment="1">
      <alignment wrapText="1"/>
    </xf>
    <xf numFmtId="0" fontId="0" fillId="6" borderId="1" xfId="0" applyFill="1" applyBorder="1"/>
    <xf numFmtId="0" fontId="0" fillId="5" borderId="1" xfId="0" applyFill="1" applyBorder="1"/>
    <xf numFmtId="0" fontId="0" fillId="0" borderId="11" xfId="0" applyBorder="1"/>
    <xf numFmtId="0" fontId="0" fillId="0" borderId="20" xfId="0" applyBorder="1"/>
    <xf numFmtId="0" fontId="0" fillId="0" borderId="13" xfId="0" applyBorder="1" applyAlignment="1">
      <alignment wrapText="1"/>
    </xf>
    <xf numFmtId="0" fontId="0" fillId="0" borderId="3" xfId="0" applyFill="1" applyBorder="1"/>
    <xf numFmtId="0" fontId="4" fillId="0" borderId="0" xfId="0" applyFont="1"/>
    <xf numFmtId="0" fontId="0" fillId="3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11" borderId="0" xfId="0" applyFill="1"/>
    <xf numFmtId="0" fontId="0" fillId="11" borderId="0" xfId="0" applyFill="1" applyBorder="1" applyAlignment="1">
      <alignment wrapText="1"/>
    </xf>
    <xf numFmtId="0" fontId="0" fillId="11" borderId="0" xfId="0" applyFill="1" applyBorder="1"/>
    <xf numFmtId="0" fontId="0" fillId="3" borderId="14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6" borderId="6" xfId="0" applyFill="1" applyBorder="1"/>
    <xf numFmtId="0" fontId="0" fillId="0" borderId="3" xfId="0" applyBorder="1" applyAlignment="1">
      <alignment wrapText="1"/>
    </xf>
    <xf numFmtId="0" fontId="2" fillId="7" borderId="15" xfId="2"/>
    <xf numFmtId="0" fontId="0" fillId="11" borderId="0" xfId="0" applyFill="1" applyAlignment="1">
      <alignment wrapText="1"/>
    </xf>
    <xf numFmtId="0" fontId="0" fillId="11" borderId="0" xfId="0" applyFill="1" applyAlignment="1">
      <alignment horizontal="left"/>
    </xf>
    <xf numFmtId="0" fontId="0" fillId="11" borderId="18" xfId="0" applyFill="1" applyBorder="1"/>
    <xf numFmtId="0" fontId="0" fillId="11" borderId="18" xfId="0" applyFill="1" applyBorder="1" applyAlignment="1">
      <alignment horizontal="center"/>
    </xf>
    <xf numFmtId="0" fontId="0" fillId="11" borderId="19" xfId="0" applyFill="1" applyBorder="1" applyAlignment="1">
      <alignment horizontal="left"/>
    </xf>
    <xf numFmtId="0" fontId="8" fillId="11" borderId="0" xfId="0" applyFont="1" applyFill="1" applyBorder="1" applyAlignment="1">
      <alignment horizontal="center"/>
    </xf>
    <xf numFmtId="0" fontId="0" fillId="11" borderId="5" xfId="0" applyFill="1" applyBorder="1" applyAlignment="1">
      <alignment horizontal="left"/>
    </xf>
    <xf numFmtId="0" fontId="0" fillId="11" borderId="0" xfId="0" applyFill="1" applyBorder="1" applyAlignment="1">
      <alignment horizontal="center"/>
    </xf>
    <xf numFmtId="0" fontId="0" fillId="11" borderId="3" xfId="0" applyFill="1" applyBorder="1"/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left"/>
    </xf>
    <xf numFmtId="0" fontId="2" fillId="10" borderId="15" xfId="2" applyFill="1"/>
    <xf numFmtId="0" fontId="5" fillId="8" borderId="15" xfId="3" applyFont="1"/>
    <xf numFmtId="164" fontId="6" fillId="11" borderId="0" xfId="1" applyNumberFormat="1" applyFont="1" applyFill="1"/>
    <xf numFmtId="0" fontId="0" fillId="11" borderId="17" xfId="0" applyFill="1" applyBorder="1"/>
    <xf numFmtId="0" fontId="0" fillId="11" borderId="8" xfId="0" applyFill="1" applyBorder="1" applyAlignment="1">
      <alignment wrapText="1"/>
    </xf>
    <xf numFmtId="0" fontId="0" fillId="11" borderId="9" xfId="0" applyFill="1" applyBorder="1" applyAlignment="1">
      <alignment wrapText="1"/>
    </xf>
    <xf numFmtId="0" fontId="0" fillId="11" borderId="8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11" borderId="13" xfId="0" applyFill="1" applyBorder="1"/>
    <xf numFmtId="0" fontId="0" fillId="11" borderId="5" xfId="0" applyFill="1" applyBorder="1"/>
    <xf numFmtId="0" fontId="0" fillId="11" borderId="9" xfId="0" applyFill="1" applyBorder="1"/>
    <xf numFmtId="0" fontId="0" fillId="11" borderId="4" xfId="0" applyFill="1" applyBorder="1"/>
    <xf numFmtId="0" fontId="0" fillId="11" borderId="1" xfId="0" applyFill="1" applyBorder="1" applyAlignment="1">
      <alignment wrapText="1"/>
    </xf>
    <xf numFmtId="0" fontId="5" fillId="11" borderId="0" xfId="0" applyFont="1" applyFill="1"/>
    <xf numFmtId="0" fontId="0" fillId="11" borderId="16" xfId="0" applyFill="1" applyBorder="1"/>
    <xf numFmtId="0" fontId="0" fillId="11" borderId="21" xfId="0" applyFill="1" applyBorder="1"/>
    <xf numFmtId="0" fontId="0" fillId="11" borderId="22" xfId="0" applyFill="1" applyBorder="1"/>
    <xf numFmtId="0" fontId="0" fillId="11" borderId="22" xfId="0" applyFill="1" applyBorder="1" applyAlignment="1">
      <alignment wrapText="1"/>
    </xf>
    <xf numFmtId="0" fontId="0" fillId="11" borderId="14" xfId="0" applyFill="1" applyBorder="1"/>
    <xf numFmtId="0" fontId="7" fillId="11" borderId="0" xfId="0" applyFont="1" applyFill="1"/>
    <xf numFmtId="0" fontId="0" fillId="11" borderId="19" xfId="0" applyFill="1" applyBorder="1"/>
    <xf numFmtId="164" fontId="1" fillId="9" borderId="0" xfId="4" applyNumberFormat="1"/>
    <xf numFmtId="0" fontId="0" fillId="0" borderId="0" xfId="0" applyAlignment="1">
      <alignment horizontal="left"/>
    </xf>
    <xf numFmtId="0" fontId="0" fillId="11" borderId="0" xfId="0" applyFill="1" applyAlignment="1">
      <alignment horizontal="left" wrapText="1"/>
    </xf>
    <xf numFmtId="0" fontId="0" fillId="3" borderId="21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21" xfId="0" applyFill="1" applyBorder="1" applyAlignment="1">
      <alignment horizontal="left" wrapText="1"/>
    </xf>
    <xf numFmtId="0" fontId="0" fillId="3" borderId="22" xfId="0" applyFill="1" applyBorder="1" applyAlignment="1">
      <alignment horizontal="left" wrapText="1"/>
    </xf>
    <xf numFmtId="0" fontId="0" fillId="3" borderId="14" xfId="0" applyFill="1" applyBorder="1" applyAlignment="1">
      <alignment horizontal="left" wrapText="1"/>
    </xf>
  </cellXfs>
  <cellStyles count="5">
    <cellStyle name="40% - Accent6" xfId="4" builtinId="51"/>
    <cellStyle name="Calculation" xfId="3" builtinId="22"/>
    <cellStyle name="Currency" xfId="1" builtinId="4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16</xdr:row>
      <xdr:rowOff>11430</xdr:rowOff>
    </xdr:from>
    <xdr:to>
      <xdr:col>16</xdr:col>
      <xdr:colOff>64770</xdr:colOff>
      <xdr:row>31</xdr:row>
      <xdr:rowOff>53340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17CFDD-AA29-4F21-A93B-D2B7F8893038}"/>
            </a:ext>
          </a:extLst>
        </xdr:cNvPr>
        <xdr:cNvSpPr txBox="1"/>
      </xdr:nvSpPr>
      <xdr:spPr>
        <a:xfrm>
          <a:off x="3074670" y="4705350"/>
          <a:ext cx="9418320" cy="27851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*This constraint says that if 2 or more commedies</a:t>
          </a:r>
          <a:r>
            <a:rPr lang="en-US" sz="1100" baseline="0"/>
            <a:t> are chosen, then 1 or more dramas must be chosen.</a:t>
          </a:r>
        </a:p>
        <a:p>
          <a:r>
            <a:rPr lang="en-US" sz="1100"/>
            <a:t>I used the equation:</a:t>
          </a:r>
        </a:p>
        <a:p>
          <a:r>
            <a:rPr lang="en-US" sz="1100"/>
            <a:t>4*Dramas</a:t>
          </a:r>
          <a:r>
            <a:rPr lang="en-US" sz="1100" baseline="0"/>
            <a:t> - Commedies +1 &gt;= 0</a:t>
          </a:r>
        </a:p>
        <a:p>
          <a:r>
            <a:rPr lang="en-US" sz="1100" baseline="0"/>
            <a:t>First let's consider the case where no commedies are chosen and therefore any number of dramas (from 0, none, to 5, all) may be chosen...in this case, the expression becomes: 4*Dramas +1 &gt;= 0.  Since dramas range from 0 to 5, dramas*4 + 1 will always be greater than or equal to zero.</a:t>
          </a:r>
        </a:p>
        <a:p>
          <a:r>
            <a:rPr lang="en-US" sz="1100" baseline="0"/>
            <a:t>The plus 1 is in the equation to cover the case when 1 commedy has been chosen and thus any number of dramas are still acceptable.  The negative comedy(=1) will cancel with the + 1 in the expression, and 4*Dramas will always be greater than or equal to zero since the number of dramas is nonnegative. </a:t>
          </a:r>
        </a:p>
        <a:p>
          <a:r>
            <a:rPr lang="en-US" sz="1100" baseline="0"/>
            <a:t>Since the constraint stipulates that at least one drama must be chosen if 2 or more commedies are chosen, the condition is only violated when drama is equal to zero and commedy is 2 or higher.  It is pretty nice that every time the condition fails, </a:t>
          </a:r>
          <a:r>
            <a:rPr lang="en-US" sz="1100" b="1" i="1" baseline="0"/>
            <a:t>drama will be equal to zero</a:t>
          </a:r>
          <a:r>
            <a:rPr lang="en-US" sz="1100" baseline="0"/>
            <a:t>.  That means that if we subtract commedies and say the expression has to be positive, it will fail when drama*4 isn't there to pull it out of those negative values (and the plus one won't get it into the positives either since we just need this to fail when comedy is 2 or higher).  </a:t>
          </a:r>
        </a:p>
        <a:p>
          <a:r>
            <a:rPr lang="en-US" sz="1100"/>
            <a:t>Now</a:t>
          </a:r>
          <a:r>
            <a:rPr lang="en-US" sz="1100" baseline="0"/>
            <a:t> to explain the coefficient of 4: </a:t>
          </a:r>
          <a:r>
            <a:rPr lang="en-US" sz="1100"/>
            <a:t>If</a:t>
          </a:r>
          <a:r>
            <a:rPr lang="en-US" sz="1100" baseline="0"/>
            <a:t> we are picking 5 shows, then the maximum allowable difference between Comedy and Drama is 4 (if 5 are in the Comedy and one is both a comedy and a drama).  In that case 4*(drama) - (comedy) + 1  =   4*1 -5 +1   =0 which satisfies the greater than or equal to zero inequality; however, any smaller number would not cover this maximal allowable gap when picking 5 shows.  That is why a coefficient of 4 (or larger than 4 would also work) is needed when picking 5 shows if you did not know what categories those shows fell into.  The coefficient of 4 will cover the maximal allowable gap in number of shows falling into the 2 categories.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2</xdr:row>
      <xdr:rowOff>26670</xdr:rowOff>
    </xdr:from>
    <xdr:to>
      <xdr:col>15</xdr:col>
      <xdr:colOff>594360</xdr:colOff>
      <xdr:row>10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19D357-BADB-4F0E-95A5-C9A9EC2DC046}"/>
            </a:ext>
          </a:extLst>
        </xdr:cNvPr>
        <xdr:cNvSpPr txBox="1"/>
      </xdr:nvSpPr>
      <xdr:spPr>
        <a:xfrm>
          <a:off x="9852660" y="392430"/>
          <a:ext cx="2967990" cy="1840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A) For</a:t>
          </a:r>
          <a:r>
            <a:rPr lang="en-US" sz="1100" baseline="0"/>
            <a:t> the first optimal solution (total interest level  of 42), the fall courses are 1, 2, 10, 12 and 20; and the spring courses are 3, 8, 9, 11, and 13.</a:t>
          </a:r>
        </a:p>
        <a:p>
          <a:endParaRPr lang="en-US" sz="1100" baseline="0"/>
        </a:p>
        <a:p>
          <a:r>
            <a:rPr lang="en-US" sz="1100" baseline="0"/>
            <a:t>B) A second optimal solution (still with a total interest level of 42) is the same fall schedule of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 2, 10, 12 and 20; and the spring courses are 3, 9, 11, 13 and 14. </a:t>
          </a:r>
          <a:r>
            <a:rPr lang="en-US" sz="1100" baseline="0"/>
            <a:t> (So 14 instead of 8.)  I used the Add'l constraint to achieve this solution (see constraint table below).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32711-CADF-4628-9226-D748E93192DE}">
  <sheetPr codeName="Sheet1"/>
  <dimension ref="A1:AB39"/>
  <sheetViews>
    <sheetView workbookViewId="0">
      <selection activeCell="J14" sqref="J14"/>
    </sheetView>
  </sheetViews>
  <sheetFormatPr defaultRowHeight="14.4" x14ac:dyDescent="0.55000000000000004"/>
  <cols>
    <col min="1" max="1" width="8.83984375" style="31"/>
    <col min="2" max="2" width="11.05078125" customWidth="1"/>
    <col min="5" max="5" width="9.20703125" bestFit="1" customWidth="1"/>
    <col min="8" max="8" width="9.62890625" bestFit="1" customWidth="1"/>
    <col min="9" max="9" width="17.41796875" customWidth="1"/>
  </cols>
  <sheetData>
    <row r="1" spans="2:26" x14ac:dyDescent="0.55000000000000004">
      <c r="B1" s="31" t="s">
        <v>9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2:26" x14ac:dyDescent="0.55000000000000004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2:26" x14ac:dyDescent="0.55000000000000004">
      <c r="B3" s="31" t="s">
        <v>93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2:26" ht="14.7" thickBot="1" x14ac:dyDescent="0.6">
      <c r="B4" s="57"/>
      <c r="C4" s="58" t="s">
        <v>2</v>
      </c>
      <c r="D4" s="58" t="s">
        <v>3</v>
      </c>
      <c r="E4" s="58" t="s">
        <v>4</v>
      </c>
      <c r="F4" s="58" t="s">
        <v>5</v>
      </c>
      <c r="G4" s="58" t="s">
        <v>6</v>
      </c>
      <c r="H4" s="59" t="s">
        <v>7</v>
      </c>
      <c r="I4" s="31"/>
      <c r="J4" s="31" t="s">
        <v>8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2:26" ht="14.7" thickTop="1" x14ac:dyDescent="0.55000000000000004">
      <c r="B5" s="56" t="s">
        <v>2</v>
      </c>
      <c r="C5" s="31">
        <v>0</v>
      </c>
      <c r="D5" s="31">
        <v>5</v>
      </c>
      <c r="E5" s="31">
        <v>10</v>
      </c>
      <c r="F5" s="31">
        <v>15</v>
      </c>
      <c r="G5" s="31">
        <v>20</v>
      </c>
      <c r="H5" s="60">
        <v>15</v>
      </c>
      <c r="I5" s="31"/>
      <c r="J5" s="31" t="s">
        <v>2</v>
      </c>
      <c r="K5" s="31" t="s">
        <v>3</v>
      </c>
      <c r="L5" s="31" t="s">
        <v>4</v>
      </c>
      <c r="M5" s="31" t="s">
        <v>5</v>
      </c>
      <c r="N5" s="31" t="s">
        <v>6</v>
      </c>
      <c r="O5" s="31" t="s">
        <v>7</v>
      </c>
      <c r="P5" s="31" t="s">
        <v>1</v>
      </c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2:26" x14ac:dyDescent="0.55000000000000004">
      <c r="B6" s="56" t="s">
        <v>3</v>
      </c>
      <c r="C6" s="31">
        <v>5</v>
      </c>
      <c r="D6" s="31">
        <v>0</v>
      </c>
      <c r="E6" s="31">
        <v>8</v>
      </c>
      <c r="F6" s="31">
        <v>10</v>
      </c>
      <c r="G6" s="31">
        <v>15</v>
      </c>
      <c r="H6" s="60">
        <v>12</v>
      </c>
      <c r="I6" s="31"/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0</v>
      </c>
      <c r="P6" s="23">
        <f>SUM(J6:O6)</f>
        <v>2</v>
      </c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2:26" x14ac:dyDescent="0.55000000000000004">
      <c r="B7" s="56" t="s">
        <v>4</v>
      </c>
      <c r="C7" s="31">
        <v>10</v>
      </c>
      <c r="D7" s="31">
        <v>8</v>
      </c>
      <c r="E7" s="31">
        <v>0</v>
      </c>
      <c r="F7" s="31">
        <v>15</v>
      </c>
      <c r="G7" s="31">
        <v>20</v>
      </c>
      <c r="H7" s="60">
        <v>10</v>
      </c>
      <c r="I7" s="31"/>
      <c r="J7" s="31"/>
      <c r="K7" s="31"/>
      <c r="L7" s="31"/>
      <c r="M7" s="33"/>
      <c r="N7" s="31"/>
      <c r="O7" s="31"/>
      <c r="P7" s="31" t="s">
        <v>0</v>
      </c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2:26" x14ac:dyDescent="0.55000000000000004">
      <c r="B8" s="56" t="s">
        <v>5</v>
      </c>
      <c r="C8" s="31">
        <v>15</v>
      </c>
      <c r="D8" s="31">
        <v>10</v>
      </c>
      <c r="E8" s="31">
        <v>15</v>
      </c>
      <c r="F8" s="31">
        <v>0</v>
      </c>
      <c r="G8" s="31">
        <v>10</v>
      </c>
      <c r="H8" s="60">
        <v>12</v>
      </c>
      <c r="I8" s="31"/>
      <c r="J8" s="31"/>
      <c r="K8" s="31"/>
      <c r="L8" s="31"/>
      <c r="M8" s="33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2:26" x14ac:dyDescent="0.55000000000000004">
      <c r="B9" s="56" t="s">
        <v>6</v>
      </c>
      <c r="C9" s="31">
        <v>20</v>
      </c>
      <c r="D9" s="31">
        <v>15</v>
      </c>
      <c r="E9" s="31">
        <v>20</v>
      </c>
      <c r="F9" s="31">
        <v>10</v>
      </c>
      <c r="G9" s="31">
        <v>0</v>
      </c>
      <c r="H9" s="60">
        <v>12</v>
      </c>
      <c r="I9" s="31"/>
      <c r="J9" s="31"/>
      <c r="K9" s="31"/>
      <c r="L9" s="31"/>
      <c r="M9" s="33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2:26" x14ac:dyDescent="0.55000000000000004">
      <c r="B10" s="61" t="s">
        <v>7</v>
      </c>
      <c r="C10" s="47">
        <v>15</v>
      </c>
      <c r="D10" s="47">
        <v>12</v>
      </c>
      <c r="E10" s="47">
        <v>10</v>
      </c>
      <c r="F10" s="47">
        <v>12</v>
      </c>
      <c r="G10" s="47">
        <v>12</v>
      </c>
      <c r="H10" s="62">
        <v>0</v>
      </c>
      <c r="I10" s="31"/>
      <c r="J10" s="31"/>
      <c r="K10" s="31"/>
      <c r="L10" s="31"/>
      <c r="M10" s="33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2:26" x14ac:dyDescent="0.55000000000000004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2:26" x14ac:dyDescent="0.55000000000000004">
      <c r="B12" s="31" t="s">
        <v>92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2:26" ht="48.6" customHeight="1" thickBot="1" x14ac:dyDescent="0.6">
      <c r="B13" s="53"/>
      <c r="C13" s="57" t="s">
        <v>2</v>
      </c>
      <c r="D13" s="58" t="s">
        <v>3</v>
      </c>
      <c r="E13" s="58" t="s">
        <v>4</v>
      </c>
      <c r="F13" s="58" t="s">
        <v>5</v>
      </c>
      <c r="G13" s="58" t="s">
        <v>6</v>
      </c>
      <c r="H13" s="59" t="s">
        <v>7</v>
      </c>
      <c r="I13" s="63" t="s">
        <v>10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2:26" ht="14.7" thickTop="1" x14ac:dyDescent="0.55000000000000004">
      <c r="B14" s="65" t="s">
        <v>2</v>
      </c>
      <c r="C14" s="56">
        <f>IF(C5&lt;=10, 1, 0)</f>
        <v>1</v>
      </c>
      <c r="D14" s="33">
        <f t="shared" ref="D14:H14" si="0">IF(D5&lt;=10, 1, 0)</f>
        <v>1</v>
      </c>
      <c r="E14" s="33">
        <f t="shared" si="0"/>
        <v>1</v>
      </c>
      <c r="F14" s="33">
        <f t="shared" si="0"/>
        <v>0</v>
      </c>
      <c r="G14" s="33">
        <f t="shared" si="0"/>
        <v>0</v>
      </c>
      <c r="H14" s="60">
        <f t="shared" si="0"/>
        <v>0</v>
      </c>
      <c r="I14" s="60">
        <f>SUMPRODUCT(Arlington,ATMlocationToggle)</f>
        <v>1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2:26" x14ac:dyDescent="0.55000000000000004">
      <c r="B15" s="56" t="s">
        <v>3</v>
      </c>
      <c r="C15" s="56">
        <f t="shared" ref="C15:H15" si="1">IF(C6&lt;=10, 1, 0)</f>
        <v>1</v>
      </c>
      <c r="D15" s="33">
        <f t="shared" si="1"/>
        <v>1</v>
      </c>
      <c r="E15" s="33">
        <f t="shared" si="1"/>
        <v>1</v>
      </c>
      <c r="F15" s="33">
        <f t="shared" si="1"/>
        <v>1</v>
      </c>
      <c r="G15" s="33">
        <f t="shared" si="1"/>
        <v>0</v>
      </c>
      <c r="H15" s="60">
        <f t="shared" si="1"/>
        <v>0</v>
      </c>
      <c r="I15" s="60">
        <f>SUMPRODUCT(Belmont, ATMlocationToggle)</f>
        <v>2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2:26" x14ac:dyDescent="0.55000000000000004">
      <c r="B16" s="56" t="s">
        <v>4</v>
      </c>
      <c r="C16" s="56">
        <f t="shared" ref="C16:H16" si="2">IF(C7&lt;=10, 1, 0)</f>
        <v>1</v>
      </c>
      <c r="D16" s="33">
        <f t="shared" si="2"/>
        <v>1</v>
      </c>
      <c r="E16" s="33">
        <f t="shared" si="2"/>
        <v>1</v>
      </c>
      <c r="F16" s="33">
        <f t="shared" si="2"/>
        <v>0</v>
      </c>
      <c r="G16" s="33">
        <f t="shared" si="2"/>
        <v>0</v>
      </c>
      <c r="H16" s="60">
        <f t="shared" si="2"/>
        <v>1</v>
      </c>
      <c r="I16" s="60">
        <f>SUMPRODUCT(Cambridge, ATMlocationToggle)</f>
        <v>1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8" x14ac:dyDescent="0.55000000000000004">
      <c r="B17" s="56" t="s">
        <v>5</v>
      </c>
      <c r="C17" s="56">
        <f t="shared" ref="C17:H17" si="3">IF(C8&lt;=10, 1, 0)</f>
        <v>0</v>
      </c>
      <c r="D17" s="33">
        <f t="shared" si="3"/>
        <v>1</v>
      </c>
      <c r="E17" s="33">
        <f t="shared" si="3"/>
        <v>0</v>
      </c>
      <c r="F17" s="33">
        <f t="shared" si="3"/>
        <v>1</v>
      </c>
      <c r="G17" s="33">
        <f t="shared" si="3"/>
        <v>1</v>
      </c>
      <c r="H17" s="60">
        <f t="shared" si="3"/>
        <v>0</v>
      </c>
      <c r="I17" s="60">
        <f>SUMPRODUCT(Lexington, ATMlocationToggle)</f>
        <v>1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8" x14ac:dyDescent="0.55000000000000004">
      <c r="B18" s="56" t="s">
        <v>6</v>
      </c>
      <c r="C18" s="56">
        <f t="shared" ref="C18:H19" si="4">IF(C9&lt;=10, 1, 0)</f>
        <v>0</v>
      </c>
      <c r="D18" s="33">
        <f t="shared" si="4"/>
        <v>0</v>
      </c>
      <c r="E18" s="33">
        <f t="shared" si="4"/>
        <v>0</v>
      </c>
      <c r="F18" s="33">
        <f t="shared" si="4"/>
        <v>1</v>
      </c>
      <c r="G18" s="33">
        <f t="shared" si="4"/>
        <v>1</v>
      </c>
      <c r="H18" s="60">
        <f t="shared" si="4"/>
        <v>0</v>
      </c>
      <c r="I18" s="60">
        <f>SUMPRODUCT(Concord, ATMlocationToggle)</f>
        <v>1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8" x14ac:dyDescent="0.55000000000000004">
      <c r="B19" s="61" t="s">
        <v>7</v>
      </c>
      <c r="C19" s="61">
        <f>IF(C10&lt;=10, 1, 0)</f>
        <v>0</v>
      </c>
      <c r="D19" s="47">
        <f t="shared" si="4"/>
        <v>0</v>
      </c>
      <c r="E19" s="47">
        <f t="shared" si="4"/>
        <v>1</v>
      </c>
      <c r="F19" s="47">
        <f t="shared" si="4"/>
        <v>0</v>
      </c>
      <c r="G19" s="47">
        <f t="shared" si="4"/>
        <v>0</v>
      </c>
      <c r="H19" s="62">
        <f t="shared" si="4"/>
        <v>1</v>
      </c>
      <c r="I19" s="62">
        <f>SUMPRODUCT(Winchester, ATMlocationToggle)</f>
        <v>1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8" x14ac:dyDescent="0.55000000000000004">
      <c r="B20" s="31"/>
      <c r="C20" s="31"/>
      <c r="D20" s="31"/>
      <c r="E20" s="31"/>
      <c r="F20" s="31"/>
      <c r="G20" s="31"/>
      <c r="H20" s="39"/>
      <c r="I20" s="31"/>
      <c r="J20" s="39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8" x14ac:dyDescent="0.55000000000000004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1"/>
      <c r="O21" s="31"/>
      <c r="P21" s="31"/>
      <c r="Q21" s="31"/>
      <c r="R21" s="31"/>
      <c r="S21" s="31"/>
      <c r="T21" s="64"/>
      <c r="U21" s="64"/>
      <c r="V21" s="64"/>
      <c r="W21" s="64"/>
      <c r="X21" s="64"/>
      <c r="Y21" s="64"/>
      <c r="Z21" s="64"/>
      <c r="AA21" s="64"/>
      <c r="AB21" s="64"/>
    </row>
    <row r="22" spans="1:28" x14ac:dyDescent="0.55000000000000004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1"/>
      <c r="O22" s="31"/>
      <c r="P22" s="31"/>
      <c r="Q22" s="31"/>
      <c r="R22" s="31"/>
      <c r="S22" s="31"/>
      <c r="T22" s="64"/>
      <c r="U22" s="64"/>
      <c r="V22" s="64"/>
      <c r="W22" s="64"/>
      <c r="X22" s="64"/>
      <c r="Y22" s="64"/>
      <c r="Z22" s="64"/>
      <c r="AA22" s="64"/>
      <c r="AB22" s="64"/>
    </row>
    <row r="23" spans="1:28" x14ac:dyDescent="0.55000000000000004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1"/>
      <c r="O23" s="31"/>
      <c r="P23" s="31"/>
      <c r="Q23" s="31"/>
      <c r="R23" s="31"/>
      <c r="S23" s="31"/>
      <c r="T23" s="64"/>
      <c r="U23" s="64"/>
      <c r="V23" s="64"/>
      <c r="W23" s="64"/>
      <c r="X23" s="64"/>
      <c r="Y23" s="64"/>
      <c r="Z23" s="64"/>
      <c r="AA23" s="64"/>
      <c r="AB23" s="64"/>
    </row>
    <row r="24" spans="1:28" x14ac:dyDescent="0.5500000000000000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1"/>
      <c r="O24" s="31"/>
      <c r="P24" s="31"/>
      <c r="Q24" s="31"/>
      <c r="R24" s="31"/>
      <c r="S24" s="31"/>
      <c r="T24" s="64"/>
      <c r="U24" s="64"/>
      <c r="V24" s="64"/>
      <c r="W24" s="64"/>
      <c r="X24" s="64"/>
      <c r="Y24" s="64"/>
      <c r="Z24" s="64"/>
      <c r="AA24" s="64"/>
      <c r="AB24" s="64"/>
    </row>
    <row r="25" spans="1:28" x14ac:dyDescent="0.55000000000000004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1"/>
      <c r="O25" s="31"/>
      <c r="P25" s="31"/>
      <c r="Q25" s="31"/>
      <c r="R25" s="31"/>
      <c r="S25" s="31"/>
      <c r="T25" s="64"/>
      <c r="U25" s="64"/>
      <c r="V25" s="64"/>
      <c r="W25" s="64"/>
      <c r="X25" s="64"/>
      <c r="Y25" s="64"/>
      <c r="Z25" s="64"/>
      <c r="AA25" s="64"/>
      <c r="AB25" s="64"/>
    </row>
    <row r="26" spans="1:28" x14ac:dyDescent="0.55000000000000004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1"/>
      <c r="O26" s="31"/>
      <c r="P26" s="31"/>
      <c r="Q26" s="31"/>
      <c r="R26" s="31"/>
      <c r="S26" s="31"/>
      <c r="T26" s="64"/>
      <c r="U26" s="64"/>
      <c r="V26" s="64"/>
      <c r="W26" s="64"/>
      <c r="X26" s="64"/>
      <c r="Y26" s="64"/>
      <c r="Z26" s="64"/>
      <c r="AA26" s="64"/>
      <c r="AB26" s="64"/>
    </row>
    <row r="27" spans="1:28" x14ac:dyDescent="0.55000000000000004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1"/>
      <c r="O27" s="31"/>
      <c r="P27" s="31"/>
      <c r="Q27" s="31"/>
      <c r="R27" s="31"/>
      <c r="S27" s="31"/>
      <c r="T27" s="64"/>
      <c r="U27" s="64"/>
      <c r="V27" s="64"/>
      <c r="W27" s="64"/>
      <c r="X27" s="64"/>
      <c r="Y27" s="64"/>
      <c r="Z27" s="64"/>
      <c r="AA27" s="64"/>
      <c r="AB27" s="64"/>
    </row>
    <row r="28" spans="1:28" x14ac:dyDescent="0.55000000000000004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1"/>
      <c r="O28" s="31"/>
      <c r="P28" s="31"/>
      <c r="Q28" s="31"/>
      <c r="R28" s="31"/>
      <c r="S28" s="31"/>
      <c r="T28" s="64"/>
      <c r="U28" s="64"/>
      <c r="V28" s="64"/>
      <c r="W28" s="64"/>
      <c r="X28" s="64"/>
      <c r="Y28" s="64"/>
      <c r="Z28" s="64"/>
      <c r="AA28" s="64"/>
      <c r="AB28" s="64"/>
    </row>
    <row r="29" spans="1:28" x14ac:dyDescent="0.55000000000000004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1"/>
      <c r="O29" s="31"/>
      <c r="P29" s="31"/>
      <c r="Q29" s="31"/>
      <c r="R29" s="31"/>
      <c r="S29" s="31"/>
      <c r="T29" s="64"/>
      <c r="U29" s="64"/>
      <c r="V29" s="64"/>
      <c r="W29" s="64"/>
      <c r="X29" s="64"/>
      <c r="Y29" s="64"/>
      <c r="Z29" s="64"/>
      <c r="AA29" s="64"/>
      <c r="AB29" s="64"/>
    </row>
    <row r="30" spans="1:28" x14ac:dyDescent="0.55000000000000004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1"/>
      <c r="O30" s="31"/>
      <c r="P30" s="31"/>
      <c r="Q30" s="31"/>
      <c r="R30" s="31"/>
      <c r="S30" s="31"/>
      <c r="T30" s="64"/>
      <c r="U30" s="64"/>
      <c r="V30" s="64"/>
      <c r="W30" s="64"/>
      <c r="X30" s="64"/>
      <c r="Y30" s="64"/>
      <c r="Z30" s="64"/>
      <c r="AA30" s="64"/>
      <c r="AB30" s="64"/>
    </row>
    <row r="31" spans="1:28" x14ac:dyDescent="0.55000000000000004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1"/>
      <c r="O31" s="31"/>
      <c r="P31" s="31"/>
      <c r="Q31" s="31"/>
      <c r="R31" s="31"/>
      <c r="S31" s="31"/>
      <c r="T31" s="64"/>
      <c r="U31" s="64"/>
      <c r="V31" s="64"/>
      <c r="W31" s="64"/>
      <c r="X31" s="64"/>
      <c r="Y31" s="64"/>
      <c r="Z31" s="64"/>
      <c r="AA31" s="64"/>
      <c r="AB31" s="64"/>
    </row>
    <row r="32" spans="1:28" x14ac:dyDescent="0.55000000000000004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1"/>
      <c r="O32" s="31"/>
      <c r="P32" s="31"/>
      <c r="Q32" s="31"/>
      <c r="R32" s="31"/>
      <c r="S32" s="31"/>
      <c r="T32" s="64"/>
      <c r="U32" s="64"/>
      <c r="V32" s="64"/>
      <c r="W32" s="64"/>
      <c r="X32" s="64"/>
      <c r="Y32" s="64"/>
      <c r="Z32" s="64"/>
      <c r="AA32" s="64"/>
      <c r="AB32" s="64"/>
    </row>
    <row r="33" spans="1:28" x14ac:dyDescent="0.55000000000000004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1"/>
      <c r="O33" s="31"/>
      <c r="P33" s="31"/>
      <c r="Q33" s="31"/>
      <c r="R33" s="31"/>
      <c r="S33" s="31"/>
      <c r="T33" s="64"/>
      <c r="U33" s="64"/>
      <c r="V33" s="64"/>
      <c r="W33" s="64"/>
      <c r="X33" s="64"/>
      <c r="Y33" s="64"/>
      <c r="Z33" s="64"/>
      <c r="AA33" s="64"/>
      <c r="AB33" s="64"/>
    </row>
    <row r="34" spans="1:28" x14ac:dyDescent="0.5500000000000000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1"/>
      <c r="O34" s="31"/>
      <c r="P34" s="31"/>
      <c r="Q34" s="31"/>
      <c r="R34" s="31"/>
      <c r="S34" s="31"/>
      <c r="T34" s="64"/>
      <c r="U34" s="64"/>
      <c r="V34" s="64"/>
      <c r="W34" s="64"/>
      <c r="X34" s="64"/>
      <c r="Y34" s="64"/>
      <c r="Z34" s="64"/>
      <c r="AA34" s="64"/>
      <c r="AB34" s="64"/>
    </row>
    <row r="35" spans="1:28" x14ac:dyDescent="0.55000000000000004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1"/>
      <c r="O35" s="31"/>
      <c r="P35" s="31"/>
      <c r="Q35" s="31"/>
      <c r="R35" s="31"/>
      <c r="S35" s="31"/>
      <c r="T35" s="64"/>
      <c r="U35" s="64"/>
      <c r="V35" s="64"/>
      <c r="W35" s="64"/>
      <c r="X35" s="64"/>
      <c r="Y35" s="64"/>
      <c r="Z35" s="64"/>
      <c r="AA35" s="64"/>
      <c r="AB35" s="64"/>
    </row>
    <row r="36" spans="1:28" x14ac:dyDescent="0.55000000000000004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1"/>
      <c r="O36" s="31"/>
      <c r="P36" s="31"/>
      <c r="Q36" s="31"/>
      <c r="R36" s="31"/>
      <c r="S36" s="31"/>
      <c r="T36" s="64"/>
      <c r="U36" s="64"/>
      <c r="V36" s="64"/>
      <c r="W36" s="64"/>
      <c r="X36" s="64"/>
      <c r="Y36" s="64"/>
      <c r="Z36" s="64"/>
      <c r="AA36" s="64"/>
      <c r="AB36" s="64"/>
    </row>
    <row r="37" spans="1:28" x14ac:dyDescent="0.55000000000000004"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64"/>
      <c r="U37" s="64"/>
      <c r="V37" s="64"/>
      <c r="W37" s="64"/>
      <c r="X37" s="64"/>
      <c r="Y37" s="64"/>
      <c r="Z37" s="64"/>
      <c r="AA37" s="64"/>
      <c r="AB37" s="64"/>
    </row>
    <row r="38" spans="1:28" x14ac:dyDescent="0.55000000000000004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64"/>
      <c r="U38" s="64"/>
      <c r="V38" s="64"/>
      <c r="W38" s="64"/>
      <c r="X38" s="64"/>
      <c r="Y38" s="64"/>
      <c r="Z38" s="64"/>
      <c r="AA38" s="64"/>
      <c r="AB38" s="64"/>
    </row>
    <row r="39" spans="1:28" x14ac:dyDescent="0.55000000000000004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64"/>
      <c r="U39" s="64"/>
      <c r="V39" s="64"/>
      <c r="W39" s="64"/>
      <c r="X39" s="64"/>
      <c r="Y39" s="64"/>
      <c r="Z39" s="64"/>
      <c r="AA39" s="64"/>
      <c r="AB39" s="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40AA9-5AB9-4D2A-A855-127B5D8D4F10}">
  <sheetPr codeName="Sheet3"/>
  <dimension ref="A1:AF86"/>
  <sheetViews>
    <sheetView topLeftCell="A5" workbookViewId="0">
      <selection activeCell="K5" sqref="K5"/>
    </sheetView>
  </sheetViews>
  <sheetFormatPr defaultRowHeight="14.4" x14ac:dyDescent="0.55000000000000004"/>
  <cols>
    <col min="2" max="2" width="14.15625" customWidth="1"/>
    <col min="3" max="3" width="10.3125" customWidth="1"/>
    <col min="9" max="9" width="13.68359375" customWidth="1"/>
    <col min="10" max="10" width="18.9453125" customWidth="1"/>
    <col min="11" max="11" width="14.5234375" customWidth="1"/>
    <col min="12" max="12" width="12" customWidth="1"/>
    <col min="13" max="13" width="8.3671875" customWidth="1"/>
  </cols>
  <sheetData>
    <row r="1" spans="1:32" x14ac:dyDescent="0.55000000000000004">
      <c r="A1" s="31"/>
      <c r="B1" t="s">
        <v>116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2" x14ac:dyDescent="0.55000000000000004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r="3" spans="1:32" x14ac:dyDescent="0.55000000000000004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40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</row>
    <row r="4" spans="1:32" ht="39.9" customHeight="1" thickBot="1" x14ac:dyDescent="0.6">
      <c r="A4" s="31"/>
      <c r="B4" s="24" t="s">
        <v>11</v>
      </c>
      <c r="C4" s="20" t="s">
        <v>12</v>
      </c>
      <c r="D4" s="20" t="s">
        <v>13</v>
      </c>
      <c r="E4" s="20" t="s">
        <v>14</v>
      </c>
      <c r="F4" s="20" t="s">
        <v>15</v>
      </c>
      <c r="G4" s="20" t="s">
        <v>16</v>
      </c>
      <c r="H4" s="26" t="s">
        <v>26</v>
      </c>
      <c r="I4" s="31"/>
      <c r="J4" s="31" t="s">
        <v>28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</row>
    <row r="5" spans="1:32" ht="14.7" thickTop="1" x14ac:dyDescent="0.55000000000000004">
      <c r="A5" s="31"/>
      <c r="B5" s="56" t="s">
        <v>17</v>
      </c>
      <c r="C5" s="51">
        <v>6</v>
      </c>
      <c r="D5">
        <v>0</v>
      </c>
      <c r="E5">
        <v>0</v>
      </c>
      <c r="F5">
        <v>1</v>
      </c>
      <c r="G5">
        <v>1</v>
      </c>
      <c r="H5" s="50">
        <v>1</v>
      </c>
      <c r="I5" s="31"/>
      <c r="J5" t="s">
        <v>27</v>
      </c>
      <c r="K5" s="52">
        <f>(SUMPRODUCT(ShowPicked, advertisingRevenue) -lossIfTooManyViolentShows*ROUNDDOWN(sumContainsViolence/4, 0))*1000000</f>
        <v>40000000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</row>
    <row r="6" spans="1:32" x14ac:dyDescent="0.55000000000000004">
      <c r="A6" s="31"/>
      <c r="B6" s="56" t="s">
        <v>18</v>
      </c>
      <c r="C6" s="51">
        <v>10</v>
      </c>
      <c r="D6">
        <v>0</v>
      </c>
      <c r="E6">
        <v>1</v>
      </c>
      <c r="F6">
        <v>0</v>
      </c>
      <c r="G6">
        <v>1</v>
      </c>
      <c r="H6" s="50">
        <v>1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</row>
    <row r="7" spans="1:32" x14ac:dyDescent="0.55000000000000004">
      <c r="A7" s="31"/>
      <c r="B7" s="56" t="s">
        <v>19</v>
      </c>
      <c r="C7" s="51">
        <v>9</v>
      </c>
      <c r="D7">
        <v>1</v>
      </c>
      <c r="E7">
        <v>1</v>
      </c>
      <c r="F7">
        <v>0</v>
      </c>
      <c r="G7">
        <v>1</v>
      </c>
      <c r="H7" s="50">
        <v>1</v>
      </c>
      <c r="I7" s="31"/>
      <c r="J7" t="s">
        <v>30</v>
      </c>
      <c r="K7" s="31">
        <v>4</v>
      </c>
      <c r="L7" s="31" t="s">
        <v>127</v>
      </c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2" x14ac:dyDescent="0.55000000000000004">
      <c r="A8" s="31"/>
      <c r="B8" s="56" t="s">
        <v>20</v>
      </c>
      <c r="C8" s="51">
        <v>4</v>
      </c>
      <c r="D8">
        <v>0</v>
      </c>
      <c r="E8">
        <v>1</v>
      </c>
      <c r="F8">
        <v>0</v>
      </c>
      <c r="G8">
        <v>1</v>
      </c>
      <c r="H8" s="50">
        <v>0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2" x14ac:dyDescent="0.55000000000000004">
      <c r="A9" s="31"/>
      <c r="B9" s="56" t="s">
        <v>21</v>
      </c>
      <c r="C9" s="51">
        <v>5</v>
      </c>
      <c r="D9">
        <v>0</v>
      </c>
      <c r="E9">
        <v>0</v>
      </c>
      <c r="F9">
        <v>1</v>
      </c>
      <c r="G9">
        <v>0</v>
      </c>
      <c r="H9" s="50">
        <v>0</v>
      </c>
      <c r="I9" s="31"/>
      <c r="J9" s="28" t="s">
        <v>72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</row>
    <row r="10" spans="1:32" ht="27.3" customHeight="1" x14ac:dyDescent="0.55000000000000004">
      <c r="A10" s="31"/>
      <c r="B10" s="54" t="s">
        <v>22</v>
      </c>
      <c r="C10" s="51">
        <v>2</v>
      </c>
      <c r="D10">
        <v>1</v>
      </c>
      <c r="E10">
        <v>1</v>
      </c>
      <c r="F10">
        <v>0</v>
      </c>
      <c r="G10">
        <v>0</v>
      </c>
      <c r="H10" s="50">
        <v>0</v>
      </c>
      <c r="I10" s="31"/>
      <c r="J10" s="53" t="s">
        <v>115</v>
      </c>
      <c r="K10" s="41">
        <f>SUM(H5:H13)</f>
        <v>5</v>
      </c>
      <c r="L10" s="42" t="s">
        <v>61</v>
      </c>
      <c r="M10" s="43">
        <v>5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</row>
    <row r="11" spans="1:32" ht="44.7" customHeight="1" x14ac:dyDescent="0.55000000000000004">
      <c r="A11" s="31"/>
      <c r="B11" s="54" t="s">
        <v>23</v>
      </c>
      <c r="C11" s="51">
        <v>6</v>
      </c>
      <c r="D11">
        <v>1</v>
      </c>
      <c r="E11">
        <v>0</v>
      </c>
      <c r="F11">
        <v>0</v>
      </c>
      <c r="G11">
        <v>1</v>
      </c>
      <c r="H11" s="50">
        <v>0</v>
      </c>
      <c r="I11" s="31"/>
      <c r="J11" s="54" t="s">
        <v>118</v>
      </c>
      <c r="K11" s="33">
        <f>4*G14-F14+1</f>
        <v>11</v>
      </c>
      <c r="L11" s="44" t="s">
        <v>117</v>
      </c>
      <c r="M11" s="45">
        <v>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 spans="1:32" ht="40.5" customHeight="1" x14ac:dyDescent="0.55000000000000004">
      <c r="A12" s="31"/>
      <c r="B12" s="56" t="s">
        <v>24</v>
      </c>
      <c r="C12" s="51">
        <v>7</v>
      </c>
      <c r="D12">
        <v>0</v>
      </c>
      <c r="E12">
        <v>0</v>
      </c>
      <c r="F12">
        <v>1</v>
      </c>
      <c r="G12">
        <v>0</v>
      </c>
      <c r="H12" s="50">
        <v>1</v>
      </c>
      <c r="I12" s="31"/>
      <c r="J12" s="54" t="s">
        <v>119</v>
      </c>
      <c r="K12" s="33">
        <f>H11+H13</f>
        <v>1</v>
      </c>
      <c r="L12" s="44" t="s">
        <v>122</v>
      </c>
      <c r="M12" s="45">
        <v>1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 spans="1:32" ht="29.1" thickBot="1" x14ac:dyDescent="0.6">
      <c r="A13" s="31"/>
      <c r="B13" s="54" t="s">
        <v>25</v>
      </c>
      <c r="C13" s="51">
        <v>8</v>
      </c>
      <c r="D13" s="25">
        <v>1</v>
      </c>
      <c r="E13" s="25">
        <v>0</v>
      </c>
      <c r="F13" s="25">
        <v>0</v>
      </c>
      <c r="G13" s="25">
        <v>0</v>
      </c>
      <c r="H13" s="50">
        <v>1</v>
      </c>
      <c r="I13" s="31"/>
      <c r="J13" s="54" t="s">
        <v>120</v>
      </c>
      <c r="K13" s="33">
        <f>H11-H8-H7</f>
        <v>-1</v>
      </c>
      <c r="L13" s="46" t="s">
        <v>122</v>
      </c>
      <c r="M13" s="45">
        <v>0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</row>
    <row r="14" spans="1:32" ht="41.1" customHeight="1" thickTop="1" x14ac:dyDescent="0.55000000000000004">
      <c r="A14" s="31"/>
      <c r="B14" s="55" t="s">
        <v>29</v>
      </c>
      <c r="C14" s="5"/>
      <c r="D14" s="5">
        <f>SUMPRODUCT(D5:D13, $H$5:$H$13)</f>
        <v>2</v>
      </c>
      <c r="E14" s="5">
        <f t="shared" ref="E14:G14" si="0">SUMPRODUCT(E5:E13, $H$5:$H$13)</f>
        <v>2</v>
      </c>
      <c r="F14" s="5">
        <f t="shared" si="0"/>
        <v>2</v>
      </c>
      <c r="G14" s="5">
        <f t="shared" si="0"/>
        <v>3</v>
      </c>
      <c r="H14" s="7"/>
      <c r="I14" s="31"/>
      <c r="J14" s="55" t="s">
        <v>121</v>
      </c>
      <c r="K14" s="47">
        <f>D14-E14</f>
        <v>0</v>
      </c>
      <c r="L14" s="48" t="s">
        <v>117</v>
      </c>
      <c r="M14" s="49">
        <v>0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</row>
    <row r="15" spans="1:32" x14ac:dyDescent="0.55000000000000004">
      <c r="A15" s="31"/>
      <c r="B15" s="39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</row>
    <row r="16" spans="1:32" x14ac:dyDescent="0.55000000000000004">
      <c r="A16" s="31"/>
      <c r="B16" s="39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</row>
    <row r="17" spans="1:32" x14ac:dyDescent="0.5500000000000000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</row>
    <row r="18" spans="1:32" x14ac:dyDescent="0.55000000000000004">
      <c r="A18" s="31"/>
      <c r="B18" s="31"/>
      <c r="C18" s="31"/>
      <c r="D18" s="39"/>
      <c r="E18" s="39"/>
      <c r="F18" s="39"/>
      <c r="G18" s="39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</row>
    <row r="19" spans="1:32" x14ac:dyDescent="0.5500000000000000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</row>
    <row r="20" spans="1:32" x14ac:dyDescent="0.5500000000000000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</row>
    <row r="21" spans="1:32" x14ac:dyDescent="0.5500000000000000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</row>
    <row r="22" spans="1:32" x14ac:dyDescent="0.5500000000000000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</row>
    <row r="23" spans="1:32" x14ac:dyDescent="0.5500000000000000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</row>
    <row r="24" spans="1:32" x14ac:dyDescent="0.5500000000000000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</row>
    <row r="25" spans="1:32" x14ac:dyDescent="0.5500000000000000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</row>
    <row r="26" spans="1:32" x14ac:dyDescent="0.5500000000000000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</row>
    <row r="27" spans="1:32" x14ac:dyDescent="0.5500000000000000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</row>
    <row r="28" spans="1:32" x14ac:dyDescent="0.5500000000000000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</row>
    <row r="29" spans="1:32" x14ac:dyDescent="0.5500000000000000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</row>
    <row r="30" spans="1:32" x14ac:dyDescent="0.5500000000000000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</row>
    <row r="31" spans="1:32" x14ac:dyDescent="0.5500000000000000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</row>
    <row r="32" spans="1:32" x14ac:dyDescent="0.5500000000000000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</row>
    <row r="33" spans="1:32" x14ac:dyDescent="0.5500000000000000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</row>
    <row r="34" spans="1:32" x14ac:dyDescent="0.5500000000000000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</row>
    <row r="35" spans="1:32" x14ac:dyDescent="0.5500000000000000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</row>
    <row r="36" spans="1:32" x14ac:dyDescent="0.55000000000000004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</row>
    <row r="37" spans="1:32" x14ac:dyDescent="0.5500000000000000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</row>
    <row r="38" spans="1:32" x14ac:dyDescent="0.55000000000000004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</row>
    <row r="39" spans="1:32" x14ac:dyDescent="0.55000000000000004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</row>
    <row r="40" spans="1:32" x14ac:dyDescent="0.55000000000000004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</row>
    <row r="41" spans="1:32" x14ac:dyDescent="0.55000000000000004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</row>
    <row r="42" spans="1:32" x14ac:dyDescent="0.55000000000000004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</row>
    <row r="43" spans="1:32" x14ac:dyDescent="0.55000000000000004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</row>
    <row r="44" spans="1:32" x14ac:dyDescent="0.5500000000000000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</row>
    <row r="45" spans="1:32" x14ac:dyDescent="0.55000000000000004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</row>
    <row r="46" spans="1:32" x14ac:dyDescent="0.55000000000000004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</row>
    <row r="47" spans="1:32" x14ac:dyDescent="0.55000000000000004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</row>
    <row r="48" spans="1:32" x14ac:dyDescent="0.55000000000000004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</row>
    <row r="49" spans="1:32" x14ac:dyDescent="0.55000000000000004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</row>
    <row r="50" spans="1:32" x14ac:dyDescent="0.55000000000000004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</row>
    <row r="51" spans="1:32" x14ac:dyDescent="0.55000000000000004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</row>
    <row r="52" spans="1:32" x14ac:dyDescent="0.55000000000000004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</row>
    <row r="53" spans="1:32" x14ac:dyDescent="0.55000000000000004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</row>
    <row r="54" spans="1:32" x14ac:dyDescent="0.5500000000000000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</row>
    <row r="55" spans="1:32" x14ac:dyDescent="0.55000000000000004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</row>
    <row r="56" spans="1:32" x14ac:dyDescent="0.55000000000000004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</row>
    <row r="57" spans="1:32" x14ac:dyDescent="0.55000000000000004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</row>
    <row r="58" spans="1:32" x14ac:dyDescent="0.55000000000000004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</row>
    <row r="59" spans="1:32" x14ac:dyDescent="0.55000000000000004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</row>
    <row r="60" spans="1:32" x14ac:dyDescent="0.55000000000000004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</row>
    <row r="61" spans="1:32" x14ac:dyDescent="0.55000000000000004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</row>
    <row r="62" spans="1:32" x14ac:dyDescent="0.55000000000000004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</row>
    <row r="63" spans="1:32" x14ac:dyDescent="0.55000000000000004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</row>
    <row r="64" spans="1:32" x14ac:dyDescent="0.5500000000000000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</row>
    <row r="65" spans="1:32" x14ac:dyDescent="0.55000000000000004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</row>
    <row r="66" spans="1:32" x14ac:dyDescent="0.55000000000000004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</row>
    <row r="67" spans="1:32" x14ac:dyDescent="0.55000000000000004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</row>
    <row r="68" spans="1:32" x14ac:dyDescent="0.55000000000000004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</row>
    <row r="69" spans="1:32" x14ac:dyDescent="0.55000000000000004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</row>
    <row r="70" spans="1:32" x14ac:dyDescent="0.55000000000000004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</row>
    <row r="71" spans="1:32" x14ac:dyDescent="0.55000000000000004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</row>
    <row r="72" spans="1:32" x14ac:dyDescent="0.55000000000000004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</row>
    <row r="73" spans="1:32" x14ac:dyDescent="0.55000000000000004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</row>
    <row r="74" spans="1:32" x14ac:dyDescent="0.5500000000000000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</row>
    <row r="75" spans="1:32" x14ac:dyDescent="0.55000000000000004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</row>
    <row r="76" spans="1:32" x14ac:dyDescent="0.55000000000000004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</row>
    <row r="77" spans="1:32" x14ac:dyDescent="0.55000000000000004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</row>
    <row r="78" spans="1:32" x14ac:dyDescent="0.55000000000000004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</row>
    <row r="79" spans="1:32" x14ac:dyDescent="0.55000000000000004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</row>
    <row r="80" spans="1:32" x14ac:dyDescent="0.55000000000000004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</row>
    <row r="81" spans="1:32" x14ac:dyDescent="0.55000000000000004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</row>
    <row r="82" spans="1:32" x14ac:dyDescent="0.55000000000000004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</row>
    <row r="83" spans="1:32" x14ac:dyDescent="0.55000000000000004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</row>
    <row r="84" spans="1:32" x14ac:dyDescent="0.5500000000000000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</row>
    <row r="85" spans="1:32" x14ac:dyDescent="0.55000000000000004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</row>
    <row r="86" spans="1:32" x14ac:dyDescent="0.55000000000000004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617A-3150-4C52-BA71-AFDEA5285020}">
  <dimension ref="A1:AU52"/>
  <sheetViews>
    <sheetView topLeftCell="B1" zoomScale="110" zoomScaleNormal="110" workbookViewId="0">
      <selection activeCell="S16" sqref="S16"/>
    </sheetView>
  </sheetViews>
  <sheetFormatPr defaultRowHeight="14.4" x14ac:dyDescent="0.55000000000000004"/>
  <cols>
    <col min="1" max="1" width="5.9453125" customWidth="1"/>
    <col min="2" max="2" width="11.15625" customWidth="1"/>
    <col min="5" max="5" width="10.1015625" customWidth="1"/>
    <col min="6" max="6" width="9.578125" customWidth="1"/>
    <col min="8" max="9" width="9.734375" customWidth="1"/>
    <col min="10" max="11" width="9.68359375" customWidth="1"/>
    <col min="12" max="12" width="10.15625" customWidth="1"/>
    <col min="14" max="14" width="9.5234375" customWidth="1"/>
    <col min="15" max="15" width="9.7890625" customWidth="1"/>
    <col min="18" max="18" width="5.7890625" customWidth="1"/>
    <col min="19" max="19" width="13.68359375" customWidth="1"/>
  </cols>
  <sheetData>
    <row r="1" spans="1:42" x14ac:dyDescent="0.55000000000000004">
      <c r="A1" s="31"/>
      <c r="B1" s="31" t="s">
        <v>112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</row>
    <row r="2" spans="1:42" x14ac:dyDescent="0.55000000000000004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</row>
    <row r="3" spans="1:42" x14ac:dyDescent="0.55000000000000004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</row>
    <row r="4" spans="1:42" ht="43.5" thickBot="1" x14ac:dyDescent="0.6">
      <c r="A4" s="31"/>
      <c r="B4" s="24"/>
      <c r="C4" s="20" t="s">
        <v>89</v>
      </c>
      <c r="D4" s="20" t="s">
        <v>88</v>
      </c>
      <c r="E4" s="20" t="s">
        <v>87</v>
      </c>
      <c r="F4" s="20" t="s">
        <v>125</v>
      </c>
      <c r="G4" s="20" t="s">
        <v>86</v>
      </c>
      <c r="H4" s="20" t="s">
        <v>85</v>
      </c>
      <c r="I4" s="20" t="s">
        <v>84</v>
      </c>
      <c r="J4" s="20" t="s">
        <v>83</v>
      </c>
      <c r="K4" s="20" t="s">
        <v>82</v>
      </c>
      <c r="L4" s="20" t="s">
        <v>81</v>
      </c>
      <c r="M4" s="20" t="s">
        <v>80</v>
      </c>
      <c r="N4" s="20" t="s">
        <v>79</v>
      </c>
      <c r="O4" s="20" t="s">
        <v>78</v>
      </c>
      <c r="P4" s="20" t="s">
        <v>43</v>
      </c>
      <c r="Q4" s="26" t="s">
        <v>44</v>
      </c>
      <c r="R4" s="39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</row>
    <row r="5" spans="1:42" ht="14.7" thickTop="1" x14ac:dyDescent="0.55000000000000004">
      <c r="A5" s="31"/>
      <c r="B5" s="14" t="s">
        <v>31</v>
      </c>
      <c r="C5" s="36">
        <v>1</v>
      </c>
      <c r="D5" s="2">
        <f t="shared" ref="D5:D16" si="0">1-C5</f>
        <v>0</v>
      </c>
      <c r="E5">
        <f>1-C5</f>
        <v>0</v>
      </c>
      <c r="F5">
        <f t="shared" ref="F5:F16" si="1">-E5</f>
        <v>0</v>
      </c>
      <c r="G5" s="38">
        <v>0</v>
      </c>
      <c r="H5" s="12">
        <v>23</v>
      </c>
      <c r="I5" s="3">
        <f t="shared" ref="I5:I16" si="2">C5*warriorCapacity</f>
        <v>100</v>
      </c>
      <c r="J5" s="12">
        <v>0</v>
      </c>
      <c r="K5" s="3">
        <f t="shared" ref="K5:K16" si="3">D5*chomperCapacity</f>
        <v>0</v>
      </c>
      <c r="L5">
        <v>34</v>
      </c>
      <c r="M5">
        <v>42</v>
      </c>
      <c r="N5">
        <f>H5+warriorStartInventory-L5</f>
        <v>39</v>
      </c>
      <c r="O5">
        <f>J5+chomperStartInventory-M5</f>
        <v>8</v>
      </c>
      <c r="P5">
        <v>7000</v>
      </c>
      <c r="Q5" s="6">
        <v>6000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</row>
    <row r="6" spans="1:42" x14ac:dyDescent="0.55000000000000004">
      <c r="A6" s="31"/>
      <c r="B6" s="14" t="s">
        <v>32</v>
      </c>
      <c r="C6" s="22">
        <v>0</v>
      </c>
      <c r="D6" s="2">
        <f t="shared" si="0"/>
        <v>1</v>
      </c>
      <c r="E6">
        <f t="shared" ref="E6:E16" si="4">C5-C6</f>
        <v>1</v>
      </c>
      <c r="F6">
        <f t="shared" si="1"/>
        <v>-1</v>
      </c>
      <c r="G6" s="38">
        <v>1</v>
      </c>
      <c r="H6" s="8">
        <v>0</v>
      </c>
      <c r="I6" s="3">
        <f t="shared" si="2"/>
        <v>0</v>
      </c>
      <c r="J6" s="8">
        <v>83</v>
      </c>
      <c r="K6" s="3">
        <f t="shared" si="3"/>
        <v>110</v>
      </c>
      <c r="L6">
        <v>39</v>
      </c>
      <c r="M6">
        <v>45</v>
      </c>
      <c r="N6">
        <f t="shared" ref="N6:N16" si="5">H6+N5-L6</f>
        <v>0</v>
      </c>
      <c r="O6">
        <f t="shared" ref="O6:O16" si="6">J6+O5-M6</f>
        <v>46</v>
      </c>
      <c r="P6">
        <v>7000</v>
      </c>
      <c r="Q6" s="6">
        <v>6000</v>
      </c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</row>
    <row r="7" spans="1:42" x14ac:dyDescent="0.55000000000000004">
      <c r="A7" s="31"/>
      <c r="B7" s="14" t="s">
        <v>33</v>
      </c>
      <c r="C7" s="22">
        <v>1</v>
      </c>
      <c r="D7" s="2">
        <f t="shared" si="0"/>
        <v>0</v>
      </c>
      <c r="E7">
        <f t="shared" si="4"/>
        <v>-1</v>
      </c>
      <c r="F7">
        <f t="shared" si="1"/>
        <v>1</v>
      </c>
      <c r="G7" s="38">
        <v>1</v>
      </c>
      <c r="H7" s="8">
        <v>71</v>
      </c>
      <c r="I7" s="3">
        <f t="shared" si="2"/>
        <v>100</v>
      </c>
      <c r="J7" s="8">
        <v>0</v>
      </c>
      <c r="K7" s="3">
        <f t="shared" si="3"/>
        <v>0</v>
      </c>
      <c r="L7">
        <v>40</v>
      </c>
      <c r="M7">
        <v>46</v>
      </c>
      <c r="N7">
        <f t="shared" si="5"/>
        <v>31</v>
      </c>
      <c r="O7">
        <f t="shared" si="6"/>
        <v>0</v>
      </c>
      <c r="P7">
        <v>7000</v>
      </c>
      <c r="Q7" s="6">
        <v>6000</v>
      </c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</row>
    <row r="8" spans="1:42" x14ac:dyDescent="0.55000000000000004">
      <c r="A8" s="31"/>
      <c r="B8" s="14" t="s">
        <v>34</v>
      </c>
      <c r="C8" s="22">
        <v>0</v>
      </c>
      <c r="D8" s="2">
        <f t="shared" si="0"/>
        <v>1</v>
      </c>
      <c r="E8">
        <f t="shared" si="4"/>
        <v>1</v>
      </c>
      <c r="F8">
        <f t="shared" si="1"/>
        <v>-1</v>
      </c>
      <c r="G8" s="38">
        <v>1</v>
      </c>
      <c r="H8" s="8">
        <v>0</v>
      </c>
      <c r="I8" s="3">
        <f t="shared" si="2"/>
        <v>0</v>
      </c>
      <c r="J8" s="8">
        <v>74</v>
      </c>
      <c r="K8" s="3">
        <f t="shared" si="3"/>
        <v>110</v>
      </c>
      <c r="L8">
        <v>31</v>
      </c>
      <c r="M8">
        <v>38</v>
      </c>
      <c r="N8">
        <f t="shared" si="5"/>
        <v>0</v>
      </c>
      <c r="O8">
        <f t="shared" si="6"/>
        <v>36</v>
      </c>
      <c r="P8">
        <v>7000</v>
      </c>
      <c r="Q8" s="6">
        <v>6000</v>
      </c>
      <c r="R8" s="31"/>
      <c r="S8" s="31" t="s">
        <v>47</v>
      </c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</row>
    <row r="9" spans="1:42" x14ac:dyDescent="0.55000000000000004">
      <c r="A9" s="31"/>
      <c r="B9" s="14" t="s">
        <v>35</v>
      </c>
      <c r="C9" s="22">
        <v>1</v>
      </c>
      <c r="D9" s="2">
        <f t="shared" si="0"/>
        <v>0</v>
      </c>
      <c r="E9">
        <f t="shared" si="4"/>
        <v>-1</v>
      </c>
      <c r="F9">
        <f t="shared" si="1"/>
        <v>1</v>
      </c>
      <c r="G9" s="38">
        <v>1</v>
      </c>
      <c r="H9" s="8">
        <v>63</v>
      </c>
      <c r="I9" s="3">
        <f t="shared" si="2"/>
        <v>100</v>
      </c>
      <c r="J9" s="8">
        <v>0</v>
      </c>
      <c r="K9" s="3">
        <f t="shared" si="3"/>
        <v>0</v>
      </c>
      <c r="L9">
        <v>30</v>
      </c>
      <c r="M9">
        <v>36</v>
      </c>
      <c r="N9">
        <f t="shared" si="5"/>
        <v>33</v>
      </c>
      <c r="O9">
        <f t="shared" si="6"/>
        <v>0</v>
      </c>
      <c r="P9">
        <v>7000</v>
      </c>
      <c r="Q9" s="6">
        <v>6000</v>
      </c>
      <c r="R9" s="31"/>
      <c r="S9" s="72">
        <f>TotalNumSwitches*switchingCost + SUMPRODUCT(variableCostOfWarrior,productionOfWarrior) + SUMPRODUCT(variableCostOfChomper, productionOfChomper) +SumWarriorInventory*warriorHoldingCost +sumChomperInventory*chomperHoldingCost</f>
        <v>6283800</v>
      </c>
      <c r="T9" s="31" t="s">
        <v>0</v>
      </c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</row>
    <row r="10" spans="1:42" x14ac:dyDescent="0.55000000000000004">
      <c r="A10" s="31"/>
      <c r="B10" s="14" t="s">
        <v>36</v>
      </c>
      <c r="C10" s="22">
        <v>0</v>
      </c>
      <c r="D10" s="2">
        <f t="shared" si="0"/>
        <v>1</v>
      </c>
      <c r="E10">
        <f t="shared" si="4"/>
        <v>1</v>
      </c>
      <c r="F10">
        <f t="shared" si="1"/>
        <v>-1</v>
      </c>
      <c r="G10" s="38">
        <v>1</v>
      </c>
      <c r="H10" s="8">
        <v>0</v>
      </c>
      <c r="I10" s="3">
        <f t="shared" si="2"/>
        <v>0</v>
      </c>
      <c r="J10" s="8">
        <v>85</v>
      </c>
      <c r="K10" s="3">
        <f t="shared" si="3"/>
        <v>110</v>
      </c>
      <c r="L10">
        <v>33</v>
      </c>
      <c r="M10">
        <v>43</v>
      </c>
      <c r="N10">
        <f t="shared" si="5"/>
        <v>0</v>
      </c>
      <c r="O10">
        <f t="shared" si="6"/>
        <v>42</v>
      </c>
      <c r="P10">
        <v>7000</v>
      </c>
      <c r="Q10" s="6">
        <v>6000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</row>
    <row r="11" spans="1:42" x14ac:dyDescent="0.55000000000000004">
      <c r="A11" s="31"/>
      <c r="B11" s="14" t="s">
        <v>37</v>
      </c>
      <c r="C11" s="22">
        <v>1</v>
      </c>
      <c r="D11" s="2">
        <f t="shared" si="0"/>
        <v>0</v>
      </c>
      <c r="E11">
        <f t="shared" si="4"/>
        <v>-1</v>
      </c>
      <c r="F11">
        <f t="shared" si="1"/>
        <v>1</v>
      </c>
      <c r="G11" s="38">
        <v>1</v>
      </c>
      <c r="H11" s="8">
        <v>73</v>
      </c>
      <c r="I11" s="3">
        <f t="shared" si="2"/>
        <v>100</v>
      </c>
      <c r="J11" s="8">
        <v>0</v>
      </c>
      <c r="K11" s="3">
        <f t="shared" si="3"/>
        <v>0</v>
      </c>
      <c r="L11">
        <v>32</v>
      </c>
      <c r="M11">
        <v>42</v>
      </c>
      <c r="N11">
        <f t="shared" si="5"/>
        <v>41</v>
      </c>
      <c r="O11">
        <f t="shared" si="6"/>
        <v>0</v>
      </c>
      <c r="P11">
        <f t="shared" ref="P11:P16" si="7">7000*1.1</f>
        <v>7700.0000000000009</v>
      </c>
      <c r="Q11" s="6">
        <f t="shared" ref="Q11:Q16" si="8">6000*1.1</f>
        <v>6600.0000000000009</v>
      </c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</row>
    <row r="12" spans="1:42" x14ac:dyDescent="0.55000000000000004">
      <c r="A12" s="31"/>
      <c r="B12" s="14" t="s">
        <v>38</v>
      </c>
      <c r="C12" s="22">
        <v>0</v>
      </c>
      <c r="D12" s="2">
        <f t="shared" si="0"/>
        <v>1</v>
      </c>
      <c r="E12">
        <f t="shared" si="4"/>
        <v>1</v>
      </c>
      <c r="F12">
        <f t="shared" si="1"/>
        <v>-1</v>
      </c>
      <c r="G12" s="38">
        <v>1</v>
      </c>
      <c r="H12" s="8">
        <v>0</v>
      </c>
      <c r="I12" s="3">
        <f t="shared" si="2"/>
        <v>0</v>
      </c>
      <c r="J12" s="8">
        <v>85</v>
      </c>
      <c r="K12" s="3">
        <f t="shared" si="3"/>
        <v>110</v>
      </c>
      <c r="L12">
        <v>41</v>
      </c>
      <c r="M12">
        <v>41</v>
      </c>
      <c r="N12">
        <f t="shared" si="5"/>
        <v>0</v>
      </c>
      <c r="O12">
        <f t="shared" si="6"/>
        <v>44</v>
      </c>
      <c r="P12">
        <f t="shared" si="7"/>
        <v>7700.0000000000009</v>
      </c>
      <c r="Q12" s="6">
        <f t="shared" si="8"/>
        <v>6600.0000000000009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</row>
    <row r="13" spans="1:42" x14ac:dyDescent="0.55000000000000004">
      <c r="A13" s="31"/>
      <c r="B13" s="14" t="s">
        <v>39</v>
      </c>
      <c r="C13" s="22">
        <v>1</v>
      </c>
      <c r="D13" s="2">
        <f t="shared" si="0"/>
        <v>0</v>
      </c>
      <c r="E13">
        <f t="shared" si="4"/>
        <v>-1</v>
      </c>
      <c r="F13">
        <f t="shared" si="1"/>
        <v>1</v>
      </c>
      <c r="G13" s="38">
        <v>1</v>
      </c>
      <c r="H13" s="8">
        <v>78</v>
      </c>
      <c r="I13" s="3">
        <f t="shared" si="2"/>
        <v>100</v>
      </c>
      <c r="J13" s="8">
        <v>0</v>
      </c>
      <c r="K13" s="3">
        <f t="shared" si="3"/>
        <v>0</v>
      </c>
      <c r="L13">
        <v>40</v>
      </c>
      <c r="M13">
        <v>44</v>
      </c>
      <c r="N13">
        <f t="shared" si="5"/>
        <v>38</v>
      </c>
      <c r="O13">
        <f t="shared" si="6"/>
        <v>0</v>
      </c>
      <c r="P13">
        <f t="shared" si="7"/>
        <v>7700.0000000000009</v>
      </c>
      <c r="Q13" s="6">
        <f t="shared" si="8"/>
        <v>6600.0000000000009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</row>
    <row r="14" spans="1:42" x14ac:dyDescent="0.55000000000000004">
      <c r="A14" s="31"/>
      <c r="B14" s="14" t="s">
        <v>40</v>
      </c>
      <c r="C14" s="22">
        <v>0</v>
      </c>
      <c r="D14" s="2">
        <f t="shared" si="0"/>
        <v>1</v>
      </c>
      <c r="E14">
        <f t="shared" si="4"/>
        <v>1</v>
      </c>
      <c r="F14">
        <f t="shared" si="1"/>
        <v>-1</v>
      </c>
      <c r="G14" s="38">
        <v>1</v>
      </c>
      <c r="H14" s="8">
        <v>0</v>
      </c>
      <c r="I14" s="3">
        <f t="shared" si="2"/>
        <v>0</v>
      </c>
      <c r="J14" s="8">
        <v>95</v>
      </c>
      <c r="K14" s="3">
        <f t="shared" si="3"/>
        <v>110</v>
      </c>
      <c r="L14">
        <v>38</v>
      </c>
      <c r="M14">
        <v>47</v>
      </c>
      <c r="N14">
        <f t="shared" si="5"/>
        <v>0</v>
      </c>
      <c r="O14">
        <f t="shared" si="6"/>
        <v>48</v>
      </c>
      <c r="P14">
        <f t="shared" si="7"/>
        <v>7700.0000000000009</v>
      </c>
      <c r="Q14" s="6">
        <f t="shared" si="8"/>
        <v>6600.0000000000009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</row>
    <row r="15" spans="1:42" x14ac:dyDescent="0.55000000000000004">
      <c r="A15" s="31"/>
      <c r="B15" s="14" t="s">
        <v>41</v>
      </c>
      <c r="C15" s="22">
        <v>1</v>
      </c>
      <c r="D15" s="2">
        <f t="shared" si="0"/>
        <v>0</v>
      </c>
      <c r="E15">
        <f t="shared" si="4"/>
        <v>-1</v>
      </c>
      <c r="F15">
        <f t="shared" si="1"/>
        <v>1</v>
      </c>
      <c r="G15" s="38">
        <v>1</v>
      </c>
      <c r="H15" s="8">
        <v>81</v>
      </c>
      <c r="I15" s="3">
        <f t="shared" si="2"/>
        <v>100</v>
      </c>
      <c r="J15" s="8">
        <v>0</v>
      </c>
      <c r="K15" s="3">
        <f t="shared" si="3"/>
        <v>0</v>
      </c>
      <c r="L15">
        <v>41</v>
      </c>
      <c r="M15">
        <v>48</v>
      </c>
      <c r="N15">
        <f t="shared" si="5"/>
        <v>40</v>
      </c>
      <c r="O15">
        <f t="shared" si="6"/>
        <v>0</v>
      </c>
      <c r="P15">
        <f t="shared" si="7"/>
        <v>7700.0000000000009</v>
      </c>
      <c r="Q15" s="6">
        <f t="shared" si="8"/>
        <v>6600.0000000000009</v>
      </c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</row>
    <row r="16" spans="1:42" x14ac:dyDescent="0.55000000000000004">
      <c r="A16" s="31"/>
      <c r="B16" s="15" t="s">
        <v>42</v>
      </c>
      <c r="C16" s="22">
        <v>0</v>
      </c>
      <c r="D16" s="27">
        <f t="shared" si="0"/>
        <v>1</v>
      </c>
      <c r="E16" s="5">
        <f t="shared" si="4"/>
        <v>1</v>
      </c>
      <c r="F16" s="5">
        <f t="shared" si="1"/>
        <v>-1</v>
      </c>
      <c r="G16" s="38">
        <v>1</v>
      </c>
      <c r="H16" s="8">
        <v>0</v>
      </c>
      <c r="I16" s="37">
        <f t="shared" si="2"/>
        <v>0</v>
      </c>
      <c r="J16" s="8">
        <v>46</v>
      </c>
      <c r="K16" s="37">
        <f t="shared" si="3"/>
        <v>110</v>
      </c>
      <c r="L16" s="5">
        <v>40</v>
      </c>
      <c r="M16" s="5">
        <v>46</v>
      </c>
      <c r="N16" s="5">
        <f t="shared" si="5"/>
        <v>0</v>
      </c>
      <c r="O16" s="5">
        <f t="shared" si="6"/>
        <v>0</v>
      </c>
      <c r="P16" s="5">
        <f t="shared" si="7"/>
        <v>7700.0000000000009</v>
      </c>
      <c r="Q16" s="7">
        <f t="shared" si="8"/>
        <v>6600.0000000000009</v>
      </c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</row>
    <row r="17" spans="1:47" ht="14.1" customHeight="1" x14ac:dyDescent="0.55000000000000004">
      <c r="A17" s="31"/>
      <c r="B17" s="66" t="s">
        <v>113</v>
      </c>
      <c r="C17" s="67"/>
      <c r="D17" s="67"/>
      <c r="E17" s="67"/>
      <c r="F17" s="67"/>
      <c r="G17" s="67">
        <f>SUM(G5:G16)</f>
        <v>11</v>
      </c>
      <c r="H17" s="68"/>
      <c r="I17" s="68"/>
      <c r="J17" s="68"/>
      <c r="K17" s="68"/>
      <c r="L17" s="67"/>
      <c r="M17" s="67"/>
      <c r="N17" s="68">
        <f>SUM(warriorInventory)</f>
        <v>222</v>
      </c>
      <c r="O17" s="68">
        <f>SUM(chomperInventory)</f>
        <v>224</v>
      </c>
      <c r="P17" s="67"/>
      <c r="Q17" s="69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</row>
    <row r="18" spans="1:47" ht="14.1" customHeight="1" x14ac:dyDescent="0.55000000000000004">
      <c r="A18" s="31"/>
      <c r="B18" s="31"/>
      <c r="C18" s="31"/>
      <c r="D18" s="31"/>
      <c r="E18" s="31"/>
      <c r="F18" s="31"/>
      <c r="G18" s="31"/>
      <c r="H18" s="39"/>
      <c r="I18" s="39"/>
      <c r="J18" s="39"/>
      <c r="K18" s="39"/>
      <c r="L18" s="31"/>
      <c r="M18" s="31"/>
      <c r="N18" s="39"/>
      <c r="O18" s="39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</row>
    <row r="19" spans="1:47" ht="14.1" customHeight="1" x14ac:dyDescent="0.55000000000000004">
      <c r="A19" s="31"/>
      <c r="B19" s="70" t="s">
        <v>114</v>
      </c>
      <c r="C19" s="31"/>
      <c r="D19" s="31"/>
      <c r="E19" s="31"/>
      <c r="F19" s="31"/>
      <c r="G19" s="31"/>
      <c r="H19" s="39"/>
      <c r="I19" s="39"/>
      <c r="J19" s="39"/>
      <c r="K19" s="39"/>
      <c r="L19" s="31"/>
      <c r="M19" s="31"/>
      <c r="N19" s="39"/>
      <c r="O19" s="39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</row>
    <row r="20" spans="1:47" x14ac:dyDescent="0.55000000000000004">
      <c r="A20" s="31"/>
      <c r="B20" s="53" t="s">
        <v>77</v>
      </c>
      <c r="C20" s="41"/>
      <c r="D20" s="71">
        <v>100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</row>
    <row r="21" spans="1:47" x14ac:dyDescent="0.55000000000000004">
      <c r="A21" s="31"/>
      <c r="B21" s="56" t="s">
        <v>56</v>
      </c>
      <c r="C21" s="33"/>
      <c r="D21" s="60">
        <v>110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</row>
    <row r="22" spans="1:47" x14ac:dyDescent="0.55000000000000004">
      <c r="A22" s="31"/>
      <c r="B22" s="56" t="s">
        <v>76</v>
      </c>
      <c r="C22" s="33"/>
      <c r="D22" s="60">
        <v>50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</row>
    <row r="23" spans="1:47" x14ac:dyDescent="0.55000000000000004">
      <c r="A23" s="31"/>
      <c r="B23" s="56" t="s">
        <v>75</v>
      </c>
      <c r="C23" s="33"/>
      <c r="D23" s="60">
        <v>50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</row>
    <row r="24" spans="1:47" x14ac:dyDescent="0.55000000000000004">
      <c r="A24" s="31"/>
      <c r="B24" s="56" t="s">
        <v>45</v>
      </c>
      <c r="C24" s="33"/>
      <c r="D24" s="60">
        <v>700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</row>
    <row r="25" spans="1:47" x14ac:dyDescent="0.55000000000000004">
      <c r="A25" s="31"/>
      <c r="B25" s="56" t="s">
        <v>46</v>
      </c>
      <c r="C25" s="33"/>
      <c r="D25" s="60">
        <v>600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</row>
    <row r="26" spans="1:47" x14ac:dyDescent="0.55000000000000004">
      <c r="A26" s="31"/>
      <c r="B26" s="61" t="s">
        <v>74</v>
      </c>
      <c r="C26" s="47"/>
      <c r="D26" s="62">
        <v>15000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</row>
    <row r="27" spans="1:47" x14ac:dyDescent="0.5500000000000000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</row>
    <row r="28" spans="1:47" x14ac:dyDescent="0.5500000000000000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</row>
    <row r="29" spans="1:47" x14ac:dyDescent="0.5500000000000000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</row>
    <row r="30" spans="1:47" x14ac:dyDescent="0.5500000000000000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</row>
    <row r="31" spans="1:47" x14ac:dyDescent="0.5500000000000000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</row>
    <row r="32" spans="1:47" x14ac:dyDescent="0.5500000000000000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</row>
    <row r="33" spans="1:47" x14ac:dyDescent="0.5500000000000000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</row>
    <row r="34" spans="1:47" x14ac:dyDescent="0.5500000000000000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</row>
    <row r="35" spans="1:47" x14ac:dyDescent="0.5500000000000000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</row>
    <row r="36" spans="1:47" x14ac:dyDescent="0.55000000000000004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</row>
    <row r="37" spans="1:47" x14ac:dyDescent="0.5500000000000000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</row>
    <row r="38" spans="1:47" x14ac:dyDescent="0.55000000000000004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</row>
    <row r="39" spans="1:47" x14ac:dyDescent="0.55000000000000004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</row>
    <row r="40" spans="1:47" x14ac:dyDescent="0.55000000000000004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</row>
    <row r="41" spans="1:47" x14ac:dyDescent="0.55000000000000004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</row>
    <row r="42" spans="1:47" x14ac:dyDescent="0.55000000000000004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</row>
    <row r="43" spans="1:47" x14ac:dyDescent="0.55000000000000004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</row>
    <row r="44" spans="1:47" x14ac:dyDescent="0.5500000000000000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</row>
    <row r="45" spans="1:47" x14ac:dyDescent="0.55000000000000004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</row>
    <row r="46" spans="1:47" x14ac:dyDescent="0.55000000000000004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</row>
    <row r="47" spans="1:47" x14ac:dyDescent="0.55000000000000004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</row>
    <row r="48" spans="1:47" x14ac:dyDescent="0.55000000000000004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</row>
    <row r="49" spans="1:47" x14ac:dyDescent="0.55000000000000004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</row>
    <row r="50" spans="1:47" x14ac:dyDescent="0.55000000000000004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</row>
    <row r="51" spans="1:47" x14ac:dyDescent="0.55000000000000004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</row>
    <row r="52" spans="1:47" x14ac:dyDescent="0.55000000000000004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7D2F6-5A42-4DE3-9718-A82A75F3A348}">
  <dimension ref="A1:X123"/>
  <sheetViews>
    <sheetView tabSelected="1" topLeftCell="A2" workbookViewId="0">
      <selection activeCell="H39" sqref="H39"/>
    </sheetView>
  </sheetViews>
  <sheetFormatPr defaultRowHeight="14.4" x14ac:dyDescent="0.55000000000000004"/>
  <cols>
    <col min="2" max="2" width="7.9453125" customWidth="1"/>
    <col min="4" max="4" width="26.5234375" customWidth="1"/>
    <col min="5" max="5" width="10.734375" customWidth="1"/>
    <col min="6" max="6" width="10.3125" customWidth="1"/>
    <col min="7" max="7" width="10.9453125" customWidth="1"/>
    <col min="8" max="9" width="11.15625" customWidth="1"/>
    <col min="13" max="13" width="10.47265625" customWidth="1"/>
  </cols>
  <sheetData>
    <row r="1" spans="1:24" x14ac:dyDescent="0.55000000000000004">
      <c r="A1" s="31"/>
      <c r="B1" s="31"/>
      <c r="C1" t="s">
        <v>73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T1" s="31"/>
      <c r="U1" s="31"/>
      <c r="V1" s="31"/>
      <c r="W1" s="31"/>
    </row>
    <row r="2" spans="1:24" ht="8.4" customHeight="1" x14ac:dyDescent="0.55000000000000004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</row>
    <row r="3" spans="1:24" ht="9.9" customHeight="1" x14ac:dyDescent="0.55000000000000004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4" ht="45" customHeight="1" thickBot="1" x14ac:dyDescent="0.6">
      <c r="A4" s="31"/>
      <c r="B4" s="31"/>
      <c r="C4" s="18" t="s">
        <v>48</v>
      </c>
      <c r="D4" s="19" t="s">
        <v>49</v>
      </c>
      <c r="E4" s="20" t="s">
        <v>51</v>
      </c>
      <c r="F4" s="20" t="s">
        <v>52</v>
      </c>
      <c r="G4" s="20" t="s">
        <v>66</v>
      </c>
      <c r="H4" s="20" t="s">
        <v>50</v>
      </c>
      <c r="I4" s="20" t="s">
        <v>53</v>
      </c>
      <c r="J4" s="20" t="s">
        <v>54</v>
      </c>
      <c r="K4" s="21" t="s">
        <v>65</v>
      </c>
      <c r="L4" s="32"/>
      <c r="M4" s="31"/>
      <c r="N4" s="31"/>
      <c r="O4" s="31"/>
      <c r="P4" s="31"/>
      <c r="Q4" s="31"/>
      <c r="R4" s="32"/>
      <c r="S4" s="31"/>
      <c r="T4" s="31"/>
      <c r="U4" s="31"/>
      <c r="V4" s="31"/>
      <c r="W4" s="31"/>
    </row>
    <row r="5" spans="1:24" ht="14.7" thickTop="1" x14ac:dyDescent="0.55000000000000004">
      <c r="A5" s="31"/>
      <c r="B5" s="31"/>
      <c r="C5" s="13">
        <v>1</v>
      </c>
      <c r="D5" t="s">
        <v>90</v>
      </c>
      <c r="E5">
        <v>1</v>
      </c>
      <c r="F5">
        <v>0</v>
      </c>
      <c r="G5" s="9"/>
      <c r="H5">
        <v>5</v>
      </c>
      <c r="I5" s="12">
        <v>1</v>
      </c>
      <c r="J5" s="12">
        <v>0</v>
      </c>
      <c r="K5" s="16">
        <f>SUM(I5:J5)</f>
        <v>1</v>
      </c>
      <c r="L5" s="33"/>
      <c r="M5" s="31"/>
      <c r="N5" s="31"/>
      <c r="O5" s="31"/>
      <c r="P5" s="31"/>
      <c r="Q5" s="31"/>
      <c r="R5" s="33"/>
      <c r="S5" s="31"/>
      <c r="T5" s="31"/>
      <c r="U5" s="31"/>
      <c r="V5" s="31"/>
      <c r="W5" s="31"/>
    </row>
    <row r="6" spans="1:24" x14ac:dyDescent="0.55000000000000004">
      <c r="A6" s="31"/>
      <c r="B6" s="31"/>
      <c r="C6" s="14">
        <v>2</v>
      </c>
      <c r="D6" t="s">
        <v>91</v>
      </c>
      <c r="E6">
        <v>1</v>
      </c>
      <c r="F6">
        <v>0</v>
      </c>
      <c r="G6" s="9"/>
      <c r="H6">
        <v>5</v>
      </c>
      <c r="I6" s="8">
        <v>1</v>
      </c>
      <c r="J6" s="8">
        <v>0</v>
      </c>
      <c r="K6" s="4">
        <f t="shared" ref="K6:K24" si="0">SUM(I6:J6)</f>
        <v>1</v>
      </c>
      <c r="L6" s="33"/>
      <c r="M6" s="31"/>
      <c r="N6" s="31"/>
      <c r="O6" s="31"/>
      <c r="P6" s="31"/>
      <c r="Q6" s="31"/>
      <c r="R6" s="33"/>
      <c r="S6" s="31"/>
      <c r="T6" s="31"/>
      <c r="U6" s="31"/>
      <c r="V6" s="31"/>
      <c r="W6" s="31"/>
    </row>
    <row r="7" spans="1:24" x14ac:dyDescent="0.55000000000000004">
      <c r="A7" s="31"/>
      <c r="B7" s="31"/>
      <c r="C7" s="14">
        <v>3</v>
      </c>
      <c r="D7" t="s">
        <v>94</v>
      </c>
      <c r="E7">
        <v>1</v>
      </c>
      <c r="F7">
        <v>1</v>
      </c>
      <c r="G7" s="9"/>
      <c r="H7">
        <v>4</v>
      </c>
      <c r="I7" s="8">
        <v>0</v>
      </c>
      <c r="J7" s="8">
        <v>1</v>
      </c>
      <c r="K7" s="4">
        <f t="shared" si="0"/>
        <v>1</v>
      </c>
      <c r="L7" s="33"/>
      <c r="M7" s="31"/>
      <c r="N7" s="31"/>
      <c r="O7" s="31"/>
      <c r="P7" s="31"/>
      <c r="Q7" s="31"/>
      <c r="R7" s="33"/>
      <c r="S7" s="31"/>
      <c r="T7" s="31"/>
      <c r="U7" s="31"/>
      <c r="V7" s="31"/>
      <c r="W7" s="31"/>
    </row>
    <row r="8" spans="1:24" x14ac:dyDescent="0.55000000000000004">
      <c r="A8" s="31"/>
      <c r="B8" s="31"/>
      <c r="C8" s="14">
        <v>4</v>
      </c>
      <c r="D8" t="s">
        <v>95</v>
      </c>
      <c r="E8">
        <v>1</v>
      </c>
      <c r="F8">
        <v>0</v>
      </c>
      <c r="G8" s="9"/>
      <c r="H8">
        <v>4</v>
      </c>
      <c r="I8" s="8">
        <v>0</v>
      </c>
      <c r="J8" s="8">
        <v>0</v>
      </c>
      <c r="K8" s="4">
        <f t="shared" si="0"/>
        <v>0</v>
      </c>
      <c r="L8" s="33"/>
      <c r="M8" s="31"/>
      <c r="N8" s="31"/>
      <c r="O8" s="31"/>
      <c r="P8" s="31"/>
      <c r="Q8" s="31"/>
      <c r="R8" s="33"/>
      <c r="S8" s="31"/>
      <c r="T8" s="31"/>
      <c r="U8" s="31"/>
      <c r="V8" s="31"/>
      <c r="W8" s="31"/>
    </row>
    <row r="9" spans="1:24" x14ac:dyDescent="0.55000000000000004">
      <c r="A9" s="31"/>
      <c r="B9" s="31"/>
      <c r="C9" s="14">
        <v>5</v>
      </c>
      <c r="D9" t="s">
        <v>96</v>
      </c>
      <c r="E9">
        <v>0</v>
      </c>
      <c r="F9">
        <v>1</v>
      </c>
      <c r="G9" s="9">
        <v>4</v>
      </c>
      <c r="H9">
        <v>4</v>
      </c>
      <c r="I9" s="8">
        <v>0</v>
      </c>
      <c r="J9" s="8">
        <v>0</v>
      </c>
      <c r="K9" s="4">
        <f t="shared" si="0"/>
        <v>0</v>
      </c>
      <c r="L9" s="33"/>
      <c r="M9" s="31"/>
      <c r="N9" s="31"/>
      <c r="O9" s="31"/>
      <c r="P9" s="31"/>
      <c r="Q9" s="31"/>
      <c r="R9" s="33"/>
      <c r="S9" s="31"/>
      <c r="T9" s="31"/>
      <c r="U9" s="31"/>
      <c r="V9" s="31"/>
      <c r="W9" s="31"/>
    </row>
    <row r="10" spans="1:24" x14ac:dyDescent="0.55000000000000004">
      <c r="A10" s="31"/>
      <c r="B10" s="31"/>
      <c r="C10" s="14">
        <v>6</v>
      </c>
      <c r="D10" t="s">
        <v>97</v>
      </c>
      <c r="E10">
        <v>1</v>
      </c>
      <c r="F10">
        <v>0</v>
      </c>
      <c r="G10" s="9"/>
      <c r="H10">
        <v>3</v>
      </c>
      <c r="I10" s="8">
        <v>0</v>
      </c>
      <c r="J10" s="8">
        <v>0</v>
      </c>
      <c r="K10" s="4">
        <f t="shared" si="0"/>
        <v>0</v>
      </c>
      <c r="L10" s="33"/>
      <c r="M10" s="31"/>
      <c r="N10" s="31"/>
      <c r="O10" s="31"/>
      <c r="P10" s="31"/>
      <c r="Q10" s="31"/>
      <c r="R10" s="33"/>
      <c r="S10" s="31"/>
      <c r="T10" s="31"/>
      <c r="U10" s="31"/>
      <c r="V10" s="31"/>
      <c r="W10" s="31"/>
    </row>
    <row r="11" spans="1:24" x14ac:dyDescent="0.55000000000000004">
      <c r="A11" s="31"/>
      <c r="B11" s="31"/>
      <c r="C11" s="14">
        <v>7</v>
      </c>
      <c r="D11" t="s">
        <v>98</v>
      </c>
      <c r="E11">
        <v>0</v>
      </c>
      <c r="F11">
        <v>1</v>
      </c>
      <c r="G11" s="9" t="s">
        <v>67</v>
      </c>
      <c r="H11">
        <v>3</v>
      </c>
      <c r="I11" s="8">
        <v>0</v>
      </c>
      <c r="J11" s="8">
        <v>0</v>
      </c>
      <c r="K11" s="4">
        <f t="shared" si="0"/>
        <v>0</v>
      </c>
      <c r="L11" s="33"/>
      <c r="M11" s="31"/>
      <c r="N11" s="31"/>
      <c r="O11" s="31"/>
      <c r="P11" s="31"/>
      <c r="Q11" s="31"/>
      <c r="R11" s="33"/>
      <c r="S11" s="31"/>
      <c r="T11" s="31"/>
      <c r="U11" s="31"/>
      <c r="V11" s="31"/>
      <c r="W11" s="31"/>
    </row>
    <row r="12" spans="1:24" x14ac:dyDescent="0.55000000000000004">
      <c r="A12" s="31"/>
      <c r="B12" s="31"/>
      <c r="C12" s="14">
        <v>8</v>
      </c>
      <c r="D12" t="s">
        <v>99</v>
      </c>
      <c r="E12">
        <v>0</v>
      </c>
      <c r="F12">
        <v>1</v>
      </c>
      <c r="G12" s="9" t="s">
        <v>68</v>
      </c>
      <c r="H12">
        <v>5</v>
      </c>
      <c r="I12" s="8">
        <v>0</v>
      </c>
      <c r="J12" s="8">
        <v>1</v>
      </c>
      <c r="K12" s="4">
        <f t="shared" si="0"/>
        <v>1</v>
      </c>
      <c r="L12" s="33"/>
      <c r="M12" s="31"/>
      <c r="N12" s="31"/>
      <c r="O12" s="31"/>
      <c r="P12" s="31"/>
      <c r="Q12" s="31"/>
      <c r="R12" s="33"/>
      <c r="S12" s="31"/>
      <c r="T12" s="31"/>
      <c r="U12" s="31"/>
      <c r="V12" s="31"/>
      <c r="W12" s="31"/>
      <c r="X12" s="31"/>
    </row>
    <row r="13" spans="1:24" x14ac:dyDescent="0.55000000000000004">
      <c r="A13" s="31"/>
      <c r="B13" s="31"/>
      <c r="C13" s="14">
        <v>9</v>
      </c>
      <c r="D13" t="s">
        <v>100</v>
      </c>
      <c r="E13">
        <v>0</v>
      </c>
      <c r="F13">
        <v>1</v>
      </c>
      <c r="G13" s="9">
        <v>1</v>
      </c>
      <c r="H13">
        <v>4</v>
      </c>
      <c r="I13" s="8">
        <v>0</v>
      </c>
      <c r="J13" s="8">
        <v>1</v>
      </c>
      <c r="K13" s="4">
        <f t="shared" si="0"/>
        <v>1</v>
      </c>
      <c r="L13" s="33"/>
      <c r="M13" t="s">
        <v>62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 spans="1:24" x14ac:dyDescent="0.55000000000000004">
      <c r="A14" s="31"/>
      <c r="B14" s="31"/>
      <c r="C14" s="14">
        <v>10</v>
      </c>
      <c r="D14" t="s">
        <v>101</v>
      </c>
      <c r="E14">
        <v>1</v>
      </c>
      <c r="F14">
        <v>0</v>
      </c>
      <c r="G14" s="9"/>
      <c r="H14">
        <v>4</v>
      </c>
      <c r="I14" s="8">
        <v>1</v>
      </c>
      <c r="J14" s="8">
        <v>0</v>
      </c>
      <c r="K14" s="4">
        <f t="shared" si="0"/>
        <v>1</v>
      </c>
      <c r="L14" s="33"/>
      <c r="M14" s="10">
        <f>SUMPRODUCT(interestLevel,CourseTaken)</f>
        <v>42</v>
      </c>
      <c r="N14" t="s">
        <v>28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x14ac:dyDescent="0.55000000000000004">
      <c r="A15" s="31"/>
      <c r="B15" s="31"/>
      <c r="C15" s="14">
        <v>11</v>
      </c>
      <c r="D15" t="s">
        <v>102</v>
      </c>
      <c r="E15">
        <v>0</v>
      </c>
      <c r="F15">
        <v>1</v>
      </c>
      <c r="G15" s="9" t="s">
        <v>69</v>
      </c>
      <c r="H15">
        <v>4</v>
      </c>
      <c r="I15" s="8">
        <v>0</v>
      </c>
      <c r="J15" s="8">
        <v>1</v>
      </c>
      <c r="K15" s="4">
        <f t="shared" si="0"/>
        <v>1</v>
      </c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4" x14ac:dyDescent="0.55000000000000004">
      <c r="A16" s="31"/>
      <c r="B16" s="31"/>
      <c r="C16" s="14">
        <v>12</v>
      </c>
      <c r="D16" t="s">
        <v>103</v>
      </c>
      <c r="E16">
        <v>1</v>
      </c>
      <c r="F16">
        <v>0</v>
      </c>
      <c r="G16" s="9"/>
      <c r="H16">
        <v>3</v>
      </c>
      <c r="I16" s="8">
        <v>1</v>
      </c>
      <c r="J16" s="8">
        <v>0</v>
      </c>
      <c r="K16" s="4">
        <f t="shared" si="0"/>
        <v>1</v>
      </c>
      <c r="L16" s="33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r="17" spans="1:23" x14ac:dyDescent="0.55000000000000004">
      <c r="A17" s="31"/>
      <c r="B17" s="31"/>
      <c r="C17" s="14">
        <v>13</v>
      </c>
      <c r="D17" t="s">
        <v>104</v>
      </c>
      <c r="E17">
        <v>0</v>
      </c>
      <c r="F17">
        <v>1</v>
      </c>
      <c r="G17" s="9" t="s">
        <v>70</v>
      </c>
      <c r="H17">
        <v>3</v>
      </c>
      <c r="I17" s="8">
        <v>0</v>
      </c>
      <c r="J17" s="8">
        <v>1</v>
      </c>
      <c r="K17" s="4">
        <f t="shared" si="0"/>
        <v>1</v>
      </c>
      <c r="L17" s="33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x14ac:dyDescent="0.55000000000000004">
      <c r="A18" s="31"/>
      <c r="B18" s="31"/>
      <c r="C18" s="14">
        <v>14</v>
      </c>
      <c r="D18" t="s">
        <v>105</v>
      </c>
      <c r="E18">
        <v>0</v>
      </c>
      <c r="F18">
        <v>1</v>
      </c>
      <c r="G18" s="9">
        <v>3</v>
      </c>
      <c r="H18">
        <v>5</v>
      </c>
      <c r="I18" s="8">
        <v>0</v>
      </c>
      <c r="J18" s="8">
        <v>0</v>
      </c>
      <c r="K18" s="4">
        <f t="shared" si="0"/>
        <v>0</v>
      </c>
      <c r="L18" s="33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r="19" spans="1:23" x14ac:dyDescent="0.55000000000000004">
      <c r="A19" s="31"/>
      <c r="B19" s="31"/>
      <c r="C19" s="14">
        <v>15</v>
      </c>
      <c r="D19" t="s">
        <v>106</v>
      </c>
      <c r="E19">
        <v>1</v>
      </c>
      <c r="F19">
        <v>0</v>
      </c>
      <c r="G19" s="9"/>
      <c r="H19">
        <v>4</v>
      </c>
      <c r="I19" s="8">
        <v>0</v>
      </c>
      <c r="J19" s="8">
        <v>0</v>
      </c>
      <c r="K19" s="4">
        <f t="shared" si="0"/>
        <v>0</v>
      </c>
      <c r="L19" s="33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x14ac:dyDescent="0.55000000000000004">
      <c r="A20" s="31"/>
      <c r="B20" s="31"/>
      <c r="C20" s="14">
        <v>16</v>
      </c>
      <c r="D20" t="s">
        <v>107</v>
      </c>
      <c r="E20">
        <v>0</v>
      </c>
      <c r="F20">
        <v>1</v>
      </c>
      <c r="G20" s="9">
        <v>15</v>
      </c>
      <c r="H20">
        <v>4</v>
      </c>
      <c r="I20" s="8">
        <v>0</v>
      </c>
      <c r="J20" s="8">
        <v>0</v>
      </c>
      <c r="K20" s="4">
        <f t="shared" si="0"/>
        <v>0</v>
      </c>
      <c r="L20" s="33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r="21" spans="1:23" x14ac:dyDescent="0.55000000000000004">
      <c r="A21" s="31"/>
      <c r="B21" s="31"/>
      <c r="C21" s="14">
        <v>17</v>
      </c>
      <c r="D21" t="s">
        <v>108</v>
      </c>
      <c r="E21">
        <v>0</v>
      </c>
      <c r="F21">
        <v>1</v>
      </c>
      <c r="G21" s="9">
        <v>4</v>
      </c>
      <c r="H21">
        <v>4</v>
      </c>
      <c r="I21" s="8">
        <v>0</v>
      </c>
      <c r="J21" s="8">
        <v>0</v>
      </c>
      <c r="K21" s="4">
        <f t="shared" si="0"/>
        <v>0</v>
      </c>
      <c r="L21" s="33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x14ac:dyDescent="0.55000000000000004">
      <c r="A22" s="31"/>
      <c r="B22" s="31"/>
      <c r="C22" s="14">
        <v>18</v>
      </c>
      <c r="D22" t="s">
        <v>109</v>
      </c>
      <c r="E22">
        <v>0</v>
      </c>
      <c r="F22">
        <v>1</v>
      </c>
      <c r="G22" s="9" t="s">
        <v>71</v>
      </c>
      <c r="H22">
        <v>3</v>
      </c>
      <c r="I22" s="8">
        <v>0</v>
      </c>
      <c r="J22" s="8">
        <v>0</v>
      </c>
      <c r="K22" s="4">
        <f t="shared" si="0"/>
        <v>0</v>
      </c>
      <c r="L22" s="33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r="23" spans="1:23" x14ac:dyDescent="0.55000000000000004">
      <c r="A23" s="31"/>
      <c r="B23" s="31"/>
      <c r="C23" s="14">
        <v>19</v>
      </c>
      <c r="D23" t="s">
        <v>110</v>
      </c>
      <c r="E23">
        <v>1</v>
      </c>
      <c r="F23">
        <v>0</v>
      </c>
      <c r="G23" s="9">
        <v>4</v>
      </c>
      <c r="H23">
        <v>3</v>
      </c>
      <c r="I23" s="8">
        <v>0</v>
      </c>
      <c r="J23" s="8">
        <v>0</v>
      </c>
      <c r="K23" s="4">
        <f t="shared" si="0"/>
        <v>0</v>
      </c>
      <c r="L23" s="33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r="24" spans="1:23" x14ac:dyDescent="0.55000000000000004">
      <c r="A24" s="31"/>
      <c r="B24" s="31"/>
      <c r="C24" s="15">
        <v>20</v>
      </c>
      <c r="D24" s="5" t="s">
        <v>111</v>
      </c>
      <c r="E24" s="5">
        <v>1</v>
      </c>
      <c r="F24" s="5">
        <v>0</v>
      </c>
      <c r="G24" s="5"/>
      <c r="H24" s="5">
        <v>5</v>
      </c>
      <c r="I24" s="8">
        <v>1</v>
      </c>
      <c r="J24" s="8">
        <v>0</v>
      </c>
      <c r="K24" s="17">
        <f t="shared" si="0"/>
        <v>1</v>
      </c>
      <c r="L24" s="33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r="25" spans="1:23" x14ac:dyDescent="0.5500000000000000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3"/>
      <c r="L25" s="33"/>
      <c r="M25" s="33"/>
      <c r="N25" s="33"/>
      <c r="O25" s="31"/>
      <c r="P25" s="31"/>
      <c r="Q25" s="31"/>
      <c r="R25" s="31"/>
      <c r="S25" s="31"/>
      <c r="T25" s="31"/>
      <c r="U25" s="31"/>
      <c r="V25" s="31"/>
      <c r="W25" s="31"/>
    </row>
    <row r="26" spans="1:23" x14ac:dyDescent="0.55000000000000004">
      <c r="A26" s="31"/>
      <c r="B26" s="31"/>
      <c r="C26" t="s">
        <v>72</v>
      </c>
      <c r="D26" s="31"/>
      <c r="E26" s="31"/>
      <c r="F26" s="31"/>
      <c r="G26" s="31"/>
      <c r="H26" s="31"/>
      <c r="I26" s="31"/>
      <c r="J26" s="31"/>
      <c r="K26" s="31"/>
      <c r="L26" s="31"/>
      <c r="M26" s="33"/>
      <c r="N26" s="33"/>
      <c r="O26" s="31"/>
      <c r="P26" s="31"/>
      <c r="Q26" s="31"/>
      <c r="R26" s="31"/>
      <c r="S26" s="31"/>
      <c r="T26" s="31"/>
      <c r="U26" s="31"/>
      <c r="V26" s="31"/>
      <c r="W26" s="31"/>
    </row>
    <row r="27" spans="1:23" ht="30.9" customHeight="1" x14ac:dyDescent="0.55000000000000004">
      <c r="A27" s="31"/>
      <c r="B27" s="31"/>
      <c r="C27" s="75" t="s">
        <v>123</v>
      </c>
      <c r="D27" s="76"/>
      <c r="E27" s="77"/>
      <c r="F27" s="11">
        <f>SUM(I5:I24)</f>
        <v>5</v>
      </c>
      <c r="G27" s="30" t="s">
        <v>122</v>
      </c>
      <c r="H27" s="11">
        <v>5</v>
      </c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</row>
    <row r="28" spans="1:23" ht="24.9" customHeight="1" x14ac:dyDescent="0.55000000000000004">
      <c r="A28" s="31"/>
      <c r="B28" s="31"/>
      <c r="C28" s="75" t="s">
        <v>124</v>
      </c>
      <c r="D28" s="76"/>
      <c r="E28" s="77"/>
      <c r="F28" s="11">
        <f>SUM(J5:J24)</f>
        <v>5</v>
      </c>
      <c r="G28" s="29" t="s">
        <v>122</v>
      </c>
      <c r="H28" s="11">
        <v>5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spans="1:23" ht="27.3" customHeight="1" x14ac:dyDescent="0.55000000000000004">
      <c r="A29" s="31"/>
      <c r="B29" s="31"/>
      <c r="C29" s="35" t="s">
        <v>55</v>
      </c>
      <c r="D29" s="34"/>
      <c r="E29" s="34"/>
      <c r="F29" s="11">
        <f>SUM(Fall1,Fall2,Fall3,Fall6,Fall20)</f>
        <v>3</v>
      </c>
      <c r="G29" s="30" t="s">
        <v>117</v>
      </c>
      <c r="H29" s="11">
        <v>3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</row>
    <row r="30" spans="1:23" ht="32.1" customHeight="1" x14ac:dyDescent="0.55000000000000004">
      <c r="A30" s="31"/>
      <c r="B30" s="31"/>
      <c r="C30" s="78" t="s">
        <v>57</v>
      </c>
      <c r="D30" s="79"/>
      <c r="E30" s="80"/>
      <c r="F30" s="11">
        <f>SUM(Spring8, Spring14)</f>
        <v>1</v>
      </c>
      <c r="G30" s="29" t="s">
        <v>122</v>
      </c>
      <c r="H30" s="11">
        <v>1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</row>
    <row r="31" spans="1:23" x14ac:dyDescent="0.55000000000000004">
      <c r="A31" s="31"/>
      <c r="B31" s="31"/>
      <c r="C31" s="75" t="s">
        <v>58</v>
      </c>
      <c r="D31" s="76"/>
      <c r="E31" s="77"/>
      <c r="F31" s="11">
        <f>Fall12</f>
        <v>1</v>
      </c>
      <c r="G31" s="29" t="s">
        <v>61</v>
      </c>
      <c r="H31" s="11">
        <v>1</v>
      </c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 spans="1:23" x14ac:dyDescent="0.55000000000000004">
      <c r="A32" s="31"/>
      <c r="B32" s="31"/>
      <c r="C32" s="75" t="s">
        <v>59</v>
      </c>
      <c r="D32" s="76"/>
      <c r="E32" s="77"/>
      <c r="F32" s="11">
        <f>Fall10</f>
        <v>1</v>
      </c>
      <c r="G32" s="29" t="s">
        <v>61</v>
      </c>
      <c r="H32" s="11">
        <v>1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</row>
    <row r="33" spans="1:22" ht="41.4" customHeight="1" x14ac:dyDescent="0.55000000000000004">
      <c r="A33" s="31"/>
      <c r="B33" s="31"/>
      <c r="C33" s="75" t="s">
        <v>63</v>
      </c>
      <c r="D33" s="76"/>
      <c r="E33" s="77"/>
      <c r="F33" s="11">
        <f>SUM(Fall1,Fall2,Fall10,Fall12,Fall20,Spring3,Spring8,Spring9,Spring11,Spring13)</f>
        <v>10</v>
      </c>
      <c r="G33" s="29" t="s">
        <v>122</v>
      </c>
      <c r="H33" s="11">
        <v>9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</row>
    <row r="34" spans="1:22" x14ac:dyDescent="0.5500000000000000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 spans="1:22" x14ac:dyDescent="0.55000000000000004">
      <c r="A35" s="31"/>
      <c r="B35" s="31"/>
      <c r="C35" s="73" t="s">
        <v>60</v>
      </c>
      <c r="D35" s="73"/>
      <c r="E35" s="73"/>
      <c r="F35" s="73"/>
      <c r="G35" s="73"/>
      <c r="H35" s="73"/>
      <c r="I35" s="73"/>
      <c r="J35" s="73"/>
      <c r="K35" s="73"/>
      <c r="L35" s="73"/>
      <c r="M35" s="31"/>
      <c r="N35" s="31"/>
      <c r="O35" s="31"/>
      <c r="P35" s="31"/>
      <c r="Q35" s="31"/>
      <c r="R35" s="31"/>
      <c r="S35" s="31"/>
      <c r="T35" s="31"/>
      <c r="U35" s="31"/>
      <c r="V35" s="31"/>
    </row>
    <row r="36" spans="1:22" x14ac:dyDescent="0.55000000000000004">
      <c r="A36" s="31"/>
      <c r="B36" s="31"/>
      <c r="C36" s="73" t="s">
        <v>64</v>
      </c>
      <c r="D36" s="73"/>
      <c r="E36" s="73"/>
      <c r="F36" s="73"/>
      <c r="G36" s="73"/>
      <c r="H36" s="73"/>
      <c r="I36" s="73"/>
      <c r="J36" s="73"/>
      <c r="K36" s="73"/>
      <c r="L36" s="73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 spans="1:22" ht="21" customHeight="1" x14ac:dyDescent="0.55000000000000004">
      <c r="A37" s="31"/>
      <c r="B37" s="31"/>
      <c r="C37" s="74" t="s">
        <v>126</v>
      </c>
      <c r="D37" s="74"/>
      <c r="E37" s="74"/>
      <c r="F37" s="74"/>
      <c r="G37" s="74"/>
      <c r="H37" s="74"/>
      <c r="I37" s="74"/>
      <c r="J37" s="74"/>
      <c r="K37" s="74"/>
      <c r="L37" s="74"/>
      <c r="M37" s="31"/>
      <c r="N37" s="31"/>
      <c r="O37" s="31"/>
      <c r="P37" s="31"/>
      <c r="Q37" s="31"/>
      <c r="R37" s="31"/>
      <c r="S37" s="31"/>
      <c r="T37" s="31"/>
      <c r="U37" s="31"/>
      <c r="V37" s="31"/>
    </row>
    <row r="38" spans="1:22" x14ac:dyDescent="0.55000000000000004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</row>
    <row r="39" spans="1:22" x14ac:dyDescent="0.55000000000000004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2" x14ac:dyDescent="0.55000000000000004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</row>
    <row r="41" spans="1:22" x14ac:dyDescent="0.55000000000000004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</row>
    <row r="42" spans="1:22" x14ac:dyDescent="0.55000000000000004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</row>
    <row r="43" spans="1:22" x14ac:dyDescent="0.55000000000000004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</row>
    <row r="44" spans="1:22" x14ac:dyDescent="0.5500000000000000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</row>
    <row r="45" spans="1:22" x14ac:dyDescent="0.55000000000000004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</row>
    <row r="46" spans="1:22" x14ac:dyDescent="0.55000000000000004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</row>
    <row r="47" spans="1:22" x14ac:dyDescent="0.55000000000000004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</row>
    <row r="48" spans="1:22" x14ac:dyDescent="0.55000000000000004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</row>
    <row r="49" spans="1:22" x14ac:dyDescent="0.55000000000000004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</row>
    <row r="50" spans="1:22" x14ac:dyDescent="0.55000000000000004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</row>
    <row r="51" spans="1:22" x14ac:dyDescent="0.55000000000000004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</row>
    <row r="52" spans="1:22" x14ac:dyDescent="0.55000000000000004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</row>
    <row r="53" spans="1:22" x14ac:dyDescent="0.55000000000000004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</row>
    <row r="54" spans="1:22" x14ac:dyDescent="0.5500000000000000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</row>
    <row r="55" spans="1:22" x14ac:dyDescent="0.55000000000000004">
      <c r="A55" s="31"/>
      <c r="B55" s="31"/>
    </row>
    <row r="56" spans="1:22" x14ac:dyDescent="0.55000000000000004">
      <c r="A56" s="31"/>
      <c r="B56" s="31"/>
    </row>
    <row r="57" spans="1:22" x14ac:dyDescent="0.55000000000000004">
      <c r="A57" s="31"/>
      <c r="B57" s="31"/>
    </row>
    <row r="58" spans="1:22" x14ac:dyDescent="0.55000000000000004">
      <c r="A58" s="31"/>
      <c r="B58" s="31"/>
    </row>
    <row r="59" spans="1:22" x14ac:dyDescent="0.55000000000000004">
      <c r="A59" s="31"/>
      <c r="B59" s="31"/>
    </row>
    <row r="60" spans="1:22" x14ac:dyDescent="0.55000000000000004">
      <c r="A60" s="31"/>
      <c r="B60" s="31"/>
    </row>
    <row r="61" spans="1:22" x14ac:dyDescent="0.55000000000000004">
      <c r="A61" s="31"/>
      <c r="B61" s="31"/>
    </row>
    <row r="62" spans="1:22" x14ac:dyDescent="0.55000000000000004">
      <c r="A62" s="31"/>
      <c r="B62" s="31"/>
    </row>
    <row r="63" spans="1:22" x14ac:dyDescent="0.55000000000000004">
      <c r="A63" s="31"/>
      <c r="B63" s="31"/>
    </row>
    <row r="64" spans="1:22" x14ac:dyDescent="0.55000000000000004">
      <c r="A64" s="31"/>
      <c r="B64" s="31"/>
    </row>
    <row r="65" spans="1:2" x14ac:dyDescent="0.55000000000000004">
      <c r="A65" s="31"/>
      <c r="B65" s="31"/>
    </row>
    <row r="66" spans="1:2" x14ac:dyDescent="0.55000000000000004">
      <c r="A66" s="31"/>
      <c r="B66" s="31"/>
    </row>
    <row r="67" spans="1:2" x14ac:dyDescent="0.55000000000000004">
      <c r="A67" s="31"/>
      <c r="B67" s="31"/>
    </row>
    <row r="68" spans="1:2" x14ac:dyDescent="0.55000000000000004">
      <c r="A68" s="31"/>
      <c r="B68" s="31"/>
    </row>
    <row r="69" spans="1:2" x14ac:dyDescent="0.55000000000000004">
      <c r="A69" s="31"/>
      <c r="B69" s="31"/>
    </row>
    <row r="70" spans="1:2" x14ac:dyDescent="0.55000000000000004">
      <c r="A70" s="31"/>
      <c r="B70" s="31"/>
    </row>
    <row r="71" spans="1:2" x14ac:dyDescent="0.55000000000000004">
      <c r="A71" s="31"/>
      <c r="B71" s="31"/>
    </row>
    <row r="72" spans="1:2" x14ac:dyDescent="0.55000000000000004">
      <c r="A72" s="31"/>
      <c r="B72" s="31"/>
    </row>
    <row r="73" spans="1:2" x14ac:dyDescent="0.55000000000000004">
      <c r="A73" s="31"/>
      <c r="B73" s="31"/>
    </row>
    <row r="74" spans="1:2" x14ac:dyDescent="0.55000000000000004">
      <c r="A74" s="31"/>
      <c r="B74" s="31"/>
    </row>
    <row r="75" spans="1:2" x14ac:dyDescent="0.55000000000000004">
      <c r="A75" s="31"/>
      <c r="B75" s="31"/>
    </row>
    <row r="76" spans="1:2" x14ac:dyDescent="0.55000000000000004">
      <c r="A76" s="31"/>
      <c r="B76" s="31"/>
    </row>
    <row r="77" spans="1:2" x14ac:dyDescent="0.55000000000000004">
      <c r="A77" s="31"/>
      <c r="B77" s="31"/>
    </row>
    <row r="78" spans="1:2" x14ac:dyDescent="0.55000000000000004">
      <c r="A78" s="31"/>
      <c r="B78" s="31"/>
    </row>
    <row r="79" spans="1:2" x14ac:dyDescent="0.55000000000000004">
      <c r="A79" s="31"/>
      <c r="B79" s="31"/>
    </row>
    <row r="80" spans="1:2" x14ac:dyDescent="0.55000000000000004">
      <c r="A80" s="31"/>
      <c r="B80" s="31"/>
    </row>
    <row r="81" spans="1:2" x14ac:dyDescent="0.55000000000000004">
      <c r="A81" s="31"/>
      <c r="B81" s="31"/>
    </row>
    <row r="82" spans="1:2" x14ac:dyDescent="0.55000000000000004">
      <c r="A82" s="31"/>
      <c r="B82" s="31"/>
    </row>
    <row r="83" spans="1:2" x14ac:dyDescent="0.55000000000000004">
      <c r="A83" s="31"/>
      <c r="B83" s="31"/>
    </row>
    <row r="84" spans="1:2" x14ac:dyDescent="0.55000000000000004">
      <c r="A84" s="31"/>
      <c r="B84" s="31"/>
    </row>
    <row r="85" spans="1:2" x14ac:dyDescent="0.55000000000000004">
      <c r="A85" s="31"/>
      <c r="B85" s="31"/>
    </row>
    <row r="86" spans="1:2" x14ac:dyDescent="0.55000000000000004">
      <c r="A86" s="31"/>
      <c r="B86" s="31"/>
    </row>
    <row r="87" spans="1:2" x14ac:dyDescent="0.55000000000000004">
      <c r="A87" s="31"/>
      <c r="B87" s="31"/>
    </row>
    <row r="88" spans="1:2" x14ac:dyDescent="0.55000000000000004">
      <c r="A88" s="31"/>
      <c r="B88" s="31"/>
    </row>
    <row r="89" spans="1:2" x14ac:dyDescent="0.55000000000000004">
      <c r="A89" s="31"/>
      <c r="B89" s="31"/>
    </row>
    <row r="90" spans="1:2" x14ac:dyDescent="0.55000000000000004">
      <c r="A90" s="31"/>
      <c r="B90" s="31"/>
    </row>
    <row r="91" spans="1:2" x14ac:dyDescent="0.55000000000000004">
      <c r="A91" s="31"/>
      <c r="B91" s="31"/>
    </row>
    <row r="92" spans="1:2" x14ac:dyDescent="0.55000000000000004">
      <c r="A92" s="31"/>
      <c r="B92" s="31"/>
    </row>
    <row r="93" spans="1:2" x14ac:dyDescent="0.55000000000000004">
      <c r="A93" s="31"/>
      <c r="B93" s="31"/>
    </row>
    <row r="94" spans="1:2" x14ac:dyDescent="0.55000000000000004">
      <c r="A94" s="31"/>
      <c r="B94" s="31"/>
    </row>
    <row r="95" spans="1:2" x14ac:dyDescent="0.55000000000000004">
      <c r="A95" s="31"/>
      <c r="B95" s="31"/>
    </row>
    <row r="96" spans="1:2" x14ac:dyDescent="0.55000000000000004">
      <c r="A96" s="31"/>
      <c r="B96" s="31"/>
    </row>
    <row r="97" spans="1:2" x14ac:dyDescent="0.55000000000000004">
      <c r="A97" s="31"/>
      <c r="B97" s="31"/>
    </row>
    <row r="98" spans="1:2" x14ac:dyDescent="0.55000000000000004">
      <c r="A98" s="31"/>
      <c r="B98" s="31"/>
    </row>
    <row r="99" spans="1:2" x14ac:dyDescent="0.55000000000000004">
      <c r="A99" s="31"/>
      <c r="B99" s="31"/>
    </row>
    <row r="100" spans="1:2" x14ac:dyDescent="0.55000000000000004">
      <c r="A100" s="31"/>
      <c r="B100" s="31"/>
    </row>
    <row r="101" spans="1:2" x14ac:dyDescent="0.55000000000000004">
      <c r="A101" s="31"/>
      <c r="B101" s="31"/>
    </row>
    <row r="102" spans="1:2" x14ac:dyDescent="0.55000000000000004">
      <c r="A102" s="31"/>
      <c r="B102" s="31"/>
    </row>
    <row r="103" spans="1:2" x14ac:dyDescent="0.55000000000000004">
      <c r="A103" s="31"/>
      <c r="B103" s="31"/>
    </row>
    <row r="104" spans="1:2" x14ac:dyDescent="0.55000000000000004">
      <c r="A104" s="31"/>
      <c r="B104" s="31"/>
    </row>
    <row r="105" spans="1:2" x14ac:dyDescent="0.55000000000000004">
      <c r="A105" s="31"/>
      <c r="B105" s="31"/>
    </row>
    <row r="106" spans="1:2" x14ac:dyDescent="0.55000000000000004">
      <c r="A106" s="31"/>
      <c r="B106" s="31"/>
    </row>
    <row r="107" spans="1:2" x14ac:dyDescent="0.55000000000000004">
      <c r="A107" s="31"/>
      <c r="B107" s="31"/>
    </row>
    <row r="108" spans="1:2" x14ac:dyDescent="0.55000000000000004">
      <c r="A108" s="31"/>
      <c r="B108" s="31"/>
    </row>
    <row r="109" spans="1:2" x14ac:dyDescent="0.55000000000000004">
      <c r="A109" s="31"/>
      <c r="B109" s="31"/>
    </row>
    <row r="110" spans="1:2" x14ac:dyDescent="0.55000000000000004">
      <c r="A110" s="31"/>
      <c r="B110" s="31"/>
    </row>
    <row r="111" spans="1:2" x14ac:dyDescent="0.55000000000000004">
      <c r="A111" s="31"/>
      <c r="B111" s="31"/>
    </row>
    <row r="112" spans="1:2" x14ac:dyDescent="0.55000000000000004">
      <c r="A112" s="31"/>
      <c r="B112" s="31"/>
    </row>
    <row r="113" spans="1:2" x14ac:dyDescent="0.55000000000000004">
      <c r="A113" s="31"/>
      <c r="B113" s="31"/>
    </row>
    <row r="114" spans="1:2" x14ac:dyDescent="0.55000000000000004">
      <c r="A114" s="31"/>
      <c r="B114" s="31"/>
    </row>
    <row r="115" spans="1:2" x14ac:dyDescent="0.55000000000000004">
      <c r="A115" s="31"/>
      <c r="B115" s="31"/>
    </row>
    <row r="116" spans="1:2" x14ac:dyDescent="0.55000000000000004">
      <c r="A116" s="31"/>
      <c r="B116" s="31"/>
    </row>
    <row r="117" spans="1:2" x14ac:dyDescent="0.55000000000000004">
      <c r="A117" s="31"/>
      <c r="B117" s="31"/>
    </row>
    <row r="118" spans="1:2" x14ac:dyDescent="0.55000000000000004">
      <c r="A118" s="31"/>
      <c r="B118" s="31"/>
    </row>
    <row r="119" spans="1:2" x14ac:dyDescent="0.55000000000000004">
      <c r="A119" s="31"/>
      <c r="B119" s="31"/>
    </row>
    <row r="120" spans="1:2" x14ac:dyDescent="0.55000000000000004">
      <c r="A120" s="31"/>
      <c r="B120" s="31"/>
    </row>
    <row r="121" spans="1:2" x14ac:dyDescent="0.55000000000000004">
      <c r="A121" s="31"/>
      <c r="B121" s="31"/>
    </row>
    <row r="122" spans="1:2" x14ac:dyDescent="0.55000000000000004">
      <c r="A122" s="31"/>
      <c r="B122" s="31"/>
    </row>
    <row r="123" spans="1:2" x14ac:dyDescent="0.55000000000000004">
      <c r="A123" s="31"/>
      <c r="B123" s="31"/>
    </row>
  </sheetData>
  <mergeCells count="9">
    <mergeCell ref="C35:L35"/>
    <mergeCell ref="C36:L36"/>
    <mergeCell ref="C37:L37"/>
    <mergeCell ref="C27:E27"/>
    <mergeCell ref="C28:E28"/>
    <mergeCell ref="C30:E30"/>
    <mergeCell ref="C31:E31"/>
    <mergeCell ref="C32:E32"/>
    <mergeCell ref="C33:E33"/>
  </mergeCells>
  <pageMargins left="0.7" right="0.7" top="0.75" bottom="0.75" header="0.3" footer="0.3"/>
  <ignoredErrors>
    <ignoredError sqref="G22" twoDigitTextYear="1"/>
    <ignoredError sqref="K5:K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138</vt:i4>
      </vt:variant>
    </vt:vector>
  </HeadingPairs>
  <TitlesOfParts>
    <vt:vector size="142" baseType="lpstr">
      <vt:lpstr>9.3</vt:lpstr>
      <vt:lpstr>9.4</vt:lpstr>
      <vt:lpstr>9.7</vt:lpstr>
      <vt:lpstr>9.8</vt:lpstr>
      <vt:lpstr>advertisingRevenue</vt:lpstr>
      <vt:lpstr>allowedNumCoursesFall</vt:lpstr>
      <vt:lpstr>allowedNumCoursesSpring</vt:lpstr>
      <vt:lpstr>Arlington</vt:lpstr>
      <vt:lpstr>ATMlocationToggle</vt:lpstr>
      <vt:lpstr>Belmont</vt:lpstr>
      <vt:lpstr>Cambridge</vt:lpstr>
      <vt:lpstr>chomperCapacity</vt:lpstr>
      <vt:lpstr>chomperChosen</vt:lpstr>
      <vt:lpstr>'9.7'!chomperDemand</vt:lpstr>
      <vt:lpstr>chomperHoldingCost</vt:lpstr>
      <vt:lpstr>'9.7'!chomperInventory</vt:lpstr>
      <vt:lpstr>chomperMonthlyCapacity</vt:lpstr>
      <vt:lpstr>chomperStartInventory</vt:lpstr>
      <vt:lpstr>ChoseOnly9fromOriginalSoltion</vt:lpstr>
      <vt:lpstr>comedy</vt:lpstr>
      <vt:lpstr>comedyDramaConstraintLHS</vt:lpstr>
      <vt:lpstr>comedyDramaConstraintRHS</vt:lpstr>
      <vt:lpstr>Concord</vt:lpstr>
      <vt:lpstr>containsViolence</vt:lpstr>
      <vt:lpstr>course10picked</vt:lpstr>
      <vt:lpstr>course11picked</vt:lpstr>
      <vt:lpstr>course12picked</vt:lpstr>
      <vt:lpstr>course13picked</vt:lpstr>
      <vt:lpstr>course14picked</vt:lpstr>
      <vt:lpstr>course15picked</vt:lpstr>
      <vt:lpstr>course16picked</vt:lpstr>
      <vt:lpstr>course17picked</vt:lpstr>
      <vt:lpstr>course18picked</vt:lpstr>
      <vt:lpstr>course19picked</vt:lpstr>
      <vt:lpstr>course1picked</vt:lpstr>
      <vt:lpstr>course20picked</vt:lpstr>
      <vt:lpstr>course2picked</vt:lpstr>
      <vt:lpstr>course3picked</vt:lpstr>
      <vt:lpstr>course4picked</vt:lpstr>
      <vt:lpstr>course5picked</vt:lpstr>
      <vt:lpstr>course6picked</vt:lpstr>
      <vt:lpstr>course7picked</vt:lpstr>
      <vt:lpstr>course8picked</vt:lpstr>
      <vt:lpstr>course9picked</vt:lpstr>
      <vt:lpstr>CourseTaken</vt:lpstr>
      <vt:lpstr>directionalSwitchMade</vt:lpstr>
      <vt:lpstr>drama</vt:lpstr>
      <vt:lpstr>Fall1</vt:lpstr>
      <vt:lpstr>Fall10</vt:lpstr>
      <vt:lpstr>Fall11</vt:lpstr>
      <vt:lpstr>Fall12</vt:lpstr>
      <vt:lpstr>Fall13</vt:lpstr>
      <vt:lpstr>Fall14</vt:lpstr>
      <vt:lpstr>Fall15</vt:lpstr>
      <vt:lpstr>Fall16</vt:lpstr>
      <vt:lpstr>Fall17</vt:lpstr>
      <vt:lpstr>Fall18</vt:lpstr>
      <vt:lpstr>Fall19</vt:lpstr>
      <vt:lpstr>Fall2</vt:lpstr>
      <vt:lpstr>Fall20</vt:lpstr>
      <vt:lpstr>Fall3</vt:lpstr>
      <vt:lpstr>Fall4</vt:lpstr>
      <vt:lpstr>Fall5</vt:lpstr>
      <vt:lpstr>Fall6</vt:lpstr>
      <vt:lpstr>Fall7</vt:lpstr>
      <vt:lpstr>Fall8</vt:lpstr>
      <vt:lpstr>Fall9</vt:lpstr>
      <vt:lpstr>FallCoursesTaken</vt:lpstr>
      <vt:lpstr>interestLevel</vt:lpstr>
      <vt:lpstr>Lexington</vt:lpstr>
      <vt:lpstr>lossIfTooManyViolentShows</vt:lpstr>
      <vt:lpstr>marketingCourseConstraint</vt:lpstr>
      <vt:lpstr>mustTakeMarketing</vt:lpstr>
      <vt:lpstr>mustTakeOperationsManagement</vt:lpstr>
      <vt:lpstr>mustTakeThree</vt:lpstr>
      <vt:lpstr>negDirectionalSwitchMade</vt:lpstr>
      <vt:lpstr>NoOfShowSlots</vt:lpstr>
      <vt:lpstr>NoOfShowsPicked</vt:lpstr>
      <vt:lpstr>NotBoth8and14</vt:lpstr>
      <vt:lpstr>NotBothSciAndUrban</vt:lpstr>
      <vt:lpstr>NumATMsProvidingCoverageForEachCity</vt:lpstr>
      <vt:lpstr>numCoursesFall</vt:lpstr>
      <vt:lpstr>numCoursesSpring</vt:lpstr>
      <vt:lpstr>offeredInFall</vt:lpstr>
      <vt:lpstr>offeredInSpring</vt:lpstr>
      <vt:lpstr>opManageConstraint</vt:lpstr>
      <vt:lpstr>positive</vt:lpstr>
      <vt:lpstr>'9.7'!productionOfChomper</vt:lpstr>
      <vt:lpstr>'9.7'!productionOfWarrior</vt:lpstr>
      <vt:lpstr>publicInterest</vt:lpstr>
      <vt:lpstr>publicInterestMinusContainsViolence</vt:lpstr>
      <vt:lpstr>sciJakeLawRHS</vt:lpstr>
      <vt:lpstr>SciMinusJakeAndLaw</vt:lpstr>
      <vt:lpstr>ShowPicked</vt:lpstr>
      <vt:lpstr>Spring1</vt:lpstr>
      <vt:lpstr>Spring10</vt:lpstr>
      <vt:lpstr>Spring11</vt:lpstr>
      <vt:lpstr>Spring12</vt:lpstr>
      <vt:lpstr>Spring13</vt:lpstr>
      <vt:lpstr>Spring14</vt:lpstr>
      <vt:lpstr>Spring15</vt:lpstr>
      <vt:lpstr>Spring16</vt:lpstr>
      <vt:lpstr>Spring17</vt:lpstr>
      <vt:lpstr>Spring18</vt:lpstr>
      <vt:lpstr>Spring19</vt:lpstr>
      <vt:lpstr>Spring2</vt:lpstr>
      <vt:lpstr>Spring20</vt:lpstr>
      <vt:lpstr>Spring3</vt:lpstr>
      <vt:lpstr>Spring4</vt:lpstr>
      <vt:lpstr>Spring5</vt:lpstr>
      <vt:lpstr>Spring6</vt:lpstr>
      <vt:lpstr>Spring7</vt:lpstr>
      <vt:lpstr>Spring8</vt:lpstr>
      <vt:lpstr>Spring9</vt:lpstr>
      <vt:lpstr>springCoursesTaken</vt:lpstr>
      <vt:lpstr>sum5courses3ofWhichMustBeTaken</vt:lpstr>
      <vt:lpstr>sum8and14</vt:lpstr>
      <vt:lpstr>sumChomperInventory</vt:lpstr>
      <vt:lpstr>sumComedy</vt:lpstr>
      <vt:lpstr>sumContainsViolence</vt:lpstr>
      <vt:lpstr>sumDrama</vt:lpstr>
      <vt:lpstr>sumOriginalSolution</vt:lpstr>
      <vt:lpstr>sumPublicInterest</vt:lpstr>
      <vt:lpstr>sumSciAndUrban</vt:lpstr>
      <vt:lpstr>SumWarriorInventory</vt:lpstr>
      <vt:lpstr>switchingCost</vt:lpstr>
      <vt:lpstr>'9.7'!switchMade</vt:lpstr>
      <vt:lpstr>Total_InterestLevel</vt:lpstr>
      <vt:lpstr>TotalNumOfATMs</vt:lpstr>
      <vt:lpstr>TotalNumSwitches</vt:lpstr>
      <vt:lpstr>totalRenvenue</vt:lpstr>
      <vt:lpstr>'9.7'!truckCost</vt:lpstr>
      <vt:lpstr>variableCostOfChomper</vt:lpstr>
      <vt:lpstr>variableCostOfWarrior</vt:lpstr>
      <vt:lpstr>warriorCapacity</vt:lpstr>
      <vt:lpstr>warriorChosen</vt:lpstr>
      <vt:lpstr>'9.7'!warriorDemand</vt:lpstr>
      <vt:lpstr>warriorHoldingCost</vt:lpstr>
      <vt:lpstr>'9.7'!warriorInventory</vt:lpstr>
      <vt:lpstr>warriorMonthlyCapacity</vt:lpstr>
      <vt:lpstr>warriorStartInventory</vt:lpstr>
      <vt:lpstr>Winchester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2017-11-15T20:26:38Z</dcterms:created>
  <dcterms:modified xsi:type="dcterms:W3CDTF">2017-11-21T20:48:30Z</dcterms:modified>
</cp:coreProperties>
</file>