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4\SALARY LIST\"/>
    </mc:Choice>
  </mc:AlternateContent>
  <bookViews>
    <workbookView xWindow="-105" yWindow="-105" windowWidth="26295" windowHeight="14310" firstSheet="7" activeTab="11"/>
  </bookViews>
  <sheets>
    <sheet name="APR 2019" sheetId="1" r:id="rId1"/>
    <sheet name="MAY 2019" sheetId="3" r:id="rId2"/>
    <sheet name="JUNE 2019" sheetId="4" r:id="rId3"/>
    <sheet name="JULY 2019" sheetId="5" r:id="rId4"/>
    <sheet name="AUG 2019" sheetId="6" r:id="rId5"/>
    <sheet name="SEP 2019" sheetId="7" r:id="rId6"/>
    <sheet name="OCT 2019" sheetId="8" r:id="rId7"/>
    <sheet name="NOV 2019" sheetId="9" r:id="rId8"/>
    <sheet name="DEC 2019 " sheetId="11" r:id="rId9"/>
    <sheet name="JAN 2020" sheetId="10" r:id="rId10"/>
    <sheet name="FEB 2020" sheetId="12" r:id="rId11"/>
    <sheet name="MARCH 2020" sheetId="13" r:id="rId12"/>
    <sheet name="Sheet1" sheetId="1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1" i="13" l="1"/>
  <c r="P41" i="13"/>
  <c r="N41" i="13"/>
  <c r="L41" i="13"/>
  <c r="I41" i="13"/>
  <c r="H41" i="13"/>
  <c r="N22" i="13"/>
  <c r="P22" i="13"/>
  <c r="G35" i="13" l="1"/>
  <c r="I22" i="13"/>
  <c r="T46" i="13" l="1"/>
  <c r="T45" i="13"/>
  <c r="R45" i="13"/>
  <c r="R54" i="13"/>
  <c r="T47" i="13"/>
  <c r="R47" i="13"/>
  <c r="L31" i="13"/>
  <c r="N31" i="13"/>
  <c r="P31" i="13"/>
  <c r="P25" i="13"/>
  <c r="K31" i="13"/>
  <c r="Z17" i="13" l="1"/>
  <c r="AB17" i="13"/>
  <c r="AA17" i="13"/>
  <c r="Z35" i="13"/>
  <c r="AA35" i="13"/>
  <c r="Z54" i="13"/>
  <c r="AA54" i="13"/>
  <c r="AB54" i="13"/>
  <c r="AB35" i="13"/>
  <c r="AB10" i="13" l="1"/>
  <c r="AB4" i="13" l="1"/>
  <c r="L42" i="13"/>
  <c r="L54" i="13"/>
  <c r="M55" i="13" s="1"/>
  <c r="I54" i="13"/>
  <c r="L47" i="13" l="1"/>
  <c r="R42" i="13"/>
  <c r="R44" i="13"/>
  <c r="N44" i="13"/>
  <c r="L44" i="13"/>
  <c r="AB5" i="13"/>
  <c r="Y5" i="13"/>
  <c r="M5" i="13"/>
  <c r="Y4" i="13"/>
  <c r="M4" i="13"/>
  <c r="L45" i="13" l="1"/>
  <c r="I46" i="13"/>
  <c r="H17" i="13" l="1"/>
  <c r="C54" i="13" l="1"/>
  <c r="F53" i="13"/>
  <c r="F52" i="13"/>
  <c r="F51" i="13"/>
  <c r="F50" i="13"/>
  <c r="F49" i="13"/>
  <c r="F48" i="13"/>
  <c r="D47" i="13"/>
  <c r="F47" i="13" s="1"/>
  <c r="E46" i="13"/>
  <c r="F46" i="13" s="1"/>
  <c r="E45" i="13"/>
  <c r="E54" i="13" s="1"/>
  <c r="D45" i="13"/>
  <c r="D54" i="13" s="1"/>
  <c r="F44" i="13"/>
  <c r="F43" i="13"/>
  <c r="F42" i="13"/>
  <c r="F41" i="13"/>
  <c r="R35" i="13"/>
  <c r="N17" i="13"/>
  <c r="K35" i="13"/>
  <c r="F45" i="13" l="1"/>
  <c r="F54" i="13" s="1"/>
  <c r="J29" i="13" l="1"/>
  <c r="L27" i="13"/>
  <c r="K27" i="13"/>
  <c r="L26" i="13"/>
  <c r="K26" i="13"/>
  <c r="J25" i="13" l="1"/>
  <c r="F34" i="13"/>
  <c r="F33" i="13"/>
  <c r="F32" i="13"/>
  <c r="F31" i="13"/>
  <c r="F30" i="13"/>
  <c r="F29" i="13"/>
  <c r="D28" i="13"/>
  <c r="F28" i="13" s="1"/>
  <c r="E27" i="13"/>
  <c r="F27" i="13" s="1"/>
  <c r="E26" i="13"/>
  <c r="D26" i="13"/>
  <c r="F26" i="13" s="1"/>
  <c r="F25" i="13"/>
  <c r="F24" i="13"/>
  <c r="F23" i="13"/>
  <c r="F22" i="13"/>
  <c r="AB16" i="13"/>
  <c r="AB15" i="13"/>
  <c r="AB14" i="13"/>
  <c r="AB11" i="13"/>
  <c r="AB9" i="13"/>
  <c r="AB8" i="13"/>
  <c r="AB7" i="13"/>
  <c r="AB6" i="13"/>
  <c r="D10" i="13" l="1"/>
  <c r="E9" i="13" l="1"/>
  <c r="E8" i="13"/>
  <c r="D8" i="13"/>
  <c r="F8" i="13"/>
  <c r="J23" i="13" l="1"/>
  <c r="K54" i="13" l="1"/>
  <c r="G54" i="13"/>
  <c r="V53" i="13"/>
  <c r="H53" i="13"/>
  <c r="V52" i="13"/>
  <c r="H52" i="13"/>
  <c r="B52" i="13"/>
  <c r="V51" i="13"/>
  <c r="I51" i="13"/>
  <c r="N51" i="13" s="1"/>
  <c r="P51" i="13" s="1"/>
  <c r="H51" i="13"/>
  <c r="B51" i="13"/>
  <c r="V50" i="13"/>
  <c r="H50" i="13"/>
  <c r="V49" i="13"/>
  <c r="P49" i="13"/>
  <c r="H49" i="13"/>
  <c r="V48" i="13"/>
  <c r="H48" i="13"/>
  <c r="B48" i="13"/>
  <c r="V47" i="13"/>
  <c r="H47" i="13"/>
  <c r="P46" i="13"/>
  <c r="H46" i="13"/>
  <c r="B46" i="13"/>
  <c r="H45" i="13"/>
  <c r="V44" i="13"/>
  <c r="H44" i="13"/>
  <c r="B44" i="13"/>
  <c r="V43" i="13"/>
  <c r="P43" i="13"/>
  <c r="I43" i="13"/>
  <c r="N43" i="13" s="1"/>
  <c r="H43" i="13"/>
  <c r="V42" i="13"/>
  <c r="H42" i="13"/>
  <c r="T35" i="13"/>
  <c r="E35" i="13"/>
  <c r="D35" i="13"/>
  <c r="C35" i="13"/>
  <c r="V34" i="13"/>
  <c r="P34" i="13"/>
  <c r="I34" i="13"/>
  <c r="B34" i="13"/>
  <c r="B53" i="13" s="1"/>
  <c r="V33" i="13"/>
  <c r="P33" i="13"/>
  <c r="I33" i="13"/>
  <c r="B33" i="13"/>
  <c r="V32" i="13"/>
  <c r="N32" i="13"/>
  <c r="P32" i="13" s="1"/>
  <c r="V31" i="13"/>
  <c r="L35" i="13"/>
  <c r="I31" i="13"/>
  <c r="B31" i="13"/>
  <c r="B50" i="13" s="1"/>
  <c r="V30" i="13"/>
  <c r="N30" i="13"/>
  <c r="P30" i="13" s="1"/>
  <c r="I30" i="13"/>
  <c r="B30" i="13"/>
  <c r="B49" i="13" s="1"/>
  <c r="V29" i="13"/>
  <c r="I29" i="13"/>
  <c r="B29" i="13"/>
  <c r="V28" i="13"/>
  <c r="I28" i="13"/>
  <c r="B28" i="13"/>
  <c r="B47" i="13" s="1"/>
  <c r="V27" i="13"/>
  <c r="I27" i="13"/>
  <c r="B27" i="13"/>
  <c r="V26" i="13"/>
  <c r="I26" i="13"/>
  <c r="B26" i="13"/>
  <c r="B45" i="13" s="1"/>
  <c r="V25" i="13"/>
  <c r="I25" i="13"/>
  <c r="B25" i="13"/>
  <c r="V24" i="13"/>
  <c r="N24" i="13"/>
  <c r="P24" i="13" s="1"/>
  <c r="J24" i="13"/>
  <c r="I24" i="13"/>
  <c r="B24" i="13"/>
  <c r="B43" i="13" s="1"/>
  <c r="V23" i="13"/>
  <c r="I23" i="13"/>
  <c r="B23" i="13"/>
  <c r="B42" i="13" s="1"/>
  <c r="V22" i="13"/>
  <c r="B22" i="13"/>
  <c r="B41" i="13" s="1"/>
  <c r="X17" i="13"/>
  <c r="W17" i="13"/>
  <c r="V17" i="13"/>
  <c r="T17" i="13"/>
  <c r="S17" i="13"/>
  <c r="R17" i="13"/>
  <c r="Q17" i="13"/>
  <c r="P17" i="13"/>
  <c r="O17" i="13"/>
  <c r="L17" i="13"/>
  <c r="K17" i="13"/>
  <c r="J17" i="13"/>
  <c r="I17" i="13"/>
  <c r="G17" i="13"/>
  <c r="E17" i="13"/>
  <c r="D17" i="13"/>
  <c r="C17" i="13"/>
  <c r="U16" i="13"/>
  <c r="M16" i="13"/>
  <c r="F16" i="13"/>
  <c r="U15" i="13"/>
  <c r="M15" i="13"/>
  <c r="I52" i="13" s="1"/>
  <c r="N52" i="13" s="1"/>
  <c r="P52" i="13" s="1"/>
  <c r="F15" i="13"/>
  <c r="U14" i="13"/>
  <c r="M14" i="13"/>
  <c r="Y14" i="13" s="1"/>
  <c r="F14" i="13"/>
  <c r="U13" i="13"/>
  <c r="M13" i="13"/>
  <c r="F13" i="13"/>
  <c r="U12" i="13"/>
  <c r="M12" i="13"/>
  <c r="F12" i="13"/>
  <c r="U11" i="13"/>
  <c r="M11" i="13"/>
  <c r="I48" i="13" s="1"/>
  <c r="N48" i="13" s="1"/>
  <c r="P48" i="13" s="1"/>
  <c r="F11" i="13"/>
  <c r="U10" i="13"/>
  <c r="M10" i="13"/>
  <c r="I47" i="13" s="1"/>
  <c r="N47" i="13" s="1"/>
  <c r="F10" i="13"/>
  <c r="U9" i="13"/>
  <c r="M9" i="13"/>
  <c r="N46" i="13" s="1"/>
  <c r="F9" i="13"/>
  <c r="U8" i="13"/>
  <c r="M8" i="13"/>
  <c r="J26" i="13" s="1"/>
  <c r="N26" i="13" s="1"/>
  <c r="P26" i="13" s="1"/>
  <c r="U7" i="13"/>
  <c r="M7" i="13"/>
  <c r="I44" i="13" s="1"/>
  <c r="P44" i="13" s="1"/>
  <c r="F7" i="13"/>
  <c r="Y6" i="13"/>
  <c r="U6" i="13"/>
  <c r="F6" i="13"/>
  <c r="U5" i="13"/>
  <c r="F5" i="13"/>
  <c r="U4" i="13"/>
  <c r="F4" i="13"/>
  <c r="Y12" i="13" l="1"/>
  <c r="AB12" i="13" s="1"/>
  <c r="N50" i="13"/>
  <c r="P50" i="13" s="1"/>
  <c r="J31" i="13"/>
  <c r="J35" i="13" s="1"/>
  <c r="M17" i="13"/>
  <c r="V35" i="13"/>
  <c r="I35" i="13"/>
  <c r="Y16" i="13"/>
  <c r="I53" i="13"/>
  <c r="N53" i="13" s="1"/>
  <c r="P53" i="13" s="1"/>
  <c r="N29" i="13"/>
  <c r="P29" i="13" s="1"/>
  <c r="P47" i="13"/>
  <c r="F17" i="13"/>
  <c r="U17" i="13"/>
  <c r="N23" i="13"/>
  <c r="P23" i="13" s="1"/>
  <c r="I42" i="13"/>
  <c r="N42" i="13" s="1"/>
  <c r="P42" i="13" s="1"/>
  <c r="Y7" i="13"/>
  <c r="Y8" i="13"/>
  <c r="N25" i="13"/>
  <c r="I45" i="13"/>
  <c r="N45" i="13" s="1"/>
  <c r="P45" i="13" s="1"/>
  <c r="F35" i="13"/>
  <c r="H54" i="13"/>
  <c r="T54" i="13"/>
  <c r="V46" i="13"/>
  <c r="Y9" i="13"/>
  <c r="Y10" i="13"/>
  <c r="Y11" i="13"/>
  <c r="Y13" i="13"/>
  <c r="AB13" i="13" s="1"/>
  <c r="Y15" i="13"/>
  <c r="J27" i="13"/>
  <c r="N27" i="13" s="1"/>
  <c r="P27" i="13" s="1"/>
  <c r="J28" i="13"/>
  <c r="N28" i="13" s="1"/>
  <c r="P28" i="13" s="1"/>
  <c r="V45" i="13"/>
  <c r="V54" i="13" s="1"/>
  <c r="F17" i="12"/>
  <c r="Y17" i="13" l="1"/>
  <c r="N54" i="13"/>
  <c r="P35" i="13"/>
  <c r="N35" i="13"/>
  <c r="P54" i="13"/>
  <c r="M19" i="12"/>
  <c r="M18" i="12"/>
  <c r="H18" i="12"/>
  <c r="E9" i="12" l="1"/>
  <c r="M5" i="12" l="1"/>
  <c r="K54" i="12" l="1"/>
  <c r="G54" i="12"/>
  <c r="E54" i="12"/>
  <c r="D54" i="12"/>
  <c r="C54" i="12"/>
  <c r="V53" i="12"/>
  <c r="F53" i="12"/>
  <c r="H53" i="12" s="1"/>
  <c r="V52" i="12"/>
  <c r="H52" i="12"/>
  <c r="F52" i="12"/>
  <c r="B52" i="12"/>
  <c r="V51" i="12"/>
  <c r="I51" i="12"/>
  <c r="N51" i="12" s="1"/>
  <c r="P51" i="12" s="1"/>
  <c r="F51" i="12"/>
  <c r="H51" i="12" s="1"/>
  <c r="B51" i="12"/>
  <c r="V50" i="12"/>
  <c r="H50" i="12"/>
  <c r="F50" i="12"/>
  <c r="V49" i="12"/>
  <c r="F49" i="12"/>
  <c r="H49" i="12" s="1"/>
  <c r="T48" i="12"/>
  <c r="R48" i="12"/>
  <c r="V48" i="12" s="1"/>
  <c r="H48" i="12"/>
  <c r="F48" i="12"/>
  <c r="B48" i="12"/>
  <c r="T47" i="12"/>
  <c r="R47" i="12"/>
  <c r="L47" i="12"/>
  <c r="H47" i="12"/>
  <c r="F47" i="12"/>
  <c r="T46" i="12"/>
  <c r="R46" i="12"/>
  <c r="V46" i="12" s="1"/>
  <c r="L46" i="12"/>
  <c r="H46" i="12"/>
  <c r="F46" i="12"/>
  <c r="T45" i="12"/>
  <c r="T54" i="12" s="1"/>
  <c r="R45" i="12"/>
  <c r="R54" i="12" s="1"/>
  <c r="I45" i="12"/>
  <c r="N45" i="12" s="1"/>
  <c r="P45" i="12" s="1"/>
  <c r="F45" i="12"/>
  <c r="H45" i="12" s="1"/>
  <c r="V44" i="12"/>
  <c r="H44" i="12"/>
  <c r="F44" i="12"/>
  <c r="B44" i="12"/>
  <c r="V43" i="12"/>
  <c r="F43" i="12"/>
  <c r="H43" i="12" s="1"/>
  <c r="V42" i="12"/>
  <c r="L42" i="12"/>
  <c r="F42" i="12"/>
  <c r="H42" i="12" s="1"/>
  <c r="V41" i="12"/>
  <c r="F41" i="12"/>
  <c r="T35" i="12"/>
  <c r="R35" i="12"/>
  <c r="G35" i="12"/>
  <c r="E35" i="12"/>
  <c r="D35" i="12"/>
  <c r="C35" i="12"/>
  <c r="V34" i="12"/>
  <c r="P34" i="12"/>
  <c r="I34" i="12"/>
  <c r="F34" i="12"/>
  <c r="B34" i="12"/>
  <c r="B53" i="12" s="1"/>
  <c r="V33" i="12"/>
  <c r="P33" i="12"/>
  <c r="F33" i="12"/>
  <c r="I33" i="12" s="1"/>
  <c r="B33" i="12"/>
  <c r="V32" i="12"/>
  <c r="N32" i="12"/>
  <c r="P32" i="12" s="1"/>
  <c r="F32" i="12"/>
  <c r="V31" i="12"/>
  <c r="L31" i="12"/>
  <c r="L35" i="12" s="1"/>
  <c r="K31" i="12"/>
  <c r="I31" i="12"/>
  <c r="F31" i="12"/>
  <c r="B31" i="12"/>
  <c r="B50" i="12" s="1"/>
  <c r="V30" i="12"/>
  <c r="P30" i="12"/>
  <c r="N30" i="12"/>
  <c r="I30" i="12"/>
  <c r="F30" i="12"/>
  <c r="B30" i="12"/>
  <c r="B49" i="12" s="1"/>
  <c r="V29" i="12"/>
  <c r="F29" i="12"/>
  <c r="I29" i="12" s="1"/>
  <c r="B29" i="12"/>
  <c r="V28" i="12"/>
  <c r="I28" i="12"/>
  <c r="F28" i="12"/>
  <c r="B28" i="12"/>
  <c r="B47" i="12" s="1"/>
  <c r="V27" i="12"/>
  <c r="K27" i="12"/>
  <c r="I27" i="12"/>
  <c r="F27" i="12"/>
  <c r="B27" i="12"/>
  <c r="B46" i="12" s="1"/>
  <c r="V26" i="12"/>
  <c r="P26" i="12"/>
  <c r="K26" i="12"/>
  <c r="K35" i="12" s="1"/>
  <c r="I26" i="12"/>
  <c r="F26" i="12"/>
  <c r="B26" i="12"/>
  <c r="B45" i="12" s="1"/>
  <c r="V25" i="12"/>
  <c r="F25" i="12"/>
  <c r="I25" i="12" s="1"/>
  <c r="B25" i="12"/>
  <c r="V24" i="12"/>
  <c r="I24" i="12"/>
  <c r="F24" i="12"/>
  <c r="B24" i="12"/>
  <c r="B43" i="12" s="1"/>
  <c r="V23" i="12"/>
  <c r="F23" i="12"/>
  <c r="I23" i="12" s="1"/>
  <c r="B23" i="12"/>
  <c r="B42" i="12" s="1"/>
  <c r="V22" i="12"/>
  <c r="V35" i="12" s="1"/>
  <c r="N22" i="12"/>
  <c r="P22" i="12" s="1"/>
  <c r="F22" i="12"/>
  <c r="I22" i="12" s="1"/>
  <c r="I35" i="12" s="1"/>
  <c r="B22" i="12"/>
  <c r="B41" i="12" s="1"/>
  <c r="X17" i="12"/>
  <c r="W17" i="12"/>
  <c r="V17" i="12"/>
  <c r="T17" i="12"/>
  <c r="S17" i="12"/>
  <c r="R17" i="12"/>
  <c r="Q17" i="12"/>
  <c r="P17" i="12"/>
  <c r="O17" i="12"/>
  <c r="N17" i="12"/>
  <c r="L17" i="12"/>
  <c r="K17" i="12"/>
  <c r="J17" i="12"/>
  <c r="I17" i="12"/>
  <c r="H17" i="12"/>
  <c r="I18" i="12" s="1"/>
  <c r="G17" i="12"/>
  <c r="E17" i="12"/>
  <c r="D17" i="12"/>
  <c r="C17" i="12"/>
  <c r="U16" i="12"/>
  <c r="M16" i="12"/>
  <c r="I53" i="12" s="1"/>
  <c r="N53" i="12" s="1"/>
  <c r="P53" i="12" s="1"/>
  <c r="F16" i="12"/>
  <c r="U15" i="12"/>
  <c r="M15" i="12"/>
  <c r="I52" i="12" s="1"/>
  <c r="N52" i="12" s="1"/>
  <c r="P52" i="12" s="1"/>
  <c r="F15" i="12"/>
  <c r="U14" i="12"/>
  <c r="M14" i="12"/>
  <c r="F14" i="12"/>
  <c r="U13" i="12"/>
  <c r="M13" i="12"/>
  <c r="I50" i="12" s="1"/>
  <c r="N50" i="12" s="1"/>
  <c r="P50" i="12" s="1"/>
  <c r="F13" i="12"/>
  <c r="U12" i="12"/>
  <c r="M12" i="12"/>
  <c r="I49" i="12" s="1"/>
  <c r="N49" i="12" s="1"/>
  <c r="P49" i="12" s="1"/>
  <c r="F12" i="12"/>
  <c r="U11" i="12"/>
  <c r="M11" i="12"/>
  <c r="I48" i="12" s="1"/>
  <c r="N48" i="12" s="1"/>
  <c r="P48" i="12" s="1"/>
  <c r="F11" i="12"/>
  <c r="U10" i="12"/>
  <c r="M10" i="12"/>
  <c r="I47" i="12" s="1"/>
  <c r="N47" i="12" s="1"/>
  <c r="P47" i="12" s="1"/>
  <c r="F10" i="12"/>
  <c r="U9" i="12"/>
  <c r="M9" i="12"/>
  <c r="I46" i="12" s="1"/>
  <c r="N46" i="12" s="1"/>
  <c r="F9" i="12"/>
  <c r="U8" i="12"/>
  <c r="M8" i="12"/>
  <c r="J26" i="12" s="1"/>
  <c r="N26" i="12" s="1"/>
  <c r="F8" i="12"/>
  <c r="U7" i="12"/>
  <c r="M7" i="12"/>
  <c r="I44" i="12" s="1"/>
  <c r="N44" i="12" s="1"/>
  <c r="P44" i="12" s="1"/>
  <c r="F7" i="12"/>
  <c r="U6" i="12"/>
  <c r="J24" i="12"/>
  <c r="N24" i="12" s="1"/>
  <c r="P24" i="12" s="1"/>
  <c r="F6" i="12"/>
  <c r="U5" i="12"/>
  <c r="Y5" i="12" s="1"/>
  <c r="F5" i="12"/>
  <c r="U4" i="12"/>
  <c r="M4" i="12"/>
  <c r="F4" i="12"/>
  <c r="J29" i="12" l="1"/>
  <c r="N29" i="12" s="1"/>
  <c r="P29" i="12" s="1"/>
  <c r="P46" i="12"/>
  <c r="J25" i="12"/>
  <c r="N25" i="12" s="1"/>
  <c r="P25" i="12" s="1"/>
  <c r="I43" i="12"/>
  <c r="N43" i="12" s="1"/>
  <c r="P43" i="12" s="1"/>
  <c r="U17" i="12"/>
  <c r="J23" i="12"/>
  <c r="N23" i="12" s="1"/>
  <c r="I42" i="12"/>
  <c r="N42" i="12" s="1"/>
  <c r="P42" i="12" s="1"/>
  <c r="M17" i="12"/>
  <c r="I41" i="12"/>
  <c r="N41" i="12" s="1"/>
  <c r="F35" i="12"/>
  <c r="F54" i="12"/>
  <c r="H41" i="12"/>
  <c r="H54" i="12" s="1"/>
  <c r="N54" i="12"/>
  <c r="Y4" i="12"/>
  <c r="Y12" i="12"/>
  <c r="Y14" i="12"/>
  <c r="Y16" i="12"/>
  <c r="V47" i="12"/>
  <c r="Y6" i="12"/>
  <c r="Y7" i="12"/>
  <c r="Y8" i="12"/>
  <c r="Y9" i="12"/>
  <c r="Y10" i="12"/>
  <c r="Y11" i="12"/>
  <c r="Y13" i="12"/>
  <c r="Y15" i="12"/>
  <c r="J27" i="12"/>
  <c r="N27" i="12" s="1"/>
  <c r="P27" i="12" s="1"/>
  <c r="J28" i="12"/>
  <c r="N28" i="12" s="1"/>
  <c r="P28" i="12" s="1"/>
  <c r="J31" i="12"/>
  <c r="N31" i="12" s="1"/>
  <c r="P31" i="12" s="1"/>
  <c r="V45" i="12"/>
  <c r="V54" i="12" s="1"/>
  <c r="R48" i="10"/>
  <c r="V48" i="10" s="1"/>
  <c r="R45" i="10"/>
  <c r="T48" i="10"/>
  <c r="T47" i="10"/>
  <c r="R47" i="10"/>
  <c r="T46" i="10"/>
  <c r="R46" i="10"/>
  <c r="T45" i="10"/>
  <c r="L47" i="10"/>
  <c r="L46" i="10"/>
  <c r="L42" i="10"/>
  <c r="M6" i="10"/>
  <c r="I43" i="10" s="1"/>
  <c r="M5" i="10"/>
  <c r="I42" i="10" s="1"/>
  <c r="N42" i="10" s="1"/>
  <c r="P42" i="10" s="1"/>
  <c r="M4" i="10"/>
  <c r="I41" i="10"/>
  <c r="L41" i="10" s="1"/>
  <c r="I54" i="12" l="1"/>
  <c r="L41" i="12"/>
  <c r="P41" i="12" s="1"/>
  <c r="P54" i="12" s="1"/>
  <c r="J35" i="12"/>
  <c r="N35" i="12"/>
  <c r="P23" i="12"/>
  <c r="P35" i="12" s="1"/>
  <c r="Y17" i="12"/>
  <c r="Z18" i="12" s="1"/>
  <c r="K27" i="10"/>
  <c r="L31" i="10"/>
  <c r="K31" i="10"/>
  <c r="K26" i="10"/>
  <c r="K35" i="10" s="1"/>
  <c r="J23" i="10"/>
  <c r="N22" i="10"/>
  <c r="L54" i="12" l="1"/>
  <c r="H17" i="10"/>
  <c r="T54" i="10" l="1"/>
  <c r="K54" i="10"/>
  <c r="G54" i="10"/>
  <c r="E54" i="10"/>
  <c r="D54" i="10"/>
  <c r="C54" i="10"/>
  <c r="V53" i="10"/>
  <c r="F53" i="10"/>
  <c r="H53" i="10" s="1"/>
  <c r="V52" i="10"/>
  <c r="F52" i="10"/>
  <c r="H52" i="10" s="1"/>
  <c r="V51" i="10"/>
  <c r="F51" i="10"/>
  <c r="H51" i="10" s="1"/>
  <c r="B51" i="10"/>
  <c r="V50" i="10"/>
  <c r="F50" i="10"/>
  <c r="H50" i="10" s="1"/>
  <c r="V49" i="10"/>
  <c r="F49" i="10"/>
  <c r="H49" i="10" s="1"/>
  <c r="F48" i="10"/>
  <c r="H48" i="10" s="1"/>
  <c r="V47" i="10"/>
  <c r="F47" i="10"/>
  <c r="H47" i="10" s="1"/>
  <c r="V46" i="10"/>
  <c r="F46" i="10"/>
  <c r="H46" i="10" s="1"/>
  <c r="V45" i="10"/>
  <c r="F45" i="10"/>
  <c r="H45" i="10" s="1"/>
  <c r="R54" i="10"/>
  <c r="F44" i="10"/>
  <c r="H44" i="10" s="1"/>
  <c r="V43" i="10"/>
  <c r="F43" i="10"/>
  <c r="H43" i="10" s="1"/>
  <c r="V42" i="10"/>
  <c r="L54" i="10"/>
  <c r="F42" i="10"/>
  <c r="H42" i="10" s="1"/>
  <c r="V41" i="10"/>
  <c r="F41" i="10"/>
  <c r="T35" i="10"/>
  <c r="R35" i="10"/>
  <c r="G35" i="10"/>
  <c r="E35" i="10"/>
  <c r="D35" i="10"/>
  <c r="C35" i="10"/>
  <c r="V34" i="10"/>
  <c r="P34" i="10"/>
  <c r="F34" i="10"/>
  <c r="I34" i="10" s="1"/>
  <c r="B34" i="10"/>
  <c r="B53" i="10" s="1"/>
  <c r="V33" i="10"/>
  <c r="P33" i="10"/>
  <c r="F33" i="10"/>
  <c r="I33" i="10" s="1"/>
  <c r="B33" i="10"/>
  <c r="B52" i="10" s="1"/>
  <c r="V32" i="10"/>
  <c r="N32" i="10"/>
  <c r="P32" i="10" s="1"/>
  <c r="F32" i="10"/>
  <c r="V31" i="10"/>
  <c r="I31" i="10"/>
  <c r="F31" i="10"/>
  <c r="B31" i="10"/>
  <c r="B50" i="10" s="1"/>
  <c r="V30" i="10"/>
  <c r="N30" i="10"/>
  <c r="P30" i="10" s="1"/>
  <c r="F30" i="10"/>
  <c r="I30" i="10" s="1"/>
  <c r="B30" i="10"/>
  <c r="B49" i="10" s="1"/>
  <c r="V29" i="10"/>
  <c r="F29" i="10"/>
  <c r="I29" i="10" s="1"/>
  <c r="B29" i="10"/>
  <c r="B48" i="10" s="1"/>
  <c r="V28" i="10"/>
  <c r="F28" i="10"/>
  <c r="I28" i="10" s="1"/>
  <c r="B28" i="10"/>
  <c r="B47" i="10" s="1"/>
  <c r="V27" i="10"/>
  <c r="F27" i="10"/>
  <c r="I27" i="10" s="1"/>
  <c r="B27" i="10"/>
  <c r="B46" i="10" s="1"/>
  <c r="V26" i="10"/>
  <c r="L35" i="10"/>
  <c r="F26" i="10"/>
  <c r="I26" i="10" s="1"/>
  <c r="B26" i="10"/>
  <c r="B45" i="10" s="1"/>
  <c r="V25" i="10"/>
  <c r="F25" i="10"/>
  <c r="I25" i="10" s="1"/>
  <c r="B25" i="10"/>
  <c r="B44" i="10" s="1"/>
  <c r="V24" i="10"/>
  <c r="F24" i="10"/>
  <c r="I24" i="10" s="1"/>
  <c r="B24" i="10"/>
  <c r="B43" i="10" s="1"/>
  <c r="V23" i="10"/>
  <c r="F23" i="10"/>
  <c r="I23" i="10" s="1"/>
  <c r="B23" i="10"/>
  <c r="B42" i="10" s="1"/>
  <c r="V22" i="10"/>
  <c r="P22" i="10"/>
  <c r="F22" i="10"/>
  <c r="I22" i="10" s="1"/>
  <c r="B22" i="10"/>
  <c r="B41" i="10" s="1"/>
  <c r="X17" i="10"/>
  <c r="W17" i="10"/>
  <c r="T17" i="10"/>
  <c r="S17" i="10"/>
  <c r="R17" i="10"/>
  <c r="Q17" i="10"/>
  <c r="P17" i="10"/>
  <c r="O17" i="10"/>
  <c r="N17" i="10"/>
  <c r="L17" i="10"/>
  <c r="K17" i="10"/>
  <c r="J17" i="10"/>
  <c r="I17" i="10"/>
  <c r="G17" i="10"/>
  <c r="E17" i="10"/>
  <c r="C17" i="10"/>
  <c r="U16" i="10"/>
  <c r="M16" i="10"/>
  <c r="F16" i="10"/>
  <c r="U15" i="10"/>
  <c r="M15" i="10"/>
  <c r="F15" i="10"/>
  <c r="U14" i="10"/>
  <c r="M14" i="10"/>
  <c r="Y14" i="10" s="1"/>
  <c r="F14" i="10"/>
  <c r="U13" i="10"/>
  <c r="M13" i="10"/>
  <c r="I50" i="10" s="1"/>
  <c r="N50" i="10" s="1"/>
  <c r="P50" i="10" s="1"/>
  <c r="F13" i="10"/>
  <c r="U12" i="10"/>
  <c r="M12" i="10"/>
  <c r="I49" i="10" s="1"/>
  <c r="N49" i="10" s="1"/>
  <c r="P49" i="10" s="1"/>
  <c r="F12" i="10"/>
  <c r="U11" i="10"/>
  <c r="M11" i="10"/>
  <c r="J29" i="10" s="1"/>
  <c r="F11" i="10"/>
  <c r="U10" i="10"/>
  <c r="M10" i="10"/>
  <c r="F10" i="10"/>
  <c r="D17" i="10"/>
  <c r="U9" i="10"/>
  <c r="M9" i="10"/>
  <c r="I46" i="10" s="1"/>
  <c r="N46" i="10" s="1"/>
  <c r="F9" i="10"/>
  <c r="U8" i="10"/>
  <c r="M8" i="10"/>
  <c r="F8" i="10"/>
  <c r="V17" i="10"/>
  <c r="U7" i="10"/>
  <c r="M7" i="10"/>
  <c r="J25" i="10" s="1"/>
  <c r="N25" i="10" s="1"/>
  <c r="P25" i="10" s="1"/>
  <c r="F7" i="10"/>
  <c r="U6" i="10"/>
  <c r="N43" i="10"/>
  <c r="P43" i="10" s="1"/>
  <c r="F6" i="10"/>
  <c r="U5" i="10"/>
  <c r="F5" i="10"/>
  <c r="U4" i="10"/>
  <c r="F4" i="10"/>
  <c r="Y16" i="10" l="1"/>
  <c r="I52" i="10"/>
  <c r="N52" i="10" s="1"/>
  <c r="P52" i="10" s="1"/>
  <c r="I51" i="10"/>
  <c r="N51" i="10" s="1"/>
  <c r="P51" i="10" s="1"/>
  <c r="I47" i="10"/>
  <c r="N47" i="10" s="1"/>
  <c r="P47" i="10" s="1"/>
  <c r="J28" i="10"/>
  <c r="N28" i="10" s="1"/>
  <c r="P28" i="10" s="1"/>
  <c r="V35" i="10"/>
  <c r="I35" i="10"/>
  <c r="Y9" i="10"/>
  <c r="I53" i="10"/>
  <c r="N53" i="10" s="1"/>
  <c r="P53" i="10" s="1"/>
  <c r="Y10" i="10"/>
  <c r="J27" i="10"/>
  <c r="N27" i="10" s="1"/>
  <c r="P27" i="10" s="1"/>
  <c r="I44" i="10"/>
  <c r="N44" i="10" s="1"/>
  <c r="Y7" i="10"/>
  <c r="Y11" i="10"/>
  <c r="Y12" i="10"/>
  <c r="U17" i="10"/>
  <c r="N23" i="10"/>
  <c r="P23" i="10" s="1"/>
  <c r="F17" i="10"/>
  <c r="M17" i="10"/>
  <c r="Y4" i="10"/>
  <c r="J26" i="10"/>
  <c r="N26" i="10" s="1"/>
  <c r="Y8" i="10"/>
  <c r="F35" i="10"/>
  <c r="F54" i="10"/>
  <c r="H41" i="10"/>
  <c r="H54" i="10" s="1"/>
  <c r="I48" i="10"/>
  <c r="N48" i="10" s="1"/>
  <c r="P48" i="10" s="1"/>
  <c r="N29" i="10"/>
  <c r="P29" i="10" s="1"/>
  <c r="N41" i="10"/>
  <c r="P41" i="10" s="1"/>
  <c r="P44" i="10"/>
  <c r="V44" i="10"/>
  <c r="V54" i="10" s="1"/>
  <c r="I45" i="10"/>
  <c r="N45" i="10" s="1"/>
  <c r="P45" i="10" s="1"/>
  <c r="P46" i="10"/>
  <c r="Y5" i="10"/>
  <c r="Y6" i="10"/>
  <c r="Y13" i="10"/>
  <c r="Y15" i="10"/>
  <c r="J24" i="10"/>
  <c r="N24" i="10" s="1"/>
  <c r="P24" i="10" s="1"/>
  <c r="P26" i="10"/>
  <c r="J31" i="10"/>
  <c r="N31" i="10" s="1"/>
  <c r="P31" i="10" s="1"/>
  <c r="T45" i="11"/>
  <c r="R44" i="11"/>
  <c r="R46" i="11"/>
  <c r="R47" i="11"/>
  <c r="P35" i="10" l="1"/>
  <c r="N54" i="10"/>
  <c r="P54" i="10"/>
  <c r="N35" i="10"/>
  <c r="I54" i="10"/>
  <c r="J35" i="10"/>
  <c r="Y17" i="10"/>
  <c r="M61" i="11"/>
  <c r="T44" i="11"/>
  <c r="M65" i="11"/>
  <c r="M64" i="11"/>
  <c r="M59" i="11"/>
  <c r="M57" i="11"/>
  <c r="L47" i="11"/>
  <c r="M63" i="11" s="1"/>
  <c r="L46" i="11"/>
  <c r="M62" i="11" s="1"/>
  <c r="L44" i="11"/>
  <c r="M60" i="11" s="1"/>
  <c r="L42" i="11"/>
  <c r="M58" i="11" s="1"/>
  <c r="L31" i="11"/>
  <c r="K31" i="11"/>
  <c r="L26" i="11"/>
  <c r="K26" i="11"/>
  <c r="L54" i="11" l="1"/>
  <c r="N17" i="11" l="1"/>
  <c r="D10" i="11" l="1"/>
  <c r="M4" i="11" l="1"/>
  <c r="I41" i="11" s="1"/>
  <c r="T54" i="11"/>
  <c r="K54" i="11"/>
  <c r="G54" i="11"/>
  <c r="E54" i="11"/>
  <c r="C54" i="11"/>
  <c r="V53" i="11"/>
  <c r="F53" i="11"/>
  <c r="H53" i="11" s="1"/>
  <c r="V52" i="11"/>
  <c r="F52" i="11"/>
  <c r="H52" i="11" s="1"/>
  <c r="V51" i="11"/>
  <c r="F51" i="11"/>
  <c r="H51" i="11" s="1"/>
  <c r="B51" i="11"/>
  <c r="V50" i="11"/>
  <c r="F50" i="11"/>
  <c r="H50" i="11" s="1"/>
  <c r="V49" i="11"/>
  <c r="F49" i="11"/>
  <c r="H49" i="11" s="1"/>
  <c r="F48" i="11"/>
  <c r="H48" i="11" s="1"/>
  <c r="V47" i="11"/>
  <c r="F47" i="11"/>
  <c r="H47" i="11" s="1"/>
  <c r="V46" i="11"/>
  <c r="R54" i="11"/>
  <c r="F46" i="11"/>
  <c r="H46" i="11" s="1"/>
  <c r="V45" i="11"/>
  <c r="F45" i="11"/>
  <c r="H45" i="11" s="1"/>
  <c r="V44" i="11"/>
  <c r="F44" i="11"/>
  <c r="H44" i="11" s="1"/>
  <c r="V43" i="11"/>
  <c r="F43" i="11"/>
  <c r="H43" i="11" s="1"/>
  <c r="V42" i="11"/>
  <c r="F42" i="11"/>
  <c r="H42" i="11" s="1"/>
  <c r="V41" i="11"/>
  <c r="F41" i="11"/>
  <c r="T35" i="11"/>
  <c r="R35" i="11"/>
  <c r="G35" i="11"/>
  <c r="E35" i="11"/>
  <c r="C35" i="11"/>
  <c r="V34" i="11"/>
  <c r="P34" i="11"/>
  <c r="F34" i="11"/>
  <c r="I34" i="11" s="1"/>
  <c r="B34" i="11"/>
  <c r="B53" i="11" s="1"/>
  <c r="V33" i="11"/>
  <c r="P33" i="11"/>
  <c r="F33" i="11"/>
  <c r="I33" i="11" s="1"/>
  <c r="B33" i="11"/>
  <c r="B52" i="11" s="1"/>
  <c r="V32" i="11"/>
  <c r="P32" i="11"/>
  <c r="N32" i="11"/>
  <c r="F32" i="11"/>
  <c r="V31" i="11"/>
  <c r="F31" i="11"/>
  <c r="I31" i="11" s="1"/>
  <c r="B31" i="11"/>
  <c r="B50" i="11" s="1"/>
  <c r="V30" i="11"/>
  <c r="N30" i="11"/>
  <c r="P30" i="11" s="1"/>
  <c r="F30" i="11"/>
  <c r="I30" i="11" s="1"/>
  <c r="B30" i="11"/>
  <c r="B49" i="11" s="1"/>
  <c r="V29" i="11"/>
  <c r="F29" i="11"/>
  <c r="I29" i="11" s="1"/>
  <c r="D35" i="11"/>
  <c r="B29" i="11"/>
  <c r="B48" i="11" s="1"/>
  <c r="V28" i="11"/>
  <c r="F28" i="11"/>
  <c r="I28" i="11" s="1"/>
  <c r="B28" i="11"/>
  <c r="B47" i="11" s="1"/>
  <c r="V27" i="11"/>
  <c r="F27" i="11"/>
  <c r="I27" i="11" s="1"/>
  <c r="B27" i="11"/>
  <c r="B46" i="11" s="1"/>
  <c r="V26" i="11"/>
  <c r="L35" i="11"/>
  <c r="K35" i="11"/>
  <c r="F26" i="11"/>
  <c r="I26" i="11" s="1"/>
  <c r="B26" i="11"/>
  <c r="B45" i="11" s="1"/>
  <c r="V25" i="11"/>
  <c r="F25" i="11"/>
  <c r="I25" i="11" s="1"/>
  <c r="B25" i="11"/>
  <c r="B44" i="11" s="1"/>
  <c r="V24" i="11"/>
  <c r="F24" i="11"/>
  <c r="I24" i="11" s="1"/>
  <c r="B24" i="11"/>
  <c r="B43" i="11" s="1"/>
  <c r="V23" i="11"/>
  <c r="F23" i="11"/>
  <c r="I23" i="11" s="1"/>
  <c r="B23" i="11"/>
  <c r="B42" i="11" s="1"/>
  <c r="V22" i="11"/>
  <c r="F22" i="11"/>
  <c r="B22" i="11"/>
  <c r="B41" i="11" s="1"/>
  <c r="X17" i="11"/>
  <c r="W17" i="11"/>
  <c r="T17" i="11"/>
  <c r="S17" i="11"/>
  <c r="R17" i="11"/>
  <c r="Q17" i="11"/>
  <c r="P17" i="11"/>
  <c r="O17" i="11"/>
  <c r="L17" i="11"/>
  <c r="K17" i="11"/>
  <c r="J17" i="11"/>
  <c r="I17" i="11"/>
  <c r="H17" i="11"/>
  <c r="G17" i="11"/>
  <c r="E17" i="11"/>
  <c r="C17" i="11"/>
  <c r="U16" i="11"/>
  <c r="M16" i="11"/>
  <c r="I53" i="11" s="1"/>
  <c r="N53" i="11" s="1"/>
  <c r="P53" i="11" s="1"/>
  <c r="F16" i="11"/>
  <c r="U15" i="11"/>
  <c r="M15" i="11"/>
  <c r="F15" i="11"/>
  <c r="U14" i="11"/>
  <c r="M14" i="11"/>
  <c r="I51" i="11" s="1"/>
  <c r="N51" i="11" s="1"/>
  <c r="P51" i="11" s="1"/>
  <c r="F14" i="11"/>
  <c r="U13" i="11"/>
  <c r="M13" i="11"/>
  <c r="F13" i="11"/>
  <c r="U12" i="11"/>
  <c r="M12" i="11"/>
  <c r="I49" i="11" s="1"/>
  <c r="N49" i="11" s="1"/>
  <c r="P49" i="11" s="1"/>
  <c r="F12" i="11"/>
  <c r="V11" i="11"/>
  <c r="U11" i="11"/>
  <c r="M11" i="11"/>
  <c r="I48" i="11" s="1"/>
  <c r="N48" i="11" s="1"/>
  <c r="P48" i="11" s="1"/>
  <c r="F11" i="11"/>
  <c r="V10" i="11"/>
  <c r="U10" i="11"/>
  <c r="M10" i="11"/>
  <c r="I47" i="11" s="1"/>
  <c r="N47" i="11" s="1"/>
  <c r="P47" i="11" s="1"/>
  <c r="F10" i="11"/>
  <c r="V9" i="11"/>
  <c r="U9" i="11"/>
  <c r="M9" i="11"/>
  <c r="J27" i="11" s="1"/>
  <c r="N27" i="11" s="1"/>
  <c r="P27" i="11" s="1"/>
  <c r="F9" i="11"/>
  <c r="V8" i="11"/>
  <c r="U8" i="11"/>
  <c r="M8" i="11"/>
  <c r="F8" i="11"/>
  <c r="D17" i="11"/>
  <c r="V7" i="11"/>
  <c r="U7" i="11"/>
  <c r="M7" i="11"/>
  <c r="J25" i="11" s="1"/>
  <c r="N25" i="11" s="1"/>
  <c r="P25" i="11" s="1"/>
  <c r="F7" i="11"/>
  <c r="U6" i="11"/>
  <c r="M6" i="11"/>
  <c r="I43" i="11" s="1"/>
  <c r="N43" i="11" s="1"/>
  <c r="P43" i="11" s="1"/>
  <c r="F6" i="11"/>
  <c r="U5" i="11"/>
  <c r="M5" i="11"/>
  <c r="F5" i="11"/>
  <c r="U4" i="11"/>
  <c r="F4" i="11"/>
  <c r="B31" i="9"/>
  <c r="R47" i="9"/>
  <c r="R46" i="9"/>
  <c r="Y8" i="11" l="1"/>
  <c r="Y10" i="11"/>
  <c r="N41" i="11"/>
  <c r="P41" i="11" s="1"/>
  <c r="F17" i="11"/>
  <c r="J31" i="11"/>
  <c r="N31" i="11" s="1"/>
  <c r="P31" i="11" s="1"/>
  <c r="Y7" i="11"/>
  <c r="I45" i="11"/>
  <c r="N45" i="11" s="1"/>
  <c r="P45" i="11" s="1"/>
  <c r="J26" i="11"/>
  <c r="N26" i="11" s="1"/>
  <c r="P26" i="11" s="1"/>
  <c r="J23" i="11"/>
  <c r="N23" i="11" s="1"/>
  <c r="P23" i="11" s="1"/>
  <c r="I42" i="11"/>
  <c r="V17" i="11"/>
  <c r="Y15" i="11"/>
  <c r="V54" i="11"/>
  <c r="F54" i="11"/>
  <c r="H41" i="11"/>
  <c r="H54" i="11" s="1"/>
  <c r="V35" i="11"/>
  <c r="F35" i="11"/>
  <c r="U17" i="11"/>
  <c r="M17" i="11"/>
  <c r="J24" i="11"/>
  <c r="N24" i="11" s="1"/>
  <c r="P24" i="11" s="1"/>
  <c r="J28" i="11"/>
  <c r="N28" i="11" s="1"/>
  <c r="P28" i="11" s="1"/>
  <c r="J29" i="11"/>
  <c r="N29" i="11" s="1"/>
  <c r="P29" i="11" s="1"/>
  <c r="N42" i="11"/>
  <c r="P42" i="11" s="1"/>
  <c r="I44" i="11"/>
  <c r="I46" i="11"/>
  <c r="N46" i="11" s="1"/>
  <c r="P46" i="11" s="1"/>
  <c r="I50" i="11"/>
  <c r="N50" i="11" s="1"/>
  <c r="P50" i="11" s="1"/>
  <c r="I52" i="11"/>
  <c r="N52" i="11" s="1"/>
  <c r="P52" i="11" s="1"/>
  <c r="D54" i="11"/>
  <c r="Y4" i="11"/>
  <c r="Y5" i="11"/>
  <c r="Y6" i="11"/>
  <c r="Y9" i="11"/>
  <c r="Y11" i="11"/>
  <c r="Y12" i="11"/>
  <c r="Y13" i="11"/>
  <c r="Y14" i="11"/>
  <c r="Y16" i="11"/>
  <c r="I22" i="11"/>
  <c r="I35" i="11" s="1"/>
  <c r="L54" i="9"/>
  <c r="F53" i="9"/>
  <c r="F52" i="9"/>
  <c r="H52" i="9" s="1"/>
  <c r="F51" i="9"/>
  <c r="F50" i="9"/>
  <c r="F49" i="9"/>
  <c r="D48" i="9"/>
  <c r="F48" i="9" s="1"/>
  <c r="H48" i="9" s="1"/>
  <c r="F47" i="9"/>
  <c r="H47" i="9" s="1"/>
  <c r="F46" i="9"/>
  <c r="H46" i="9" s="1"/>
  <c r="F45" i="9"/>
  <c r="F44" i="9"/>
  <c r="H44" i="9" s="1"/>
  <c r="F43" i="9"/>
  <c r="H43" i="9" s="1"/>
  <c r="F42" i="9"/>
  <c r="F41" i="9"/>
  <c r="C35" i="9"/>
  <c r="D29" i="9"/>
  <c r="B51" i="9"/>
  <c r="B50" i="9"/>
  <c r="K54" i="9"/>
  <c r="G54" i="9"/>
  <c r="E54" i="9"/>
  <c r="C54" i="9"/>
  <c r="V53" i="9"/>
  <c r="H53" i="9"/>
  <c r="V52" i="9"/>
  <c r="V51" i="9"/>
  <c r="H51" i="9"/>
  <c r="V50" i="9"/>
  <c r="H50" i="9"/>
  <c r="V49" i="9"/>
  <c r="H49" i="9"/>
  <c r="V47" i="9"/>
  <c r="R54" i="9"/>
  <c r="T54" i="9"/>
  <c r="H45" i="9"/>
  <c r="V44" i="9"/>
  <c r="V43" i="9"/>
  <c r="V42" i="9"/>
  <c r="H42" i="9"/>
  <c r="V41" i="9"/>
  <c r="H41" i="9"/>
  <c r="N30" i="9"/>
  <c r="L31" i="9"/>
  <c r="L26" i="9"/>
  <c r="L35" i="9" s="1"/>
  <c r="K26" i="9"/>
  <c r="K35" i="9" s="1"/>
  <c r="I54" i="11" l="1"/>
  <c r="J57" i="11" s="1"/>
  <c r="J59" i="11" s="1"/>
  <c r="D54" i="9"/>
  <c r="N44" i="11"/>
  <c r="P44" i="11" s="1"/>
  <c r="P54" i="11" s="1"/>
  <c r="N22" i="11"/>
  <c r="J35" i="11"/>
  <c r="Y17" i="11"/>
  <c r="H54" i="9"/>
  <c r="V45" i="9"/>
  <c r="V46" i="9"/>
  <c r="F54" i="9"/>
  <c r="N54" i="11" l="1"/>
  <c r="N35" i="11"/>
  <c r="P22" i="11"/>
  <c r="P35" i="11" s="1"/>
  <c r="V54" i="9"/>
  <c r="D8" i="9" l="1"/>
  <c r="M4" i="8" l="1"/>
  <c r="T35" i="9"/>
  <c r="R35" i="9"/>
  <c r="G35" i="9"/>
  <c r="D35" i="9"/>
  <c r="V34" i="9"/>
  <c r="P34" i="9"/>
  <c r="F34" i="9"/>
  <c r="I34" i="9" s="1"/>
  <c r="B34" i="9"/>
  <c r="B53" i="9" s="1"/>
  <c r="V33" i="9"/>
  <c r="P33" i="9"/>
  <c r="F33" i="9"/>
  <c r="I33" i="9" s="1"/>
  <c r="B33" i="9"/>
  <c r="B52" i="9" s="1"/>
  <c r="V32" i="9"/>
  <c r="N32" i="9"/>
  <c r="P32" i="9" s="1"/>
  <c r="F32" i="9"/>
  <c r="V31" i="9"/>
  <c r="F31" i="9"/>
  <c r="I31" i="9" s="1"/>
  <c r="V30" i="9"/>
  <c r="P30" i="9"/>
  <c r="F30" i="9"/>
  <c r="I30" i="9" s="1"/>
  <c r="B30" i="9"/>
  <c r="B49" i="9" s="1"/>
  <c r="V29" i="9"/>
  <c r="F29" i="9"/>
  <c r="I29" i="9" s="1"/>
  <c r="B29" i="9"/>
  <c r="B48" i="9" s="1"/>
  <c r="V28" i="9"/>
  <c r="F28" i="9"/>
  <c r="I28" i="9" s="1"/>
  <c r="B28" i="9"/>
  <c r="B47" i="9" s="1"/>
  <c r="V27" i="9"/>
  <c r="E35" i="9"/>
  <c r="B27" i="9"/>
  <c r="B46" i="9" s="1"/>
  <c r="V26" i="9"/>
  <c r="F26" i="9"/>
  <c r="I26" i="9" s="1"/>
  <c r="B26" i="9"/>
  <c r="B45" i="9" s="1"/>
  <c r="V25" i="9"/>
  <c r="F25" i="9"/>
  <c r="I25" i="9" s="1"/>
  <c r="B25" i="9"/>
  <c r="B44" i="9" s="1"/>
  <c r="V24" i="9"/>
  <c r="F24" i="9"/>
  <c r="I24" i="9" s="1"/>
  <c r="B24" i="9"/>
  <c r="B43" i="9" s="1"/>
  <c r="V23" i="9"/>
  <c r="F23" i="9"/>
  <c r="I23" i="9" s="1"/>
  <c r="B23" i="9"/>
  <c r="B42" i="9" s="1"/>
  <c r="V22" i="9"/>
  <c r="F22" i="9"/>
  <c r="I22" i="9" s="1"/>
  <c r="B22" i="9"/>
  <c r="B41" i="9" s="1"/>
  <c r="X17" i="9"/>
  <c r="W17" i="9"/>
  <c r="T17" i="9"/>
  <c r="S17" i="9"/>
  <c r="R17" i="9"/>
  <c r="Q17" i="9"/>
  <c r="P17" i="9"/>
  <c r="O17" i="9"/>
  <c r="N17" i="9"/>
  <c r="L17" i="9"/>
  <c r="K17" i="9"/>
  <c r="J17" i="9"/>
  <c r="I17" i="9"/>
  <c r="H17" i="9"/>
  <c r="G17" i="9"/>
  <c r="D17" i="9"/>
  <c r="C17" i="9"/>
  <c r="U16" i="9"/>
  <c r="M16" i="9"/>
  <c r="I53" i="9" s="1"/>
  <c r="N53" i="9" s="1"/>
  <c r="P53" i="9" s="1"/>
  <c r="F16" i="9"/>
  <c r="U15" i="9"/>
  <c r="M15" i="9"/>
  <c r="F15" i="9"/>
  <c r="U14" i="9"/>
  <c r="M14" i="9"/>
  <c r="F14" i="9"/>
  <c r="U13" i="9"/>
  <c r="M13" i="9"/>
  <c r="F13" i="9"/>
  <c r="U12" i="9"/>
  <c r="M12" i="9"/>
  <c r="I49" i="9" s="1"/>
  <c r="N49" i="9" s="1"/>
  <c r="P49" i="9" s="1"/>
  <c r="F12" i="9"/>
  <c r="V11" i="9"/>
  <c r="U11" i="9"/>
  <c r="M11" i="9"/>
  <c r="F11" i="9"/>
  <c r="V10" i="9"/>
  <c r="U10" i="9"/>
  <c r="M10" i="9"/>
  <c r="I47" i="9" s="1"/>
  <c r="N47" i="9" s="1"/>
  <c r="P47" i="9" s="1"/>
  <c r="F10" i="9"/>
  <c r="V9" i="9"/>
  <c r="U9" i="9"/>
  <c r="M9" i="9"/>
  <c r="F9" i="9"/>
  <c r="V8" i="9"/>
  <c r="U8" i="9"/>
  <c r="M8" i="9"/>
  <c r="F8" i="9"/>
  <c r="E17" i="9"/>
  <c r="V7" i="9"/>
  <c r="U7" i="9"/>
  <c r="M7" i="9"/>
  <c r="F7" i="9"/>
  <c r="U6" i="9"/>
  <c r="M6" i="9"/>
  <c r="F6" i="9"/>
  <c r="U5" i="9"/>
  <c r="M5" i="9"/>
  <c r="F5" i="9"/>
  <c r="U4" i="9"/>
  <c r="M4" i="9"/>
  <c r="F4" i="9"/>
  <c r="T50" i="8"/>
  <c r="T48" i="8"/>
  <c r="R50" i="8"/>
  <c r="T49" i="8"/>
  <c r="R49" i="8"/>
  <c r="L50" i="8"/>
  <c r="L49" i="8"/>
  <c r="Y8" i="9" l="1"/>
  <c r="Y11" i="9"/>
  <c r="J23" i="9"/>
  <c r="N23" i="9" s="1"/>
  <c r="P23" i="9" s="1"/>
  <c r="I42" i="9"/>
  <c r="N42" i="9" s="1"/>
  <c r="P42" i="9" s="1"/>
  <c r="Y14" i="9"/>
  <c r="I51" i="9"/>
  <c r="N51" i="9" s="1"/>
  <c r="P51" i="9" s="1"/>
  <c r="J25" i="9"/>
  <c r="N25" i="9" s="1"/>
  <c r="P25" i="9" s="1"/>
  <c r="I44" i="9"/>
  <c r="N44" i="9" s="1"/>
  <c r="P44" i="9" s="1"/>
  <c r="I50" i="9"/>
  <c r="N50" i="9" s="1"/>
  <c r="P50" i="9" s="1"/>
  <c r="J31" i="9"/>
  <c r="N31" i="9" s="1"/>
  <c r="P31" i="9" s="1"/>
  <c r="Y15" i="9"/>
  <c r="I52" i="9"/>
  <c r="N52" i="9" s="1"/>
  <c r="P52" i="9" s="1"/>
  <c r="M17" i="9"/>
  <c r="I41" i="9"/>
  <c r="J22" i="9"/>
  <c r="J24" i="9"/>
  <c r="N24" i="9" s="1"/>
  <c r="P24" i="9" s="1"/>
  <c r="I43" i="9"/>
  <c r="N43" i="9" s="1"/>
  <c r="P43" i="9" s="1"/>
  <c r="J26" i="9"/>
  <c r="N26" i="9" s="1"/>
  <c r="P26" i="9" s="1"/>
  <c r="I45" i="9"/>
  <c r="N45" i="9" s="1"/>
  <c r="P45" i="9" s="1"/>
  <c r="J27" i="9"/>
  <c r="N27" i="9" s="1"/>
  <c r="P27" i="9" s="1"/>
  <c r="I46" i="9"/>
  <c r="N46" i="9" s="1"/>
  <c r="P46" i="9" s="1"/>
  <c r="J29" i="9"/>
  <c r="N29" i="9" s="1"/>
  <c r="P29" i="9" s="1"/>
  <c r="I48" i="9"/>
  <c r="N48" i="9" s="1"/>
  <c r="P48" i="9" s="1"/>
  <c r="V35" i="9"/>
  <c r="F17" i="9"/>
  <c r="Y16" i="9"/>
  <c r="Y12" i="9"/>
  <c r="Y10" i="9"/>
  <c r="Y9" i="9"/>
  <c r="V17" i="9"/>
  <c r="Y7" i="9"/>
  <c r="U17" i="9"/>
  <c r="Y4" i="9"/>
  <c r="Y5" i="9"/>
  <c r="Y13" i="9"/>
  <c r="J28" i="9"/>
  <c r="N28" i="9" s="1"/>
  <c r="P28" i="9" s="1"/>
  <c r="Y6" i="9"/>
  <c r="F27" i="9"/>
  <c r="F19" i="8"/>
  <c r="F18" i="8"/>
  <c r="I54" i="9" l="1"/>
  <c r="N41" i="9"/>
  <c r="J35" i="9"/>
  <c r="N22" i="9"/>
  <c r="N35" i="9" s="1"/>
  <c r="I27" i="9"/>
  <c r="I35" i="9" s="1"/>
  <c r="F35" i="9"/>
  <c r="Y17" i="9"/>
  <c r="N17" i="8"/>
  <c r="O17" i="8"/>
  <c r="N54" i="9" l="1"/>
  <c r="P41" i="9"/>
  <c r="P54" i="9" s="1"/>
  <c r="P22" i="9"/>
  <c r="P35" i="9" s="1"/>
  <c r="G57" i="8"/>
  <c r="C57" i="8"/>
  <c r="V56" i="8"/>
  <c r="F56" i="8"/>
  <c r="H56" i="8" s="1"/>
  <c r="V55" i="8"/>
  <c r="F55" i="8"/>
  <c r="H55" i="8" s="1"/>
  <c r="V54" i="8"/>
  <c r="N54" i="8"/>
  <c r="P54" i="8" s="1"/>
  <c r="F54" i="8"/>
  <c r="H54" i="8" s="1"/>
  <c r="V53" i="8"/>
  <c r="F53" i="8"/>
  <c r="H53" i="8" s="1"/>
  <c r="V52" i="8"/>
  <c r="F52" i="8"/>
  <c r="H52" i="8" s="1"/>
  <c r="F51" i="8"/>
  <c r="H51" i="8" s="1"/>
  <c r="V50" i="8"/>
  <c r="F50" i="8"/>
  <c r="H50" i="8" s="1"/>
  <c r="V49" i="8"/>
  <c r="K57" i="8"/>
  <c r="F49" i="8"/>
  <c r="H49" i="8" s="1"/>
  <c r="E57" i="8"/>
  <c r="R57" i="8"/>
  <c r="D57" i="8"/>
  <c r="V47" i="8"/>
  <c r="F47" i="8"/>
  <c r="H47" i="8" s="1"/>
  <c r="V46" i="8"/>
  <c r="F46" i="8"/>
  <c r="H46" i="8" s="1"/>
  <c r="V45" i="8"/>
  <c r="L57" i="8"/>
  <c r="F45" i="8"/>
  <c r="H45" i="8" s="1"/>
  <c r="T57" i="8"/>
  <c r="F44" i="8"/>
  <c r="C17" i="8"/>
  <c r="D6" i="8"/>
  <c r="H44" i="8" l="1"/>
  <c r="V44" i="8"/>
  <c r="F48" i="8"/>
  <c r="H48" i="8" s="1"/>
  <c r="V48" i="8"/>
  <c r="V11" i="8"/>
  <c r="V10" i="8"/>
  <c r="V9" i="8"/>
  <c r="D10" i="8"/>
  <c r="E10" i="8"/>
  <c r="H57" i="8" l="1"/>
  <c r="F57" i="8"/>
  <c r="V57" i="8"/>
  <c r="E9" i="8" l="1"/>
  <c r="E8" i="8"/>
  <c r="R35" i="8" l="1"/>
  <c r="L35" i="8"/>
  <c r="K35" i="8"/>
  <c r="G35" i="8"/>
  <c r="C35" i="8"/>
  <c r="V34" i="8"/>
  <c r="P34" i="8"/>
  <c r="F34" i="8"/>
  <c r="I34" i="8" s="1"/>
  <c r="B34" i="8"/>
  <c r="B56" i="8" s="1"/>
  <c r="V33" i="8"/>
  <c r="P33" i="8"/>
  <c r="F33" i="8"/>
  <c r="I33" i="8" s="1"/>
  <c r="B33" i="8"/>
  <c r="B55" i="8" s="1"/>
  <c r="V32" i="8"/>
  <c r="N32" i="8"/>
  <c r="P32" i="8" s="1"/>
  <c r="F32" i="8"/>
  <c r="V31" i="8"/>
  <c r="F31" i="8"/>
  <c r="I31" i="8" s="1"/>
  <c r="B31" i="8"/>
  <c r="B53" i="8" s="1"/>
  <c r="V30" i="8"/>
  <c r="P30" i="8"/>
  <c r="F30" i="8"/>
  <c r="I30" i="8" s="1"/>
  <c r="B30" i="8"/>
  <c r="B52" i="8" s="1"/>
  <c r="V29" i="8"/>
  <c r="F29" i="8"/>
  <c r="I29" i="8" s="1"/>
  <c r="B29" i="8"/>
  <c r="V28" i="8"/>
  <c r="F28" i="8"/>
  <c r="I28" i="8" s="1"/>
  <c r="B28" i="8"/>
  <c r="B50" i="8" s="1"/>
  <c r="V27" i="8"/>
  <c r="E27" i="8"/>
  <c r="E35" i="8" s="1"/>
  <c r="B27" i="8"/>
  <c r="B49" i="8" s="1"/>
  <c r="T35" i="8"/>
  <c r="F26" i="8"/>
  <c r="I26" i="8" s="1"/>
  <c r="B26" i="8"/>
  <c r="B48" i="8" s="1"/>
  <c r="V25" i="8"/>
  <c r="F25" i="8"/>
  <c r="I25" i="8" s="1"/>
  <c r="B25" i="8"/>
  <c r="B47" i="8" s="1"/>
  <c r="V24" i="8"/>
  <c r="F24" i="8"/>
  <c r="I24" i="8" s="1"/>
  <c r="B24" i="8"/>
  <c r="B46" i="8" s="1"/>
  <c r="V23" i="8"/>
  <c r="F23" i="8"/>
  <c r="I23" i="8" s="1"/>
  <c r="B23" i="8"/>
  <c r="B45" i="8" s="1"/>
  <c r="V22" i="8"/>
  <c r="F22" i="8"/>
  <c r="I22" i="8" s="1"/>
  <c r="B22" i="8"/>
  <c r="B44" i="8" s="1"/>
  <c r="X17" i="8"/>
  <c r="W17" i="8"/>
  <c r="T17" i="8"/>
  <c r="S17" i="8"/>
  <c r="R17" i="8"/>
  <c r="Q17" i="8"/>
  <c r="P17" i="8"/>
  <c r="L17" i="8"/>
  <c r="K17" i="8"/>
  <c r="J17" i="8"/>
  <c r="I17" i="8"/>
  <c r="H17" i="8"/>
  <c r="G17" i="8"/>
  <c r="U16" i="8"/>
  <c r="M16" i="8"/>
  <c r="F16" i="8"/>
  <c r="U15" i="8"/>
  <c r="M15" i="8"/>
  <c r="I55" i="8" s="1"/>
  <c r="N55" i="8" s="1"/>
  <c r="P55" i="8" s="1"/>
  <c r="F15" i="8"/>
  <c r="U14" i="8"/>
  <c r="M14" i="8"/>
  <c r="Y14" i="8" s="1"/>
  <c r="F14" i="8"/>
  <c r="U13" i="8"/>
  <c r="M13" i="8"/>
  <c r="F13" i="8"/>
  <c r="U12" i="8"/>
  <c r="M12" i="8"/>
  <c r="F12" i="8"/>
  <c r="U11" i="8"/>
  <c r="M11" i="8"/>
  <c r="F11" i="8"/>
  <c r="U10" i="8"/>
  <c r="M10" i="8"/>
  <c r="F10" i="8"/>
  <c r="U9" i="8"/>
  <c r="M9" i="8"/>
  <c r="E17" i="8"/>
  <c r="V8" i="8"/>
  <c r="U8" i="8"/>
  <c r="M8" i="8"/>
  <c r="F8" i="8"/>
  <c r="V7" i="8"/>
  <c r="U7" i="8"/>
  <c r="M7" i="8"/>
  <c r="F7" i="8"/>
  <c r="U6" i="8"/>
  <c r="M6" i="8"/>
  <c r="F6" i="8"/>
  <c r="U5" i="8"/>
  <c r="M5" i="8"/>
  <c r="F5" i="8"/>
  <c r="U4" i="8"/>
  <c r="F4" i="8"/>
  <c r="T48" i="7"/>
  <c r="T45" i="7"/>
  <c r="T44" i="7"/>
  <c r="V44" i="7" s="1"/>
  <c r="AC51" i="7"/>
  <c r="AC49" i="7"/>
  <c r="R50" i="7"/>
  <c r="R48" i="7"/>
  <c r="T50" i="7"/>
  <c r="S58" i="7"/>
  <c r="AA53" i="7"/>
  <c r="AA49" i="7"/>
  <c r="V47" i="7"/>
  <c r="L45" i="7"/>
  <c r="L48" i="7"/>
  <c r="L50" i="7"/>
  <c r="K49" i="7"/>
  <c r="G57" i="7"/>
  <c r="F56" i="7"/>
  <c r="F55" i="7"/>
  <c r="F54" i="7"/>
  <c r="F53" i="7"/>
  <c r="F52" i="7"/>
  <c r="F51" i="7"/>
  <c r="F50" i="7"/>
  <c r="E49" i="7"/>
  <c r="F49" i="7" s="1"/>
  <c r="D48" i="7"/>
  <c r="F48" i="7" s="1"/>
  <c r="F47" i="7"/>
  <c r="F46" i="7"/>
  <c r="F45" i="7"/>
  <c r="F44" i="7"/>
  <c r="C57" i="7"/>
  <c r="K35" i="7"/>
  <c r="T28" i="7"/>
  <c r="T26" i="7"/>
  <c r="L35" i="7"/>
  <c r="V17" i="8" l="1"/>
  <c r="Y12" i="8"/>
  <c r="I52" i="8"/>
  <c r="N52" i="8" s="1"/>
  <c r="P52" i="8" s="1"/>
  <c r="Y16" i="8"/>
  <c r="I56" i="8"/>
  <c r="N56" i="8" s="1"/>
  <c r="P56" i="8" s="1"/>
  <c r="J23" i="8"/>
  <c r="N23" i="8" s="1"/>
  <c r="P23" i="8" s="1"/>
  <c r="I45" i="8"/>
  <c r="N45" i="8" s="1"/>
  <c r="P45" i="8" s="1"/>
  <c r="J28" i="8"/>
  <c r="N28" i="8" s="1"/>
  <c r="P28" i="8" s="1"/>
  <c r="I50" i="8"/>
  <c r="N50" i="8" s="1"/>
  <c r="P50" i="8" s="1"/>
  <c r="J24" i="8"/>
  <c r="N24" i="8" s="1"/>
  <c r="P24" i="8" s="1"/>
  <c r="I46" i="8"/>
  <c r="N46" i="8" s="1"/>
  <c r="P46" i="8" s="1"/>
  <c r="J29" i="8"/>
  <c r="N29" i="8" s="1"/>
  <c r="P29" i="8" s="1"/>
  <c r="I51" i="8"/>
  <c r="N51" i="8" s="1"/>
  <c r="P51" i="8" s="1"/>
  <c r="F27" i="8"/>
  <c r="I27" i="8" s="1"/>
  <c r="I35" i="8" s="1"/>
  <c r="E57" i="7"/>
  <c r="J25" i="8"/>
  <c r="N25" i="8" s="1"/>
  <c r="P25" i="8" s="1"/>
  <c r="I47" i="8"/>
  <c r="N47" i="8" s="1"/>
  <c r="P47" i="8" s="1"/>
  <c r="J26" i="8"/>
  <c r="N26" i="8" s="1"/>
  <c r="P26" i="8" s="1"/>
  <c r="I48" i="8"/>
  <c r="N48" i="8" s="1"/>
  <c r="P48" i="8" s="1"/>
  <c r="J27" i="8"/>
  <c r="N27" i="8" s="1"/>
  <c r="P27" i="8" s="1"/>
  <c r="I49" i="8"/>
  <c r="J31" i="8"/>
  <c r="N31" i="8" s="1"/>
  <c r="P31" i="8" s="1"/>
  <c r="I53" i="8"/>
  <c r="N53" i="8" s="1"/>
  <c r="P53" i="8" s="1"/>
  <c r="J22" i="8"/>
  <c r="I44" i="8"/>
  <c r="Y15" i="8"/>
  <c r="U17" i="8"/>
  <c r="M17" i="8"/>
  <c r="Y4" i="8"/>
  <c r="Y5" i="8"/>
  <c r="Y6" i="8"/>
  <c r="Y9" i="8"/>
  <c r="Y10" i="8"/>
  <c r="Y11" i="8"/>
  <c r="Y13" i="8"/>
  <c r="D17" i="8"/>
  <c r="D35" i="8"/>
  <c r="F35" i="8"/>
  <c r="Y7" i="8"/>
  <c r="Y8" i="8"/>
  <c r="F9" i="8"/>
  <c r="F17" i="8" s="1"/>
  <c r="V26" i="8"/>
  <c r="V35" i="8" s="1"/>
  <c r="F57" i="7"/>
  <c r="N49" i="8" l="1"/>
  <c r="P49" i="8" s="1"/>
  <c r="I57" i="8"/>
  <c r="N44" i="8"/>
  <c r="J35" i="8"/>
  <c r="N22" i="8"/>
  <c r="Y17" i="8"/>
  <c r="D57" i="7"/>
  <c r="P44" i="8" l="1"/>
  <c r="P57" i="8" s="1"/>
  <c r="N57" i="8"/>
  <c r="N35" i="8"/>
  <c r="P22" i="8"/>
  <c r="P35" i="8" s="1"/>
  <c r="F34" i="7"/>
  <c r="F33" i="7"/>
  <c r="F32" i="7"/>
  <c r="F31" i="7"/>
  <c r="F30" i="7"/>
  <c r="F29" i="7"/>
  <c r="F28" i="7"/>
  <c r="E27" i="7"/>
  <c r="F27" i="7" s="1"/>
  <c r="D26" i="7"/>
  <c r="F26" i="7" s="1"/>
  <c r="F25" i="7"/>
  <c r="F24" i="7"/>
  <c r="F23" i="7"/>
  <c r="F22" i="7"/>
  <c r="V29" i="7"/>
  <c r="I29" i="7"/>
  <c r="B29" i="7"/>
  <c r="F35" i="7" l="1"/>
  <c r="U9" i="7"/>
  <c r="E9" i="7"/>
  <c r="D8" i="7"/>
  <c r="U11" i="7" l="1"/>
  <c r="M11" i="7"/>
  <c r="F11" i="7"/>
  <c r="J29" i="7" l="1"/>
  <c r="N29" i="7" s="1"/>
  <c r="P29" i="7" s="1"/>
  <c r="I51" i="7"/>
  <c r="N51" i="7" s="1"/>
  <c r="P51" i="7" s="1"/>
  <c r="Y11" i="7"/>
  <c r="V8" i="7" l="1"/>
  <c r="V7" i="7"/>
  <c r="K57" i="7" l="1"/>
  <c r="V56" i="7"/>
  <c r="H56" i="7"/>
  <c r="V55" i="7"/>
  <c r="H55" i="7"/>
  <c r="V54" i="7"/>
  <c r="N54" i="7"/>
  <c r="P54" i="7" s="1"/>
  <c r="H54" i="7"/>
  <c r="V53" i="7"/>
  <c r="H53" i="7"/>
  <c r="V52" i="7"/>
  <c r="H52" i="7"/>
  <c r="V50" i="7"/>
  <c r="H50" i="7"/>
  <c r="V49" i="7"/>
  <c r="H49" i="7"/>
  <c r="T57" i="7"/>
  <c r="U59" i="7" s="1"/>
  <c r="L57" i="7"/>
  <c r="H48" i="7"/>
  <c r="H47" i="7"/>
  <c r="V46" i="7"/>
  <c r="H46" i="7"/>
  <c r="V45" i="7"/>
  <c r="H45" i="7"/>
  <c r="H44" i="7"/>
  <c r="G35" i="7"/>
  <c r="E35" i="7"/>
  <c r="D35" i="7"/>
  <c r="C35" i="7"/>
  <c r="V34" i="7"/>
  <c r="P34" i="7"/>
  <c r="I34" i="7"/>
  <c r="B34" i="7"/>
  <c r="B56" i="7" s="1"/>
  <c r="V33" i="7"/>
  <c r="P33" i="7"/>
  <c r="I33" i="7"/>
  <c r="B33" i="7"/>
  <c r="B55" i="7" s="1"/>
  <c r="V32" i="7"/>
  <c r="N32" i="7"/>
  <c r="P32" i="7" s="1"/>
  <c r="V31" i="7"/>
  <c r="I31" i="7"/>
  <c r="B31" i="7"/>
  <c r="B53" i="7" s="1"/>
  <c r="V30" i="7"/>
  <c r="P30" i="7"/>
  <c r="I30" i="7"/>
  <c r="B30" i="7"/>
  <c r="B52" i="7" s="1"/>
  <c r="V28" i="7"/>
  <c r="I28" i="7"/>
  <c r="B28" i="7"/>
  <c r="B50" i="7" s="1"/>
  <c r="V27" i="7"/>
  <c r="I27" i="7"/>
  <c r="B27" i="7"/>
  <c r="B49" i="7" s="1"/>
  <c r="T35" i="7"/>
  <c r="I26" i="7"/>
  <c r="B26" i="7"/>
  <c r="B48" i="7" s="1"/>
  <c r="V25" i="7"/>
  <c r="I25" i="7"/>
  <c r="B25" i="7"/>
  <c r="B47" i="7" s="1"/>
  <c r="V24" i="7"/>
  <c r="I24" i="7"/>
  <c r="B24" i="7"/>
  <c r="B46" i="7" s="1"/>
  <c r="I23" i="7"/>
  <c r="B23" i="7"/>
  <c r="B45" i="7" s="1"/>
  <c r="V22" i="7"/>
  <c r="I22" i="7"/>
  <c r="B22" i="7"/>
  <c r="B44" i="7" s="1"/>
  <c r="X17" i="7"/>
  <c r="W17" i="7"/>
  <c r="V17" i="7"/>
  <c r="T17" i="7"/>
  <c r="S17" i="7"/>
  <c r="R17" i="7"/>
  <c r="Q17" i="7"/>
  <c r="P17" i="7"/>
  <c r="O17" i="7"/>
  <c r="N17" i="7"/>
  <c r="L17" i="7"/>
  <c r="K17" i="7"/>
  <c r="J17" i="7"/>
  <c r="I17" i="7"/>
  <c r="H17" i="7"/>
  <c r="H19" i="7" s="1"/>
  <c r="G17" i="7"/>
  <c r="D17" i="7"/>
  <c r="C17" i="7"/>
  <c r="U16" i="7"/>
  <c r="M16" i="7"/>
  <c r="I56" i="7" s="1"/>
  <c r="N56" i="7" s="1"/>
  <c r="P56" i="7" s="1"/>
  <c r="F16" i="7"/>
  <c r="U15" i="7"/>
  <c r="M15" i="7"/>
  <c r="I55" i="7" s="1"/>
  <c r="N55" i="7" s="1"/>
  <c r="P55" i="7" s="1"/>
  <c r="F15" i="7"/>
  <c r="U14" i="7"/>
  <c r="M14" i="7"/>
  <c r="F14" i="7"/>
  <c r="U13" i="7"/>
  <c r="M13" i="7"/>
  <c r="I53" i="7" s="1"/>
  <c r="N53" i="7" s="1"/>
  <c r="P53" i="7" s="1"/>
  <c r="F13" i="7"/>
  <c r="U12" i="7"/>
  <c r="M12" i="7"/>
  <c r="I52" i="7" s="1"/>
  <c r="N52" i="7" s="1"/>
  <c r="P52" i="7" s="1"/>
  <c r="F12" i="7"/>
  <c r="U10" i="7"/>
  <c r="M10" i="7"/>
  <c r="F10" i="7"/>
  <c r="M9" i="7"/>
  <c r="J27" i="7" s="1"/>
  <c r="N27" i="7" s="1"/>
  <c r="P27" i="7" s="1"/>
  <c r="F9" i="7"/>
  <c r="U8" i="7"/>
  <c r="M8" i="7"/>
  <c r="I48" i="7" s="1"/>
  <c r="N48" i="7" s="1"/>
  <c r="E17" i="7"/>
  <c r="U7" i="7"/>
  <c r="M7" i="7"/>
  <c r="F7" i="7"/>
  <c r="U6" i="7"/>
  <c r="M6" i="7"/>
  <c r="F6" i="7"/>
  <c r="U5" i="7"/>
  <c r="M5" i="7"/>
  <c r="F5" i="7"/>
  <c r="U4" i="7"/>
  <c r="M4" i="7"/>
  <c r="F4" i="7"/>
  <c r="L46" i="6"/>
  <c r="L48" i="6"/>
  <c r="L47" i="6"/>
  <c r="I47" i="7" l="1"/>
  <c r="N47" i="7" s="1"/>
  <c r="P47" i="7" s="1"/>
  <c r="I50" i="7"/>
  <c r="N50" i="7" s="1"/>
  <c r="P50" i="7" s="1"/>
  <c r="I45" i="7"/>
  <c r="N45" i="7" s="1"/>
  <c r="P45" i="7" s="1"/>
  <c r="J22" i="7"/>
  <c r="I44" i="7"/>
  <c r="Y6" i="7"/>
  <c r="Y14" i="7"/>
  <c r="I35" i="7"/>
  <c r="H57" i="7"/>
  <c r="R57" i="7"/>
  <c r="J24" i="7"/>
  <c r="N24" i="7" s="1"/>
  <c r="P24" i="7" s="1"/>
  <c r="I46" i="7"/>
  <c r="N46" i="7" s="1"/>
  <c r="P46" i="7" s="1"/>
  <c r="I49" i="7"/>
  <c r="U17" i="7"/>
  <c r="J23" i="7"/>
  <c r="N22" i="7"/>
  <c r="Y8" i="7"/>
  <c r="Y10" i="7"/>
  <c r="Y12" i="7"/>
  <c r="Y13" i="7"/>
  <c r="Y15" i="7"/>
  <c r="Y16" i="7"/>
  <c r="J26" i="7"/>
  <c r="N26" i="7" s="1"/>
  <c r="P26" i="7" s="1"/>
  <c r="J28" i="7"/>
  <c r="N28" i="7" s="1"/>
  <c r="P28" i="7" s="1"/>
  <c r="J31" i="7"/>
  <c r="N31" i="7" s="1"/>
  <c r="P31" i="7" s="1"/>
  <c r="V48" i="7"/>
  <c r="V57" i="7" s="1"/>
  <c r="Y4" i="7"/>
  <c r="Y5" i="7"/>
  <c r="Y7" i="7"/>
  <c r="F8" i="7"/>
  <c r="F17" i="7" s="1"/>
  <c r="Y9" i="7"/>
  <c r="M17" i="7"/>
  <c r="J25" i="7"/>
  <c r="N25" i="7" s="1"/>
  <c r="P25" i="7" s="1"/>
  <c r="V26" i="7"/>
  <c r="P48" i="7"/>
  <c r="L54" i="6"/>
  <c r="T46" i="6"/>
  <c r="T48" i="6"/>
  <c r="T54" i="6" s="1"/>
  <c r="R46" i="6"/>
  <c r="R48" i="6"/>
  <c r="O16" i="6"/>
  <c r="R54" i="6" l="1"/>
  <c r="N49" i="7"/>
  <c r="P49" i="7" s="1"/>
  <c r="I57" i="7"/>
  <c r="N44" i="7"/>
  <c r="N57" i="7" s="1"/>
  <c r="N23" i="7"/>
  <c r="P23" i="7" s="1"/>
  <c r="J35" i="7"/>
  <c r="R35" i="7"/>
  <c r="V23" i="7"/>
  <c r="V35" i="7" s="1"/>
  <c r="P22" i="7"/>
  <c r="Y17" i="7"/>
  <c r="T25" i="6"/>
  <c r="K25" i="6"/>
  <c r="K33" i="6" s="1"/>
  <c r="E8" i="6"/>
  <c r="D9" i="6"/>
  <c r="N35" i="7" l="1"/>
  <c r="P44" i="7"/>
  <c r="P57" i="7" s="1"/>
  <c r="P35" i="7"/>
  <c r="C16" i="6"/>
  <c r="E10" i="6" l="1"/>
  <c r="K54" i="6" l="1"/>
  <c r="G54" i="6"/>
  <c r="E54" i="6"/>
  <c r="D54" i="6"/>
  <c r="C54" i="6"/>
  <c r="V53" i="6"/>
  <c r="F53" i="6"/>
  <c r="H53" i="6" s="1"/>
  <c r="V52" i="6"/>
  <c r="F52" i="6"/>
  <c r="H52" i="6" s="1"/>
  <c r="V51" i="6"/>
  <c r="N51" i="6"/>
  <c r="P51" i="6" s="1"/>
  <c r="H51" i="6"/>
  <c r="V50" i="6"/>
  <c r="F50" i="6"/>
  <c r="H50" i="6" s="1"/>
  <c r="V49" i="6"/>
  <c r="F49" i="6"/>
  <c r="H49" i="6" s="1"/>
  <c r="V48" i="6"/>
  <c r="F48" i="6"/>
  <c r="H48" i="6" s="1"/>
  <c r="V47" i="6"/>
  <c r="F47" i="6"/>
  <c r="H47" i="6" s="1"/>
  <c r="V46" i="6"/>
  <c r="F46" i="6"/>
  <c r="H46" i="6" s="1"/>
  <c r="V45" i="6"/>
  <c r="F45" i="6"/>
  <c r="H45" i="6" s="1"/>
  <c r="V44" i="6"/>
  <c r="F44" i="6"/>
  <c r="H44" i="6" s="1"/>
  <c r="V43" i="6"/>
  <c r="F43" i="6"/>
  <c r="H43" i="6" s="1"/>
  <c r="V42" i="6"/>
  <c r="F42" i="6"/>
  <c r="T33" i="6"/>
  <c r="L33" i="6"/>
  <c r="G33" i="6"/>
  <c r="E33" i="6"/>
  <c r="D33" i="6"/>
  <c r="C33" i="6"/>
  <c r="V32" i="6"/>
  <c r="P32" i="6"/>
  <c r="F32" i="6"/>
  <c r="I32" i="6" s="1"/>
  <c r="B32" i="6"/>
  <c r="B53" i="6" s="1"/>
  <c r="V31" i="6"/>
  <c r="P31" i="6"/>
  <c r="F31" i="6"/>
  <c r="I31" i="6" s="1"/>
  <c r="B31" i="6"/>
  <c r="B52" i="6" s="1"/>
  <c r="V30" i="6"/>
  <c r="N30" i="6"/>
  <c r="P30" i="6" s="1"/>
  <c r="V29" i="6"/>
  <c r="F29" i="6"/>
  <c r="I29" i="6" s="1"/>
  <c r="B29" i="6"/>
  <c r="B50" i="6" s="1"/>
  <c r="V28" i="6"/>
  <c r="P28" i="6"/>
  <c r="F28" i="6"/>
  <c r="I28" i="6" s="1"/>
  <c r="B28" i="6"/>
  <c r="B49" i="6" s="1"/>
  <c r="V27" i="6"/>
  <c r="F27" i="6"/>
  <c r="I27" i="6" s="1"/>
  <c r="B27" i="6"/>
  <c r="B48" i="6" s="1"/>
  <c r="V26" i="6"/>
  <c r="F26" i="6"/>
  <c r="I26" i="6" s="1"/>
  <c r="B26" i="6"/>
  <c r="B47" i="6" s="1"/>
  <c r="V25" i="6"/>
  <c r="F25" i="6"/>
  <c r="I25" i="6" s="1"/>
  <c r="B25" i="6"/>
  <c r="B46" i="6" s="1"/>
  <c r="V24" i="6"/>
  <c r="F24" i="6"/>
  <c r="I24" i="6" s="1"/>
  <c r="B24" i="6"/>
  <c r="B45" i="6" s="1"/>
  <c r="V23" i="6"/>
  <c r="F23" i="6"/>
  <c r="I23" i="6" s="1"/>
  <c r="B23" i="6"/>
  <c r="B44" i="6" s="1"/>
  <c r="F22" i="6"/>
  <c r="I22" i="6" s="1"/>
  <c r="B22" i="6"/>
  <c r="B43" i="6" s="1"/>
  <c r="V21" i="6"/>
  <c r="F21" i="6"/>
  <c r="B21" i="6"/>
  <c r="B42" i="6" s="1"/>
  <c r="X16" i="6"/>
  <c r="W16" i="6"/>
  <c r="V16" i="6"/>
  <c r="T16" i="6"/>
  <c r="S16" i="6"/>
  <c r="R16" i="6"/>
  <c r="Q16" i="6"/>
  <c r="P16" i="6"/>
  <c r="N16" i="6"/>
  <c r="L16" i="6"/>
  <c r="K16" i="6"/>
  <c r="J16" i="6"/>
  <c r="I16" i="6"/>
  <c r="H16" i="6"/>
  <c r="G16" i="6"/>
  <c r="D16" i="6"/>
  <c r="U15" i="6"/>
  <c r="M15" i="6"/>
  <c r="I53" i="6" s="1"/>
  <c r="N53" i="6" s="1"/>
  <c r="P53" i="6" s="1"/>
  <c r="F15" i="6"/>
  <c r="U14" i="6"/>
  <c r="M14" i="6"/>
  <c r="I52" i="6" s="1"/>
  <c r="N52" i="6" s="1"/>
  <c r="P52" i="6" s="1"/>
  <c r="F14" i="6"/>
  <c r="U13" i="6"/>
  <c r="M13" i="6"/>
  <c r="F13" i="6"/>
  <c r="U12" i="6"/>
  <c r="M12" i="6"/>
  <c r="I50" i="6" s="1"/>
  <c r="F12" i="6"/>
  <c r="U11" i="6"/>
  <c r="M11" i="6"/>
  <c r="I49" i="6" s="1"/>
  <c r="N49" i="6" s="1"/>
  <c r="P49" i="6" s="1"/>
  <c r="F11" i="6"/>
  <c r="U10" i="6"/>
  <c r="M10" i="6"/>
  <c r="F10" i="6"/>
  <c r="U9" i="6"/>
  <c r="M9" i="6"/>
  <c r="F9" i="6"/>
  <c r="E16" i="6"/>
  <c r="U8" i="6"/>
  <c r="M8" i="6"/>
  <c r="F8" i="6"/>
  <c r="U7" i="6"/>
  <c r="M7" i="6"/>
  <c r="F7" i="6"/>
  <c r="U6" i="6"/>
  <c r="M6" i="6"/>
  <c r="F6" i="6"/>
  <c r="U5" i="6"/>
  <c r="M5" i="6"/>
  <c r="J22" i="6" s="1"/>
  <c r="F5" i="6"/>
  <c r="U4" i="6"/>
  <c r="M4" i="6"/>
  <c r="J21" i="6" s="1"/>
  <c r="F4" i="6"/>
  <c r="R47" i="5"/>
  <c r="R46" i="5"/>
  <c r="R48" i="5"/>
  <c r="J26" i="6" l="1"/>
  <c r="N26" i="6" s="1"/>
  <c r="P26" i="6" s="1"/>
  <c r="Y9" i="6"/>
  <c r="Y13" i="6"/>
  <c r="I45" i="6"/>
  <c r="N45" i="6" s="1"/>
  <c r="P45" i="6" s="1"/>
  <c r="J24" i="6"/>
  <c r="N24" i="6" s="1"/>
  <c r="P24" i="6" s="1"/>
  <c r="N50" i="6"/>
  <c r="P50" i="6" s="1"/>
  <c r="I48" i="6"/>
  <c r="N48" i="6" s="1"/>
  <c r="P48" i="6" s="1"/>
  <c r="J27" i="6"/>
  <c r="N27" i="6" s="1"/>
  <c r="P27" i="6" s="1"/>
  <c r="H42" i="6"/>
  <c r="H54" i="6" s="1"/>
  <c r="F54" i="6"/>
  <c r="Y6" i="6"/>
  <c r="V54" i="6"/>
  <c r="F33" i="6"/>
  <c r="Y8" i="6"/>
  <c r="U16" i="6"/>
  <c r="Y5" i="6"/>
  <c r="F16" i="6"/>
  <c r="N21" i="6"/>
  <c r="Y10" i="6"/>
  <c r="Y11" i="6"/>
  <c r="Y12" i="6"/>
  <c r="Y14" i="6"/>
  <c r="Y15" i="6"/>
  <c r="I21" i="6"/>
  <c r="I33" i="6" s="1"/>
  <c r="N22" i="6"/>
  <c r="J23" i="6"/>
  <c r="N23" i="6" s="1"/>
  <c r="P23" i="6" s="1"/>
  <c r="J25" i="6"/>
  <c r="N25" i="6" s="1"/>
  <c r="P25" i="6" s="1"/>
  <c r="J29" i="6"/>
  <c r="N29" i="6" s="1"/>
  <c r="P29" i="6" s="1"/>
  <c r="I42" i="6"/>
  <c r="I43" i="6"/>
  <c r="I44" i="6"/>
  <c r="N44" i="6" s="1"/>
  <c r="P44" i="6" s="1"/>
  <c r="I46" i="6"/>
  <c r="I47" i="6"/>
  <c r="N47" i="6" s="1"/>
  <c r="P47" i="6" s="1"/>
  <c r="Y4" i="6"/>
  <c r="Y7" i="6"/>
  <c r="M16" i="6"/>
  <c r="C16" i="5"/>
  <c r="F8" i="5"/>
  <c r="E9" i="5"/>
  <c r="N43" i="6" l="1"/>
  <c r="P43" i="6" s="1"/>
  <c r="N46" i="6"/>
  <c r="P46" i="6" s="1"/>
  <c r="I54" i="6"/>
  <c r="J33" i="6"/>
  <c r="R22" i="6"/>
  <c r="R33" i="6" s="1"/>
  <c r="P22" i="6"/>
  <c r="N42" i="6"/>
  <c r="P21" i="6"/>
  <c r="N33" i="6"/>
  <c r="Y16" i="6"/>
  <c r="T54" i="5"/>
  <c r="R54" i="5"/>
  <c r="P33" i="6" l="1"/>
  <c r="N54" i="6"/>
  <c r="P42" i="6"/>
  <c r="P54" i="6" s="1"/>
  <c r="V22" i="6"/>
  <c r="V33" i="6" s="1"/>
  <c r="L43" i="5"/>
  <c r="L42" i="5"/>
  <c r="G54" i="5"/>
  <c r="N30" i="5"/>
  <c r="G16" i="5"/>
  <c r="N16" i="5"/>
  <c r="W16" i="4" l="1"/>
  <c r="K54" i="5" l="1"/>
  <c r="E54" i="5"/>
  <c r="D54" i="5"/>
  <c r="C54" i="5"/>
  <c r="V53" i="5"/>
  <c r="F53" i="5"/>
  <c r="H53" i="5" s="1"/>
  <c r="V52" i="5"/>
  <c r="F52" i="5"/>
  <c r="H52" i="5" s="1"/>
  <c r="V51" i="5"/>
  <c r="N51" i="5"/>
  <c r="P51" i="5" s="1"/>
  <c r="H51" i="5"/>
  <c r="V50" i="5"/>
  <c r="F50" i="5"/>
  <c r="H50" i="5" s="1"/>
  <c r="V49" i="5"/>
  <c r="F49" i="5"/>
  <c r="H49" i="5" s="1"/>
  <c r="V48" i="5"/>
  <c r="P48" i="5"/>
  <c r="F48" i="5"/>
  <c r="H48" i="5" s="1"/>
  <c r="V47" i="5"/>
  <c r="P47" i="5"/>
  <c r="F47" i="5"/>
  <c r="H47" i="5" s="1"/>
  <c r="V46" i="5"/>
  <c r="F46" i="5"/>
  <c r="H46" i="5" s="1"/>
  <c r="V45" i="5"/>
  <c r="F45" i="5"/>
  <c r="H45" i="5" s="1"/>
  <c r="V44" i="5"/>
  <c r="F44" i="5"/>
  <c r="H44" i="5" s="1"/>
  <c r="V43" i="5"/>
  <c r="F43" i="5"/>
  <c r="H43" i="5" s="1"/>
  <c r="V42" i="5"/>
  <c r="L54" i="5"/>
  <c r="F42" i="5"/>
  <c r="T33" i="5"/>
  <c r="K33" i="5"/>
  <c r="G33" i="5"/>
  <c r="E33" i="5"/>
  <c r="D33" i="5"/>
  <c r="C33" i="5"/>
  <c r="V32" i="5"/>
  <c r="P32" i="5"/>
  <c r="F32" i="5"/>
  <c r="I32" i="5" s="1"/>
  <c r="B32" i="5"/>
  <c r="B53" i="5" s="1"/>
  <c r="V31" i="5"/>
  <c r="P31" i="5"/>
  <c r="F31" i="5"/>
  <c r="I31" i="5" s="1"/>
  <c r="B31" i="5"/>
  <c r="B52" i="5" s="1"/>
  <c r="V30" i="5"/>
  <c r="P30" i="5"/>
  <c r="V29" i="5"/>
  <c r="F29" i="5"/>
  <c r="I29" i="5" s="1"/>
  <c r="B29" i="5"/>
  <c r="B50" i="5" s="1"/>
  <c r="V28" i="5"/>
  <c r="P28" i="5"/>
  <c r="F28" i="5"/>
  <c r="I28" i="5" s="1"/>
  <c r="B28" i="5"/>
  <c r="B49" i="5" s="1"/>
  <c r="V27" i="5"/>
  <c r="F27" i="5"/>
  <c r="I27" i="5" s="1"/>
  <c r="B27" i="5"/>
  <c r="B48" i="5" s="1"/>
  <c r="V26" i="5"/>
  <c r="F26" i="5"/>
  <c r="I26" i="5" s="1"/>
  <c r="B26" i="5"/>
  <c r="B47" i="5" s="1"/>
  <c r="V25" i="5"/>
  <c r="L33" i="5"/>
  <c r="F25" i="5"/>
  <c r="I25" i="5" s="1"/>
  <c r="B25" i="5"/>
  <c r="B46" i="5" s="1"/>
  <c r="V24" i="5"/>
  <c r="F24" i="5"/>
  <c r="I24" i="5" s="1"/>
  <c r="B24" i="5"/>
  <c r="B45" i="5" s="1"/>
  <c r="V23" i="5"/>
  <c r="F23" i="5"/>
  <c r="I23" i="5" s="1"/>
  <c r="B23" i="5"/>
  <c r="B44" i="5" s="1"/>
  <c r="F22" i="5"/>
  <c r="I22" i="5" s="1"/>
  <c r="B22" i="5"/>
  <c r="B43" i="5" s="1"/>
  <c r="V21" i="5"/>
  <c r="F21" i="5"/>
  <c r="B21" i="5"/>
  <c r="B42" i="5" s="1"/>
  <c r="X16" i="5"/>
  <c r="W16" i="5"/>
  <c r="V16" i="5"/>
  <c r="T16" i="5"/>
  <c r="S16" i="5"/>
  <c r="R16" i="5"/>
  <c r="Q16" i="5"/>
  <c r="P16" i="5"/>
  <c r="O16" i="5"/>
  <c r="L16" i="5"/>
  <c r="K16" i="5"/>
  <c r="J16" i="5"/>
  <c r="I16" i="5"/>
  <c r="H16" i="5"/>
  <c r="E16" i="5"/>
  <c r="D16" i="5"/>
  <c r="U15" i="5"/>
  <c r="M15" i="5"/>
  <c r="I53" i="5" s="1"/>
  <c r="N53" i="5" s="1"/>
  <c r="P53" i="5" s="1"/>
  <c r="F15" i="5"/>
  <c r="U14" i="5"/>
  <c r="M14" i="5"/>
  <c r="F14" i="5"/>
  <c r="U13" i="5"/>
  <c r="M13" i="5"/>
  <c r="F13" i="5"/>
  <c r="U12" i="5"/>
  <c r="M12" i="5"/>
  <c r="I50" i="5" s="1"/>
  <c r="N50" i="5" s="1"/>
  <c r="P50" i="5" s="1"/>
  <c r="U11" i="5"/>
  <c r="M11" i="5"/>
  <c r="I49" i="5" s="1"/>
  <c r="N49" i="5" s="1"/>
  <c r="P49" i="5" s="1"/>
  <c r="F11" i="5"/>
  <c r="U10" i="5"/>
  <c r="M10" i="5"/>
  <c r="I48" i="5" s="1"/>
  <c r="F10" i="5"/>
  <c r="U9" i="5"/>
  <c r="M9" i="5"/>
  <c r="I47" i="5" s="1"/>
  <c r="F9" i="5"/>
  <c r="U8" i="5"/>
  <c r="M8" i="5"/>
  <c r="J25" i="5" s="1"/>
  <c r="N25" i="5" s="1"/>
  <c r="P25" i="5" s="1"/>
  <c r="U7" i="5"/>
  <c r="M7" i="5"/>
  <c r="I45" i="5" s="1"/>
  <c r="F7" i="5"/>
  <c r="U6" i="5"/>
  <c r="M6" i="5"/>
  <c r="F6" i="5"/>
  <c r="U5" i="5"/>
  <c r="M5" i="5"/>
  <c r="I43" i="5" s="1"/>
  <c r="N43" i="5" s="1"/>
  <c r="P43" i="5" s="1"/>
  <c r="F5" i="5"/>
  <c r="U4" i="5"/>
  <c r="M4" i="5"/>
  <c r="I42" i="5" s="1"/>
  <c r="F4" i="5"/>
  <c r="N51" i="4"/>
  <c r="N50" i="4"/>
  <c r="M15" i="4"/>
  <c r="M14" i="4"/>
  <c r="F15" i="4"/>
  <c r="F14" i="4"/>
  <c r="F28" i="4"/>
  <c r="K52" i="4"/>
  <c r="T45" i="4"/>
  <c r="T46" i="4"/>
  <c r="R46" i="4"/>
  <c r="R45" i="4"/>
  <c r="R48" i="4"/>
  <c r="Y13" i="5" l="1"/>
  <c r="N45" i="5"/>
  <c r="P45" i="5" s="1"/>
  <c r="Y14" i="5"/>
  <c r="I52" i="5"/>
  <c r="N52" i="5" s="1"/>
  <c r="P52" i="5" s="1"/>
  <c r="V54" i="5"/>
  <c r="F54" i="5"/>
  <c r="Y6" i="5"/>
  <c r="F33" i="5"/>
  <c r="Y15" i="5"/>
  <c r="U16" i="5"/>
  <c r="N42" i="5"/>
  <c r="P42" i="5" s="1"/>
  <c r="Y12" i="5"/>
  <c r="I21" i="5"/>
  <c r="I33" i="5" s="1"/>
  <c r="J22" i="5"/>
  <c r="N22" i="5" s="1"/>
  <c r="J23" i="5"/>
  <c r="J26" i="5"/>
  <c r="N26" i="5" s="1"/>
  <c r="P26" i="5" s="1"/>
  <c r="J27" i="5"/>
  <c r="N27" i="5" s="1"/>
  <c r="P27" i="5" s="1"/>
  <c r="J29" i="5"/>
  <c r="N29" i="5" s="1"/>
  <c r="P29" i="5" s="1"/>
  <c r="H42" i="5"/>
  <c r="H54" i="5" s="1"/>
  <c r="I44" i="5"/>
  <c r="N44" i="5" s="1"/>
  <c r="P44" i="5" s="1"/>
  <c r="I46" i="5"/>
  <c r="N46" i="5" s="1"/>
  <c r="P46" i="5" s="1"/>
  <c r="Y4" i="5"/>
  <c r="Y5" i="5"/>
  <c r="Y7" i="5"/>
  <c r="Y8" i="5"/>
  <c r="Y9" i="5"/>
  <c r="Y10" i="5"/>
  <c r="Y11" i="5"/>
  <c r="F12" i="5"/>
  <c r="F16" i="5" s="1"/>
  <c r="M16" i="5"/>
  <c r="J21" i="5"/>
  <c r="J24" i="5"/>
  <c r="N24" i="5" s="1"/>
  <c r="P24" i="5" s="1"/>
  <c r="L40" i="4"/>
  <c r="I54" i="5" l="1"/>
  <c r="N23" i="5"/>
  <c r="P23" i="5" s="1"/>
  <c r="J33" i="5"/>
  <c r="N21" i="5"/>
  <c r="Y16" i="5"/>
  <c r="R22" i="5"/>
  <c r="P22" i="5"/>
  <c r="N54" i="5"/>
  <c r="P54" i="5"/>
  <c r="R33" i="5" l="1"/>
  <c r="V22" i="5"/>
  <c r="V33" i="5" s="1"/>
  <c r="N33" i="5"/>
  <c r="P21" i="5"/>
  <c r="P33" i="5" s="1"/>
  <c r="P27" i="4"/>
  <c r="X16" i="4" l="1"/>
  <c r="N16" i="4" l="1"/>
  <c r="C12" i="4" l="1"/>
  <c r="F12" i="4" s="1"/>
  <c r="G52" i="4" l="1"/>
  <c r="E52" i="4"/>
  <c r="D52" i="4"/>
  <c r="C52" i="4"/>
  <c r="P51" i="4"/>
  <c r="F51" i="4"/>
  <c r="H51" i="4" s="1"/>
  <c r="P50" i="4"/>
  <c r="F50" i="4"/>
  <c r="H50" i="4" s="1"/>
  <c r="V49" i="4"/>
  <c r="N49" i="4"/>
  <c r="P49" i="4" s="1"/>
  <c r="H49" i="4"/>
  <c r="V48" i="4"/>
  <c r="F48" i="4"/>
  <c r="H48" i="4" s="1"/>
  <c r="F47" i="4"/>
  <c r="H47" i="4" s="1"/>
  <c r="V46" i="4"/>
  <c r="F46" i="4"/>
  <c r="H46" i="4" s="1"/>
  <c r="T52" i="4"/>
  <c r="V45" i="4"/>
  <c r="L52" i="4"/>
  <c r="F45" i="4"/>
  <c r="H45" i="4" s="1"/>
  <c r="V44" i="4"/>
  <c r="F44" i="4"/>
  <c r="H44" i="4" s="1"/>
  <c r="V43" i="4"/>
  <c r="F43" i="4"/>
  <c r="H43" i="4" s="1"/>
  <c r="V42" i="4"/>
  <c r="F42" i="4"/>
  <c r="H42" i="4" s="1"/>
  <c r="V41" i="4"/>
  <c r="F41" i="4"/>
  <c r="H41" i="4" s="1"/>
  <c r="V40" i="4"/>
  <c r="F40" i="4"/>
  <c r="T33" i="4"/>
  <c r="G33" i="4"/>
  <c r="E33" i="4"/>
  <c r="D33" i="4"/>
  <c r="C33" i="4"/>
  <c r="V32" i="4"/>
  <c r="P32" i="4"/>
  <c r="F32" i="4"/>
  <c r="I32" i="4" s="1"/>
  <c r="B32" i="4"/>
  <c r="B51" i="4" s="1"/>
  <c r="V31" i="4"/>
  <c r="P31" i="4"/>
  <c r="F31" i="4"/>
  <c r="I31" i="4" s="1"/>
  <c r="B31" i="4"/>
  <c r="B50" i="4" s="1"/>
  <c r="V30" i="4"/>
  <c r="N30" i="4"/>
  <c r="P30" i="4" s="1"/>
  <c r="V29" i="4"/>
  <c r="F29" i="4"/>
  <c r="I29" i="4" s="1"/>
  <c r="B29" i="4"/>
  <c r="B48" i="4" s="1"/>
  <c r="V28" i="4"/>
  <c r="I28" i="4"/>
  <c r="B28" i="4"/>
  <c r="B47" i="4" s="1"/>
  <c r="V27" i="4"/>
  <c r="F27" i="4"/>
  <c r="I27" i="4" s="1"/>
  <c r="B27" i="4"/>
  <c r="B46" i="4" s="1"/>
  <c r="F26" i="4"/>
  <c r="I26" i="4" s="1"/>
  <c r="B26" i="4"/>
  <c r="B45" i="4" s="1"/>
  <c r="V25" i="4"/>
  <c r="L25" i="4"/>
  <c r="L33" i="4" s="1"/>
  <c r="F25" i="4"/>
  <c r="I25" i="4" s="1"/>
  <c r="B25" i="4"/>
  <c r="B44" i="4" s="1"/>
  <c r="V24" i="4"/>
  <c r="F24" i="4"/>
  <c r="I24" i="4" s="1"/>
  <c r="B24" i="4"/>
  <c r="B43" i="4" s="1"/>
  <c r="V23" i="4"/>
  <c r="K33" i="4"/>
  <c r="F23" i="4"/>
  <c r="I23" i="4" s="1"/>
  <c r="B23" i="4"/>
  <c r="B42" i="4" s="1"/>
  <c r="F22" i="4"/>
  <c r="I22" i="4" s="1"/>
  <c r="B22" i="4"/>
  <c r="B41" i="4" s="1"/>
  <c r="V21" i="4"/>
  <c r="F21" i="4"/>
  <c r="B21" i="4"/>
  <c r="B40" i="4" s="1"/>
  <c r="V16" i="4"/>
  <c r="T16" i="4"/>
  <c r="S16" i="4"/>
  <c r="R16" i="4"/>
  <c r="Q16" i="4"/>
  <c r="P16" i="4"/>
  <c r="I16" i="4"/>
  <c r="E16" i="4"/>
  <c r="D16" i="4"/>
  <c r="C16" i="4"/>
  <c r="U15" i="4"/>
  <c r="Y15" i="4" s="1"/>
  <c r="U14" i="4"/>
  <c r="Y14" i="4" s="1"/>
  <c r="U13" i="4"/>
  <c r="M13" i="4"/>
  <c r="F13" i="4"/>
  <c r="U12" i="4"/>
  <c r="M12" i="4"/>
  <c r="J29" i="4" s="1"/>
  <c r="P29" i="4" s="1"/>
  <c r="U11" i="4"/>
  <c r="M11" i="4"/>
  <c r="J28" i="4" s="1"/>
  <c r="P28" i="4" s="1"/>
  <c r="F11" i="4"/>
  <c r="U10" i="4"/>
  <c r="M10" i="4"/>
  <c r="F10" i="4"/>
  <c r="U9" i="4"/>
  <c r="M9" i="4"/>
  <c r="I45" i="4" s="1"/>
  <c r="F9" i="4"/>
  <c r="U8" i="4"/>
  <c r="M8" i="4"/>
  <c r="I44" i="4" s="1"/>
  <c r="N44" i="4" s="1"/>
  <c r="P44" i="4" s="1"/>
  <c r="F8" i="4"/>
  <c r="U7" i="4"/>
  <c r="M7" i="4"/>
  <c r="J24" i="4" s="1"/>
  <c r="P24" i="4" s="1"/>
  <c r="F7" i="4"/>
  <c r="O16" i="4"/>
  <c r="L16" i="4"/>
  <c r="K16" i="4"/>
  <c r="J16" i="4"/>
  <c r="M6" i="4"/>
  <c r="G16" i="4"/>
  <c r="F6" i="4"/>
  <c r="U5" i="4"/>
  <c r="M5" i="4"/>
  <c r="I41" i="4" s="1"/>
  <c r="N41" i="4" s="1"/>
  <c r="P41" i="4" s="1"/>
  <c r="F5" i="4"/>
  <c r="U4" i="4"/>
  <c r="M4" i="4"/>
  <c r="J21" i="4" s="1"/>
  <c r="F4" i="4"/>
  <c r="N30" i="3"/>
  <c r="P30" i="3" s="1"/>
  <c r="K29" i="3"/>
  <c r="K23" i="3"/>
  <c r="K33" i="3" s="1"/>
  <c r="L25" i="3"/>
  <c r="L33" i="3" s="1"/>
  <c r="L33" i="1"/>
  <c r="K46" i="1"/>
  <c r="K45" i="1"/>
  <c r="K52" i="1" s="1"/>
  <c r="L52" i="1"/>
  <c r="T45" i="1"/>
  <c r="R45" i="1"/>
  <c r="T46" i="1"/>
  <c r="G52" i="1"/>
  <c r="R46" i="1"/>
  <c r="Y13" i="4" l="1"/>
  <c r="V50" i="4"/>
  <c r="F52" i="4"/>
  <c r="M16" i="4"/>
  <c r="J23" i="4"/>
  <c r="N23" i="4" s="1"/>
  <c r="P23" i="4" s="1"/>
  <c r="I46" i="4"/>
  <c r="P46" i="4" s="1"/>
  <c r="Y9" i="4"/>
  <c r="F33" i="4"/>
  <c r="F16" i="4"/>
  <c r="I42" i="4"/>
  <c r="N42" i="4" s="1"/>
  <c r="P42" i="4" s="1"/>
  <c r="N21" i="4"/>
  <c r="Y4" i="4"/>
  <c r="Y5" i="4"/>
  <c r="U6" i="4"/>
  <c r="U16" i="4" s="1"/>
  <c r="Y8" i="4"/>
  <c r="Y10" i="4"/>
  <c r="Y11" i="4"/>
  <c r="Y12" i="4"/>
  <c r="H16" i="4"/>
  <c r="I21" i="4"/>
  <c r="I33" i="4" s="1"/>
  <c r="J22" i="4"/>
  <c r="N22" i="4" s="1"/>
  <c r="J25" i="4"/>
  <c r="J26" i="4"/>
  <c r="J27" i="4"/>
  <c r="I40" i="4"/>
  <c r="I43" i="4"/>
  <c r="N43" i="4" s="1"/>
  <c r="P43" i="4" s="1"/>
  <c r="I47" i="4"/>
  <c r="N47" i="4" s="1"/>
  <c r="I48" i="4"/>
  <c r="N48" i="4" s="1"/>
  <c r="P48" i="4" s="1"/>
  <c r="V51" i="4"/>
  <c r="Y7" i="4"/>
  <c r="P25" i="4"/>
  <c r="H40" i="4"/>
  <c r="H52" i="4" s="1"/>
  <c r="P45" i="4"/>
  <c r="V21" i="1"/>
  <c r="N30" i="1"/>
  <c r="P30" i="1" s="1"/>
  <c r="V30" i="1"/>
  <c r="L46" i="3"/>
  <c r="L45" i="3"/>
  <c r="R46" i="3"/>
  <c r="R45" i="3"/>
  <c r="R42" i="3"/>
  <c r="R28" i="3"/>
  <c r="R23" i="3"/>
  <c r="V30" i="3"/>
  <c r="V40" i="3"/>
  <c r="J33" i="4" l="1"/>
  <c r="P21" i="4"/>
  <c r="N33" i="4"/>
  <c r="Y6" i="4"/>
  <c r="Y16" i="4" s="1"/>
  <c r="P47" i="4"/>
  <c r="N40" i="4"/>
  <c r="N52" i="4" s="1"/>
  <c r="I52" i="4"/>
  <c r="V26" i="4"/>
  <c r="P26" i="4"/>
  <c r="R22" i="4"/>
  <c r="P22" i="4"/>
  <c r="C33" i="3"/>
  <c r="V47" i="4" l="1"/>
  <c r="V52" i="4" s="1"/>
  <c r="R52" i="4"/>
  <c r="P33" i="4"/>
  <c r="R33" i="4"/>
  <c r="V22" i="4"/>
  <c r="V33" i="4" s="1"/>
  <c r="P40" i="4"/>
  <c r="P52" i="4" s="1"/>
  <c r="G52" i="3"/>
  <c r="E52" i="3"/>
  <c r="D52" i="3"/>
  <c r="C52" i="3"/>
  <c r="V49" i="3" l="1"/>
  <c r="T46" i="3"/>
  <c r="T45" i="3"/>
  <c r="N49" i="3"/>
  <c r="P49" i="3" s="1"/>
  <c r="T52" i="3" l="1"/>
  <c r="S16" i="3"/>
  <c r="Q16" i="3"/>
  <c r="O6" i="3" l="1"/>
  <c r="O16" i="3" s="1"/>
  <c r="N6" i="3"/>
  <c r="N16" i="3" s="1"/>
  <c r="L6" i="3"/>
  <c r="K6" i="3"/>
  <c r="K16" i="3" s="1"/>
  <c r="J6" i="3"/>
  <c r="J16" i="3" s="1"/>
  <c r="H6" i="3"/>
  <c r="H16" i="3" s="1"/>
  <c r="G6" i="3"/>
  <c r="L52" i="3"/>
  <c r="N51" i="3"/>
  <c r="P51" i="3" s="1"/>
  <c r="F51" i="3"/>
  <c r="H51" i="3" s="1"/>
  <c r="N50" i="3"/>
  <c r="R50" i="3" s="1"/>
  <c r="V50" i="3" s="1"/>
  <c r="F50" i="3"/>
  <c r="H50" i="3" s="1"/>
  <c r="H49" i="3"/>
  <c r="F48" i="3"/>
  <c r="H48" i="3" s="1"/>
  <c r="F47" i="3"/>
  <c r="H47" i="3" s="1"/>
  <c r="F46" i="3"/>
  <c r="H46" i="3" s="1"/>
  <c r="F45" i="3"/>
  <c r="H45" i="3" s="1"/>
  <c r="F44" i="3"/>
  <c r="H44" i="3" s="1"/>
  <c r="F43" i="3"/>
  <c r="H43" i="3" s="1"/>
  <c r="F42" i="3"/>
  <c r="H42" i="3" s="1"/>
  <c r="F41" i="3"/>
  <c r="H41" i="3" s="1"/>
  <c r="F40" i="3"/>
  <c r="H40" i="3" s="1"/>
  <c r="T33" i="3"/>
  <c r="G33" i="3"/>
  <c r="E33" i="3"/>
  <c r="D33" i="3"/>
  <c r="V32" i="3"/>
  <c r="N32" i="3"/>
  <c r="P32" i="3" s="1"/>
  <c r="F32" i="3"/>
  <c r="I32" i="3" s="1"/>
  <c r="B32" i="3"/>
  <c r="B51" i="3" s="1"/>
  <c r="V31" i="3"/>
  <c r="N31" i="3"/>
  <c r="P31" i="3" s="1"/>
  <c r="F31" i="3"/>
  <c r="I31" i="3" s="1"/>
  <c r="B31" i="3"/>
  <c r="B50" i="3" s="1"/>
  <c r="F29" i="3"/>
  <c r="I29" i="3" s="1"/>
  <c r="B29" i="3"/>
  <c r="B48" i="3" s="1"/>
  <c r="F28" i="3"/>
  <c r="I28" i="3" s="1"/>
  <c r="B28" i="3"/>
  <c r="B47" i="3" s="1"/>
  <c r="F27" i="3"/>
  <c r="I27" i="3" s="1"/>
  <c r="B27" i="3"/>
  <c r="B46" i="3" s="1"/>
  <c r="B26" i="3"/>
  <c r="B45" i="3" s="1"/>
  <c r="F25" i="3"/>
  <c r="I25" i="3" s="1"/>
  <c r="B25" i="3"/>
  <c r="B44" i="3" s="1"/>
  <c r="F24" i="3"/>
  <c r="I24" i="3" s="1"/>
  <c r="B24" i="3"/>
  <c r="B43" i="3" s="1"/>
  <c r="F23" i="3"/>
  <c r="I23" i="3" s="1"/>
  <c r="B23" i="3"/>
  <c r="B42" i="3" s="1"/>
  <c r="F22" i="3"/>
  <c r="I22" i="3" s="1"/>
  <c r="B22" i="3"/>
  <c r="B41" i="3" s="1"/>
  <c r="F21" i="3"/>
  <c r="B21" i="3"/>
  <c r="B40" i="3" s="1"/>
  <c r="X16" i="3"/>
  <c r="V16" i="3"/>
  <c r="T16" i="3"/>
  <c r="R16" i="3"/>
  <c r="P16" i="3"/>
  <c r="I16" i="3"/>
  <c r="E16" i="3"/>
  <c r="D16" i="3"/>
  <c r="C16" i="3"/>
  <c r="U15" i="3"/>
  <c r="Y15" i="3" s="1"/>
  <c r="U14" i="3"/>
  <c r="Y14" i="3" s="1"/>
  <c r="U13" i="3"/>
  <c r="M13" i="3"/>
  <c r="F13" i="3"/>
  <c r="U12" i="3"/>
  <c r="M12" i="3"/>
  <c r="I48" i="3" s="1"/>
  <c r="N48" i="3" s="1"/>
  <c r="F12" i="3"/>
  <c r="U11" i="3"/>
  <c r="M11" i="3"/>
  <c r="I47" i="3" s="1"/>
  <c r="N47" i="3" s="1"/>
  <c r="F11" i="3"/>
  <c r="W10" i="3"/>
  <c r="U10" i="3"/>
  <c r="M10" i="3"/>
  <c r="I46" i="3" s="1"/>
  <c r="N46" i="3" s="1"/>
  <c r="P46" i="3" s="1"/>
  <c r="F10" i="3"/>
  <c r="W9" i="3"/>
  <c r="U9" i="3"/>
  <c r="M9" i="3"/>
  <c r="F9" i="3"/>
  <c r="W8" i="3"/>
  <c r="W16" i="3" s="1"/>
  <c r="U8" i="3"/>
  <c r="M8" i="3"/>
  <c r="F8" i="3"/>
  <c r="U7" i="3"/>
  <c r="M7" i="3"/>
  <c r="F7" i="3"/>
  <c r="L16" i="3"/>
  <c r="G16" i="3"/>
  <c r="F6" i="3"/>
  <c r="U5" i="3"/>
  <c r="M5" i="3"/>
  <c r="I41" i="3" s="1"/>
  <c r="N41" i="3" s="1"/>
  <c r="F5" i="3"/>
  <c r="U4" i="3"/>
  <c r="M4" i="3"/>
  <c r="J21" i="3" s="1"/>
  <c r="F4" i="3"/>
  <c r="H49" i="1"/>
  <c r="C45" i="1"/>
  <c r="F45" i="1" s="1"/>
  <c r="F40" i="1"/>
  <c r="F41" i="1"/>
  <c r="F42" i="1"/>
  <c r="F43" i="1"/>
  <c r="F44" i="1"/>
  <c r="F46" i="1"/>
  <c r="F47" i="1"/>
  <c r="F48" i="1"/>
  <c r="F50" i="1"/>
  <c r="F51" i="1"/>
  <c r="N21" i="3" l="1"/>
  <c r="I43" i="3"/>
  <c r="N43" i="3" s="1"/>
  <c r="J24" i="3"/>
  <c r="N24" i="3" s="1"/>
  <c r="I40" i="3"/>
  <c r="N40" i="3" s="1"/>
  <c r="F16" i="3"/>
  <c r="M6" i="3"/>
  <c r="I42" i="3" s="1"/>
  <c r="N42" i="3" s="1"/>
  <c r="H52" i="3"/>
  <c r="F52" i="3"/>
  <c r="Y13" i="3"/>
  <c r="I44" i="3"/>
  <c r="N44" i="3" s="1"/>
  <c r="Y9" i="3"/>
  <c r="P41" i="3"/>
  <c r="V41" i="3"/>
  <c r="J23" i="3"/>
  <c r="N23" i="3" s="1"/>
  <c r="V46" i="3"/>
  <c r="R47" i="3"/>
  <c r="P47" i="3"/>
  <c r="P43" i="3"/>
  <c r="V43" i="3"/>
  <c r="V48" i="3"/>
  <c r="P48" i="3"/>
  <c r="Y4" i="3"/>
  <c r="Y5" i="3"/>
  <c r="U6" i="3"/>
  <c r="U16" i="3" s="1"/>
  <c r="Y8" i="3"/>
  <c r="Y10" i="3"/>
  <c r="Y11" i="3"/>
  <c r="Y12" i="3"/>
  <c r="I21" i="3"/>
  <c r="F26" i="3"/>
  <c r="I26" i="3" s="1"/>
  <c r="J26" i="3"/>
  <c r="N26" i="3" s="1"/>
  <c r="J27" i="3"/>
  <c r="N27" i="3" s="1"/>
  <c r="J28" i="3"/>
  <c r="N28" i="3" s="1"/>
  <c r="J29" i="3"/>
  <c r="N29" i="3" s="1"/>
  <c r="I45" i="3"/>
  <c r="N45" i="3" s="1"/>
  <c r="P50" i="3"/>
  <c r="R51" i="3"/>
  <c r="V51" i="3" s="1"/>
  <c r="Y7" i="3"/>
  <c r="M16" i="3"/>
  <c r="J22" i="3"/>
  <c r="N22" i="3" s="1"/>
  <c r="J25" i="3"/>
  <c r="N25" i="3" s="1"/>
  <c r="U13" i="1"/>
  <c r="M13" i="1"/>
  <c r="F13" i="1"/>
  <c r="C16" i="1"/>
  <c r="C26" i="1"/>
  <c r="C33" i="1" s="1"/>
  <c r="E33" i="1"/>
  <c r="D33" i="1"/>
  <c r="N33" i="3" l="1"/>
  <c r="P21" i="3"/>
  <c r="J33" i="3"/>
  <c r="I52" i="3"/>
  <c r="V44" i="3"/>
  <c r="P44" i="3"/>
  <c r="V47" i="3"/>
  <c r="R52" i="3"/>
  <c r="N52" i="3"/>
  <c r="I33" i="3"/>
  <c r="P25" i="3"/>
  <c r="V25" i="3"/>
  <c r="V45" i="3"/>
  <c r="P45" i="3"/>
  <c r="R26" i="3"/>
  <c r="V26" i="3" s="1"/>
  <c r="P26" i="3"/>
  <c r="P24" i="3"/>
  <c r="V24" i="3"/>
  <c r="V29" i="3"/>
  <c r="P29" i="3"/>
  <c r="V27" i="3"/>
  <c r="P27" i="3"/>
  <c r="P40" i="3"/>
  <c r="P42" i="3"/>
  <c r="V42" i="3"/>
  <c r="F33" i="3"/>
  <c r="Y6" i="3"/>
  <c r="Y16" i="3" s="1"/>
  <c r="P22" i="3"/>
  <c r="R22" i="3"/>
  <c r="V22" i="3" s="1"/>
  <c r="V28" i="3"/>
  <c r="P28" i="3"/>
  <c r="P23" i="3"/>
  <c r="V23" i="3"/>
  <c r="Y13" i="1"/>
  <c r="V52" i="3" l="1"/>
  <c r="P52" i="3"/>
  <c r="P33" i="3"/>
  <c r="F22" i="1"/>
  <c r="F23" i="1"/>
  <c r="F24" i="1"/>
  <c r="F25" i="1"/>
  <c r="F26" i="1"/>
  <c r="F27" i="1"/>
  <c r="F28" i="1"/>
  <c r="F29" i="1"/>
  <c r="F31" i="1"/>
  <c r="F32" i="1"/>
  <c r="F21" i="1"/>
  <c r="F15" i="1"/>
  <c r="F14" i="1"/>
  <c r="F12" i="1"/>
  <c r="F11" i="1"/>
  <c r="F10" i="1"/>
  <c r="F9" i="1"/>
  <c r="F8" i="1"/>
  <c r="F7" i="1"/>
  <c r="E16" i="1"/>
  <c r="D16" i="1"/>
  <c r="F5" i="1"/>
  <c r="F6" i="1"/>
  <c r="F4" i="1"/>
  <c r="F33" i="1" l="1"/>
  <c r="R33" i="3"/>
  <c r="V21" i="3"/>
  <c r="V33" i="3" s="1"/>
  <c r="N51" i="1"/>
  <c r="R51" i="1" s="1"/>
  <c r="V51" i="1" s="1"/>
  <c r="N50" i="1"/>
  <c r="R50" i="1" s="1"/>
  <c r="T52" i="1"/>
  <c r="T33" i="1"/>
  <c r="V32" i="1"/>
  <c r="V31" i="1"/>
  <c r="P31" i="1"/>
  <c r="G33" i="1"/>
  <c r="I32" i="1"/>
  <c r="B32" i="1"/>
  <c r="B51" i="1" s="1"/>
  <c r="B31" i="1"/>
  <c r="B50" i="1" s="1"/>
  <c r="B29" i="1"/>
  <c r="B48" i="1" s="1"/>
  <c r="I31" i="1"/>
  <c r="I29" i="1"/>
  <c r="I28" i="1"/>
  <c r="I27" i="1"/>
  <c r="I26" i="1"/>
  <c r="I25" i="1"/>
  <c r="I24" i="1"/>
  <c r="I23" i="1"/>
  <c r="B28" i="1"/>
  <c r="B47" i="1" s="1"/>
  <c r="B27" i="1"/>
  <c r="B46" i="1" s="1"/>
  <c r="B26" i="1"/>
  <c r="B45" i="1" s="1"/>
  <c r="B25" i="1"/>
  <c r="B44" i="1" s="1"/>
  <c r="B24" i="1"/>
  <c r="B43" i="1" s="1"/>
  <c r="B23" i="1"/>
  <c r="B42" i="1" s="1"/>
  <c r="I22" i="1"/>
  <c r="B22" i="1"/>
  <c r="B41" i="1" s="1"/>
  <c r="B21" i="1"/>
  <c r="B40" i="1" s="1"/>
  <c r="X16" i="1"/>
  <c r="V16" i="1"/>
  <c r="T16" i="1"/>
  <c r="S16" i="1"/>
  <c r="R16" i="1"/>
  <c r="Q16" i="1"/>
  <c r="P16" i="1"/>
  <c r="I16" i="1"/>
  <c r="F16" i="1"/>
  <c r="U15" i="1"/>
  <c r="Y15" i="1" s="1"/>
  <c r="U14" i="1"/>
  <c r="U12" i="1"/>
  <c r="M12" i="1"/>
  <c r="I48" i="1" s="1"/>
  <c r="N48" i="1" s="1"/>
  <c r="U11" i="1"/>
  <c r="M11" i="1"/>
  <c r="I47" i="1" s="1"/>
  <c r="N47" i="1" s="1"/>
  <c r="R47" i="1" s="1"/>
  <c r="W10" i="1"/>
  <c r="U10" i="1"/>
  <c r="M10" i="1"/>
  <c r="I46" i="1" s="1"/>
  <c r="N46" i="1" s="1"/>
  <c r="W9" i="1"/>
  <c r="U9" i="1"/>
  <c r="M9" i="1"/>
  <c r="I45" i="1" s="1"/>
  <c r="N45" i="1" s="1"/>
  <c r="W8" i="1"/>
  <c r="U8" i="1"/>
  <c r="M8" i="1"/>
  <c r="I44" i="1" s="1"/>
  <c r="N44" i="1" s="1"/>
  <c r="U7" i="1"/>
  <c r="M7" i="1"/>
  <c r="J24" i="1" s="1"/>
  <c r="N24" i="1" s="1"/>
  <c r="O6" i="1"/>
  <c r="O16" i="1" s="1"/>
  <c r="N6" i="1"/>
  <c r="N16" i="1" s="1"/>
  <c r="L6" i="1"/>
  <c r="L16" i="1" s="1"/>
  <c r="K6" i="1"/>
  <c r="K16" i="1" s="1"/>
  <c r="J6" i="1"/>
  <c r="J16" i="1" s="1"/>
  <c r="H6" i="1"/>
  <c r="G6" i="1"/>
  <c r="G16" i="1" s="1"/>
  <c r="U5" i="1"/>
  <c r="M5" i="1"/>
  <c r="I41" i="1" s="1"/>
  <c r="U4" i="1"/>
  <c r="M4" i="1"/>
  <c r="I40" i="1" s="1"/>
  <c r="N40" i="1" l="1"/>
  <c r="P40" i="1" s="1"/>
  <c r="H40" i="1"/>
  <c r="N41" i="1"/>
  <c r="I43" i="1"/>
  <c r="N43" i="1" s="1"/>
  <c r="V43" i="1" s="1"/>
  <c r="H47" i="1"/>
  <c r="H50" i="1"/>
  <c r="P51" i="1"/>
  <c r="H43" i="1"/>
  <c r="H45" i="1"/>
  <c r="H42" i="1"/>
  <c r="H44" i="1"/>
  <c r="H46" i="1"/>
  <c r="H48" i="1"/>
  <c r="H51" i="1"/>
  <c r="V44" i="1"/>
  <c r="P44" i="1"/>
  <c r="V46" i="1"/>
  <c r="P46" i="1"/>
  <c r="P45" i="1"/>
  <c r="V45" i="1"/>
  <c r="V47" i="1"/>
  <c r="P47" i="1"/>
  <c r="V50" i="1"/>
  <c r="P50" i="1"/>
  <c r="P48" i="1"/>
  <c r="V48" i="1"/>
  <c r="W16" i="1"/>
  <c r="J25" i="1"/>
  <c r="N25" i="1" s="1"/>
  <c r="R25" i="1" s="1"/>
  <c r="V25" i="1" s="1"/>
  <c r="P24" i="1"/>
  <c r="V24" i="1"/>
  <c r="J27" i="1"/>
  <c r="N27" i="1" s="1"/>
  <c r="I21" i="1"/>
  <c r="I33" i="1" s="1"/>
  <c r="J28" i="1"/>
  <c r="N28" i="1" s="1"/>
  <c r="J21" i="1"/>
  <c r="J29" i="1"/>
  <c r="N29" i="1" s="1"/>
  <c r="J22" i="1"/>
  <c r="N22" i="1" s="1"/>
  <c r="J26" i="1"/>
  <c r="N26" i="1" s="1"/>
  <c r="H16" i="1"/>
  <c r="Y7" i="1"/>
  <c r="P32" i="1"/>
  <c r="Y12" i="1"/>
  <c r="Y4" i="1"/>
  <c r="Y10" i="1"/>
  <c r="M6" i="1"/>
  <c r="I42" i="1" s="1"/>
  <c r="N42" i="1" s="1"/>
  <c r="R42" i="1" s="1"/>
  <c r="V42" i="1" s="1"/>
  <c r="Y9" i="1"/>
  <c r="U6" i="1"/>
  <c r="U16" i="1" s="1"/>
  <c r="Y14" i="1"/>
  <c r="Y5" i="1"/>
  <c r="Y11" i="1"/>
  <c r="Y8" i="1"/>
  <c r="N52" i="1" l="1"/>
  <c r="N21" i="1"/>
  <c r="I52" i="1"/>
  <c r="P43" i="1"/>
  <c r="F52" i="1"/>
  <c r="P42" i="1"/>
  <c r="P41" i="1"/>
  <c r="R52" i="1"/>
  <c r="V40" i="1"/>
  <c r="H41" i="1"/>
  <c r="H52" i="1" s="1"/>
  <c r="P25" i="1"/>
  <c r="P28" i="1"/>
  <c r="R28" i="1"/>
  <c r="V28" i="1" s="1"/>
  <c r="M16" i="1"/>
  <c r="J23" i="1"/>
  <c r="N23" i="1" s="1"/>
  <c r="N33" i="1" s="1"/>
  <c r="P21" i="1"/>
  <c r="P22" i="1"/>
  <c r="R22" i="1"/>
  <c r="V22" i="1" s="1"/>
  <c r="P29" i="1"/>
  <c r="V29" i="1"/>
  <c r="V27" i="1"/>
  <c r="P27" i="1"/>
  <c r="P26" i="1"/>
  <c r="V26" i="1"/>
  <c r="Y6" i="1"/>
  <c r="Y16" i="1" s="1"/>
  <c r="J33" i="1" l="1"/>
  <c r="P52" i="1"/>
  <c r="V41" i="1"/>
  <c r="V52" i="1" s="1"/>
  <c r="P23" i="1"/>
  <c r="P33" i="1" s="1"/>
  <c r="R23" i="1"/>
  <c r="V23" i="1" s="1"/>
  <c r="V33" i="1" s="1"/>
  <c r="R33" i="1" l="1"/>
</calcChain>
</file>

<file path=xl/comments1.xml><?xml version="1.0" encoding="utf-8"?>
<comments xmlns="http://schemas.openxmlformats.org/spreadsheetml/2006/main">
  <authors>
    <author>sasikala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KUPPUSAMY BROUGHT FROM CASUAL LIST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SBI BANK:77 PERSONS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KUPPUSAMY SENT TO STAFF LIST</t>
        </r>
      </text>
    </comment>
  </commentList>
</comments>
</file>

<file path=xl/comments2.xml><?xml version="1.0" encoding="utf-8"?>
<comments xmlns="http://schemas.openxmlformats.org/spreadsheetml/2006/main">
  <authors>
    <author>sasikala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LAKSHMI ADDED IN CASH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susanthkumar rout,gouri rout,lakshmi.s,lakshmi.A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SUSANTAKUMAR ADDED IN CASUAL OUTSIDE</t>
        </r>
      </text>
    </comment>
  </commentList>
</comments>
</file>

<file path=xl/comments3.xml><?xml version="1.0" encoding="utf-8"?>
<comments xmlns="http://schemas.openxmlformats.org/spreadsheetml/2006/main">
  <authors>
    <author>sasikala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SEETHALAKSHMI ADDED IN BANK LIST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SEETHALAKSHMI ADDED IN BANK LIST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SEETHALAKSHMI ADDED IN BANK LIST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SEETHALAKSHMI ADDED IN BANK LIST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SEETHALAKSHMI ADDED IN BANK LIST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SEETHALAKSHMI ADDED IN BANK LIST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</commentList>
</comments>
</file>

<file path=xl/comments4.xml><?xml version="1.0" encoding="utf-8"?>
<comments xmlns="http://schemas.openxmlformats.org/spreadsheetml/2006/main">
  <authors>
    <author>sasikala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MANJU MOVED TO STAFF2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ASHOK MOVED TO CASH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AJIT MOVED TO STAFF2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ASHOK MOVED TO CASH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SEETHALAKSHMI ADDED IN BANK LIST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SEETHALAKSHMI ADDED IN BANK LIST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</commentList>
</comments>
</file>

<file path=xl/comments5.xml><?xml version="1.0" encoding="utf-8"?>
<comments xmlns="http://schemas.openxmlformats.org/spreadsheetml/2006/main">
  <authors>
    <author>sasikala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DINESH ,AJIT SHAHU MOVED TO SBI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MAHESH ADDED TO BANK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18 MOVED TO BANK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</commentList>
</comments>
</file>

<file path=xl/comments6.xml><?xml version="1.0" encoding="utf-8"?>
<comments xmlns="http://schemas.openxmlformats.org/spreadsheetml/2006/main">
  <authors>
    <author>sasikala</author>
    <author>Sasikala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BANK,KARTHIKEYAN MOVED FROM CHEQUE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MANJU MOVED FROM CHEQUE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2 MOVED TO BANK,SIVAKUMAR LEFT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MANGTA BODRA,GANESH BODRA,BAGUN BODRA,NARENDRA KERAI,MOHANPATRA MOVED TO CASH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cash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KANDASAMY MOVED TO BANK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</commentList>
</comments>
</file>

<file path=xl/comments7.xml><?xml version="1.0" encoding="utf-8"?>
<comments xmlns="http://schemas.openxmlformats.org/spreadsheetml/2006/main">
  <authors>
    <author>Sasikala</author>
    <author>sasikala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MANJU PETCHIMUTHU MOVED TO CHEQUE,SANTAMANI MOVED TO CASUALS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MANJU MOVED TO CHEQUE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17 ADDITION,SANTAMANI MOVED FROM STAFF2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SHANMUGAM SECURITY MOVED TO CHEQUE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SHANMUGAM MOVED TO CHEQUE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MANJU PETCHIMUTHU MOVED TO CHEQUE,SANTAMANI MOVED TO CASUALS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MANJU MOVED TO CHEQUE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17 ADDITION,SANTAMANI MOVED FROM STAFF2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SHANMUGAM MOVED TO CHEQUE</t>
        </r>
      </text>
    </comment>
    <comment ref="C48" authorId="1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</commentList>
</comments>
</file>

<file path=xl/comments8.xml><?xml version="1.0" encoding="utf-8"?>
<comments xmlns="http://schemas.openxmlformats.org/spreadsheetml/2006/main">
  <authors>
    <author>Sasikala</author>
    <author>sasikala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GOWRI ROUT ,JAYASHANKAR,K.SANTAMANI MOVED TO BANK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3 MOVED TO BANK(GOWRI ROUT,SANTAMANI,JAYASHANKAR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SHANMUGAM SECURITY MOVED TO CHEQUE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SHANMUGAM MOVED TO CHEQUE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MANJU PETCHIMUTHU MOVED TO CHEQUE,SANTAMANI MOVED TO CASUALS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MANJU MOVED TO CHEQUE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17 ADDITION,SANTAMANI MOVED FROM STAFF2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SHANMUGAM MOVED TO CHEQUE</t>
        </r>
      </text>
    </comment>
    <comment ref="C48" authorId="1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</commentList>
</comments>
</file>

<file path=xl/comments9.xml><?xml version="1.0" encoding="utf-8"?>
<comments xmlns="http://schemas.openxmlformats.org/spreadsheetml/2006/main">
  <authors>
    <author>Sasikala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11 PERSONS  MOVED TO BANK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11 MOVED TO BANK.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BALABHADRA NAYAK ADDED TO CASH LIST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BALABHADRA NAYAK MOVED TO CASH,DELETION 2NOS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FROM CHEQUE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11 PERSONS  MOVED TO BANK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11 MOVED TO BANK.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BALABHADRA NAYAK ADDED TO CASH LIST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BALABHADRA NAYAK MOVED TO CASH,DELETION 2NOS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FROM CHEQUE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11 PERSONS  MOVED TO BANK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11 MOVED TO BANK.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BALABHADRA NAYAK ADDED TO CASH LIST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BALABHADRA NAYAK MOVED TO CASH,DELETION 2NOS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FROM CHEQUE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Sasikala:</t>
        </r>
        <r>
          <rPr>
            <sz val="9"/>
            <color indexed="81"/>
            <rFont val="Tahoma"/>
            <family val="2"/>
          </rPr>
          <t xml:space="preserve">
MOVED TO BANK</t>
        </r>
      </text>
    </comment>
  </commentList>
</comments>
</file>

<file path=xl/sharedStrings.xml><?xml version="1.0" encoding="utf-8"?>
<sst xmlns="http://schemas.openxmlformats.org/spreadsheetml/2006/main" count="1225" uniqueCount="100">
  <si>
    <t>WORKED DAYS</t>
  </si>
  <si>
    <t>S NO</t>
  </si>
  <si>
    <t>AS PER TALLY</t>
  </si>
  <si>
    <t>NO OF EMPS</t>
  </si>
  <si>
    <t>SALARY DAYS</t>
  </si>
  <si>
    <t>GROSS</t>
  </si>
  <si>
    <t>DEDUCTIONS</t>
  </si>
  <si>
    <t>INSTALLMENT ON BONUS</t>
  </si>
  <si>
    <t>R OFF</t>
  </si>
  <si>
    <t>NET PAY</t>
  </si>
  <si>
    <t>BASIC</t>
  </si>
  <si>
    <t>DA</t>
  </si>
  <si>
    <t>HRA</t>
  </si>
  <si>
    <t>CONV</t>
  </si>
  <si>
    <t>GP</t>
  </si>
  <si>
    <t>PF</t>
  </si>
  <si>
    <t>ESI</t>
  </si>
  <si>
    <t>TEA</t>
  </si>
  <si>
    <t>OTH (LWF)</t>
  </si>
  <si>
    <t>S ADV</t>
  </si>
  <si>
    <t>TDS</t>
  </si>
  <si>
    <t>TOT</t>
  </si>
  <si>
    <t>PROD KGS</t>
  </si>
  <si>
    <t xml:space="preserve"> INC</t>
  </si>
  <si>
    <t>SALARY -STAFF - BANK</t>
  </si>
  <si>
    <t>NA</t>
  </si>
  <si>
    <t>SALARY - STAFF -2 CSB</t>
  </si>
  <si>
    <t>SALARY - STAFF-CHEQUE</t>
  </si>
  <si>
    <t>WAGES-PERMANENT - BANK</t>
  </si>
  <si>
    <t>WAGES - CASUAL - BANK(OUTSIDE)</t>
  </si>
  <si>
    <t>WAGES - CASUAL - CASH(OUTSIDE)</t>
  </si>
  <si>
    <t>WAGES - CASUAL - CASH(INSIDE)</t>
  </si>
  <si>
    <t>WAGES - SECUR &amp; GARDEN - CHEQUE</t>
  </si>
  <si>
    <t>WAGES - SECUR &amp; GARDEN - CSB</t>
  </si>
  <si>
    <t>JMD</t>
  </si>
  <si>
    <t>EXEMPTED - BANK</t>
  </si>
  <si>
    <t>EXEMPTED - CHEQUE</t>
  </si>
  <si>
    <t>TOTAL</t>
  </si>
  <si>
    <t>PARTICULARS</t>
  </si>
  <si>
    <t>NO OF PERSONS AS PER SALARY LIST</t>
  </si>
  <si>
    <t>NO OF PERSONS AS PER PF LIST</t>
  </si>
  <si>
    <t xml:space="preserve">SALARY AS PER TALLY                                                                 </t>
  </si>
  <si>
    <t>SALARY AS PER PF PORTAL</t>
  </si>
  <si>
    <t>REASON</t>
  </si>
  <si>
    <t>SALARY AS PER ESI PORTAL</t>
  </si>
  <si>
    <t>BASIC+DA IS CALCULATED FOR SHANMUGHAM SIR @ 65%</t>
  </si>
  <si>
    <t>WAGES ABSTRACT - APRIL 2019</t>
  </si>
  <si>
    <t>TOTALS</t>
  </si>
  <si>
    <t>VARIABLE DA</t>
  </si>
  <si>
    <t>EXEMPTED FROM PF</t>
  </si>
  <si>
    <t>PF SALARY 
(60% of GP)</t>
  </si>
  <si>
    <t>PF CONTR AS PER DECLARATION</t>
  </si>
  <si>
    <t>DIFF IN PF CONTR AMT</t>
  </si>
  <si>
    <t>DIFF IN SALARY AMT</t>
  </si>
  <si>
    <t>PF CONTR AS PER TALLY
(12% OF PF SAL)</t>
  </si>
  <si>
    <t>MED</t>
  </si>
  <si>
    <t>CANT.</t>
  </si>
  <si>
    <t>ESI SALARY 
(100% of GP)</t>
  </si>
  <si>
    <t>ESI CONTR AS PER DECLARATION</t>
  </si>
  <si>
    <t>ESI CONTR AS PER TALLY
(1.75% OF PF SAL)</t>
  </si>
  <si>
    <t>OT SALARY</t>
  </si>
  <si>
    <t>NO AS PER ESI LIST</t>
  </si>
  <si>
    <t>DIFF. IN PERSONS</t>
  </si>
  <si>
    <t>ESI ABSTRACT</t>
  </si>
  <si>
    <t>PF ABSTRACT</t>
  </si>
  <si>
    <t>OPG</t>
  </si>
  <si>
    <t>ADD</t>
  </si>
  <si>
    <t>DEL</t>
  </si>
  <si>
    <t>CLOS</t>
  </si>
  <si>
    <t>DIFF IN NOS</t>
  </si>
  <si>
    <t>5 PERSONS GROSS SALARY ABOVE ESI LIMIT</t>
  </si>
  <si>
    <t>1 PERSON GROSS SALARY ABOVE ESI LIMIT</t>
  </si>
  <si>
    <t>WAGES ABSTRACT - MAY 2019</t>
  </si>
  <si>
    <t xml:space="preserve"> </t>
  </si>
  <si>
    <t>DIFF IN ESI CONTR AMT</t>
  </si>
  <si>
    <t>FULL SALARY TAKEN FOR PF</t>
  </si>
  <si>
    <t xml:space="preserve">SALARY AS PER PF PORTAL                                                                 </t>
  </si>
  <si>
    <t>BASIC &amp; DA AS PER PF PORTAL</t>
  </si>
  <si>
    <t>WAGES ABSTRACT - JUNE 2019</t>
  </si>
  <si>
    <t>WAGES ABSTRACT - JULY 2019</t>
  </si>
  <si>
    <t>WAGES ABSTRACT - AUG 2019</t>
  </si>
  <si>
    <t>WAGES ABSTRACT - SEP 2019</t>
  </si>
  <si>
    <t>WAGES - CASUAL - BANK(INSIDE)</t>
  </si>
  <si>
    <t>4 PERSONS GROSS SALARY ABOVE ESI LIMIT</t>
  </si>
  <si>
    <t>WAGES ABSTRACT - OCT 2019</t>
  </si>
  <si>
    <t>THAKURA KHUMURI ADDED NOW LEFT GIVEN</t>
  </si>
  <si>
    <t>WAGES ABSTRACT - NOV 2019</t>
  </si>
  <si>
    <t>SELVARAJ EXEMPTED FROM PF</t>
  </si>
  <si>
    <t>KANDASAMY EXEMPTED FROM PF</t>
  </si>
  <si>
    <t>RAJAMANI PAPPAIYAN EXEMPTED FROM PF</t>
  </si>
  <si>
    <t>WAGES - SECUR &amp; GARDEN - BANK</t>
  </si>
  <si>
    <t>WAGES - SECUR &amp; GARDEN - CHQ</t>
  </si>
  <si>
    <t>WAGES ABSTRACT - DEC 2019</t>
  </si>
  <si>
    <t>WAGES ABSTRACT - JAN 2020</t>
  </si>
  <si>
    <t>SALARY - STAFF -2 BANK</t>
  </si>
  <si>
    <t>RAJENDRAN PALANISAMY&amp;SUNDARAMMAL KALLAIYAN EXEMPTED</t>
  </si>
  <si>
    <t>WAGES ABSTRACT - FEB 2020</t>
  </si>
  <si>
    <t>WAGES ABSTRACT - MARCH 2020</t>
  </si>
  <si>
    <t>LOCKDOWN WAGES</t>
  </si>
  <si>
    <t>LOCKDOWN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</si>
</sst>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6" fontId="4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 shrinkToFit="1"/>
    </xf>
    <xf numFmtId="166" fontId="5" fillId="0" borderId="1" xfId="1" applyNumberFormat="1" applyFont="1" applyBorder="1" applyAlignment="1">
      <alignment horizontal="center" vertical="center" shrinkToFit="1"/>
    </xf>
    <xf numFmtId="166" fontId="5" fillId="2" borderId="1" xfId="1" applyNumberFormat="1" applyFont="1" applyFill="1" applyBorder="1" applyAlignment="1">
      <alignment horizontal="center" vertical="center" shrinkToFit="1"/>
    </xf>
    <xf numFmtId="166" fontId="4" fillId="0" borderId="1" xfId="1" applyNumberFormat="1" applyFont="1" applyFill="1" applyBorder="1" applyAlignment="1">
      <alignment horizontal="center" vertical="center" shrinkToFit="1"/>
    </xf>
    <xf numFmtId="166" fontId="4" fillId="0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shrinkToFit="1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3" fillId="0" borderId="7" xfId="0" applyFont="1" applyBorder="1" applyAlignment="1">
      <alignment vertical="top"/>
    </xf>
    <xf numFmtId="0" fontId="2" fillId="0" borderId="7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66" fontId="4" fillId="0" borderId="1" xfId="1" applyNumberFormat="1" applyFont="1" applyBorder="1" applyAlignment="1">
      <alignment vertical="top"/>
    </xf>
    <xf numFmtId="0" fontId="6" fillId="0" borderId="7" xfId="0" applyFont="1" applyBorder="1"/>
    <xf numFmtId="166" fontId="5" fillId="0" borderId="1" xfId="1" applyNumberFormat="1" applyFont="1" applyBorder="1" applyAlignment="1">
      <alignment vertical="top"/>
    </xf>
    <xf numFmtId="166" fontId="5" fillId="0" borderId="1" xfId="1" applyNumberFormat="1" applyFont="1" applyBorder="1" applyAlignment="1">
      <alignment horizontal="center" vertical="top" wrapText="1"/>
    </xf>
    <xf numFmtId="0" fontId="4" fillId="0" borderId="1" xfId="0" applyFont="1" applyFill="1" applyBorder="1" applyAlignment="1">
      <alignment vertical="center" wrapText="1"/>
    </xf>
    <xf numFmtId="166" fontId="5" fillId="0" borderId="1" xfId="1" applyNumberFormat="1" applyFont="1" applyBorder="1" applyAlignment="1">
      <alignment vertical="top" wrapText="1"/>
    </xf>
    <xf numFmtId="166" fontId="5" fillId="0" borderId="1" xfId="1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166" fontId="4" fillId="0" borderId="1" xfId="1" applyNumberFormat="1" applyFont="1" applyFill="1" applyBorder="1" applyAlignment="1">
      <alignment horizontal="right" vertical="center"/>
    </xf>
    <xf numFmtId="166" fontId="4" fillId="0" borderId="1" xfId="1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 shrinkToFit="1"/>
    </xf>
    <xf numFmtId="166" fontId="4" fillId="0" borderId="1" xfId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6" fontId="4" fillId="0" borderId="1" xfId="1" applyNumberFormat="1" applyFont="1" applyBorder="1" applyAlignment="1">
      <alignment wrapText="1"/>
    </xf>
    <xf numFmtId="166" fontId="4" fillId="0" borderId="1" xfId="1" applyNumberFormat="1" applyFont="1" applyFill="1" applyBorder="1" applyAlignment="1"/>
    <xf numFmtId="166" fontId="4" fillId="0" borderId="1" xfId="1" applyNumberFormat="1" applyFont="1" applyBorder="1" applyAlignment="1">
      <alignment horizontal="center" wrapText="1"/>
    </xf>
    <xf numFmtId="166" fontId="4" fillId="0" borderId="1" xfId="1" applyNumberFormat="1" applyFont="1" applyFill="1" applyBorder="1" applyAlignment="1">
      <alignment horizontal="right"/>
    </xf>
    <xf numFmtId="166" fontId="4" fillId="0" borderId="1" xfId="1" applyNumberFormat="1" applyFont="1" applyBorder="1" applyAlignment="1"/>
    <xf numFmtId="166" fontId="4" fillId="0" borderId="1" xfId="0" applyNumberFormat="1" applyFont="1" applyBorder="1" applyAlignment="1">
      <alignment horizontal="left"/>
    </xf>
    <xf numFmtId="166" fontId="5" fillId="3" borderId="1" xfId="1" applyNumberFormat="1" applyFont="1" applyFill="1" applyBorder="1" applyAlignment="1">
      <alignment horizontal="center" vertical="top" wrapText="1"/>
    </xf>
    <xf numFmtId="166" fontId="4" fillId="0" borderId="1" xfId="1" applyNumberFormat="1" applyFont="1" applyFill="1" applyBorder="1" applyAlignment="1">
      <alignment horizontal="center" wrapText="1"/>
    </xf>
    <xf numFmtId="0" fontId="2" fillId="0" borderId="7" xfId="0" applyFont="1" applyFill="1" applyBorder="1"/>
    <xf numFmtId="0" fontId="3" fillId="0" borderId="7" xfId="0" applyFont="1" applyFill="1" applyBorder="1" applyAlignment="1">
      <alignment horizontal="right" vertical="top"/>
    </xf>
    <xf numFmtId="0" fontId="3" fillId="0" borderId="7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66" fontId="5" fillId="0" borderId="1" xfId="1" applyNumberFormat="1" applyFont="1" applyFill="1" applyBorder="1" applyAlignment="1">
      <alignment horizontal="center" vertical="center" shrinkToFit="1"/>
    </xf>
    <xf numFmtId="164" fontId="3" fillId="0" borderId="1" xfId="0" applyNumberFormat="1" applyFont="1" applyFill="1" applyBorder="1" applyAlignment="1">
      <alignment horizontal="right" vertical="center" shrinkToFit="1"/>
    </xf>
    <xf numFmtId="164" fontId="3" fillId="0" borderId="1" xfId="0" applyNumberFormat="1" applyFont="1" applyFill="1" applyBorder="1" applyAlignment="1">
      <alignment horizontal="center" vertical="center" shrinkToFit="1"/>
    </xf>
    <xf numFmtId="0" fontId="6" fillId="0" borderId="7" xfId="0" applyFont="1" applyFill="1" applyBorder="1"/>
    <xf numFmtId="166" fontId="5" fillId="0" borderId="1" xfId="1" applyNumberFormat="1" applyFont="1" applyFill="1" applyBorder="1" applyAlignment="1">
      <alignment horizontal="center" vertical="top" wrapText="1"/>
    </xf>
    <xf numFmtId="166" fontId="4" fillId="0" borderId="1" xfId="1" applyNumberFormat="1" applyFont="1" applyFill="1" applyBorder="1" applyAlignment="1">
      <alignment wrapText="1"/>
    </xf>
    <xf numFmtId="166" fontId="4" fillId="0" borderId="1" xfId="0" applyNumberFormat="1" applyFont="1" applyFill="1" applyBorder="1" applyAlignment="1">
      <alignment horizontal="left"/>
    </xf>
    <xf numFmtId="166" fontId="5" fillId="0" borderId="1" xfId="1" applyNumberFormat="1" applyFont="1" applyFill="1" applyBorder="1" applyAlignment="1">
      <alignment vertical="top" wrapText="1"/>
    </xf>
    <xf numFmtId="166" fontId="5" fillId="0" borderId="1" xfId="1" applyNumberFormat="1" applyFont="1" applyFill="1" applyBorder="1" applyAlignment="1">
      <alignment vertical="top"/>
    </xf>
    <xf numFmtId="166" fontId="5" fillId="0" borderId="1" xfId="0" applyNumberFormat="1" applyFont="1" applyFill="1" applyBorder="1" applyAlignment="1">
      <alignment horizontal="left" vertical="top"/>
    </xf>
    <xf numFmtId="0" fontId="4" fillId="0" borderId="0" xfId="0" applyFont="1" applyFill="1"/>
    <xf numFmtId="166" fontId="4" fillId="0" borderId="1" xfId="1" applyNumberFormat="1" applyFont="1" applyFill="1" applyBorder="1" applyAlignment="1">
      <alignment vertical="top"/>
    </xf>
    <xf numFmtId="0" fontId="0" fillId="0" borderId="0" xfId="0" applyFill="1"/>
    <xf numFmtId="0" fontId="3" fillId="3" borderId="1" xfId="0" applyFont="1" applyFill="1" applyBorder="1" applyAlignment="1">
      <alignment horizontal="center" vertical="center" wrapText="1"/>
    </xf>
    <xf numFmtId="166" fontId="4" fillId="0" borderId="0" xfId="0" applyNumberFormat="1" applyFont="1"/>
    <xf numFmtId="166" fontId="4" fillId="0" borderId="2" xfId="1" applyNumberFormat="1" applyFont="1" applyFill="1" applyBorder="1" applyAlignment="1"/>
    <xf numFmtId="166" fontId="4" fillId="0" borderId="4" xfId="1" applyNumberFormat="1" applyFont="1" applyFill="1" applyBorder="1" applyAlignment="1"/>
    <xf numFmtId="166" fontId="5" fillId="0" borderId="2" xfId="1" applyNumberFormat="1" applyFont="1" applyFill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166" fontId="4" fillId="0" borderId="1" xfId="1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166" fontId="5" fillId="0" borderId="1" xfId="1" applyNumberFormat="1" applyFont="1" applyFill="1" applyBorder="1" applyAlignment="1">
      <alignment horizontal="center" vertical="top" wrapText="1"/>
    </xf>
    <xf numFmtId="166" fontId="0" fillId="0" borderId="0" xfId="0" applyNumberFormat="1" applyFill="1"/>
    <xf numFmtId="166" fontId="4" fillId="0" borderId="0" xfId="0" applyNumberFormat="1" applyFont="1" applyFill="1"/>
    <xf numFmtId="0" fontId="4" fillId="0" borderId="1" xfId="0" applyFont="1" applyBorder="1" applyAlignment="1">
      <alignment horizontal="left" vertical="top" wrapText="1"/>
    </xf>
    <xf numFmtId="166" fontId="4" fillId="0" borderId="1" xfId="1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166" fontId="5" fillId="0" borderId="1" xfId="1" applyNumberFormat="1" applyFont="1" applyFill="1" applyBorder="1" applyAlignment="1">
      <alignment horizontal="center" vertical="top" wrapText="1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6" fontId="4" fillId="0" borderId="13" xfId="1" applyNumberFormat="1" applyFont="1" applyFill="1" applyBorder="1" applyAlignment="1">
      <alignment horizontal="center" vertical="center" shrinkToFit="1"/>
    </xf>
    <xf numFmtId="166" fontId="4" fillId="0" borderId="13" xfId="1" applyNumberFormat="1" applyFont="1" applyFill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166" fontId="4" fillId="0" borderId="1" xfId="1" applyNumberFormat="1" applyFont="1" applyFill="1" applyBorder="1" applyAlignment="1">
      <alignment horizontal="center" wrapText="1"/>
    </xf>
    <xf numFmtId="166" fontId="5" fillId="0" borderId="1" xfId="1" applyNumberFormat="1" applyFont="1" applyFill="1" applyBorder="1" applyAlignment="1">
      <alignment horizontal="center" vertical="top" wrapText="1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66" fontId="4" fillId="0" borderId="1" xfId="1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166" fontId="5" fillId="0" borderId="1" xfId="1" applyNumberFormat="1" applyFont="1" applyFill="1" applyBorder="1" applyAlignment="1">
      <alignment horizontal="center" vertical="top" wrapText="1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66" fontId="6" fillId="0" borderId="7" xfId="0" applyNumberFormat="1" applyFont="1" applyFill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6" fontId="5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166" fontId="0" fillId="0" borderId="0" xfId="0" applyNumberFormat="1"/>
    <xf numFmtId="166" fontId="4" fillId="0" borderId="13" xfId="1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top" wrapText="1"/>
    </xf>
    <xf numFmtId="166" fontId="5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0" fillId="0" borderId="11" xfId="0" applyFill="1" applyBorder="1"/>
    <xf numFmtId="166" fontId="5" fillId="0" borderId="1" xfId="1" applyNumberFormat="1" applyFont="1" applyFill="1" applyBorder="1" applyAlignment="1">
      <alignment horizontal="center" vertical="top" wrapText="1"/>
    </xf>
    <xf numFmtId="0" fontId="0" fillId="0" borderId="8" xfId="0" applyFill="1" applyBorder="1"/>
    <xf numFmtId="166" fontId="4" fillId="0" borderId="10" xfId="1" applyNumberFormat="1" applyFont="1" applyFill="1" applyBorder="1" applyAlignment="1">
      <alignment horizontal="right" vertical="center"/>
    </xf>
    <xf numFmtId="166" fontId="4" fillId="0" borderId="10" xfId="1" applyNumberFormat="1" applyFont="1" applyFill="1" applyBorder="1" applyAlignment="1">
      <alignment horizontal="center" vertical="center" shrinkToFit="1"/>
    </xf>
    <xf numFmtId="166" fontId="5" fillId="0" borderId="1" xfId="1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6" fontId="5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1" xfId="0" applyFill="1" applyBorder="1"/>
    <xf numFmtId="166" fontId="4" fillId="0" borderId="1" xfId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1" xfId="0" applyFill="1" applyBorder="1"/>
    <xf numFmtId="166" fontId="5" fillId="0" borderId="1" xfId="1" applyNumberFormat="1" applyFont="1" applyFill="1" applyBorder="1" applyAlignment="1">
      <alignment horizontal="center" vertical="top" wrapText="1"/>
    </xf>
    <xf numFmtId="166" fontId="4" fillId="4" borderId="1" xfId="1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6" fontId="4" fillId="4" borderId="1" xfId="1" applyNumberFormat="1" applyFont="1" applyFill="1" applyBorder="1" applyAlignment="1">
      <alignment horizontal="center" vertical="center" shrinkToFit="1"/>
    </xf>
    <xf numFmtId="166" fontId="4" fillId="0" borderId="1" xfId="1" applyNumberFormat="1" applyFont="1" applyFill="1" applyBorder="1" applyAlignment="1">
      <alignment vertical="center" wrapText="1"/>
    </xf>
    <xf numFmtId="166" fontId="5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1" xfId="0" applyFill="1" applyBorder="1"/>
    <xf numFmtId="166" fontId="5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1" xfId="0" applyFill="1" applyBorder="1"/>
    <xf numFmtId="164" fontId="0" fillId="0" borderId="0" xfId="0" applyNumberFormat="1"/>
    <xf numFmtId="166" fontId="0" fillId="0" borderId="11" xfId="0" applyNumberFormat="1" applyFill="1" applyBorder="1"/>
    <xf numFmtId="166" fontId="5" fillId="0" borderId="2" xfId="1" applyNumberFormat="1" applyFont="1" applyFill="1" applyBorder="1" applyAlignment="1">
      <alignment horizontal="center" vertical="center" shrinkToFit="1"/>
    </xf>
    <xf numFmtId="164" fontId="3" fillId="0" borderId="2" xfId="0" applyNumberFormat="1" applyFont="1" applyFill="1" applyBorder="1" applyAlignment="1">
      <alignment horizontal="center" vertical="center" shrinkToFi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Border="1"/>
    <xf numFmtId="166" fontId="5" fillId="0" borderId="1" xfId="0" applyNumberFormat="1" applyFont="1" applyFill="1" applyBorder="1"/>
    <xf numFmtId="0" fontId="0" fillId="0" borderId="0" xfId="0" applyFill="1" applyBorder="1"/>
    <xf numFmtId="166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166" fontId="4" fillId="0" borderId="1" xfId="1" applyNumberFormat="1" applyFont="1" applyBorder="1" applyAlignment="1">
      <alignment horizontal="center" wrapText="1"/>
    </xf>
    <xf numFmtId="166" fontId="4" fillId="0" borderId="1" xfId="1" applyNumberFormat="1" applyFont="1" applyFill="1" applyBorder="1" applyAlignment="1">
      <alignment horizontal="center" wrapText="1"/>
    </xf>
    <xf numFmtId="166" fontId="4" fillId="0" borderId="1" xfId="1" applyNumberFormat="1" applyFont="1" applyBorder="1" applyAlignment="1">
      <alignment horizontal="center" vertical="top"/>
    </xf>
    <xf numFmtId="166" fontId="5" fillId="0" borderId="1" xfId="1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66" fontId="5" fillId="0" borderId="1" xfId="1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166" fontId="4" fillId="0" borderId="2" xfId="1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4" fillId="0" borderId="2" xfId="1" applyNumberFormat="1" applyFont="1" applyFill="1" applyBorder="1" applyAlignment="1">
      <alignment horizontal="center" wrapText="1"/>
    </xf>
    <xf numFmtId="166" fontId="4" fillId="0" borderId="4" xfId="1" applyNumberFormat="1" applyFont="1" applyFill="1" applyBorder="1" applyAlignment="1">
      <alignment horizontal="center" wrapText="1"/>
    </xf>
    <xf numFmtId="166" fontId="4" fillId="0" borderId="10" xfId="1" applyNumberFormat="1" applyFont="1" applyBorder="1" applyAlignment="1">
      <alignment horizontal="center" wrapText="1"/>
    </xf>
    <xf numFmtId="166" fontId="4" fillId="0" borderId="2" xfId="1" applyNumberFormat="1" applyFont="1" applyBorder="1" applyAlignment="1">
      <alignment horizontal="center" wrapText="1"/>
    </xf>
    <xf numFmtId="166" fontId="4" fillId="0" borderId="4" xfId="1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4" xfId="0" applyFill="1" applyBorder="1"/>
    <xf numFmtId="0" fontId="4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166" fontId="4" fillId="0" borderId="1" xfId="1" applyNumberFormat="1" applyFont="1" applyFill="1" applyBorder="1" applyAlignment="1">
      <alignment horizontal="center" vertical="top"/>
    </xf>
    <xf numFmtId="166" fontId="5" fillId="0" borderId="1" xfId="1" applyNumberFormat="1" applyFont="1" applyFill="1" applyBorder="1" applyAlignment="1">
      <alignment horizontal="center" vertical="top"/>
    </xf>
    <xf numFmtId="166" fontId="5" fillId="0" borderId="1" xfId="1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166" fontId="4" fillId="0" borderId="1" xfId="1" applyNumberFormat="1" applyFont="1" applyFill="1" applyBorder="1" applyAlignment="1">
      <alignment horizontal="center"/>
    </xf>
    <xf numFmtId="166" fontId="4" fillId="0" borderId="2" xfId="1" applyNumberFormat="1" applyFont="1" applyFill="1" applyBorder="1" applyAlignment="1">
      <alignment horizontal="center"/>
    </xf>
    <xf numFmtId="166" fontId="4" fillId="0" borderId="4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6" fontId="4" fillId="0" borderId="10" xfId="1" applyNumberFormat="1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6" xfId="0" applyFill="1" applyBorder="1"/>
    <xf numFmtId="166" fontId="4" fillId="0" borderId="2" xfId="1" applyNumberFormat="1" applyFont="1" applyFill="1" applyBorder="1" applyAlignment="1">
      <alignment horizontal="center" vertical="center" shrinkToFit="1"/>
    </xf>
    <xf numFmtId="166" fontId="4" fillId="0" borderId="4" xfId="1" applyNumberFormat="1" applyFont="1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/>
    <xf numFmtId="0" fontId="7" fillId="0" borderId="4" xfId="0" applyFont="1" applyFill="1" applyBorder="1"/>
    <xf numFmtId="0" fontId="10" fillId="0" borderId="1" xfId="0" applyFont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workbookViewId="0">
      <selection activeCell="R9" sqref="R9"/>
    </sheetView>
  </sheetViews>
  <sheetFormatPr defaultColWidth="9" defaultRowHeight="18.75" x14ac:dyDescent="0.3"/>
  <cols>
    <col min="1" max="1" width="6.140625" style="11" customWidth="1"/>
    <col min="2" max="2" width="33.7109375" style="11" customWidth="1"/>
    <col min="3" max="3" width="8.140625" style="11" customWidth="1"/>
    <col min="4" max="4" width="6.42578125" style="11" customWidth="1"/>
    <col min="5" max="5" width="8.7109375" style="11" customWidth="1"/>
    <col min="6" max="6" width="9" style="11" customWidth="1"/>
    <col min="7" max="7" width="11.5703125" style="11" customWidth="1"/>
    <col min="8" max="8" width="10.7109375" style="11" customWidth="1"/>
    <col min="9" max="9" width="10.42578125" style="11" bestFit="1" customWidth="1"/>
    <col min="10" max="10" width="11.140625" style="11" customWidth="1"/>
    <col min="11" max="11" width="15.5703125" style="11" customWidth="1"/>
    <col min="12" max="12" width="10.28515625" style="11" customWidth="1"/>
    <col min="13" max="14" width="11" style="11" customWidth="1"/>
    <col min="15" max="15" width="13.5703125" style="11" customWidth="1"/>
    <col min="16" max="16" width="8.42578125" style="11" customWidth="1"/>
    <col min="17" max="18" width="10" style="11" customWidth="1"/>
    <col min="19" max="19" width="10.85546875" style="11" customWidth="1"/>
    <col min="20" max="20" width="6.85546875" style="11" customWidth="1"/>
    <col min="21" max="21" width="10.28515625" style="11" customWidth="1"/>
    <col min="22" max="22" width="10" style="11" customWidth="1"/>
    <col min="23" max="23" width="11.42578125" style="11" customWidth="1"/>
    <col min="24" max="24" width="8.140625" style="11" customWidth="1"/>
    <col min="25" max="25" width="13.85546875" style="11" bestFit="1" customWidth="1"/>
    <col min="26" max="16384" width="9" style="11"/>
  </cols>
  <sheetData>
    <row r="1" spans="1:25" s="12" customFormat="1" x14ac:dyDescent="0.3">
      <c r="A1" s="14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U1" s="15"/>
      <c r="V1" s="15"/>
      <c r="W1" s="17"/>
      <c r="X1" s="17" t="s">
        <v>0</v>
      </c>
      <c r="Y1" s="16">
        <v>29</v>
      </c>
    </row>
    <row r="2" spans="1:25" ht="42" customHeight="1" x14ac:dyDescent="0.3">
      <c r="A2" s="172" t="s">
        <v>1</v>
      </c>
      <c r="B2" s="172" t="s">
        <v>2</v>
      </c>
      <c r="C2" s="173" t="s">
        <v>3</v>
      </c>
      <c r="D2" s="174"/>
      <c r="E2" s="174"/>
      <c r="F2" s="175"/>
      <c r="G2" s="172" t="s">
        <v>4</v>
      </c>
      <c r="H2" s="173" t="s">
        <v>5</v>
      </c>
      <c r="I2" s="174"/>
      <c r="J2" s="174"/>
      <c r="K2" s="174"/>
      <c r="L2" s="174"/>
      <c r="M2" s="175"/>
      <c r="N2" s="172" t="s">
        <v>6</v>
      </c>
      <c r="O2" s="172"/>
      <c r="P2" s="172"/>
      <c r="Q2" s="172"/>
      <c r="R2" s="172"/>
      <c r="S2" s="172"/>
      <c r="T2" s="172"/>
      <c r="U2" s="172"/>
      <c r="V2" s="172" t="s">
        <v>7</v>
      </c>
      <c r="W2" s="172"/>
      <c r="X2" s="172" t="s">
        <v>8</v>
      </c>
      <c r="Y2" s="172" t="s">
        <v>9</v>
      </c>
    </row>
    <row r="3" spans="1:25" ht="42" customHeight="1" x14ac:dyDescent="0.3">
      <c r="A3" s="172"/>
      <c r="B3" s="172"/>
      <c r="C3" s="1" t="s">
        <v>65</v>
      </c>
      <c r="D3" s="1" t="s">
        <v>66</v>
      </c>
      <c r="E3" s="1" t="s">
        <v>67</v>
      </c>
      <c r="F3" s="31" t="s">
        <v>68</v>
      </c>
      <c r="G3" s="172"/>
      <c r="H3" s="1" t="s">
        <v>10</v>
      </c>
      <c r="I3" s="1" t="s">
        <v>11</v>
      </c>
      <c r="J3" s="1" t="s">
        <v>12</v>
      </c>
      <c r="K3" s="1" t="s">
        <v>13</v>
      </c>
      <c r="L3" s="1" t="s">
        <v>55</v>
      </c>
      <c r="M3" s="1" t="s">
        <v>14</v>
      </c>
      <c r="N3" s="1" t="s">
        <v>15</v>
      </c>
      <c r="O3" s="1" t="s">
        <v>16</v>
      </c>
      <c r="P3" s="1" t="s">
        <v>56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72"/>
      <c r="Y3" s="172"/>
    </row>
    <row r="4" spans="1:25" ht="24.95" customHeight="1" x14ac:dyDescent="0.3">
      <c r="A4" s="2">
        <v>1</v>
      </c>
      <c r="B4" s="3" t="s">
        <v>24</v>
      </c>
      <c r="C4" s="32">
        <v>13</v>
      </c>
      <c r="D4" s="32">
        <v>2</v>
      </c>
      <c r="E4" s="32">
        <v>1</v>
      </c>
      <c r="F4" s="32">
        <f t="shared" ref="F4:F12" si="0">C4+D4-E4</f>
        <v>14</v>
      </c>
      <c r="G4" s="4">
        <v>335</v>
      </c>
      <c r="H4" s="5">
        <v>167662</v>
      </c>
      <c r="I4" s="5"/>
      <c r="J4" s="5">
        <v>80719</v>
      </c>
      <c r="K4" s="5">
        <v>13799</v>
      </c>
      <c r="L4" s="5">
        <v>13799</v>
      </c>
      <c r="M4" s="6">
        <f t="shared" ref="M4:M12" si="1">SUM(H4:L4)</f>
        <v>275979</v>
      </c>
      <c r="N4" s="5">
        <v>20119</v>
      </c>
      <c r="O4" s="5">
        <v>2444</v>
      </c>
      <c r="P4" s="5"/>
      <c r="Q4" s="5"/>
      <c r="R4" s="5">
        <v>0</v>
      </c>
      <c r="S4" s="5">
        <v>21000</v>
      </c>
      <c r="T4" s="5">
        <v>0</v>
      </c>
      <c r="U4" s="6">
        <f>SUM(N4:T4)</f>
        <v>43563</v>
      </c>
      <c r="V4" s="5" t="s">
        <v>25</v>
      </c>
      <c r="W4" s="5" t="s">
        <v>25</v>
      </c>
      <c r="X4" s="5">
        <v>14</v>
      </c>
      <c r="Y4" s="7">
        <f>M4-U4+X4</f>
        <v>232430</v>
      </c>
    </row>
    <row r="5" spans="1:25" ht="24.95" customHeight="1" x14ac:dyDescent="0.3">
      <c r="A5" s="2">
        <v>2</v>
      </c>
      <c r="B5" s="3" t="s">
        <v>26</v>
      </c>
      <c r="C5" s="32">
        <v>3</v>
      </c>
      <c r="D5" s="32">
        <v>0</v>
      </c>
      <c r="E5" s="32">
        <v>0</v>
      </c>
      <c r="F5" s="32">
        <f t="shared" si="0"/>
        <v>3</v>
      </c>
      <c r="G5" s="4">
        <v>73</v>
      </c>
      <c r="H5" s="5">
        <v>30012</v>
      </c>
      <c r="I5" s="5"/>
      <c r="J5" s="5">
        <v>15006</v>
      </c>
      <c r="K5" s="5">
        <v>2501</v>
      </c>
      <c r="L5" s="5">
        <v>2501</v>
      </c>
      <c r="M5" s="6">
        <f t="shared" si="1"/>
        <v>50020</v>
      </c>
      <c r="N5" s="5">
        <v>3601</v>
      </c>
      <c r="O5" s="5">
        <v>492</v>
      </c>
      <c r="P5" s="5"/>
      <c r="Q5" s="8">
        <v>340</v>
      </c>
      <c r="R5" s="5">
        <v>0</v>
      </c>
      <c r="S5" s="5"/>
      <c r="T5" s="5"/>
      <c r="U5" s="6">
        <f>SUM(N5:T5)</f>
        <v>4433</v>
      </c>
      <c r="V5" s="5" t="s">
        <v>25</v>
      </c>
      <c r="W5" s="5" t="s">
        <v>25</v>
      </c>
      <c r="X5" s="5">
        <v>3</v>
      </c>
      <c r="Y5" s="7">
        <f>M5-U5+X5</f>
        <v>45590</v>
      </c>
    </row>
    <row r="6" spans="1:25" ht="24.95" customHeight="1" x14ac:dyDescent="0.3">
      <c r="A6" s="2">
        <v>3</v>
      </c>
      <c r="B6" s="3" t="s">
        <v>27</v>
      </c>
      <c r="C6" s="32">
        <v>2</v>
      </c>
      <c r="D6" s="32">
        <v>0</v>
      </c>
      <c r="E6" s="32">
        <v>0</v>
      </c>
      <c r="F6" s="32">
        <f t="shared" si="0"/>
        <v>2</v>
      </c>
      <c r="G6" s="4">
        <f>19+8</f>
        <v>27</v>
      </c>
      <c r="H6" s="5">
        <f>6884+2123</f>
        <v>9007</v>
      </c>
      <c r="I6" s="5"/>
      <c r="J6" s="5">
        <f>3442+1062</f>
        <v>4504</v>
      </c>
      <c r="K6" s="5">
        <f>574+177</f>
        <v>751</v>
      </c>
      <c r="L6" s="5">
        <f>574+177</f>
        <v>751</v>
      </c>
      <c r="M6" s="6">
        <f t="shared" si="1"/>
        <v>15013</v>
      </c>
      <c r="N6" s="5">
        <f>826+255</f>
        <v>1081</v>
      </c>
      <c r="O6" s="5">
        <f>201+62</f>
        <v>263</v>
      </c>
      <c r="P6" s="5"/>
      <c r="Q6" s="8">
        <v>0</v>
      </c>
      <c r="R6" s="5"/>
      <c r="S6" s="5">
        <v>0</v>
      </c>
      <c r="T6" s="5"/>
      <c r="U6" s="6">
        <f>SUM(N6:T6)</f>
        <v>1344</v>
      </c>
      <c r="V6" s="5" t="s">
        <v>25</v>
      </c>
      <c r="W6" s="5" t="s">
        <v>25</v>
      </c>
      <c r="X6" s="5">
        <v>1</v>
      </c>
      <c r="Y6" s="7">
        <f>M6-U6+X6</f>
        <v>13670</v>
      </c>
    </row>
    <row r="7" spans="1:25" ht="24.95" customHeight="1" x14ac:dyDescent="0.3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4">
        <v>156</v>
      </c>
      <c r="H7" s="5">
        <v>6240</v>
      </c>
      <c r="I7" s="5">
        <v>62197</v>
      </c>
      <c r="J7" s="5">
        <v>1560</v>
      </c>
      <c r="K7" s="5">
        <v>0</v>
      </c>
      <c r="L7" s="5">
        <v>0</v>
      </c>
      <c r="M7" s="6">
        <f t="shared" si="1"/>
        <v>69997</v>
      </c>
      <c r="N7" s="5">
        <v>8214</v>
      </c>
      <c r="O7" s="5">
        <v>1230</v>
      </c>
      <c r="P7" s="5">
        <v>0</v>
      </c>
      <c r="Q7" s="8">
        <v>260</v>
      </c>
      <c r="R7" s="5">
        <v>0</v>
      </c>
      <c r="S7" s="5"/>
      <c r="T7" s="5">
        <v>0</v>
      </c>
      <c r="U7" s="6">
        <f>SUM(N7:T7)</f>
        <v>9704</v>
      </c>
      <c r="V7" s="5">
        <v>1616</v>
      </c>
      <c r="W7" s="5">
        <v>8081</v>
      </c>
      <c r="X7" s="5">
        <v>-4</v>
      </c>
      <c r="Y7" s="7">
        <f>M7-U7+W7+X7</f>
        <v>68370</v>
      </c>
    </row>
    <row r="8" spans="1:25" ht="37.5" x14ac:dyDescent="0.3">
      <c r="A8" s="2">
        <v>5</v>
      </c>
      <c r="B8" s="28" t="s">
        <v>29</v>
      </c>
      <c r="C8" s="32">
        <v>33</v>
      </c>
      <c r="D8" s="32">
        <v>0</v>
      </c>
      <c r="E8" s="32">
        <v>0</v>
      </c>
      <c r="F8" s="32">
        <f t="shared" si="0"/>
        <v>33</v>
      </c>
      <c r="G8" s="4">
        <v>695</v>
      </c>
      <c r="H8" s="5">
        <v>134489</v>
      </c>
      <c r="I8" s="5">
        <v>0</v>
      </c>
      <c r="J8" s="5">
        <v>89659</v>
      </c>
      <c r="K8" s="5">
        <v>0</v>
      </c>
      <c r="L8" s="5">
        <v>0</v>
      </c>
      <c r="M8" s="6">
        <f t="shared" si="1"/>
        <v>224148</v>
      </c>
      <c r="N8" s="5">
        <v>16139</v>
      </c>
      <c r="O8" s="5">
        <v>3939</v>
      </c>
      <c r="P8" s="5">
        <v>0</v>
      </c>
      <c r="Q8" s="8">
        <v>2890</v>
      </c>
      <c r="R8" s="5">
        <v>0</v>
      </c>
      <c r="S8" s="5">
        <v>2000</v>
      </c>
      <c r="T8" s="5">
        <v>0</v>
      </c>
      <c r="U8" s="6">
        <f t="shared" ref="U8:U15" si="2">SUM(N8:T8)</f>
        <v>24968</v>
      </c>
      <c r="V8" s="5">
        <v>10423</v>
      </c>
      <c r="W8" s="5">
        <f>+V8*5</f>
        <v>52115</v>
      </c>
      <c r="X8" s="5">
        <v>25</v>
      </c>
      <c r="Y8" s="7">
        <f t="shared" ref="Y8:Y12" si="3">M8-U8+W8+X8</f>
        <v>251320</v>
      </c>
    </row>
    <row r="9" spans="1:25" ht="37.5" x14ac:dyDescent="0.3">
      <c r="A9" s="2">
        <v>6</v>
      </c>
      <c r="B9" s="28" t="s">
        <v>30</v>
      </c>
      <c r="C9" s="32">
        <v>53</v>
      </c>
      <c r="D9" s="32">
        <v>15</v>
      </c>
      <c r="E9" s="32">
        <v>9</v>
      </c>
      <c r="F9" s="32">
        <f t="shared" si="0"/>
        <v>59</v>
      </c>
      <c r="G9" s="4">
        <v>1046</v>
      </c>
      <c r="H9" s="5">
        <v>201221</v>
      </c>
      <c r="I9" s="5">
        <v>0</v>
      </c>
      <c r="J9" s="5">
        <v>134147</v>
      </c>
      <c r="K9" s="5">
        <v>0</v>
      </c>
      <c r="L9" s="5">
        <v>0</v>
      </c>
      <c r="M9" s="6">
        <f t="shared" si="1"/>
        <v>335368</v>
      </c>
      <c r="N9" s="5">
        <v>24144</v>
      </c>
      <c r="O9" s="5">
        <v>5890</v>
      </c>
      <c r="P9" s="5"/>
      <c r="Q9" s="8">
        <v>4660</v>
      </c>
      <c r="R9" s="5">
        <v>0</v>
      </c>
      <c r="S9" s="5">
        <v>4500</v>
      </c>
      <c r="T9" s="5">
        <v>0</v>
      </c>
      <c r="U9" s="6">
        <f t="shared" si="2"/>
        <v>39194</v>
      </c>
      <c r="V9" s="5">
        <v>14985</v>
      </c>
      <c r="W9" s="5">
        <f>+V9*5</f>
        <v>74925</v>
      </c>
      <c r="X9" s="5">
        <v>11</v>
      </c>
      <c r="Y9" s="7">
        <f t="shared" si="3"/>
        <v>371110</v>
      </c>
    </row>
    <row r="10" spans="1:25" ht="37.5" x14ac:dyDescent="0.3">
      <c r="A10" s="2">
        <v>7</v>
      </c>
      <c r="B10" s="28" t="s">
        <v>31</v>
      </c>
      <c r="C10" s="32">
        <v>64</v>
      </c>
      <c r="D10" s="32">
        <v>1</v>
      </c>
      <c r="E10" s="32">
        <v>13</v>
      </c>
      <c r="F10" s="32">
        <f t="shared" si="0"/>
        <v>52</v>
      </c>
      <c r="G10" s="9">
        <v>832</v>
      </c>
      <c r="H10" s="8">
        <v>152065</v>
      </c>
      <c r="I10" s="5"/>
      <c r="J10" s="8">
        <v>101377</v>
      </c>
      <c r="K10" s="5">
        <v>0</v>
      </c>
      <c r="L10" s="5">
        <v>0</v>
      </c>
      <c r="M10" s="6">
        <f t="shared" si="1"/>
        <v>253442</v>
      </c>
      <c r="N10" s="8">
        <v>18247</v>
      </c>
      <c r="O10" s="8">
        <v>4450</v>
      </c>
      <c r="P10" s="8"/>
      <c r="Q10" s="8">
        <v>4390</v>
      </c>
      <c r="R10" s="5">
        <v>0</v>
      </c>
      <c r="S10" s="5">
        <v>3000</v>
      </c>
      <c r="T10" s="5">
        <v>0</v>
      </c>
      <c r="U10" s="6">
        <f t="shared" si="2"/>
        <v>30087</v>
      </c>
      <c r="V10" s="5">
        <v>12927</v>
      </c>
      <c r="W10" s="5">
        <f>+V10*5</f>
        <v>64635</v>
      </c>
      <c r="X10" s="5">
        <v>60</v>
      </c>
      <c r="Y10" s="7">
        <f t="shared" si="3"/>
        <v>288050</v>
      </c>
    </row>
    <row r="11" spans="1:25" ht="37.5" x14ac:dyDescent="0.3">
      <c r="A11" s="2">
        <v>8</v>
      </c>
      <c r="B11" s="28" t="s">
        <v>32</v>
      </c>
      <c r="C11" s="32">
        <v>1</v>
      </c>
      <c r="D11" s="32">
        <v>0</v>
      </c>
      <c r="E11" s="32">
        <v>0</v>
      </c>
      <c r="F11" s="32">
        <f t="shared" si="0"/>
        <v>1</v>
      </c>
      <c r="G11" s="4">
        <v>17</v>
      </c>
      <c r="H11" s="5">
        <v>4080</v>
      </c>
      <c r="I11" s="5">
        <v>0</v>
      </c>
      <c r="J11" s="5">
        <v>2720</v>
      </c>
      <c r="K11" s="5">
        <v>0</v>
      </c>
      <c r="L11" s="5">
        <v>0</v>
      </c>
      <c r="M11" s="6">
        <f t="shared" si="1"/>
        <v>6800</v>
      </c>
      <c r="N11" s="5">
        <v>490</v>
      </c>
      <c r="O11" s="5">
        <v>119</v>
      </c>
      <c r="P11" s="5">
        <v>0</v>
      </c>
      <c r="Q11" s="8">
        <v>180</v>
      </c>
      <c r="R11" s="5">
        <v>0</v>
      </c>
      <c r="S11" s="5">
        <v>0</v>
      </c>
      <c r="T11" s="5">
        <v>0</v>
      </c>
      <c r="U11" s="6">
        <f>SUM(N11:T11)</f>
        <v>789</v>
      </c>
      <c r="V11" s="5"/>
      <c r="W11" s="5"/>
      <c r="X11" s="5">
        <v>-1</v>
      </c>
      <c r="Y11" s="7">
        <f t="shared" si="3"/>
        <v>6010</v>
      </c>
    </row>
    <row r="12" spans="1:25" ht="37.5" x14ac:dyDescent="0.3">
      <c r="A12" s="2">
        <v>9</v>
      </c>
      <c r="B12" s="28" t="s">
        <v>33</v>
      </c>
      <c r="C12" s="32">
        <v>8</v>
      </c>
      <c r="D12" s="32">
        <v>0</v>
      </c>
      <c r="E12" s="32">
        <v>1</v>
      </c>
      <c r="F12" s="32">
        <f t="shared" si="0"/>
        <v>7</v>
      </c>
      <c r="G12" s="4">
        <v>135</v>
      </c>
      <c r="H12" s="5">
        <v>30641</v>
      </c>
      <c r="I12" s="5">
        <v>0</v>
      </c>
      <c r="J12" s="5">
        <v>20427</v>
      </c>
      <c r="K12" s="5"/>
      <c r="L12" s="5">
        <v>0</v>
      </c>
      <c r="M12" s="6">
        <f t="shared" si="1"/>
        <v>51068</v>
      </c>
      <c r="N12" s="5">
        <v>3676</v>
      </c>
      <c r="O12" s="5">
        <v>896</v>
      </c>
      <c r="P12" s="5">
        <v>0</v>
      </c>
      <c r="Q12" s="8">
        <v>850</v>
      </c>
      <c r="R12" s="5">
        <v>0</v>
      </c>
      <c r="S12" s="5"/>
      <c r="T12" s="5">
        <v>0</v>
      </c>
      <c r="U12" s="6">
        <f>SUM(N12:T12)</f>
        <v>5422</v>
      </c>
      <c r="V12" s="5"/>
      <c r="W12" s="5">
        <v>1300</v>
      </c>
      <c r="X12" s="5">
        <v>-6</v>
      </c>
      <c r="Y12" s="7">
        <f t="shared" si="3"/>
        <v>46940</v>
      </c>
    </row>
    <row r="13" spans="1:25" x14ac:dyDescent="0.3">
      <c r="A13" s="2">
        <v>10</v>
      </c>
      <c r="B13" s="28" t="s">
        <v>34</v>
      </c>
      <c r="C13" s="32">
        <v>1</v>
      </c>
      <c r="D13" s="32"/>
      <c r="E13" s="32"/>
      <c r="F13" s="32">
        <f t="shared" ref="F13" si="4">C13+D13-E13</f>
        <v>1</v>
      </c>
      <c r="G13" s="4">
        <v>26</v>
      </c>
      <c r="H13" s="5">
        <v>2</v>
      </c>
      <c r="I13" s="5">
        <v>0</v>
      </c>
      <c r="J13" s="5"/>
      <c r="K13" s="5"/>
      <c r="L13" s="5">
        <v>0</v>
      </c>
      <c r="M13" s="6">
        <f t="shared" ref="M13" si="5">SUM(H13:L13)</f>
        <v>2</v>
      </c>
      <c r="N13" s="5"/>
      <c r="O13" s="5"/>
      <c r="P13" s="5">
        <v>0</v>
      </c>
      <c r="Q13" s="8"/>
      <c r="R13" s="5">
        <v>0</v>
      </c>
      <c r="S13" s="5"/>
      <c r="T13" s="5">
        <v>0</v>
      </c>
      <c r="U13" s="6">
        <f>SUM(N13:T13)</f>
        <v>0</v>
      </c>
      <c r="V13" s="5"/>
      <c r="W13" s="5"/>
      <c r="X13" s="5">
        <v>0</v>
      </c>
      <c r="Y13" s="7">
        <f t="shared" ref="Y13" si="6">M13-U13+W13+X13</f>
        <v>2</v>
      </c>
    </row>
    <row r="14" spans="1:25" ht="24.95" customHeight="1" x14ac:dyDescent="0.3">
      <c r="A14" s="2">
        <v>10</v>
      </c>
      <c r="B14" s="3" t="s">
        <v>35</v>
      </c>
      <c r="C14" s="33">
        <v>8</v>
      </c>
      <c r="D14" s="33">
        <v>0</v>
      </c>
      <c r="E14" s="33">
        <v>0</v>
      </c>
      <c r="F14" s="32">
        <f t="shared" ref="F14:F15" si="7">C14+D14-E14</f>
        <v>8</v>
      </c>
      <c r="G14" s="4">
        <v>171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v>157323</v>
      </c>
      <c r="N14" s="5">
        <v>0</v>
      </c>
      <c r="O14" s="5">
        <v>0</v>
      </c>
      <c r="P14" s="5">
        <v>0</v>
      </c>
      <c r="Q14" s="5"/>
      <c r="R14" s="5"/>
      <c r="S14" s="5">
        <v>37000</v>
      </c>
      <c r="T14" s="5"/>
      <c r="U14" s="6">
        <f>SUM(N14:T14)</f>
        <v>37000</v>
      </c>
      <c r="V14" s="5">
        <v>0</v>
      </c>
      <c r="W14" s="5"/>
      <c r="X14" s="5">
        <v>7</v>
      </c>
      <c r="Y14" s="7">
        <f>M14-U14+W14+X14</f>
        <v>120330</v>
      </c>
    </row>
    <row r="15" spans="1:25" ht="24.95" customHeight="1" x14ac:dyDescent="0.3">
      <c r="A15" s="2">
        <v>11</v>
      </c>
      <c r="B15" s="3" t="s">
        <v>36</v>
      </c>
      <c r="C15" s="33">
        <v>3</v>
      </c>
      <c r="D15" s="33">
        <v>0</v>
      </c>
      <c r="E15" s="33">
        <v>0</v>
      </c>
      <c r="F15" s="32">
        <f t="shared" si="7"/>
        <v>3</v>
      </c>
      <c r="G15" s="4">
        <v>44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>
        <v>41188</v>
      </c>
      <c r="N15" s="5">
        <v>0</v>
      </c>
      <c r="O15" s="5">
        <v>0</v>
      </c>
      <c r="P15" s="5">
        <v>0</v>
      </c>
      <c r="Q15" s="5">
        <v>0</v>
      </c>
      <c r="R15" s="5"/>
      <c r="S15" s="5">
        <v>14000</v>
      </c>
      <c r="T15" s="5"/>
      <c r="U15" s="6">
        <f t="shared" si="2"/>
        <v>14000</v>
      </c>
      <c r="V15" s="5"/>
      <c r="W15" s="5"/>
      <c r="X15" s="5">
        <v>2</v>
      </c>
      <c r="Y15" s="7">
        <f t="shared" ref="Y15" si="8">M15-U15+W15+X15</f>
        <v>27190</v>
      </c>
    </row>
    <row r="16" spans="1:25" x14ac:dyDescent="0.3">
      <c r="A16" s="171" t="s">
        <v>37</v>
      </c>
      <c r="B16" s="171"/>
      <c r="C16" s="34">
        <f>SUM(C4:C15)</f>
        <v>196</v>
      </c>
      <c r="D16" s="34">
        <f>SUM(D4:D15)</f>
        <v>18</v>
      </c>
      <c r="E16" s="34">
        <f>SUM(E4:E15)</f>
        <v>24</v>
      </c>
      <c r="F16" s="34">
        <f>SUM(F4:F15)</f>
        <v>190</v>
      </c>
      <c r="G16" s="10">
        <f t="shared" ref="G16:U16" si="9">SUM(G4:G15)</f>
        <v>3557</v>
      </c>
      <c r="H16" s="10">
        <f t="shared" si="9"/>
        <v>735419</v>
      </c>
      <c r="I16" s="10">
        <f t="shared" si="9"/>
        <v>62197</v>
      </c>
      <c r="J16" s="10">
        <f t="shared" si="9"/>
        <v>450119</v>
      </c>
      <c r="K16" s="10">
        <f t="shared" si="9"/>
        <v>17051</v>
      </c>
      <c r="L16" s="10">
        <f t="shared" si="9"/>
        <v>17051</v>
      </c>
      <c r="M16" s="10">
        <f t="shared" si="9"/>
        <v>1480348</v>
      </c>
      <c r="N16" s="10">
        <f t="shared" si="9"/>
        <v>95711</v>
      </c>
      <c r="O16" s="10">
        <f t="shared" si="9"/>
        <v>19723</v>
      </c>
      <c r="P16" s="10">
        <f t="shared" si="9"/>
        <v>0</v>
      </c>
      <c r="Q16" s="10">
        <f t="shared" si="9"/>
        <v>13570</v>
      </c>
      <c r="R16" s="10">
        <f t="shared" si="9"/>
        <v>0</v>
      </c>
      <c r="S16" s="10">
        <f t="shared" si="9"/>
        <v>81500</v>
      </c>
      <c r="T16" s="10">
        <f t="shared" si="9"/>
        <v>0</v>
      </c>
      <c r="U16" s="10">
        <f t="shared" si="9"/>
        <v>210504</v>
      </c>
      <c r="V16" s="10">
        <f t="shared" ref="V16" si="10">SUM(V4:V15)</f>
        <v>39951</v>
      </c>
      <c r="W16" s="10">
        <f t="shared" ref="W16:Y16" si="11">SUM(W4:W15)</f>
        <v>201056</v>
      </c>
      <c r="X16" s="10">
        <f t="shared" si="11"/>
        <v>112</v>
      </c>
      <c r="Y16" s="10">
        <f t="shared" si="11"/>
        <v>1471012</v>
      </c>
    </row>
    <row r="17" spans="1:25" customFormat="1" ht="15" x14ac:dyDescent="0.25"/>
    <row r="18" spans="1:25" customFormat="1" ht="23.25" customHeight="1" x14ac:dyDescent="0.35">
      <c r="A18" s="25" t="s">
        <v>64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customFormat="1" ht="34.700000000000003" customHeight="1" x14ac:dyDescent="0.25">
      <c r="A19" s="179" t="s">
        <v>1</v>
      </c>
      <c r="B19" s="179" t="s">
        <v>38</v>
      </c>
      <c r="C19" s="176" t="s">
        <v>39</v>
      </c>
      <c r="D19" s="177"/>
      <c r="E19" s="177"/>
      <c r="F19" s="178"/>
      <c r="G19" s="181" t="s">
        <v>40</v>
      </c>
      <c r="H19" s="182"/>
      <c r="I19" s="179" t="s">
        <v>69</v>
      </c>
      <c r="J19" s="185" t="s">
        <v>41</v>
      </c>
      <c r="K19" s="186"/>
      <c r="L19" s="181" t="s">
        <v>42</v>
      </c>
      <c r="M19" s="182"/>
      <c r="N19" s="167" t="s">
        <v>50</v>
      </c>
      <c r="O19" s="168"/>
      <c r="P19" s="185" t="s">
        <v>53</v>
      </c>
      <c r="Q19" s="186"/>
      <c r="R19" s="185" t="s">
        <v>54</v>
      </c>
      <c r="S19" s="186"/>
      <c r="T19" s="185" t="s">
        <v>51</v>
      </c>
      <c r="U19" s="186"/>
      <c r="V19" s="179" t="s">
        <v>52</v>
      </c>
      <c r="W19" s="181" t="s">
        <v>43</v>
      </c>
      <c r="X19" s="192"/>
      <c r="Y19" s="182"/>
    </row>
    <row r="20" spans="1:25" s="21" customFormat="1" ht="37.5" x14ac:dyDescent="0.25">
      <c r="A20" s="180"/>
      <c r="B20" s="180"/>
      <c r="C20" s="27" t="s">
        <v>65</v>
      </c>
      <c r="D20" s="27" t="s">
        <v>66</v>
      </c>
      <c r="E20" s="27" t="s">
        <v>67</v>
      </c>
      <c r="F20" s="27" t="s">
        <v>68</v>
      </c>
      <c r="G20" s="183"/>
      <c r="H20" s="184"/>
      <c r="I20" s="180"/>
      <c r="J20" s="187"/>
      <c r="K20" s="188"/>
      <c r="L20" s="183"/>
      <c r="M20" s="184"/>
      <c r="N20" s="169"/>
      <c r="O20" s="170"/>
      <c r="P20" s="187"/>
      <c r="Q20" s="188"/>
      <c r="R20" s="187"/>
      <c r="S20" s="188"/>
      <c r="T20" s="187"/>
      <c r="U20" s="188"/>
      <c r="V20" s="180"/>
      <c r="W20" s="183"/>
      <c r="X20" s="193"/>
      <c r="Y20" s="184"/>
    </row>
    <row r="21" spans="1:25" s="21" customFormat="1" ht="44.1" customHeight="1" x14ac:dyDescent="0.3">
      <c r="A21" s="18">
        <v>1</v>
      </c>
      <c r="B21" s="19" t="str">
        <f t="shared" ref="B21:B29" si="12">B4</f>
        <v>SALARY -STAFF - BANK</v>
      </c>
      <c r="C21" s="38">
        <v>18</v>
      </c>
      <c r="D21" s="38">
        <v>2</v>
      </c>
      <c r="E21" s="38">
        <v>1</v>
      </c>
      <c r="F21" s="39">
        <f>C21+D21-E21</f>
        <v>19</v>
      </c>
      <c r="G21" s="143">
        <v>14</v>
      </c>
      <c r="H21" s="143"/>
      <c r="I21" s="42">
        <f t="shared" ref="I21:I32" si="13">G21-F21</f>
        <v>-5</v>
      </c>
      <c r="J21" s="141">
        <f t="shared" ref="J21:J29" si="14">M4</f>
        <v>275979</v>
      </c>
      <c r="K21" s="141"/>
      <c r="L21" s="143">
        <v>167662</v>
      </c>
      <c r="M21" s="143"/>
      <c r="N21" s="158">
        <f>+J21*60/100</f>
        <v>165587.4</v>
      </c>
      <c r="O21" s="159"/>
      <c r="P21" s="143">
        <f>+L21-N21</f>
        <v>2074.6000000000058</v>
      </c>
      <c r="Q21" s="143"/>
      <c r="R21" s="141">
        <v>20119</v>
      </c>
      <c r="S21" s="141"/>
      <c r="T21" s="141">
        <v>20119</v>
      </c>
      <c r="U21" s="141"/>
      <c r="V21" s="43">
        <f>R21-T21</f>
        <v>0</v>
      </c>
      <c r="W21" s="149" t="s">
        <v>45</v>
      </c>
      <c r="X21" s="150"/>
      <c r="Y21" s="151"/>
    </row>
    <row r="22" spans="1:25" s="21" customFormat="1" x14ac:dyDescent="0.3">
      <c r="A22" s="18">
        <v>2</v>
      </c>
      <c r="B22" s="19" t="str">
        <f t="shared" si="12"/>
        <v>SALARY - STAFF -2 CSB</v>
      </c>
      <c r="C22" s="40"/>
      <c r="D22" s="40"/>
      <c r="E22" s="40"/>
      <c r="F22" s="41">
        <f t="shared" ref="F22:F32" si="15">C22+D22-E22</f>
        <v>0</v>
      </c>
      <c r="G22" s="143">
        <v>3</v>
      </c>
      <c r="H22" s="143"/>
      <c r="I22" s="42">
        <f t="shared" si="13"/>
        <v>3</v>
      </c>
      <c r="J22" s="141">
        <f t="shared" si="14"/>
        <v>50020</v>
      </c>
      <c r="K22" s="141"/>
      <c r="L22" s="143">
        <v>30012</v>
      </c>
      <c r="M22" s="143"/>
      <c r="N22" s="158">
        <f t="shared" ref="N22:N29" si="16">+J22*60/100</f>
        <v>30012</v>
      </c>
      <c r="O22" s="159"/>
      <c r="P22" s="143">
        <f>+L22-N22</f>
        <v>0</v>
      </c>
      <c r="Q22" s="143"/>
      <c r="R22" s="141">
        <f t="shared" ref="R22:R28" si="17">N22*12%</f>
        <v>3601.44</v>
      </c>
      <c r="S22" s="141"/>
      <c r="T22" s="141">
        <v>3601</v>
      </c>
      <c r="U22" s="141"/>
      <c r="V22" s="43">
        <f t="shared" ref="V22:V32" si="18">R22-T22</f>
        <v>0.44000000000005457</v>
      </c>
      <c r="W22" s="149"/>
      <c r="X22" s="150"/>
      <c r="Y22" s="151"/>
    </row>
    <row r="23" spans="1:25" s="21" customFormat="1" x14ac:dyDescent="0.3">
      <c r="A23" s="18">
        <v>3</v>
      </c>
      <c r="B23" s="19" t="str">
        <f t="shared" si="12"/>
        <v>SALARY - STAFF-CHEQUE</v>
      </c>
      <c r="C23" s="40"/>
      <c r="D23" s="40"/>
      <c r="E23" s="40"/>
      <c r="F23" s="41">
        <f t="shared" si="15"/>
        <v>0</v>
      </c>
      <c r="G23" s="143">
        <v>2</v>
      </c>
      <c r="H23" s="143"/>
      <c r="I23" s="42">
        <f t="shared" si="13"/>
        <v>2</v>
      </c>
      <c r="J23" s="141">
        <f t="shared" si="14"/>
        <v>15013</v>
      </c>
      <c r="K23" s="141"/>
      <c r="L23" s="143">
        <v>9007</v>
      </c>
      <c r="M23" s="143"/>
      <c r="N23" s="158">
        <f t="shared" si="16"/>
        <v>9007.7999999999993</v>
      </c>
      <c r="O23" s="159"/>
      <c r="P23" s="143">
        <f t="shared" ref="P23:P28" si="19">+L23-N23</f>
        <v>-0.7999999999992724</v>
      </c>
      <c r="Q23" s="143"/>
      <c r="R23" s="141">
        <f t="shared" si="17"/>
        <v>1080.9359999999999</v>
      </c>
      <c r="S23" s="141"/>
      <c r="T23" s="141">
        <v>1081</v>
      </c>
      <c r="U23" s="141"/>
      <c r="V23" s="43">
        <f t="shared" si="18"/>
        <v>-6.4000000000078217E-2</v>
      </c>
      <c r="W23" s="149"/>
      <c r="X23" s="150"/>
      <c r="Y23" s="151"/>
    </row>
    <row r="24" spans="1:25" s="21" customFormat="1" ht="19.149999999999999" customHeight="1" x14ac:dyDescent="0.3">
      <c r="A24" s="18">
        <v>4</v>
      </c>
      <c r="B24" s="19" t="str">
        <f t="shared" si="12"/>
        <v>WAGES-PERMANENT - BANK</v>
      </c>
      <c r="C24" s="40">
        <v>7</v>
      </c>
      <c r="D24" s="40"/>
      <c r="E24" s="40"/>
      <c r="F24" s="41">
        <f t="shared" si="15"/>
        <v>7</v>
      </c>
      <c r="G24" s="143">
        <v>7</v>
      </c>
      <c r="H24" s="143"/>
      <c r="I24" s="42">
        <f t="shared" si="13"/>
        <v>0</v>
      </c>
      <c r="J24" s="141">
        <f t="shared" si="14"/>
        <v>69997</v>
      </c>
      <c r="K24" s="141"/>
      <c r="L24" s="143">
        <v>68437</v>
      </c>
      <c r="M24" s="143"/>
      <c r="N24" s="158">
        <f t="shared" si="16"/>
        <v>41998.2</v>
      </c>
      <c r="O24" s="159"/>
      <c r="P24" s="143">
        <f t="shared" si="19"/>
        <v>26438.800000000003</v>
      </c>
      <c r="Q24" s="143"/>
      <c r="R24" s="141">
        <v>8214</v>
      </c>
      <c r="S24" s="141"/>
      <c r="T24" s="141">
        <v>8214</v>
      </c>
      <c r="U24" s="141"/>
      <c r="V24" s="43">
        <f t="shared" si="18"/>
        <v>0</v>
      </c>
      <c r="W24" s="149" t="s">
        <v>48</v>
      </c>
      <c r="X24" s="150"/>
      <c r="Y24" s="151"/>
    </row>
    <row r="25" spans="1:25" s="21" customFormat="1" ht="37.5" x14ac:dyDescent="0.3">
      <c r="A25" s="18">
        <v>5</v>
      </c>
      <c r="B25" s="20" t="str">
        <f t="shared" si="12"/>
        <v>WAGES - CASUAL - BANK(OUTSIDE)</v>
      </c>
      <c r="C25" s="40">
        <v>33</v>
      </c>
      <c r="D25" s="40"/>
      <c r="E25" s="40"/>
      <c r="F25" s="41">
        <f t="shared" si="15"/>
        <v>33</v>
      </c>
      <c r="G25" s="143">
        <v>33</v>
      </c>
      <c r="H25" s="143"/>
      <c r="I25" s="42">
        <f t="shared" si="13"/>
        <v>0</v>
      </c>
      <c r="J25" s="141">
        <f t="shared" si="14"/>
        <v>224148</v>
      </c>
      <c r="K25" s="141"/>
      <c r="L25" s="143">
        <v>134489</v>
      </c>
      <c r="M25" s="143"/>
      <c r="N25" s="158">
        <f t="shared" si="16"/>
        <v>134488.79999999999</v>
      </c>
      <c r="O25" s="159"/>
      <c r="P25" s="143">
        <f t="shared" si="19"/>
        <v>0.20000000001164153</v>
      </c>
      <c r="Q25" s="143"/>
      <c r="R25" s="141">
        <f t="shared" si="17"/>
        <v>16138.655999999997</v>
      </c>
      <c r="S25" s="141"/>
      <c r="T25" s="141">
        <v>16139</v>
      </c>
      <c r="U25" s="141"/>
      <c r="V25" s="43">
        <f t="shared" si="18"/>
        <v>-0.34400000000277942</v>
      </c>
      <c r="W25" s="149"/>
      <c r="X25" s="150"/>
      <c r="Y25" s="151"/>
    </row>
    <row r="26" spans="1:25" s="21" customFormat="1" ht="37.5" x14ac:dyDescent="0.3">
      <c r="A26" s="18">
        <v>6</v>
      </c>
      <c r="B26" s="20" t="str">
        <f t="shared" si="12"/>
        <v>WAGES - CASUAL - CASH(OUTSIDE)</v>
      </c>
      <c r="C26" s="40">
        <f>48+5</f>
        <v>53</v>
      </c>
      <c r="D26" s="40">
        <v>15</v>
      </c>
      <c r="E26" s="40">
        <v>9</v>
      </c>
      <c r="F26" s="41">
        <f t="shared" si="15"/>
        <v>59</v>
      </c>
      <c r="G26" s="143">
        <v>59</v>
      </c>
      <c r="H26" s="143"/>
      <c r="I26" s="42">
        <f t="shared" si="13"/>
        <v>0</v>
      </c>
      <c r="J26" s="141">
        <f t="shared" si="14"/>
        <v>335368</v>
      </c>
      <c r="K26" s="141"/>
      <c r="L26" s="143">
        <v>201221</v>
      </c>
      <c r="M26" s="143"/>
      <c r="N26" s="158">
        <f t="shared" si="16"/>
        <v>201220.8</v>
      </c>
      <c r="O26" s="159"/>
      <c r="P26" s="143">
        <f t="shared" si="19"/>
        <v>0.20000000001164153</v>
      </c>
      <c r="Q26" s="143"/>
      <c r="R26" s="141">
        <v>24144</v>
      </c>
      <c r="S26" s="141"/>
      <c r="T26" s="141">
        <v>24144</v>
      </c>
      <c r="U26" s="141"/>
      <c r="V26" s="43">
        <f t="shared" si="18"/>
        <v>0</v>
      </c>
      <c r="W26" s="149"/>
      <c r="X26" s="150"/>
      <c r="Y26" s="151"/>
    </row>
    <row r="27" spans="1:25" s="21" customFormat="1" ht="37.5" x14ac:dyDescent="0.3">
      <c r="A27" s="18">
        <v>7</v>
      </c>
      <c r="B27" s="20" t="str">
        <f t="shared" si="12"/>
        <v>WAGES - CASUAL - CASH(INSIDE)</v>
      </c>
      <c r="C27" s="40">
        <v>64</v>
      </c>
      <c r="D27" s="40">
        <v>1</v>
      </c>
      <c r="E27" s="40">
        <v>13</v>
      </c>
      <c r="F27" s="41">
        <f t="shared" si="15"/>
        <v>52</v>
      </c>
      <c r="G27" s="143">
        <v>52</v>
      </c>
      <c r="H27" s="143"/>
      <c r="I27" s="42">
        <f t="shared" si="13"/>
        <v>0</v>
      </c>
      <c r="J27" s="141">
        <f t="shared" si="14"/>
        <v>253442</v>
      </c>
      <c r="K27" s="141"/>
      <c r="L27" s="143">
        <v>152065</v>
      </c>
      <c r="M27" s="143"/>
      <c r="N27" s="158">
        <f t="shared" si="16"/>
        <v>152065.20000000001</v>
      </c>
      <c r="O27" s="159"/>
      <c r="P27" s="143">
        <f t="shared" si="19"/>
        <v>-0.20000000001164153</v>
      </c>
      <c r="Q27" s="143"/>
      <c r="R27" s="141">
        <v>18247</v>
      </c>
      <c r="S27" s="141"/>
      <c r="T27" s="141">
        <v>18247</v>
      </c>
      <c r="U27" s="141"/>
      <c r="V27" s="43">
        <f t="shared" si="18"/>
        <v>0</v>
      </c>
      <c r="W27" s="149"/>
      <c r="X27" s="150"/>
      <c r="Y27" s="151"/>
    </row>
    <row r="28" spans="1:25" s="21" customFormat="1" ht="37.5" x14ac:dyDescent="0.3">
      <c r="A28" s="18">
        <v>8</v>
      </c>
      <c r="B28" s="20" t="str">
        <f t="shared" si="12"/>
        <v>WAGES - SECUR &amp; GARDEN - CHEQUE</v>
      </c>
      <c r="C28" s="40">
        <v>1</v>
      </c>
      <c r="D28" s="40"/>
      <c r="E28" s="40"/>
      <c r="F28" s="41">
        <f t="shared" si="15"/>
        <v>1</v>
      </c>
      <c r="G28" s="143">
        <v>1</v>
      </c>
      <c r="H28" s="143"/>
      <c r="I28" s="42">
        <f t="shared" si="13"/>
        <v>0</v>
      </c>
      <c r="J28" s="141">
        <f t="shared" si="14"/>
        <v>6800</v>
      </c>
      <c r="K28" s="141"/>
      <c r="L28" s="143">
        <v>4080</v>
      </c>
      <c r="M28" s="143"/>
      <c r="N28" s="158">
        <f t="shared" si="16"/>
        <v>4080</v>
      </c>
      <c r="O28" s="159"/>
      <c r="P28" s="143">
        <f t="shared" si="19"/>
        <v>0</v>
      </c>
      <c r="Q28" s="143"/>
      <c r="R28" s="141">
        <f t="shared" si="17"/>
        <v>489.59999999999997</v>
      </c>
      <c r="S28" s="141"/>
      <c r="T28" s="141">
        <v>490</v>
      </c>
      <c r="U28" s="141"/>
      <c r="V28" s="43">
        <f t="shared" si="18"/>
        <v>-0.40000000000003411</v>
      </c>
      <c r="W28" s="149"/>
      <c r="X28" s="150"/>
      <c r="Y28" s="151"/>
    </row>
    <row r="29" spans="1:25" s="21" customFormat="1" ht="37.5" x14ac:dyDescent="0.3">
      <c r="A29" s="18">
        <v>9</v>
      </c>
      <c r="B29" s="20" t="str">
        <f t="shared" si="12"/>
        <v>WAGES - SECUR &amp; GARDEN - CSB</v>
      </c>
      <c r="C29" s="40">
        <v>8</v>
      </c>
      <c r="D29" s="40"/>
      <c r="E29" s="40">
        <v>1</v>
      </c>
      <c r="F29" s="41">
        <f t="shared" si="15"/>
        <v>7</v>
      </c>
      <c r="G29" s="143">
        <v>7</v>
      </c>
      <c r="H29" s="143"/>
      <c r="I29" s="42">
        <f t="shared" si="13"/>
        <v>0</v>
      </c>
      <c r="J29" s="141">
        <f t="shared" si="14"/>
        <v>51068</v>
      </c>
      <c r="K29" s="141"/>
      <c r="L29" s="143">
        <v>30641</v>
      </c>
      <c r="M29" s="143"/>
      <c r="N29" s="158">
        <f t="shared" si="16"/>
        <v>30640.799999999999</v>
      </c>
      <c r="O29" s="159"/>
      <c r="P29" s="143">
        <f t="shared" ref="P29:P31" si="20">+L29-N29</f>
        <v>0.2000000000007276</v>
      </c>
      <c r="Q29" s="143"/>
      <c r="R29" s="141">
        <v>3676</v>
      </c>
      <c r="S29" s="141"/>
      <c r="T29" s="141">
        <v>3676</v>
      </c>
      <c r="U29" s="141"/>
      <c r="V29" s="43">
        <f t="shared" si="18"/>
        <v>0</v>
      </c>
      <c r="W29" s="149"/>
      <c r="X29" s="150"/>
      <c r="Y29" s="151"/>
    </row>
    <row r="30" spans="1:25" s="21" customFormat="1" x14ac:dyDescent="0.3">
      <c r="A30" s="18">
        <v>10</v>
      </c>
      <c r="B30" s="36" t="s">
        <v>34</v>
      </c>
      <c r="C30" s="40">
        <v>1</v>
      </c>
      <c r="D30" s="40"/>
      <c r="E30" s="40"/>
      <c r="F30" s="41">
        <v>1</v>
      </c>
      <c r="G30" s="161">
        <v>1</v>
      </c>
      <c r="H30" s="162"/>
      <c r="I30" s="42"/>
      <c r="J30" s="156">
        <v>200000</v>
      </c>
      <c r="K30" s="157"/>
      <c r="L30" s="161">
        <v>200000</v>
      </c>
      <c r="M30" s="162"/>
      <c r="N30" s="158">
        <f t="shared" ref="N30" si="21">+J30*60/100</f>
        <v>120000</v>
      </c>
      <c r="O30" s="159"/>
      <c r="P30" s="143">
        <f t="shared" ref="P30" si="22">+L30-N30</f>
        <v>80000</v>
      </c>
      <c r="Q30" s="143"/>
      <c r="R30" s="156">
        <v>24000</v>
      </c>
      <c r="S30" s="157"/>
      <c r="T30" s="156">
        <v>24000</v>
      </c>
      <c r="U30" s="157"/>
      <c r="V30" s="43">
        <f t="shared" si="18"/>
        <v>0</v>
      </c>
      <c r="W30" s="189" t="s">
        <v>75</v>
      </c>
      <c r="X30" s="190"/>
      <c r="Y30" s="191"/>
    </row>
    <row r="31" spans="1:25" s="21" customFormat="1" ht="19.149999999999999" customHeight="1" x14ac:dyDescent="0.3">
      <c r="A31" s="18">
        <v>11</v>
      </c>
      <c r="B31" s="19" t="str">
        <f t="shared" ref="B31:B32" si="23">B14</f>
        <v>EXEMPTED - BANK</v>
      </c>
      <c r="C31" s="40">
        <v>8</v>
      </c>
      <c r="D31" s="40"/>
      <c r="E31" s="40"/>
      <c r="F31" s="41">
        <f t="shared" si="15"/>
        <v>8</v>
      </c>
      <c r="G31" s="143">
        <v>8</v>
      </c>
      <c r="H31" s="143"/>
      <c r="I31" s="42">
        <f t="shared" si="13"/>
        <v>0</v>
      </c>
      <c r="J31" s="141">
        <v>0</v>
      </c>
      <c r="K31" s="141"/>
      <c r="L31" s="143">
        <v>0</v>
      </c>
      <c r="M31" s="143"/>
      <c r="N31" s="158"/>
      <c r="O31" s="159"/>
      <c r="P31" s="143">
        <f t="shared" si="20"/>
        <v>0</v>
      </c>
      <c r="Q31" s="143"/>
      <c r="R31" s="141">
        <v>0</v>
      </c>
      <c r="S31" s="141"/>
      <c r="T31" s="141">
        <v>0</v>
      </c>
      <c r="U31" s="141"/>
      <c r="V31" s="43">
        <f t="shared" si="18"/>
        <v>0</v>
      </c>
      <c r="W31" s="149" t="s">
        <v>49</v>
      </c>
      <c r="X31" s="150"/>
      <c r="Y31" s="151"/>
    </row>
    <row r="32" spans="1:25" s="21" customFormat="1" ht="19.149999999999999" customHeight="1" x14ac:dyDescent="0.3">
      <c r="A32" s="18">
        <v>12</v>
      </c>
      <c r="B32" s="19" t="str">
        <f t="shared" si="23"/>
        <v>EXEMPTED - CHEQUE</v>
      </c>
      <c r="C32" s="40">
        <v>3</v>
      </c>
      <c r="D32" s="40"/>
      <c r="E32" s="40"/>
      <c r="F32" s="41">
        <f t="shared" si="15"/>
        <v>3</v>
      </c>
      <c r="G32" s="143">
        <v>3</v>
      </c>
      <c r="H32" s="143"/>
      <c r="I32" s="42">
        <f t="shared" si="13"/>
        <v>0</v>
      </c>
      <c r="J32" s="141">
        <v>0</v>
      </c>
      <c r="K32" s="141"/>
      <c r="L32" s="143">
        <v>0</v>
      </c>
      <c r="M32" s="143"/>
      <c r="N32" s="158"/>
      <c r="O32" s="159"/>
      <c r="P32" s="160">
        <f t="shared" ref="P32" si="24">+L32-N32</f>
        <v>0</v>
      </c>
      <c r="Q32" s="160"/>
      <c r="R32" s="141">
        <v>0</v>
      </c>
      <c r="S32" s="141"/>
      <c r="T32" s="141">
        <v>0</v>
      </c>
      <c r="U32" s="141"/>
      <c r="V32" s="43">
        <f t="shared" si="18"/>
        <v>0</v>
      </c>
      <c r="W32" s="152" t="s">
        <v>49</v>
      </c>
      <c r="X32" s="153"/>
      <c r="Y32" s="154"/>
    </row>
    <row r="33" spans="1:25" s="21" customFormat="1" x14ac:dyDescent="0.25">
      <c r="A33" s="18"/>
      <c r="B33" s="22" t="s">
        <v>47</v>
      </c>
      <c r="C33" s="27">
        <f>SUM(C21:C32)</f>
        <v>196</v>
      </c>
      <c r="D33" s="29">
        <f t="shared" ref="D33:E33" si="25">SUM(D21:D32)</f>
        <v>18</v>
      </c>
      <c r="E33" s="29">
        <f t="shared" si="25"/>
        <v>24</v>
      </c>
      <c r="F33" s="29">
        <f>SUM(F21:F32)</f>
        <v>190</v>
      </c>
      <c r="G33" s="146">
        <f>SUM(G21:H32)</f>
        <v>190</v>
      </c>
      <c r="H33" s="146"/>
      <c r="I33" s="26">
        <f>SUM(I21:I32)</f>
        <v>0</v>
      </c>
      <c r="J33" s="148">
        <f>SUM(J21:K32)</f>
        <v>1481835</v>
      </c>
      <c r="K33" s="148"/>
      <c r="L33" s="148">
        <f>SUM(L21:M32)</f>
        <v>997614</v>
      </c>
      <c r="M33" s="148"/>
      <c r="N33" s="148">
        <f>SUM(N21:O32)</f>
        <v>889101</v>
      </c>
      <c r="O33" s="148"/>
      <c r="P33" s="148">
        <f>SUM(P21:Q32)</f>
        <v>108513.00000000003</v>
      </c>
      <c r="Q33" s="148"/>
      <c r="R33" s="148">
        <f>SUM(R21:S32)</f>
        <v>119710.63200000001</v>
      </c>
      <c r="S33" s="148"/>
      <c r="T33" s="148">
        <f>SUM(T21:U32)</f>
        <v>119711</v>
      </c>
      <c r="U33" s="148"/>
      <c r="V33" s="23">
        <f>SUM(V21:V32)</f>
        <v>-0.36800000000283717</v>
      </c>
      <c r="W33" s="147"/>
      <c r="X33" s="147"/>
      <c r="Y33" s="147"/>
    </row>
    <row r="34" spans="1:25" customFormat="1" ht="15" x14ac:dyDescent="0.25"/>
    <row r="37" spans="1:25" ht="28.5" customHeight="1" x14ac:dyDescent="0.35">
      <c r="A37" s="25" t="s">
        <v>63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customFormat="1" ht="34.700000000000003" customHeight="1" x14ac:dyDescent="0.25">
      <c r="A38" s="163" t="s">
        <v>1</v>
      </c>
      <c r="B38" s="163" t="s">
        <v>38</v>
      </c>
      <c r="C38" s="163" t="s">
        <v>39</v>
      </c>
      <c r="D38" s="163"/>
      <c r="E38" s="163"/>
      <c r="F38" s="163"/>
      <c r="G38" s="155" t="s">
        <v>61</v>
      </c>
      <c r="H38" s="155" t="s">
        <v>62</v>
      </c>
      <c r="I38" s="163" t="s">
        <v>41</v>
      </c>
      <c r="J38" s="163"/>
      <c r="K38" s="164" t="s">
        <v>60</v>
      </c>
      <c r="L38" s="155" t="s">
        <v>44</v>
      </c>
      <c r="M38" s="155"/>
      <c r="N38" s="166" t="s">
        <v>57</v>
      </c>
      <c r="O38" s="166"/>
      <c r="P38" s="163" t="s">
        <v>53</v>
      </c>
      <c r="Q38" s="163"/>
      <c r="R38" s="163" t="s">
        <v>59</v>
      </c>
      <c r="S38" s="163"/>
      <c r="T38" s="163" t="s">
        <v>58</v>
      </c>
      <c r="U38" s="163"/>
      <c r="V38" s="155" t="s">
        <v>52</v>
      </c>
      <c r="W38" s="155" t="s">
        <v>43</v>
      </c>
      <c r="X38" s="155"/>
      <c r="Y38" s="155"/>
    </row>
    <row r="39" spans="1:25" s="21" customFormat="1" ht="37.5" x14ac:dyDescent="0.25">
      <c r="A39" s="163"/>
      <c r="B39" s="163"/>
      <c r="C39" s="30" t="s">
        <v>65</v>
      </c>
      <c r="D39" s="30" t="s">
        <v>66</v>
      </c>
      <c r="E39" s="30" t="s">
        <v>67</v>
      </c>
      <c r="F39" s="30" t="s">
        <v>68</v>
      </c>
      <c r="G39" s="155"/>
      <c r="H39" s="155"/>
      <c r="I39" s="163"/>
      <c r="J39" s="163"/>
      <c r="K39" s="165"/>
      <c r="L39" s="155"/>
      <c r="M39" s="155"/>
      <c r="N39" s="166"/>
      <c r="O39" s="166"/>
      <c r="P39" s="163"/>
      <c r="Q39" s="163"/>
      <c r="R39" s="163"/>
      <c r="S39" s="163"/>
      <c r="T39" s="163"/>
      <c r="U39" s="163"/>
      <c r="V39" s="155"/>
      <c r="W39" s="155"/>
      <c r="X39" s="155"/>
      <c r="Y39" s="155"/>
    </row>
    <row r="40" spans="1:25" s="21" customFormat="1" ht="44.1" customHeight="1" x14ac:dyDescent="0.3">
      <c r="A40" s="18">
        <v>1</v>
      </c>
      <c r="B40" s="20" t="str">
        <f t="shared" ref="B40:B42" si="26">B21</f>
        <v>SALARY -STAFF - BANK</v>
      </c>
      <c r="C40" s="38">
        <v>13</v>
      </c>
      <c r="D40" s="38">
        <v>2</v>
      </c>
      <c r="E40" s="38">
        <v>1</v>
      </c>
      <c r="F40" s="41">
        <f>C40+D40-E40</f>
        <v>14</v>
      </c>
      <c r="G40" s="38">
        <v>10</v>
      </c>
      <c r="H40" s="42">
        <f t="shared" ref="H40:H51" si="27">G40-F40</f>
        <v>-4</v>
      </c>
      <c r="I40" s="141">
        <f t="shared" ref="I40:I48" si="28">M4</f>
        <v>275979</v>
      </c>
      <c r="J40" s="141"/>
      <c r="K40" s="42">
        <v>0</v>
      </c>
      <c r="L40" s="143">
        <v>139479</v>
      </c>
      <c r="M40" s="143"/>
      <c r="N40" s="144">
        <f>+I40+K40</f>
        <v>275979</v>
      </c>
      <c r="O40" s="144"/>
      <c r="P40" s="143">
        <f>+L40-N40</f>
        <v>-136500</v>
      </c>
      <c r="Q40" s="143"/>
      <c r="R40" s="141">
        <v>2444</v>
      </c>
      <c r="S40" s="141"/>
      <c r="T40" s="141">
        <v>2444</v>
      </c>
      <c r="U40" s="141"/>
      <c r="V40" s="43">
        <f>R40-T40</f>
        <v>0</v>
      </c>
      <c r="W40" s="142" t="s">
        <v>70</v>
      </c>
      <c r="X40" s="142"/>
      <c r="Y40" s="142"/>
    </row>
    <row r="41" spans="1:25" s="21" customFormat="1" ht="44.1" customHeight="1" x14ac:dyDescent="0.3">
      <c r="A41" s="18">
        <v>2</v>
      </c>
      <c r="B41" s="20" t="str">
        <f t="shared" si="26"/>
        <v>SALARY - STAFF -2 CSB</v>
      </c>
      <c r="C41" s="40">
        <v>3</v>
      </c>
      <c r="D41" s="40"/>
      <c r="E41" s="40"/>
      <c r="F41" s="41">
        <f t="shared" ref="F41:F51" si="29">C41+D41-E41</f>
        <v>3</v>
      </c>
      <c r="G41" s="38">
        <v>2</v>
      </c>
      <c r="H41" s="42">
        <f t="shared" si="27"/>
        <v>-1</v>
      </c>
      <c r="I41" s="141">
        <f t="shared" si="28"/>
        <v>50020</v>
      </c>
      <c r="J41" s="141"/>
      <c r="K41" s="42">
        <v>0</v>
      </c>
      <c r="L41" s="143">
        <v>28020</v>
      </c>
      <c r="M41" s="143"/>
      <c r="N41" s="144">
        <f t="shared" ref="N41:N51" si="30">+I41+K41</f>
        <v>50020</v>
      </c>
      <c r="O41" s="144"/>
      <c r="P41" s="143">
        <f>+L41-N41</f>
        <v>-22000</v>
      </c>
      <c r="Q41" s="143"/>
      <c r="R41" s="141">
        <v>492</v>
      </c>
      <c r="S41" s="141"/>
      <c r="T41" s="141">
        <v>492</v>
      </c>
      <c r="U41" s="141"/>
      <c r="V41" s="43">
        <f>R41-T41</f>
        <v>0</v>
      </c>
      <c r="W41" s="142"/>
      <c r="X41" s="142"/>
      <c r="Y41" s="142"/>
    </row>
    <row r="42" spans="1:25" s="21" customFormat="1" x14ac:dyDescent="0.3">
      <c r="A42" s="18">
        <v>3</v>
      </c>
      <c r="B42" s="20" t="str">
        <f t="shared" si="26"/>
        <v>SALARY - STAFF-CHEQUE</v>
      </c>
      <c r="C42" s="40"/>
      <c r="D42" s="40">
        <v>2</v>
      </c>
      <c r="E42" s="40"/>
      <c r="F42" s="41">
        <f t="shared" si="29"/>
        <v>2</v>
      </c>
      <c r="G42" s="38">
        <v>2</v>
      </c>
      <c r="H42" s="42">
        <f t="shared" si="27"/>
        <v>0</v>
      </c>
      <c r="I42" s="141">
        <f t="shared" si="28"/>
        <v>15013</v>
      </c>
      <c r="J42" s="141"/>
      <c r="K42" s="42">
        <v>0</v>
      </c>
      <c r="L42" s="143">
        <v>15013</v>
      </c>
      <c r="M42" s="143"/>
      <c r="N42" s="144">
        <f t="shared" si="30"/>
        <v>15013</v>
      </c>
      <c r="O42" s="144"/>
      <c r="P42" s="143">
        <f>+L42-N42</f>
        <v>0</v>
      </c>
      <c r="Q42" s="143"/>
      <c r="R42" s="141">
        <f t="shared" ref="R42:R51" si="31">ROUNDUP(N42*1.75%,0)</f>
        <v>263</v>
      </c>
      <c r="S42" s="141"/>
      <c r="T42" s="141">
        <v>263</v>
      </c>
      <c r="U42" s="141"/>
      <c r="V42" s="43">
        <f t="shared" ref="V42:V51" si="32">R42-T42</f>
        <v>0</v>
      </c>
      <c r="W42" s="142"/>
      <c r="X42" s="142"/>
      <c r="Y42" s="142"/>
    </row>
    <row r="43" spans="1:25" s="21" customFormat="1" x14ac:dyDescent="0.3">
      <c r="A43" s="18">
        <v>4</v>
      </c>
      <c r="B43" s="20" t="str">
        <f t="shared" ref="B43:B48" si="33">B24</f>
        <v>WAGES-PERMANENT - BANK</v>
      </c>
      <c r="C43" s="40">
        <v>7</v>
      </c>
      <c r="D43" s="40"/>
      <c r="E43" s="40"/>
      <c r="F43" s="41">
        <f t="shared" si="29"/>
        <v>7</v>
      </c>
      <c r="G43" s="38">
        <v>7</v>
      </c>
      <c r="H43" s="42">
        <f t="shared" si="27"/>
        <v>0</v>
      </c>
      <c r="I43" s="141">
        <f t="shared" si="28"/>
        <v>69997</v>
      </c>
      <c r="J43" s="141"/>
      <c r="K43" s="42">
        <v>0</v>
      </c>
      <c r="L43" s="143">
        <v>69997</v>
      </c>
      <c r="M43" s="143"/>
      <c r="N43" s="144">
        <f t="shared" si="30"/>
        <v>69997</v>
      </c>
      <c r="O43" s="144"/>
      <c r="P43" s="143">
        <f t="shared" ref="P43:P51" si="34">+L43-N43</f>
        <v>0</v>
      </c>
      <c r="Q43" s="143"/>
      <c r="R43" s="141">
        <v>1230</v>
      </c>
      <c r="S43" s="141"/>
      <c r="T43" s="141">
        <v>1230</v>
      </c>
      <c r="U43" s="141"/>
      <c r="V43" s="43">
        <f t="shared" si="32"/>
        <v>0</v>
      </c>
      <c r="W43" s="142"/>
      <c r="X43" s="142"/>
      <c r="Y43" s="142"/>
    </row>
    <row r="44" spans="1:25" s="21" customFormat="1" ht="19.149999999999999" customHeight="1" x14ac:dyDescent="0.3">
      <c r="A44" s="18">
        <v>5</v>
      </c>
      <c r="B44" s="20" t="str">
        <f t="shared" si="33"/>
        <v>WAGES - CASUAL - BANK(OUTSIDE)</v>
      </c>
      <c r="C44" s="40">
        <v>33</v>
      </c>
      <c r="D44" s="40"/>
      <c r="E44" s="40"/>
      <c r="F44" s="41">
        <f t="shared" si="29"/>
        <v>33</v>
      </c>
      <c r="G44" s="38">
        <v>33</v>
      </c>
      <c r="H44" s="42">
        <f t="shared" si="27"/>
        <v>0</v>
      </c>
      <c r="I44" s="141">
        <f t="shared" si="28"/>
        <v>224148</v>
      </c>
      <c r="J44" s="141"/>
      <c r="K44" s="42">
        <v>0</v>
      </c>
      <c r="L44" s="143">
        <v>224148</v>
      </c>
      <c r="M44" s="143"/>
      <c r="N44" s="144">
        <f t="shared" si="30"/>
        <v>224148</v>
      </c>
      <c r="O44" s="144"/>
      <c r="P44" s="143">
        <f t="shared" si="34"/>
        <v>0</v>
      </c>
      <c r="Q44" s="143"/>
      <c r="R44" s="141">
        <v>3939</v>
      </c>
      <c r="S44" s="141"/>
      <c r="T44" s="141">
        <v>3939</v>
      </c>
      <c r="U44" s="141"/>
      <c r="V44" s="43">
        <f t="shared" si="32"/>
        <v>0</v>
      </c>
      <c r="W44" s="142"/>
      <c r="X44" s="142"/>
      <c r="Y44" s="142"/>
    </row>
    <row r="45" spans="1:25" s="21" customFormat="1" ht="37.5" x14ac:dyDescent="0.3">
      <c r="A45" s="18">
        <v>6</v>
      </c>
      <c r="B45" s="20" t="str">
        <f t="shared" si="33"/>
        <v>WAGES - CASUAL - CASH(OUTSIDE)</v>
      </c>
      <c r="C45" s="40">
        <f>48+5</f>
        <v>53</v>
      </c>
      <c r="D45" s="40">
        <v>15</v>
      </c>
      <c r="E45" s="40">
        <v>9</v>
      </c>
      <c r="F45" s="41">
        <f t="shared" si="29"/>
        <v>59</v>
      </c>
      <c r="G45" s="38">
        <v>59</v>
      </c>
      <c r="H45" s="42">
        <f t="shared" si="27"/>
        <v>0</v>
      </c>
      <c r="I45" s="141">
        <f t="shared" si="28"/>
        <v>335368</v>
      </c>
      <c r="J45" s="141"/>
      <c r="K45" s="42">
        <f>32507-1</f>
        <v>32506</v>
      </c>
      <c r="L45" s="143">
        <v>335368</v>
      </c>
      <c r="M45" s="143"/>
      <c r="N45" s="144">
        <f t="shared" si="30"/>
        <v>367874</v>
      </c>
      <c r="O45" s="144"/>
      <c r="P45" s="143">
        <f t="shared" si="34"/>
        <v>-32506</v>
      </c>
      <c r="Q45" s="143"/>
      <c r="R45" s="141">
        <f>5890+571</f>
        <v>6461</v>
      </c>
      <c r="S45" s="141"/>
      <c r="T45" s="141">
        <f>5890+569</f>
        <v>6459</v>
      </c>
      <c r="U45" s="141"/>
      <c r="V45" s="43">
        <f t="shared" si="32"/>
        <v>2</v>
      </c>
      <c r="W45" s="142"/>
      <c r="X45" s="142"/>
      <c r="Y45" s="142"/>
    </row>
    <row r="46" spans="1:25" s="21" customFormat="1" ht="37.5" x14ac:dyDescent="0.3">
      <c r="A46" s="18">
        <v>7</v>
      </c>
      <c r="B46" s="20" t="str">
        <f t="shared" si="33"/>
        <v>WAGES - CASUAL - CASH(INSIDE)</v>
      </c>
      <c r="C46" s="40">
        <v>64</v>
      </c>
      <c r="D46" s="40">
        <v>1</v>
      </c>
      <c r="E46" s="40">
        <v>13</v>
      </c>
      <c r="F46" s="41">
        <f t="shared" si="29"/>
        <v>52</v>
      </c>
      <c r="G46" s="38">
        <v>52</v>
      </c>
      <c r="H46" s="42">
        <f t="shared" si="27"/>
        <v>0</v>
      </c>
      <c r="I46" s="141">
        <f t="shared" si="28"/>
        <v>253442</v>
      </c>
      <c r="J46" s="141"/>
      <c r="K46" s="42">
        <f>44964-2</f>
        <v>44962</v>
      </c>
      <c r="L46" s="143">
        <v>253442</v>
      </c>
      <c r="M46" s="143"/>
      <c r="N46" s="144">
        <f t="shared" si="30"/>
        <v>298404</v>
      </c>
      <c r="O46" s="144"/>
      <c r="P46" s="143">
        <f t="shared" si="34"/>
        <v>-44962</v>
      </c>
      <c r="Q46" s="143"/>
      <c r="R46" s="141">
        <f>4450+789</f>
        <v>5239</v>
      </c>
      <c r="S46" s="141"/>
      <c r="T46" s="141">
        <f>4450+787</f>
        <v>5237</v>
      </c>
      <c r="U46" s="141"/>
      <c r="V46" s="43">
        <f t="shared" si="32"/>
        <v>2</v>
      </c>
      <c r="W46" s="142"/>
      <c r="X46" s="142"/>
      <c r="Y46" s="142"/>
    </row>
    <row r="47" spans="1:25" s="21" customFormat="1" ht="37.5" x14ac:dyDescent="0.3">
      <c r="A47" s="18">
        <v>8</v>
      </c>
      <c r="B47" s="20" t="str">
        <f t="shared" si="33"/>
        <v>WAGES - SECUR &amp; GARDEN - CHEQUE</v>
      </c>
      <c r="C47" s="40">
        <v>1</v>
      </c>
      <c r="D47" s="40"/>
      <c r="E47" s="40"/>
      <c r="F47" s="41">
        <f t="shared" si="29"/>
        <v>1</v>
      </c>
      <c r="G47" s="38">
        <v>1</v>
      </c>
      <c r="H47" s="42">
        <f t="shared" si="27"/>
        <v>0</v>
      </c>
      <c r="I47" s="141">
        <f t="shared" si="28"/>
        <v>6800</v>
      </c>
      <c r="J47" s="141"/>
      <c r="K47" s="42">
        <v>0</v>
      </c>
      <c r="L47" s="143">
        <v>6800</v>
      </c>
      <c r="M47" s="143"/>
      <c r="N47" s="144">
        <f t="shared" si="30"/>
        <v>6800</v>
      </c>
      <c r="O47" s="144"/>
      <c r="P47" s="143">
        <f t="shared" si="34"/>
        <v>0</v>
      </c>
      <c r="Q47" s="143"/>
      <c r="R47" s="141">
        <f t="shared" si="31"/>
        <v>119</v>
      </c>
      <c r="S47" s="141"/>
      <c r="T47" s="141">
        <v>119</v>
      </c>
      <c r="U47" s="141"/>
      <c r="V47" s="43">
        <f t="shared" si="32"/>
        <v>0</v>
      </c>
      <c r="W47" s="142"/>
      <c r="X47" s="142"/>
      <c r="Y47" s="142"/>
    </row>
    <row r="48" spans="1:25" s="21" customFormat="1" ht="37.5" x14ac:dyDescent="0.3">
      <c r="A48" s="18">
        <v>9</v>
      </c>
      <c r="B48" s="20" t="str">
        <f t="shared" si="33"/>
        <v>WAGES - SECUR &amp; GARDEN - CSB</v>
      </c>
      <c r="C48" s="40">
        <v>8</v>
      </c>
      <c r="D48" s="40"/>
      <c r="E48" s="40">
        <v>1</v>
      </c>
      <c r="F48" s="41">
        <f t="shared" si="29"/>
        <v>7</v>
      </c>
      <c r="G48" s="38">
        <v>7</v>
      </c>
      <c r="H48" s="42">
        <f t="shared" si="27"/>
        <v>0</v>
      </c>
      <c r="I48" s="141">
        <f t="shared" si="28"/>
        <v>51068</v>
      </c>
      <c r="J48" s="141"/>
      <c r="K48" s="42">
        <v>0</v>
      </c>
      <c r="L48" s="143">
        <v>51068</v>
      </c>
      <c r="M48" s="143"/>
      <c r="N48" s="144">
        <f t="shared" si="30"/>
        <v>51068</v>
      </c>
      <c r="O48" s="144"/>
      <c r="P48" s="143">
        <f t="shared" si="34"/>
        <v>0</v>
      </c>
      <c r="Q48" s="143"/>
      <c r="R48" s="141">
        <v>896</v>
      </c>
      <c r="S48" s="141"/>
      <c r="T48" s="141">
        <v>896</v>
      </c>
      <c r="U48" s="141"/>
      <c r="V48" s="43">
        <f t="shared" si="32"/>
        <v>0</v>
      </c>
      <c r="W48" s="142"/>
      <c r="X48" s="142"/>
      <c r="Y48" s="142"/>
    </row>
    <row r="49" spans="1:25" s="21" customFormat="1" ht="45.75" customHeight="1" x14ac:dyDescent="0.3">
      <c r="A49" s="18">
        <v>10</v>
      </c>
      <c r="B49" s="36" t="s">
        <v>34</v>
      </c>
      <c r="C49" s="40">
        <v>1</v>
      </c>
      <c r="D49" s="40"/>
      <c r="E49" s="40"/>
      <c r="F49" s="41">
        <v>1</v>
      </c>
      <c r="G49" s="38"/>
      <c r="H49" s="42">
        <f t="shared" si="27"/>
        <v>-1</v>
      </c>
      <c r="I49" s="156"/>
      <c r="J49" s="157"/>
      <c r="K49" s="42"/>
      <c r="L49" s="161"/>
      <c r="M49" s="162"/>
      <c r="N49" s="158"/>
      <c r="O49" s="159"/>
      <c r="P49" s="161"/>
      <c r="Q49" s="162"/>
      <c r="R49" s="156"/>
      <c r="S49" s="157"/>
      <c r="T49" s="156"/>
      <c r="U49" s="157"/>
      <c r="V49" s="43"/>
      <c r="W49" s="142" t="s">
        <v>71</v>
      </c>
      <c r="X49" s="142"/>
      <c r="Y49" s="142"/>
    </row>
    <row r="50" spans="1:25" s="21" customFormat="1" x14ac:dyDescent="0.3">
      <c r="A50" s="18">
        <v>11</v>
      </c>
      <c r="B50" s="20" t="str">
        <f t="shared" ref="B50:B51" si="35">B31</f>
        <v>EXEMPTED - BANK</v>
      </c>
      <c r="C50" s="40">
        <v>8</v>
      </c>
      <c r="D50" s="40"/>
      <c r="E50" s="40"/>
      <c r="F50" s="41">
        <f t="shared" si="29"/>
        <v>8</v>
      </c>
      <c r="G50" s="38">
        <v>8</v>
      </c>
      <c r="H50" s="42">
        <f t="shared" si="27"/>
        <v>0</v>
      </c>
      <c r="I50" s="141">
        <v>0</v>
      </c>
      <c r="J50" s="141"/>
      <c r="K50" s="42">
        <v>0</v>
      </c>
      <c r="L50" s="143">
        <v>0</v>
      </c>
      <c r="M50" s="143"/>
      <c r="N50" s="144">
        <f t="shared" si="30"/>
        <v>0</v>
      </c>
      <c r="O50" s="144"/>
      <c r="P50" s="143">
        <f t="shared" si="34"/>
        <v>0</v>
      </c>
      <c r="Q50" s="143"/>
      <c r="R50" s="141">
        <f t="shared" si="31"/>
        <v>0</v>
      </c>
      <c r="S50" s="141"/>
      <c r="T50" s="141">
        <v>0</v>
      </c>
      <c r="U50" s="141"/>
      <c r="V50" s="43">
        <f t="shared" si="32"/>
        <v>0</v>
      </c>
      <c r="W50" s="142"/>
      <c r="X50" s="142"/>
      <c r="Y50" s="142"/>
    </row>
    <row r="51" spans="1:25" s="21" customFormat="1" ht="19.149999999999999" customHeight="1" x14ac:dyDescent="0.3">
      <c r="A51" s="18">
        <v>12</v>
      </c>
      <c r="B51" s="20" t="str">
        <f t="shared" si="35"/>
        <v>EXEMPTED - CHEQUE</v>
      </c>
      <c r="C51" s="40">
        <v>3</v>
      </c>
      <c r="D51" s="40"/>
      <c r="E51" s="40"/>
      <c r="F51" s="41">
        <f t="shared" si="29"/>
        <v>3</v>
      </c>
      <c r="G51" s="38">
        <v>3</v>
      </c>
      <c r="H51" s="42">
        <f t="shared" si="27"/>
        <v>0</v>
      </c>
      <c r="I51" s="141">
        <v>0</v>
      </c>
      <c r="J51" s="141"/>
      <c r="K51" s="42">
        <v>0</v>
      </c>
      <c r="L51" s="143">
        <v>0</v>
      </c>
      <c r="M51" s="143"/>
      <c r="N51" s="144">
        <f t="shared" si="30"/>
        <v>0</v>
      </c>
      <c r="O51" s="144"/>
      <c r="P51" s="143">
        <f t="shared" si="34"/>
        <v>0</v>
      </c>
      <c r="Q51" s="143"/>
      <c r="R51" s="141">
        <f t="shared" si="31"/>
        <v>0</v>
      </c>
      <c r="S51" s="141"/>
      <c r="T51" s="141">
        <v>0</v>
      </c>
      <c r="U51" s="141"/>
      <c r="V51" s="43">
        <f t="shared" si="32"/>
        <v>0</v>
      </c>
      <c r="W51" s="142"/>
      <c r="X51" s="142"/>
      <c r="Y51" s="142"/>
    </row>
    <row r="52" spans="1:25" s="21" customFormat="1" x14ac:dyDescent="0.25">
      <c r="A52" s="18"/>
      <c r="B52" s="22" t="s">
        <v>47</v>
      </c>
      <c r="C52" s="29"/>
      <c r="D52" s="29"/>
      <c r="E52" s="29"/>
      <c r="F52" s="29">
        <f>SUM(F40:F51)</f>
        <v>190</v>
      </c>
      <c r="G52" s="29">
        <f>SUM(G40:G51)</f>
        <v>184</v>
      </c>
      <c r="H52" s="29">
        <f>SUM(H40:H51)</f>
        <v>-6</v>
      </c>
      <c r="I52" s="145">
        <f>SUM(I40:K51)</f>
        <v>1359303</v>
      </c>
      <c r="J52" s="145"/>
      <c r="K52" s="24">
        <f>SUM(K40:L51)</f>
        <v>1200803</v>
      </c>
      <c r="L52" s="148">
        <f>SUM(L40:M51)</f>
        <v>1123335</v>
      </c>
      <c r="M52" s="148"/>
      <c r="N52" s="146">
        <f>SUM(N40:O51)</f>
        <v>1359303</v>
      </c>
      <c r="O52" s="146"/>
      <c r="P52" s="146">
        <f>SUM(P40:Q51)</f>
        <v>-235968</v>
      </c>
      <c r="Q52" s="146"/>
      <c r="R52" s="146">
        <f>SUM(R40:S51)</f>
        <v>21083</v>
      </c>
      <c r="S52" s="146"/>
      <c r="T52" s="146">
        <f>SUM(T40:U51)</f>
        <v>21079</v>
      </c>
      <c r="U52" s="146"/>
      <c r="V52" s="23">
        <f>SUM(V40:V51)</f>
        <v>4</v>
      </c>
      <c r="W52" s="147"/>
      <c r="X52" s="147"/>
      <c r="Y52" s="147"/>
    </row>
    <row r="53" spans="1:25" x14ac:dyDescent="0.3">
      <c r="K53" s="65"/>
    </row>
    <row r="54" spans="1:25" x14ac:dyDescent="0.3">
      <c r="L54" s="65"/>
    </row>
    <row r="62" spans="1:25" x14ac:dyDescent="0.3">
      <c r="C62" s="38"/>
      <c r="D62" s="38"/>
      <c r="E62" s="38"/>
      <c r="F62" s="39"/>
    </row>
    <row r="63" spans="1:25" x14ac:dyDescent="0.3">
      <c r="C63" s="35"/>
      <c r="D63" s="35"/>
      <c r="E63" s="35"/>
      <c r="F63" s="32"/>
    </row>
    <row r="64" spans="1:25" x14ac:dyDescent="0.3">
      <c r="C64" s="35"/>
      <c r="D64" s="35"/>
      <c r="E64" s="35"/>
      <c r="F64" s="32"/>
    </row>
    <row r="65" spans="3:6" x14ac:dyDescent="0.3">
      <c r="C65" s="35"/>
      <c r="D65" s="35"/>
      <c r="E65" s="35"/>
      <c r="F65" s="32"/>
    </row>
    <row r="66" spans="3:6" x14ac:dyDescent="0.3">
      <c r="C66" s="40"/>
      <c r="D66" s="40"/>
      <c r="E66" s="40"/>
      <c r="F66" s="41"/>
    </row>
    <row r="67" spans="3:6" x14ac:dyDescent="0.3">
      <c r="C67" s="40"/>
      <c r="D67" s="40"/>
      <c r="E67" s="40"/>
      <c r="F67" s="41"/>
    </row>
    <row r="68" spans="3:6" x14ac:dyDescent="0.3">
      <c r="C68" s="40"/>
      <c r="D68" s="40"/>
      <c r="E68" s="40"/>
      <c r="F68" s="41"/>
    </row>
    <row r="69" spans="3:6" x14ac:dyDescent="0.3">
      <c r="C69" s="35"/>
      <c r="D69" s="35"/>
      <c r="E69" s="35"/>
      <c r="F69" s="32"/>
    </row>
    <row r="70" spans="3:6" x14ac:dyDescent="0.3">
      <c r="C70" s="35"/>
      <c r="D70" s="35"/>
      <c r="E70" s="35"/>
      <c r="F70" s="32"/>
    </row>
    <row r="71" spans="3:6" x14ac:dyDescent="0.3">
      <c r="C71" s="35"/>
      <c r="D71" s="35"/>
      <c r="E71" s="35"/>
      <c r="F71" s="32"/>
    </row>
    <row r="72" spans="3:6" x14ac:dyDescent="0.3">
      <c r="C72" s="35"/>
      <c r="D72" s="35"/>
      <c r="E72" s="35"/>
      <c r="F72" s="32"/>
    </row>
    <row r="73" spans="3:6" x14ac:dyDescent="0.3">
      <c r="C73" s="35"/>
      <c r="D73" s="35"/>
      <c r="E73" s="35"/>
      <c r="F73" s="32"/>
    </row>
  </sheetData>
  <mergeCells count="232">
    <mergeCell ref="W30:Y30"/>
    <mergeCell ref="I49:J49"/>
    <mergeCell ref="L49:M49"/>
    <mergeCell ref="N49:O49"/>
    <mergeCell ref="P49:Q49"/>
    <mergeCell ref="R49:S49"/>
    <mergeCell ref="T49:U49"/>
    <mergeCell ref="W49:Y49"/>
    <mergeCell ref="V2:W2"/>
    <mergeCell ref="X2:X3"/>
    <mergeCell ref="Y2:Y3"/>
    <mergeCell ref="H2:M2"/>
    <mergeCell ref="P19:Q20"/>
    <mergeCell ref="R19:S20"/>
    <mergeCell ref="T19:U20"/>
    <mergeCell ref="V19:V20"/>
    <mergeCell ref="W19:Y20"/>
    <mergeCell ref="I48:J48"/>
    <mergeCell ref="J26:K26"/>
    <mergeCell ref="L23:M23"/>
    <mergeCell ref="G24:H24"/>
    <mergeCell ref="L24:M24"/>
    <mergeCell ref="L32:M32"/>
    <mergeCell ref="G30:H30"/>
    <mergeCell ref="C2:F2"/>
    <mergeCell ref="C19:F19"/>
    <mergeCell ref="B19:B20"/>
    <mergeCell ref="A19:A20"/>
    <mergeCell ref="G19:H20"/>
    <mergeCell ref="I19:I20"/>
    <mergeCell ref="J19:K20"/>
    <mergeCell ref="L19:M20"/>
    <mergeCell ref="L28:M28"/>
    <mergeCell ref="J27:K27"/>
    <mergeCell ref="J28:K28"/>
    <mergeCell ref="L25:M25"/>
    <mergeCell ref="G26:H26"/>
    <mergeCell ref="L26:M26"/>
    <mergeCell ref="N19:O20"/>
    <mergeCell ref="A16:B16"/>
    <mergeCell ref="A2:A3"/>
    <mergeCell ref="B2:B3"/>
    <mergeCell ref="G2:G3"/>
    <mergeCell ref="N2:U2"/>
    <mergeCell ref="I50:J50"/>
    <mergeCell ref="G21:H21"/>
    <mergeCell ref="G23:H23"/>
    <mergeCell ref="G25:H25"/>
    <mergeCell ref="G27:H27"/>
    <mergeCell ref="L50:M50"/>
    <mergeCell ref="T21:U21"/>
    <mergeCell ref="T22:U22"/>
    <mergeCell ref="R45:S45"/>
    <mergeCell ref="N45:O45"/>
    <mergeCell ref="P45:Q45"/>
    <mergeCell ref="L48:M48"/>
    <mergeCell ref="L21:M21"/>
    <mergeCell ref="G22:H22"/>
    <mergeCell ref="L22:M22"/>
    <mergeCell ref="J22:K22"/>
    <mergeCell ref="L27:M27"/>
    <mergeCell ref="G28:H28"/>
    <mergeCell ref="A38:A39"/>
    <mergeCell ref="B38:B39"/>
    <mergeCell ref="C38:F38"/>
    <mergeCell ref="G38:G39"/>
    <mergeCell ref="H38:H39"/>
    <mergeCell ref="P38:Q39"/>
    <mergeCell ref="R38:S39"/>
    <mergeCell ref="T38:U39"/>
    <mergeCell ref="L46:M46"/>
    <mergeCell ref="L45:M45"/>
    <mergeCell ref="L42:M42"/>
    <mergeCell ref="K38:K39"/>
    <mergeCell ref="L44:M44"/>
    <mergeCell ref="N44:O44"/>
    <mergeCell ref="P44:Q44"/>
    <mergeCell ref="R44:S44"/>
    <mergeCell ref="T44:U44"/>
    <mergeCell ref="I42:J42"/>
    <mergeCell ref="I43:J43"/>
    <mergeCell ref="I44:J44"/>
    <mergeCell ref="I38:J39"/>
    <mergeCell ref="L38:M39"/>
    <mergeCell ref="N38:O39"/>
    <mergeCell ref="P43:Q43"/>
    <mergeCell ref="T30:U30"/>
    <mergeCell ref="P24:Q24"/>
    <mergeCell ref="P25:Q25"/>
    <mergeCell ref="P26:Q26"/>
    <mergeCell ref="P27:Q27"/>
    <mergeCell ref="P31:Q31"/>
    <mergeCell ref="R29:S29"/>
    <mergeCell ref="R31:S31"/>
    <mergeCell ref="P29:Q29"/>
    <mergeCell ref="N21:O21"/>
    <mergeCell ref="N22:O22"/>
    <mergeCell ref="N23:O23"/>
    <mergeCell ref="N24:O24"/>
    <mergeCell ref="N25:O25"/>
    <mergeCell ref="N26:O26"/>
    <mergeCell ref="J21:K21"/>
    <mergeCell ref="G31:H31"/>
    <mergeCell ref="J31:K31"/>
    <mergeCell ref="L31:M31"/>
    <mergeCell ref="N31:O31"/>
    <mergeCell ref="G29:H29"/>
    <mergeCell ref="J29:K29"/>
    <mergeCell ref="L29:M29"/>
    <mergeCell ref="N29:O29"/>
    <mergeCell ref="J23:K23"/>
    <mergeCell ref="J24:K24"/>
    <mergeCell ref="J25:K25"/>
    <mergeCell ref="N27:O27"/>
    <mergeCell ref="N28:O28"/>
    <mergeCell ref="L30:M30"/>
    <mergeCell ref="N30:O30"/>
    <mergeCell ref="J30:K30"/>
    <mergeCell ref="R21:S21"/>
    <mergeCell ref="R22:S22"/>
    <mergeCell ref="R23:S23"/>
    <mergeCell ref="R24:S24"/>
    <mergeCell ref="R25:S25"/>
    <mergeCell ref="R26:S26"/>
    <mergeCell ref="R27:S27"/>
    <mergeCell ref="R28:S28"/>
    <mergeCell ref="P21:Q21"/>
    <mergeCell ref="P22:Q22"/>
    <mergeCell ref="P23:Q23"/>
    <mergeCell ref="P28:Q28"/>
    <mergeCell ref="G33:H33"/>
    <mergeCell ref="J33:K33"/>
    <mergeCell ref="L33:M33"/>
    <mergeCell ref="N33:O33"/>
    <mergeCell ref="P33:Q33"/>
    <mergeCell ref="G32:H32"/>
    <mergeCell ref="J32:K32"/>
    <mergeCell ref="N32:O32"/>
    <mergeCell ref="P32:Q32"/>
    <mergeCell ref="W21:Y21"/>
    <mergeCell ref="W22:Y22"/>
    <mergeCell ref="W23:Y23"/>
    <mergeCell ref="W24:Y24"/>
    <mergeCell ref="W25:Y25"/>
    <mergeCell ref="W26:Y26"/>
    <mergeCell ref="T24:U24"/>
    <mergeCell ref="T25:U25"/>
    <mergeCell ref="T26:U26"/>
    <mergeCell ref="T23:U23"/>
    <mergeCell ref="R43:S43"/>
    <mergeCell ref="N48:O48"/>
    <mergeCell ref="P48:Q48"/>
    <mergeCell ref="R48:S48"/>
    <mergeCell ref="T48:U48"/>
    <mergeCell ref="W48:Y48"/>
    <mergeCell ref="W27:Y27"/>
    <mergeCell ref="W28:Y28"/>
    <mergeCell ref="W29:Y29"/>
    <mergeCell ref="W31:Y31"/>
    <mergeCell ref="W32:Y32"/>
    <mergeCell ref="W33:Y33"/>
    <mergeCell ref="T31:U31"/>
    <mergeCell ref="T32:U32"/>
    <mergeCell ref="T27:U27"/>
    <mergeCell ref="T28:U28"/>
    <mergeCell ref="T29:U29"/>
    <mergeCell ref="V38:V39"/>
    <mergeCell ref="W38:Y39"/>
    <mergeCell ref="R33:S33"/>
    <mergeCell ref="T33:U33"/>
    <mergeCell ref="R32:S32"/>
    <mergeCell ref="P30:Q30"/>
    <mergeCell ref="R30:S30"/>
    <mergeCell ref="P50:Q50"/>
    <mergeCell ref="R50:S50"/>
    <mergeCell ref="T50:U50"/>
    <mergeCell ref="W50:Y50"/>
    <mergeCell ref="R52:S52"/>
    <mergeCell ref="T52:U52"/>
    <mergeCell ref="W52:Y52"/>
    <mergeCell ref="L52:M52"/>
    <mergeCell ref="N52:O52"/>
    <mergeCell ref="P52:Q52"/>
    <mergeCell ref="L51:M51"/>
    <mergeCell ref="I52:J52"/>
    <mergeCell ref="W51:Y51"/>
    <mergeCell ref="N51:O51"/>
    <mergeCell ref="P51:Q51"/>
    <mergeCell ref="R51:S51"/>
    <mergeCell ref="T51:U51"/>
    <mergeCell ref="I51:J51"/>
    <mergeCell ref="I40:J40"/>
    <mergeCell ref="I41:J41"/>
    <mergeCell ref="L40:M40"/>
    <mergeCell ref="N40:O40"/>
    <mergeCell ref="P40:Q40"/>
    <mergeCell ref="W41:Y41"/>
    <mergeCell ref="N42:O42"/>
    <mergeCell ref="P42:Q42"/>
    <mergeCell ref="R42:S42"/>
    <mergeCell ref="T42:U42"/>
    <mergeCell ref="W42:Y42"/>
    <mergeCell ref="L41:M41"/>
    <mergeCell ref="N41:O41"/>
    <mergeCell ref="P41:Q41"/>
    <mergeCell ref="R41:S41"/>
    <mergeCell ref="T41:U41"/>
    <mergeCell ref="N50:O50"/>
    <mergeCell ref="I45:J45"/>
    <mergeCell ref="I46:J46"/>
    <mergeCell ref="I47:J47"/>
    <mergeCell ref="R40:S40"/>
    <mergeCell ref="T40:U40"/>
    <mergeCell ref="W40:Y40"/>
    <mergeCell ref="L47:M47"/>
    <mergeCell ref="N47:O47"/>
    <mergeCell ref="P47:Q47"/>
    <mergeCell ref="R47:S47"/>
    <mergeCell ref="T47:U47"/>
    <mergeCell ref="W47:Y47"/>
    <mergeCell ref="T45:U45"/>
    <mergeCell ref="W45:Y45"/>
    <mergeCell ref="N46:O46"/>
    <mergeCell ref="P46:Q46"/>
    <mergeCell ref="R46:S46"/>
    <mergeCell ref="T46:U46"/>
    <mergeCell ref="W46:Y46"/>
    <mergeCell ref="T43:U43"/>
    <mergeCell ref="W43:Y43"/>
    <mergeCell ref="W44:Y44"/>
    <mergeCell ref="L43:M43"/>
    <mergeCell ref="N43:O43"/>
  </mergeCells>
  <pageMargins left="0.25" right="0.25" top="0.75" bottom="0.90566037735849103" header="0.3" footer="0.3"/>
  <pageSetup paperSize="8" scale="73" orientation="landscape" r:id="rId1"/>
  <headerFooter>
    <oddHeader>&amp;C&amp;"-,Bold"&amp;16SRI SARADHAMBIKA SPINTEX</oddHeader>
    <oddFooter>&amp;L&amp;"-,Bold"Works&amp;"-,Regular"  S.F. No. 526/2BBilichi Post, MaddampalayamCoimbatore - 641 019&amp;R&amp;"-,Bold"office@saradhambikaspintex.com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4"/>
  <sheetViews>
    <sheetView topLeftCell="B1" zoomScale="89" zoomScaleNormal="89" zoomScalePageLayoutView="70" workbookViewId="0">
      <selection activeCell="M4" sqref="M4:M6"/>
    </sheetView>
  </sheetViews>
  <sheetFormatPr defaultRowHeight="15" x14ac:dyDescent="0.25"/>
  <cols>
    <col min="1" max="1" width="4.85546875" customWidth="1"/>
    <col min="2" max="2" width="40" customWidth="1"/>
    <col min="3" max="4" width="9.140625" customWidth="1"/>
    <col min="5" max="5" width="9.140625" style="63" customWidth="1"/>
    <col min="6" max="6" width="9.140625" customWidth="1"/>
    <col min="7" max="7" width="10.140625" customWidth="1"/>
    <col min="8" max="9" width="9.140625" customWidth="1"/>
    <col min="10" max="10" width="15.5703125" customWidth="1"/>
    <col min="11" max="11" width="14.85546875" customWidth="1"/>
    <col min="12" max="17" width="9.140625" customWidth="1"/>
  </cols>
  <sheetData>
    <row r="1" spans="1:25" ht="18.75" x14ac:dyDescent="0.3">
      <c r="A1" s="14" t="s">
        <v>93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30.1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117" t="s">
        <v>65</v>
      </c>
      <c r="D3" s="64" t="s">
        <v>66</v>
      </c>
      <c r="E3" s="64" t="s">
        <v>67</v>
      </c>
      <c r="F3" s="50" t="s">
        <v>68</v>
      </c>
      <c r="G3" s="215"/>
      <c r="H3" s="117" t="s">
        <v>10</v>
      </c>
      <c r="I3" s="117" t="s">
        <v>11</v>
      </c>
      <c r="J3" s="117" t="s">
        <v>12</v>
      </c>
      <c r="K3" s="117" t="s">
        <v>13</v>
      </c>
      <c r="L3" s="117" t="s">
        <v>55</v>
      </c>
      <c r="M3" s="117" t="s">
        <v>14</v>
      </c>
      <c r="N3" s="117" t="s">
        <v>15</v>
      </c>
      <c r="O3" s="117" t="s">
        <v>16</v>
      </c>
      <c r="P3" s="117" t="s">
        <v>56</v>
      </c>
      <c r="Q3" s="117" t="s">
        <v>17</v>
      </c>
      <c r="R3" s="117" t="s">
        <v>18</v>
      </c>
      <c r="S3" s="117" t="s">
        <v>19</v>
      </c>
      <c r="T3" s="117" t="s">
        <v>20</v>
      </c>
      <c r="U3" s="117" t="s">
        <v>21</v>
      </c>
      <c r="V3" s="117" t="s">
        <v>22</v>
      </c>
      <c r="W3" s="117" t="s">
        <v>23</v>
      </c>
      <c r="X3" s="215"/>
      <c r="Y3" s="215"/>
    </row>
    <row r="4" spans="1:25" ht="38.25" customHeight="1" x14ac:dyDescent="0.25">
      <c r="A4" s="2">
        <v>1</v>
      </c>
      <c r="B4" s="3" t="s">
        <v>24</v>
      </c>
      <c r="C4" s="32">
        <v>14</v>
      </c>
      <c r="D4" s="32">
        <v>1</v>
      </c>
      <c r="E4" s="32">
        <v>1</v>
      </c>
      <c r="F4" s="32">
        <f t="shared" ref="F4:F16" si="0">C4+D4-E4</f>
        <v>14</v>
      </c>
      <c r="G4" s="9">
        <v>369</v>
      </c>
      <c r="H4" s="8">
        <v>180791</v>
      </c>
      <c r="I4" s="8"/>
      <c r="J4" s="8">
        <v>87283</v>
      </c>
      <c r="K4" s="8">
        <v>14893</v>
      </c>
      <c r="L4" s="8">
        <v>14893</v>
      </c>
      <c r="M4" s="51">
        <f>SUM(H4:L4)+1</f>
        <v>297861</v>
      </c>
      <c r="N4" s="8">
        <v>21695</v>
      </c>
      <c r="O4" s="8">
        <v>1196</v>
      </c>
      <c r="P4" s="8"/>
      <c r="Q4" s="8"/>
      <c r="R4" s="8"/>
      <c r="S4" s="8">
        <v>19000</v>
      </c>
      <c r="T4" s="8">
        <v>0</v>
      </c>
      <c r="U4" s="51">
        <f>SUM(N4:T4)</f>
        <v>41891</v>
      </c>
      <c r="V4" s="8" t="s">
        <v>25</v>
      </c>
      <c r="W4" s="8" t="s">
        <v>25</v>
      </c>
      <c r="X4" s="8">
        <v>1</v>
      </c>
      <c r="Y4" s="51">
        <f>M4-U4+X4</f>
        <v>255971</v>
      </c>
    </row>
    <row r="5" spans="1:25" ht="36" customHeight="1" x14ac:dyDescent="0.25">
      <c r="A5" s="2">
        <v>2</v>
      </c>
      <c r="B5" s="3" t="s">
        <v>94</v>
      </c>
      <c r="C5" s="32">
        <v>10</v>
      </c>
      <c r="D5" s="32"/>
      <c r="E5" s="32">
        <v>3</v>
      </c>
      <c r="F5" s="32">
        <f t="shared" si="0"/>
        <v>7</v>
      </c>
      <c r="G5" s="9">
        <v>185</v>
      </c>
      <c r="H5" s="8">
        <v>59049</v>
      </c>
      <c r="I5" s="8"/>
      <c r="J5" s="8">
        <v>29524</v>
      </c>
      <c r="K5" s="8">
        <v>4921</v>
      </c>
      <c r="L5" s="8">
        <v>4921</v>
      </c>
      <c r="M5" s="51">
        <f>SUM(H5:L5)-1</f>
        <v>98414</v>
      </c>
      <c r="N5" s="8">
        <v>7086</v>
      </c>
      <c r="O5" s="8">
        <v>569</v>
      </c>
      <c r="P5" s="8"/>
      <c r="Q5" s="124">
        <v>700</v>
      </c>
      <c r="R5" s="8"/>
      <c r="S5" s="8">
        <v>6000</v>
      </c>
      <c r="T5" s="8"/>
      <c r="U5" s="51">
        <f>SUM(N5:T5)</f>
        <v>14355</v>
      </c>
      <c r="V5" s="8" t="s">
        <v>25</v>
      </c>
      <c r="W5" s="8" t="s">
        <v>25</v>
      </c>
      <c r="X5" s="8">
        <v>0</v>
      </c>
      <c r="Y5" s="51">
        <f>M5-U5+X5</f>
        <v>84059</v>
      </c>
    </row>
    <row r="6" spans="1:25" ht="35.450000000000003" customHeight="1" x14ac:dyDescent="0.25">
      <c r="A6" s="2">
        <v>3</v>
      </c>
      <c r="B6" s="3" t="s">
        <v>27</v>
      </c>
      <c r="C6" s="32">
        <v>0</v>
      </c>
      <c r="D6" s="32">
        <v>2</v>
      </c>
      <c r="E6" s="32"/>
      <c r="F6" s="32">
        <f t="shared" si="0"/>
        <v>2</v>
      </c>
      <c r="G6" s="9">
        <v>39</v>
      </c>
      <c r="H6" s="8">
        <v>8804</v>
      </c>
      <c r="I6" s="8">
        <v>0</v>
      </c>
      <c r="J6" s="8">
        <v>4402</v>
      </c>
      <c r="K6" s="8">
        <v>734</v>
      </c>
      <c r="L6" s="8">
        <v>734</v>
      </c>
      <c r="M6" s="51">
        <f>SUM(H6:L6)-1</f>
        <v>14673</v>
      </c>
      <c r="N6" s="8">
        <v>1057</v>
      </c>
      <c r="O6" s="8">
        <v>111</v>
      </c>
      <c r="P6" s="8"/>
      <c r="Q6" s="8"/>
      <c r="R6" s="8"/>
      <c r="S6" s="8">
        <v>0</v>
      </c>
      <c r="T6" s="8"/>
      <c r="U6" s="51">
        <f>SUM(N6:T6)</f>
        <v>1168</v>
      </c>
      <c r="V6" s="8" t="s">
        <v>25</v>
      </c>
      <c r="W6" s="8" t="s">
        <v>25</v>
      </c>
      <c r="X6" s="8">
        <v>-6</v>
      </c>
      <c r="Y6" s="51">
        <f>M6-U6+X6</f>
        <v>13499</v>
      </c>
    </row>
    <row r="7" spans="1:25" ht="43.5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177</v>
      </c>
      <c r="H7" s="8">
        <v>7080</v>
      </c>
      <c r="I7" s="8">
        <v>73397</v>
      </c>
      <c r="J7" s="8">
        <v>1770</v>
      </c>
      <c r="K7" s="8"/>
      <c r="L7" s="8"/>
      <c r="M7" s="51">
        <f t="shared" ref="M7:M16" si="1">SUM(H7:L7)</f>
        <v>82247</v>
      </c>
      <c r="N7" s="8">
        <v>9656</v>
      </c>
      <c r="O7" s="8">
        <v>623</v>
      </c>
      <c r="P7" s="8">
        <v>0</v>
      </c>
      <c r="Q7" s="8">
        <v>300</v>
      </c>
      <c r="R7" s="8"/>
      <c r="S7" s="8">
        <v>2000</v>
      </c>
      <c r="T7" s="8">
        <v>0</v>
      </c>
      <c r="U7" s="51">
        <f>SUM(N7:T7)</f>
        <v>12579</v>
      </c>
      <c r="V7" s="8"/>
      <c r="W7" s="8">
        <v>4199</v>
      </c>
      <c r="X7" s="8">
        <v>-7</v>
      </c>
      <c r="Y7" s="51">
        <f>M7-U7+W7+X7</f>
        <v>73860</v>
      </c>
    </row>
    <row r="8" spans="1:25" ht="36.75" customHeight="1" x14ac:dyDescent="0.25">
      <c r="A8" s="2">
        <v>5</v>
      </c>
      <c r="B8" s="28" t="s">
        <v>29</v>
      </c>
      <c r="C8" s="32">
        <v>72</v>
      </c>
      <c r="D8" s="32"/>
      <c r="E8" s="32">
        <v>6</v>
      </c>
      <c r="F8" s="32">
        <f>C8+D8-E8</f>
        <v>66</v>
      </c>
      <c r="G8" s="9">
        <v>1134</v>
      </c>
      <c r="H8" s="8">
        <v>218493</v>
      </c>
      <c r="I8" s="8"/>
      <c r="J8" s="8">
        <v>145662</v>
      </c>
      <c r="K8" s="8"/>
      <c r="L8" s="8"/>
      <c r="M8" s="51">
        <f t="shared" si="1"/>
        <v>364155</v>
      </c>
      <c r="N8" s="8">
        <v>25655</v>
      </c>
      <c r="O8" s="8">
        <v>2760</v>
      </c>
      <c r="P8" s="8">
        <v>0</v>
      </c>
      <c r="Q8" s="8">
        <v>5650</v>
      </c>
      <c r="R8" s="8"/>
      <c r="S8" s="8">
        <v>6500</v>
      </c>
      <c r="T8" s="8">
        <v>0</v>
      </c>
      <c r="U8" s="51">
        <f t="shared" ref="U8:U16" si="2">SUM(N8:T8)</f>
        <v>40565</v>
      </c>
      <c r="V8" s="8"/>
      <c r="W8" s="8">
        <v>77815</v>
      </c>
      <c r="X8" s="8">
        <v>-55</v>
      </c>
      <c r="Y8" s="51">
        <f t="shared" ref="Y8:Y13" si="3">M8-U8+W8+X8</f>
        <v>401350</v>
      </c>
    </row>
    <row r="9" spans="1:25" ht="47.25" customHeight="1" x14ac:dyDescent="0.25">
      <c r="A9" s="2">
        <v>6</v>
      </c>
      <c r="B9" s="28" t="s">
        <v>30</v>
      </c>
      <c r="C9" s="32">
        <v>25</v>
      </c>
      <c r="D9" s="32">
        <v>18</v>
      </c>
      <c r="E9" s="32">
        <v>3</v>
      </c>
      <c r="F9" s="32">
        <f t="shared" si="0"/>
        <v>40</v>
      </c>
      <c r="G9" s="9">
        <v>638</v>
      </c>
      <c r="H9" s="8">
        <v>123183</v>
      </c>
      <c r="I9" s="8"/>
      <c r="J9" s="8">
        <v>82122</v>
      </c>
      <c r="K9" s="8"/>
      <c r="L9" s="8"/>
      <c r="M9" s="51">
        <f t="shared" si="1"/>
        <v>205305</v>
      </c>
      <c r="N9" s="8">
        <v>14029</v>
      </c>
      <c r="O9" s="8">
        <v>1557</v>
      </c>
      <c r="P9" s="8"/>
      <c r="Q9" s="8">
        <v>900</v>
      </c>
      <c r="R9" s="8"/>
      <c r="S9" s="8">
        <v>0</v>
      </c>
      <c r="T9" s="8">
        <v>0</v>
      </c>
      <c r="U9" s="51">
        <f t="shared" si="2"/>
        <v>16486</v>
      </c>
      <c r="V9" s="8"/>
      <c r="W9" s="8">
        <v>27020</v>
      </c>
      <c r="X9" s="8">
        <v>-9</v>
      </c>
      <c r="Y9" s="51">
        <f t="shared" si="3"/>
        <v>215830</v>
      </c>
    </row>
    <row r="10" spans="1:25" ht="45" customHeight="1" x14ac:dyDescent="0.25">
      <c r="A10" s="2">
        <v>7</v>
      </c>
      <c r="B10" s="28" t="s">
        <v>31</v>
      </c>
      <c r="C10" s="32">
        <v>20</v>
      </c>
      <c r="D10" s="32">
        <v>1</v>
      </c>
      <c r="E10" s="32">
        <v>6</v>
      </c>
      <c r="F10" s="32">
        <f t="shared" si="0"/>
        <v>15</v>
      </c>
      <c r="G10" s="9">
        <v>157</v>
      </c>
      <c r="H10" s="8">
        <v>28260</v>
      </c>
      <c r="I10" s="8"/>
      <c r="J10" s="8">
        <v>18840</v>
      </c>
      <c r="K10" s="8"/>
      <c r="L10" s="8"/>
      <c r="M10" s="51">
        <f t="shared" si="1"/>
        <v>47100</v>
      </c>
      <c r="N10" s="8">
        <v>3392</v>
      </c>
      <c r="O10" s="8">
        <v>356</v>
      </c>
      <c r="P10" s="8"/>
      <c r="Q10" s="8">
        <v>900</v>
      </c>
      <c r="R10" s="8"/>
      <c r="S10" s="8">
        <v>8520</v>
      </c>
      <c r="T10" s="8">
        <v>0</v>
      </c>
      <c r="U10" s="51">
        <f t="shared" si="2"/>
        <v>13168</v>
      </c>
      <c r="V10" s="8"/>
      <c r="W10" s="8">
        <v>7600</v>
      </c>
      <c r="X10" s="8">
        <v>-2</v>
      </c>
      <c r="Y10" s="51">
        <f t="shared" si="3"/>
        <v>41530</v>
      </c>
    </row>
    <row r="11" spans="1:25" ht="37.5" customHeight="1" x14ac:dyDescent="0.25">
      <c r="A11" s="2">
        <v>8</v>
      </c>
      <c r="B11" s="28" t="s">
        <v>82</v>
      </c>
      <c r="C11" s="32">
        <v>18</v>
      </c>
      <c r="D11" s="32"/>
      <c r="E11" s="32">
        <v>0</v>
      </c>
      <c r="F11" s="32">
        <f t="shared" si="0"/>
        <v>18</v>
      </c>
      <c r="G11" s="9">
        <v>445</v>
      </c>
      <c r="H11" s="8">
        <v>81192</v>
      </c>
      <c r="I11" s="8"/>
      <c r="J11" s="8">
        <v>54128</v>
      </c>
      <c r="K11" s="8"/>
      <c r="L11" s="8"/>
      <c r="M11" s="51">
        <f t="shared" si="1"/>
        <v>135320</v>
      </c>
      <c r="N11" s="8">
        <v>9742</v>
      </c>
      <c r="O11" s="8">
        <v>1023</v>
      </c>
      <c r="P11" s="8"/>
      <c r="Q11" s="8">
        <v>1100</v>
      </c>
      <c r="R11" s="8"/>
      <c r="S11" s="8">
        <v>23320</v>
      </c>
      <c r="T11" s="8">
        <v>0</v>
      </c>
      <c r="U11" s="51">
        <f t="shared" ref="U11" si="4">SUM(N11:T11)</f>
        <v>35185</v>
      </c>
      <c r="V11" s="8"/>
      <c r="W11" s="8">
        <v>30865</v>
      </c>
      <c r="X11" s="8">
        <v>10</v>
      </c>
      <c r="Y11" s="51">
        <f t="shared" si="3"/>
        <v>131010</v>
      </c>
    </row>
    <row r="12" spans="1:25" ht="36.75" customHeight="1" x14ac:dyDescent="0.25">
      <c r="A12" s="2">
        <v>9</v>
      </c>
      <c r="B12" s="28" t="s">
        <v>91</v>
      </c>
      <c r="C12" s="32">
        <v>0</v>
      </c>
      <c r="D12" s="32">
        <v>1</v>
      </c>
      <c r="E12" s="32">
        <v>0</v>
      </c>
      <c r="F12" s="32">
        <f t="shared" si="0"/>
        <v>1</v>
      </c>
      <c r="G12" s="9">
        <v>16</v>
      </c>
      <c r="H12" s="8">
        <v>3840</v>
      </c>
      <c r="I12" s="8">
        <v>0</v>
      </c>
      <c r="J12" s="8">
        <v>2560</v>
      </c>
      <c r="K12" s="8"/>
      <c r="L12" s="8"/>
      <c r="M12" s="51">
        <f t="shared" si="1"/>
        <v>6400</v>
      </c>
      <c r="N12" s="8">
        <v>461</v>
      </c>
      <c r="O12" s="8">
        <v>48</v>
      </c>
      <c r="P12" s="8">
        <v>0</v>
      </c>
      <c r="Q12" s="8"/>
      <c r="R12" s="8"/>
      <c r="S12" s="8">
        <v>0</v>
      </c>
      <c r="T12" s="8">
        <v>0</v>
      </c>
      <c r="U12" s="51">
        <f>SUM(N12:T12)</f>
        <v>509</v>
      </c>
      <c r="V12" s="8"/>
      <c r="W12" s="8">
        <v>0</v>
      </c>
      <c r="X12" s="8">
        <v>-1</v>
      </c>
      <c r="Y12" s="51">
        <f t="shared" si="3"/>
        <v>5890</v>
      </c>
    </row>
    <row r="13" spans="1:25" ht="39.75" customHeight="1" x14ac:dyDescent="0.25">
      <c r="A13" s="2">
        <v>10</v>
      </c>
      <c r="B13" s="121" t="s">
        <v>90</v>
      </c>
      <c r="C13" s="32">
        <v>8</v>
      </c>
      <c r="D13" s="32"/>
      <c r="E13" s="32">
        <v>2</v>
      </c>
      <c r="F13" s="32">
        <f>C13+D13-E13</f>
        <v>6</v>
      </c>
      <c r="G13" s="9">
        <v>150.5</v>
      </c>
      <c r="H13" s="8">
        <v>34198</v>
      </c>
      <c r="I13" s="8"/>
      <c r="J13" s="8">
        <v>22798</v>
      </c>
      <c r="K13" s="8"/>
      <c r="L13" s="8"/>
      <c r="M13" s="51">
        <f t="shared" si="1"/>
        <v>56996</v>
      </c>
      <c r="N13" s="8">
        <v>3736</v>
      </c>
      <c r="O13" s="8">
        <v>431</v>
      </c>
      <c r="P13" s="8"/>
      <c r="Q13" s="8">
        <v>750</v>
      </c>
      <c r="R13" s="8"/>
      <c r="S13" s="8">
        <v>2500</v>
      </c>
      <c r="T13" s="8">
        <v>0</v>
      </c>
      <c r="U13" s="51">
        <f>SUM(N13:T13)</f>
        <v>7417</v>
      </c>
      <c r="V13" s="8"/>
      <c r="W13" s="8">
        <v>2600</v>
      </c>
      <c r="X13" s="8">
        <v>1</v>
      </c>
      <c r="Y13" s="51">
        <f t="shared" si="3"/>
        <v>52180</v>
      </c>
    </row>
    <row r="14" spans="1:25" ht="33" customHeight="1" x14ac:dyDescent="0.25">
      <c r="A14" s="2">
        <v>11</v>
      </c>
      <c r="B14" s="28" t="s">
        <v>34</v>
      </c>
      <c r="C14" s="32">
        <v>1</v>
      </c>
      <c r="D14" s="32"/>
      <c r="E14" s="32"/>
      <c r="F14" s="32">
        <f t="shared" si="0"/>
        <v>1</v>
      </c>
      <c r="G14" s="9">
        <v>26</v>
      </c>
      <c r="H14" s="8">
        <v>200000</v>
      </c>
      <c r="I14" s="8"/>
      <c r="J14" s="8">
        <v>0</v>
      </c>
      <c r="K14" s="8"/>
      <c r="L14" s="8"/>
      <c r="M14" s="51">
        <f t="shared" si="1"/>
        <v>200000</v>
      </c>
      <c r="N14" s="8">
        <v>24000</v>
      </c>
      <c r="O14" s="8">
        <v>0</v>
      </c>
      <c r="P14" s="8">
        <v>0</v>
      </c>
      <c r="Q14" s="8"/>
      <c r="R14" s="8">
        <v>0</v>
      </c>
      <c r="S14" s="8"/>
      <c r="T14" s="8">
        <v>0</v>
      </c>
      <c r="U14" s="51">
        <f>SUM(N14:T14)</f>
        <v>24000</v>
      </c>
      <c r="V14" s="8"/>
      <c r="W14" s="8"/>
      <c r="X14" s="8">
        <v>0</v>
      </c>
      <c r="Y14" s="51">
        <f>M14-U14+W14+X14</f>
        <v>176000</v>
      </c>
    </row>
    <row r="15" spans="1:25" ht="31.7" customHeight="1" x14ac:dyDescent="0.25">
      <c r="A15" s="2">
        <v>12</v>
      </c>
      <c r="B15" s="3" t="s">
        <v>35</v>
      </c>
      <c r="C15" s="32">
        <v>6</v>
      </c>
      <c r="D15" s="32">
        <v>0</v>
      </c>
      <c r="E15" s="32">
        <v>0</v>
      </c>
      <c r="F15" s="32">
        <f t="shared" si="0"/>
        <v>6</v>
      </c>
      <c r="G15" s="9">
        <v>146.6</v>
      </c>
      <c r="H15" s="8">
        <v>131793</v>
      </c>
      <c r="I15" s="8"/>
      <c r="J15" s="8">
        <v>0</v>
      </c>
      <c r="K15" s="8"/>
      <c r="L15" s="8"/>
      <c r="M15" s="51">
        <f t="shared" si="1"/>
        <v>131793</v>
      </c>
      <c r="N15" s="8"/>
      <c r="O15" s="8"/>
      <c r="P15" s="8">
        <v>0</v>
      </c>
      <c r="Q15" s="8"/>
      <c r="R15" s="8"/>
      <c r="S15" s="8">
        <v>47500</v>
      </c>
      <c r="T15" s="8"/>
      <c r="U15" s="51">
        <f>SUM(N15:T15)</f>
        <v>47500</v>
      </c>
      <c r="V15" s="8">
        <v>0</v>
      </c>
      <c r="W15" s="8"/>
      <c r="X15" s="8">
        <v>-3</v>
      </c>
      <c r="Y15" s="51">
        <f>M15-U15+W15+X15</f>
        <v>84290</v>
      </c>
    </row>
    <row r="16" spans="1:25" ht="35.450000000000003" customHeight="1" x14ac:dyDescent="0.25">
      <c r="A16" s="2">
        <v>13</v>
      </c>
      <c r="B16" s="3" t="s">
        <v>36</v>
      </c>
      <c r="C16" s="32">
        <v>4</v>
      </c>
      <c r="D16" s="32">
        <v>0</v>
      </c>
      <c r="E16" s="32">
        <v>0</v>
      </c>
      <c r="F16" s="32">
        <f t="shared" si="0"/>
        <v>4</v>
      </c>
      <c r="G16" s="9">
        <v>85.6</v>
      </c>
      <c r="H16" s="8">
        <v>82339</v>
      </c>
      <c r="I16" s="8"/>
      <c r="J16" s="8">
        <v>0</v>
      </c>
      <c r="K16" s="8"/>
      <c r="L16" s="8"/>
      <c r="M16" s="51">
        <f t="shared" si="1"/>
        <v>82339</v>
      </c>
      <c r="N16" s="8"/>
      <c r="O16" s="8"/>
      <c r="P16" s="8">
        <v>0</v>
      </c>
      <c r="Q16" s="8">
        <v>0</v>
      </c>
      <c r="R16" s="8"/>
      <c r="S16" s="8">
        <v>29500</v>
      </c>
      <c r="T16" s="8"/>
      <c r="U16" s="51">
        <f t="shared" si="2"/>
        <v>29500</v>
      </c>
      <c r="V16" s="8"/>
      <c r="W16" s="8"/>
      <c r="X16" s="8">
        <v>1</v>
      </c>
      <c r="Y16" s="51">
        <f t="shared" ref="Y16" si="5">M16-U16+W16+X16</f>
        <v>52840</v>
      </c>
    </row>
    <row r="17" spans="1:25" ht="26.45" customHeight="1" x14ac:dyDescent="0.25">
      <c r="A17" s="171" t="s">
        <v>37</v>
      </c>
      <c r="B17" s="171"/>
      <c r="C17" s="52">
        <f>SUM(C4:C16)</f>
        <v>185</v>
      </c>
      <c r="D17" s="52">
        <f t="shared" ref="D17:W17" si="6">SUM(D4:D16)</f>
        <v>23</v>
      </c>
      <c r="E17" s="52">
        <f t="shared" si="6"/>
        <v>21</v>
      </c>
      <c r="F17" s="52">
        <f>SUM(F4:F16)</f>
        <v>187</v>
      </c>
      <c r="G17" s="53">
        <f t="shared" si="6"/>
        <v>3568.7</v>
      </c>
      <c r="H17" s="53">
        <f>SUM(H4:H16)</f>
        <v>1159022</v>
      </c>
      <c r="I17" s="53">
        <f t="shared" si="6"/>
        <v>73397</v>
      </c>
      <c r="J17" s="53">
        <f t="shared" si="6"/>
        <v>449089</v>
      </c>
      <c r="K17" s="53">
        <f t="shared" si="6"/>
        <v>20548</v>
      </c>
      <c r="L17" s="53">
        <f t="shared" si="6"/>
        <v>20548</v>
      </c>
      <c r="M17" s="53">
        <f>SUM(M4:M16)</f>
        <v>1722603</v>
      </c>
      <c r="N17" s="53">
        <f>SUM(N4:N16)</f>
        <v>120509</v>
      </c>
      <c r="O17" s="53">
        <f>SUM(O4:O16)</f>
        <v>8674</v>
      </c>
      <c r="P17" s="53">
        <f t="shared" si="6"/>
        <v>0</v>
      </c>
      <c r="Q17" s="53">
        <f>SUM(Q4:Q16)</f>
        <v>10300</v>
      </c>
      <c r="R17" s="53">
        <f t="shared" si="6"/>
        <v>0</v>
      </c>
      <c r="S17" s="53">
        <f>SUM(S4:S16)</f>
        <v>144840</v>
      </c>
      <c r="T17" s="53">
        <f t="shared" si="6"/>
        <v>0</v>
      </c>
      <c r="U17" s="53">
        <f>SUM(U4:U16)</f>
        <v>284323</v>
      </c>
      <c r="V17" s="53">
        <f t="shared" si="6"/>
        <v>0</v>
      </c>
      <c r="W17" s="53">
        <f t="shared" si="6"/>
        <v>150099</v>
      </c>
      <c r="X17" s="53">
        <f>SUM(X4:X16)</f>
        <v>-70</v>
      </c>
      <c r="Y17" s="53">
        <f>SUM(Y4:Y16)</f>
        <v>1588309</v>
      </c>
    </row>
    <row r="18" spans="1:25" ht="18.75" x14ac:dyDescent="0.25">
      <c r="C18" s="63"/>
      <c r="D18" s="63"/>
      <c r="E18" s="108"/>
      <c r="F18" s="109"/>
      <c r="G18" s="118"/>
      <c r="H18" s="110"/>
      <c r="I18" s="118"/>
      <c r="J18" s="118"/>
      <c r="K18" s="118"/>
      <c r="L18" s="118"/>
      <c r="M18" s="118"/>
      <c r="N18" s="118"/>
      <c r="O18" s="110"/>
      <c r="P18" s="118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21" x14ac:dyDescent="0.35">
      <c r="A19" s="25" t="s">
        <v>64</v>
      </c>
      <c r="B19" s="25"/>
      <c r="C19" s="54"/>
      <c r="D19" s="54"/>
      <c r="E19" s="54"/>
      <c r="F19" s="54"/>
      <c r="G19" s="54"/>
      <c r="H19" s="95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18.75" x14ac:dyDescent="0.25">
      <c r="A20" s="179" t="s">
        <v>1</v>
      </c>
      <c r="B20" s="179" t="s">
        <v>38</v>
      </c>
      <c r="C20" s="216" t="s">
        <v>39</v>
      </c>
      <c r="D20" s="217"/>
      <c r="E20" s="217"/>
      <c r="F20" s="218"/>
      <c r="G20" s="181" t="s">
        <v>40</v>
      </c>
      <c r="H20" s="182"/>
      <c r="I20" s="213" t="s">
        <v>69</v>
      </c>
      <c r="J20" s="181" t="s">
        <v>41</v>
      </c>
      <c r="K20" s="182" t="s">
        <v>76</v>
      </c>
      <c r="L20" s="181" t="s">
        <v>77</v>
      </c>
      <c r="M20" s="182"/>
      <c r="N20" s="167" t="s">
        <v>50</v>
      </c>
      <c r="O20" s="168"/>
      <c r="P20" s="167" t="s">
        <v>53</v>
      </c>
      <c r="Q20" s="168"/>
      <c r="R20" s="181" t="s">
        <v>54</v>
      </c>
      <c r="S20" s="182"/>
      <c r="T20" s="181" t="s">
        <v>51</v>
      </c>
      <c r="U20" s="182"/>
      <c r="V20" s="213" t="s">
        <v>52</v>
      </c>
      <c r="W20" s="167" t="s">
        <v>43</v>
      </c>
      <c r="X20" s="222"/>
      <c r="Y20" s="223"/>
    </row>
    <row r="21" spans="1:25" ht="18.75" x14ac:dyDescent="0.25">
      <c r="A21" s="180"/>
      <c r="B21" s="180"/>
      <c r="C21" s="44" t="s">
        <v>65</v>
      </c>
      <c r="D21" s="44" t="s">
        <v>66</v>
      </c>
      <c r="E21" s="44" t="s">
        <v>67</v>
      </c>
      <c r="F21" s="119" t="s">
        <v>68</v>
      </c>
      <c r="G21" s="183"/>
      <c r="H21" s="184"/>
      <c r="I21" s="214"/>
      <c r="J21" s="183"/>
      <c r="K21" s="184"/>
      <c r="L21" s="183"/>
      <c r="M21" s="184"/>
      <c r="N21" s="169"/>
      <c r="O21" s="170"/>
      <c r="P21" s="169"/>
      <c r="Q21" s="170"/>
      <c r="R21" s="183"/>
      <c r="S21" s="184"/>
      <c r="T21" s="183"/>
      <c r="U21" s="184"/>
      <c r="V21" s="214"/>
      <c r="W21" s="224"/>
      <c r="X21" s="225"/>
      <c r="Y21" s="226"/>
    </row>
    <row r="22" spans="1:25" ht="27" customHeight="1" x14ac:dyDescent="0.3">
      <c r="A22" s="2">
        <v>1</v>
      </c>
      <c r="B22" s="122" t="str">
        <f t="shared" ref="B22:B30" si="7">B4</f>
        <v>SALARY -STAFF - BANK</v>
      </c>
      <c r="C22" s="32">
        <v>14</v>
      </c>
      <c r="D22" s="32">
        <v>1</v>
      </c>
      <c r="E22" s="32">
        <v>1</v>
      </c>
      <c r="F22" s="32">
        <f t="shared" ref="F22:F25" si="8">C22+D22-E22</f>
        <v>14</v>
      </c>
      <c r="G22" s="144">
        <v>14</v>
      </c>
      <c r="H22" s="144"/>
      <c r="I22" s="39">
        <f t="shared" ref="I22:I34" si="9">G22-F22</f>
        <v>0</v>
      </c>
      <c r="J22" s="66">
        <v>297860</v>
      </c>
      <c r="K22" s="67">
        <v>297862</v>
      </c>
      <c r="L22" s="144">
        <v>180791</v>
      </c>
      <c r="M22" s="144"/>
      <c r="N22" s="158">
        <f>+J22*60/100</f>
        <v>178716</v>
      </c>
      <c r="O22" s="159"/>
      <c r="P22" s="144">
        <f>+L22-N22</f>
        <v>2075</v>
      </c>
      <c r="Q22" s="144"/>
      <c r="R22" s="203">
        <v>21695</v>
      </c>
      <c r="S22" s="203"/>
      <c r="T22" s="203">
        <v>21695</v>
      </c>
      <c r="U22" s="203"/>
      <c r="V22" s="57">
        <f t="shared" ref="V22:V34" si="10">R22-T22</f>
        <v>0</v>
      </c>
      <c r="W22" s="233" t="s">
        <v>45</v>
      </c>
      <c r="X22" s="195"/>
      <c r="Y22" s="196"/>
    </row>
    <row r="23" spans="1:25" ht="27" customHeight="1" x14ac:dyDescent="0.3">
      <c r="A23" s="2">
        <v>2</v>
      </c>
      <c r="B23" s="122" t="str">
        <f t="shared" si="7"/>
        <v>SALARY - STAFF -2 BANK</v>
      </c>
      <c r="C23" s="32">
        <v>10</v>
      </c>
      <c r="D23" s="32"/>
      <c r="E23" s="32">
        <v>3</v>
      </c>
      <c r="F23" s="32">
        <f t="shared" si="8"/>
        <v>7</v>
      </c>
      <c r="G23" s="144">
        <v>7</v>
      </c>
      <c r="H23" s="144"/>
      <c r="I23" s="39">
        <f t="shared" si="9"/>
        <v>0</v>
      </c>
      <c r="J23" s="66">
        <f>M5</f>
        <v>98414</v>
      </c>
      <c r="K23" s="67">
        <v>98413</v>
      </c>
      <c r="L23" s="144">
        <v>59049</v>
      </c>
      <c r="M23" s="144"/>
      <c r="N23" s="158">
        <f t="shared" ref="N23:N30" si="11">+J23*60/100</f>
        <v>59048.4</v>
      </c>
      <c r="O23" s="159"/>
      <c r="P23" s="144">
        <f>+L23-N23</f>
        <v>0.59999999999854481</v>
      </c>
      <c r="Q23" s="144"/>
      <c r="R23" s="203">
        <v>7086</v>
      </c>
      <c r="S23" s="203"/>
      <c r="T23" s="203">
        <v>7086</v>
      </c>
      <c r="U23" s="203"/>
      <c r="V23" s="57">
        <f t="shared" si="10"/>
        <v>0</v>
      </c>
      <c r="W23" s="197"/>
      <c r="X23" s="195"/>
      <c r="Y23" s="196"/>
    </row>
    <row r="24" spans="1:25" ht="31.7" customHeight="1" x14ac:dyDescent="0.3">
      <c r="A24" s="2">
        <v>3</v>
      </c>
      <c r="B24" s="122" t="str">
        <f t="shared" si="7"/>
        <v>SALARY - STAFF-CHEQUE</v>
      </c>
      <c r="C24" s="32">
        <v>0</v>
      </c>
      <c r="D24" s="32">
        <v>2</v>
      </c>
      <c r="E24" s="32"/>
      <c r="F24" s="32">
        <f t="shared" si="8"/>
        <v>2</v>
      </c>
      <c r="G24" s="144">
        <v>2</v>
      </c>
      <c r="H24" s="144"/>
      <c r="I24" s="39">
        <f t="shared" si="9"/>
        <v>0</v>
      </c>
      <c r="J24" s="66">
        <f t="shared" ref="J24" si="12">M6</f>
        <v>14673</v>
      </c>
      <c r="K24" s="67">
        <v>14673</v>
      </c>
      <c r="L24" s="144">
        <v>8804</v>
      </c>
      <c r="M24" s="144"/>
      <c r="N24" s="158">
        <f t="shared" si="11"/>
        <v>8803.7999999999993</v>
      </c>
      <c r="O24" s="159"/>
      <c r="P24" s="144">
        <f t="shared" ref="P24:P34" si="13">+L24-N24</f>
        <v>0.2000000000007276</v>
      </c>
      <c r="Q24" s="144"/>
      <c r="R24" s="203">
        <v>1057</v>
      </c>
      <c r="S24" s="203"/>
      <c r="T24" s="203">
        <v>1057</v>
      </c>
      <c r="U24" s="203"/>
      <c r="V24" s="57">
        <f t="shared" si="10"/>
        <v>0</v>
      </c>
      <c r="W24" s="197"/>
      <c r="X24" s="195"/>
      <c r="Y24" s="196"/>
    </row>
    <row r="25" spans="1:25" ht="34.5" customHeight="1" x14ac:dyDescent="0.3">
      <c r="A25" s="2">
        <v>4</v>
      </c>
      <c r="B25" s="122" t="str">
        <f t="shared" si="7"/>
        <v>WAGES-PERMANENT - BANK</v>
      </c>
      <c r="C25" s="32">
        <v>7</v>
      </c>
      <c r="D25" s="32">
        <v>0</v>
      </c>
      <c r="E25" s="32">
        <v>0</v>
      </c>
      <c r="F25" s="32">
        <f t="shared" si="8"/>
        <v>7</v>
      </c>
      <c r="G25" s="144">
        <v>7</v>
      </c>
      <c r="H25" s="144"/>
      <c r="I25" s="39">
        <f t="shared" si="9"/>
        <v>0</v>
      </c>
      <c r="J25" s="66">
        <f>M7</f>
        <v>82247</v>
      </c>
      <c r="K25" s="67">
        <v>82246</v>
      </c>
      <c r="L25" s="144">
        <v>80476</v>
      </c>
      <c r="M25" s="144"/>
      <c r="N25" s="158">
        <f>+J25*60/100</f>
        <v>49348.2</v>
      </c>
      <c r="O25" s="159"/>
      <c r="P25" s="144">
        <f>+L25-N25</f>
        <v>31127.800000000003</v>
      </c>
      <c r="Q25" s="144"/>
      <c r="R25" s="203">
        <v>9656</v>
      </c>
      <c r="S25" s="203"/>
      <c r="T25" s="203">
        <v>9656</v>
      </c>
      <c r="U25" s="203"/>
      <c r="V25" s="57">
        <f t="shared" si="10"/>
        <v>0</v>
      </c>
      <c r="W25" s="197" t="s">
        <v>48</v>
      </c>
      <c r="X25" s="195"/>
      <c r="Y25" s="196"/>
    </row>
    <row r="26" spans="1:25" ht="42" customHeight="1" x14ac:dyDescent="0.3">
      <c r="A26" s="2">
        <v>5</v>
      </c>
      <c r="B26" s="123" t="str">
        <f t="shared" si="7"/>
        <v>WAGES - CASUAL - BANK(OUTSIDE)</v>
      </c>
      <c r="C26" s="32">
        <v>72</v>
      </c>
      <c r="D26" s="32"/>
      <c r="E26" s="32">
        <v>6</v>
      </c>
      <c r="F26" s="32">
        <f>C26+D26-E26</f>
        <v>66</v>
      </c>
      <c r="G26" s="144">
        <v>66</v>
      </c>
      <c r="H26" s="144"/>
      <c r="I26" s="39">
        <f t="shared" si="9"/>
        <v>0</v>
      </c>
      <c r="J26" s="66">
        <f>M8</f>
        <v>364155</v>
      </c>
      <c r="K26" s="67">
        <f>364155-7820</f>
        <v>356335</v>
      </c>
      <c r="L26" s="144">
        <v>213801</v>
      </c>
      <c r="M26" s="144"/>
      <c r="N26" s="158">
        <f t="shared" si="11"/>
        <v>218493</v>
      </c>
      <c r="O26" s="159"/>
      <c r="P26" s="144">
        <f t="shared" si="13"/>
        <v>-4692</v>
      </c>
      <c r="Q26" s="144"/>
      <c r="R26" s="203">
        <v>25655</v>
      </c>
      <c r="S26" s="203"/>
      <c r="T26" s="203">
        <v>25655</v>
      </c>
      <c r="U26" s="203"/>
      <c r="V26" s="57">
        <f t="shared" si="10"/>
        <v>0</v>
      </c>
      <c r="W26" s="197" t="s">
        <v>87</v>
      </c>
      <c r="X26" s="195"/>
      <c r="Y26" s="196"/>
    </row>
    <row r="27" spans="1:25" ht="38.25" customHeight="1" x14ac:dyDescent="0.3">
      <c r="A27" s="2">
        <v>6</v>
      </c>
      <c r="B27" s="123" t="str">
        <f t="shared" si="7"/>
        <v>WAGES - CASUAL - CASH(OUTSIDE)</v>
      </c>
      <c r="C27" s="32">
        <v>25</v>
      </c>
      <c r="D27" s="32">
        <v>18</v>
      </c>
      <c r="E27" s="32">
        <v>3</v>
      </c>
      <c r="F27" s="32">
        <f t="shared" ref="F27:F30" si="14">C27+D27-E27</f>
        <v>40</v>
      </c>
      <c r="G27" s="144">
        <v>40</v>
      </c>
      <c r="H27" s="144"/>
      <c r="I27" s="39">
        <f t="shared" si="9"/>
        <v>0</v>
      </c>
      <c r="J27" s="66">
        <f>M9</f>
        <v>205305</v>
      </c>
      <c r="K27" s="67">
        <f>205305-5355-5100</f>
        <v>194850</v>
      </c>
      <c r="L27" s="144">
        <v>116910</v>
      </c>
      <c r="M27" s="144"/>
      <c r="N27" s="158">
        <f t="shared" si="11"/>
        <v>123183</v>
      </c>
      <c r="O27" s="159"/>
      <c r="P27" s="144">
        <f t="shared" si="13"/>
        <v>-6273</v>
      </c>
      <c r="Q27" s="144"/>
      <c r="R27" s="203">
        <v>14029</v>
      </c>
      <c r="S27" s="203"/>
      <c r="T27" s="203">
        <v>14029</v>
      </c>
      <c r="U27" s="203"/>
      <c r="V27" s="57">
        <f t="shared" si="10"/>
        <v>0</v>
      </c>
      <c r="W27" s="234" t="s">
        <v>95</v>
      </c>
      <c r="X27" s="235"/>
      <c r="Y27" s="236"/>
    </row>
    <row r="28" spans="1:25" ht="33.75" customHeight="1" x14ac:dyDescent="0.3">
      <c r="A28" s="2">
        <v>7</v>
      </c>
      <c r="B28" s="123" t="str">
        <f t="shared" si="7"/>
        <v>WAGES - CASUAL - CASH(INSIDE)</v>
      </c>
      <c r="C28" s="32">
        <v>20</v>
      </c>
      <c r="D28" s="32">
        <v>1</v>
      </c>
      <c r="E28" s="32">
        <v>6</v>
      </c>
      <c r="F28" s="32">
        <f t="shared" si="14"/>
        <v>15</v>
      </c>
      <c r="G28" s="144">
        <v>15</v>
      </c>
      <c r="H28" s="144"/>
      <c r="I28" s="39">
        <f t="shared" si="9"/>
        <v>0</v>
      </c>
      <c r="J28" s="66">
        <f>M10</f>
        <v>47100</v>
      </c>
      <c r="K28" s="67">
        <v>47100</v>
      </c>
      <c r="L28" s="144">
        <v>28260</v>
      </c>
      <c r="M28" s="144"/>
      <c r="N28" s="158">
        <f t="shared" si="11"/>
        <v>28260</v>
      </c>
      <c r="O28" s="159"/>
      <c r="P28" s="144">
        <f t="shared" si="13"/>
        <v>0</v>
      </c>
      <c r="Q28" s="144"/>
      <c r="R28" s="203">
        <v>3392</v>
      </c>
      <c r="S28" s="203"/>
      <c r="T28" s="203">
        <v>3392</v>
      </c>
      <c r="U28" s="203"/>
      <c r="V28" s="57">
        <f t="shared" si="10"/>
        <v>0</v>
      </c>
      <c r="W28" s="197"/>
      <c r="X28" s="195"/>
      <c r="Y28" s="196"/>
    </row>
    <row r="29" spans="1:25" ht="34.5" customHeight="1" x14ac:dyDescent="0.3">
      <c r="A29" s="2">
        <v>8</v>
      </c>
      <c r="B29" s="123" t="str">
        <f t="shared" si="7"/>
        <v>WAGES - CASUAL - BANK(INSIDE)</v>
      </c>
      <c r="C29" s="32">
        <v>18</v>
      </c>
      <c r="D29" s="32"/>
      <c r="E29" s="32">
        <v>0</v>
      </c>
      <c r="F29" s="32">
        <f t="shared" si="14"/>
        <v>18</v>
      </c>
      <c r="G29" s="144">
        <v>18</v>
      </c>
      <c r="H29" s="144"/>
      <c r="I29" s="39">
        <f t="shared" si="9"/>
        <v>0</v>
      </c>
      <c r="J29" s="66">
        <f>M11</f>
        <v>135320</v>
      </c>
      <c r="K29" s="67">
        <v>135320</v>
      </c>
      <c r="L29" s="144">
        <v>81192</v>
      </c>
      <c r="M29" s="144"/>
      <c r="N29" s="158">
        <f t="shared" si="11"/>
        <v>81192</v>
      </c>
      <c r="O29" s="159"/>
      <c r="P29" s="144">
        <f t="shared" si="13"/>
        <v>0</v>
      </c>
      <c r="Q29" s="144"/>
      <c r="R29" s="203">
        <v>9742</v>
      </c>
      <c r="S29" s="203"/>
      <c r="T29" s="203">
        <v>9742</v>
      </c>
      <c r="U29" s="203"/>
      <c r="V29" s="57">
        <f t="shared" si="10"/>
        <v>0</v>
      </c>
      <c r="W29" s="197"/>
      <c r="X29" s="195"/>
      <c r="Y29" s="196"/>
    </row>
    <row r="30" spans="1:25" ht="34.5" customHeight="1" x14ac:dyDescent="0.3">
      <c r="A30" s="2">
        <v>9</v>
      </c>
      <c r="B30" s="123" t="str">
        <f t="shared" si="7"/>
        <v>WAGES - SECUR &amp; GARDEN - CHQ</v>
      </c>
      <c r="C30" s="32">
        <v>0</v>
      </c>
      <c r="D30" s="32">
        <v>1</v>
      </c>
      <c r="E30" s="32">
        <v>0</v>
      </c>
      <c r="F30" s="32">
        <f t="shared" si="14"/>
        <v>1</v>
      </c>
      <c r="G30" s="144">
        <v>1</v>
      </c>
      <c r="H30" s="144"/>
      <c r="I30" s="39">
        <f>G30-F30</f>
        <v>0</v>
      </c>
      <c r="J30" s="66">
        <v>6400</v>
      </c>
      <c r="K30" s="67">
        <v>6400</v>
      </c>
      <c r="L30" s="144">
        <v>3840</v>
      </c>
      <c r="M30" s="144"/>
      <c r="N30" s="158">
        <f t="shared" si="11"/>
        <v>3840</v>
      </c>
      <c r="O30" s="159"/>
      <c r="P30" s="144">
        <f t="shared" si="13"/>
        <v>0</v>
      </c>
      <c r="Q30" s="144"/>
      <c r="R30" s="203">
        <v>461</v>
      </c>
      <c r="S30" s="203"/>
      <c r="T30" s="203">
        <v>461</v>
      </c>
      <c r="U30" s="203"/>
      <c r="V30" s="57">
        <f t="shared" si="10"/>
        <v>0</v>
      </c>
      <c r="W30" s="197" t="s">
        <v>88</v>
      </c>
      <c r="X30" s="195"/>
      <c r="Y30" s="196"/>
    </row>
    <row r="31" spans="1:25" ht="42.75" customHeight="1" x14ac:dyDescent="0.3">
      <c r="A31" s="2">
        <v>10</v>
      </c>
      <c r="B31" s="123" t="str">
        <f>B13</f>
        <v>WAGES - SECUR &amp; GARDEN - BANK</v>
      </c>
      <c r="C31" s="32">
        <v>8</v>
      </c>
      <c r="D31" s="32"/>
      <c r="E31" s="32">
        <v>2</v>
      </c>
      <c r="F31" s="32">
        <f>C31+D31-E31</f>
        <v>6</v>
      </c>
      <c r="G31" s="144">
        <v>6</v>
      </c>
      <c r="H31" s="144"/>
      <c r="I31" s="39">
        <f t="shared" si="9"/>
        <v>0</v>
      </c>
      <c r="J31" s="66">
        <f>M13</f>
        <v>56996</v>
      </c>
      <c r="K31" s="67">
        <f>56996-5111</f>
        <v>51885</v>
      </c>
      <c r="L31" s="144">
        <f>34198-3067</f>
        <v>31131</v>
      </c>
      <c r="M31" s="144"/>
      <c r="N31" s="158">
        <f>+J31*60/100</f>
        <v>34197.599999999999</v>
      </c>
      <c r="O31" s="159"/>
      <c r="P31" s="144">
        <f t="shared" si="13"/>
        <v>-3066.5999999999985</v>
      </c>
      <c r="Q31" s="144"/>
      <c r="R31" s="203">
        <v>3736</v>
      </c>
      <c r="S31" s="203"/>
      <c r="T31" s="203">
        <v>3736</v>
      </c>
      <c r="U31" s="203"/>
      <c r="V31" s="57">
        <f t="shared" si="10"/>
        <v>0</v>
      </c>
      <c r="W31" s="197" t="s">
        <v>89</v>
      </c>
      <c r="X31" s="195"/>
      <c r="Y31" s="196"/>
    </row>
    <row r="32" spans="1:25" ht="38.25" customHeight="1" x14ac:dyDescent="0.3">
      <c r="A32" s="2">
        <v>11</v>
      </c>
      <c r="B32" s="123" t="s">
        <v>34</v>
      </c>
      <c r="C32" s="32">
        <v>1</v>
      </c>
      <c r="D32" s="32"/>
      <c r="E32" s="32"/>
      <c r="F32" s="32">
        <f t="shared" ref="F32:F34" si="15">C32+D32-E32</f>
        <v>1</v>
      </c>
      <c r="G32" s="158">
        <v>1</v>
      </c>
      <c r="H32" s="159"/>
      <c r="I32" s="39"/>
      <c r="J32" s="66">
        <v>200000</v>
      </c>
      <c r="K32" s="67">
        <v>200000</v>
      </c>
      <c r="L32" s="158">
        <v>200000</v>
      </c>
      <c r="M32" s="159"/>
      <c r="N32" s="158">
        <f>+J32*60/100</f>
        <v>120000</v>
      </c>
      <c r="O32" s="159"/>
      <c r="P32" s="144">
        <f t="shared" si="13"/>
        <v>80000</v>
      </c>
      <c r="Q32" s="144"/>
      <c r="R32" s="204">
        <v>24000</v>
      </c>
      <c r="S32" s="205"/>
      <c r="T32" s="204">
        <v>24000</v>
      </c>
      <c r="U32" s="205"/>
      <c r="V32" s="57">
        <f t="shared" si="10"/>
        <v>0</v>
      </c>
      <c r="W32" s="189" t="s">
        <v>75</v>
      </c>
      <c r="X32" s="190"/>
      <c r="Y32" s="191"/>
    </row>
    <row r="33" spans="1:25" ht="24.75" customHeight="1" x14ac:dyDescent="0.3">
      <c r="A33" s="2">
        <v>12</v>
      </c>
      <c r="B33" s="122" t="str">
        <f t="shared" ref="B33:B34" si="16">B15</f>
        <v>EXEMPTED - BANK</v>
      </c>
      <c r="C33" s="32">
        <v>6</v>
      </c>
      <c r="D33" s="32">
        <v>0</v>
      </c>
      <c r="E33" s="32">
        <v>0</v>
      </c>
      <c r="F33" s="32">
        <f t="shared" si="15"/>
        <v>6</v>
      </c>
      <c r="G33" s="144"/>
      <c r="H33" s="144"/>
      <c r="I33" s="39">
        <f t="shared" si="9"/>
        <v>-6</v>
      </c>
      <c r="J33" s="8">
        <v>131793</v>
      </c>
      <c r="K33" s="8">
        <v>0</v>
      </c>
      <c r="L33" s="144">
        <v>0</v>
      </c>
      <c r="M33" s="144"/>
      <c r="N33" s="158">
        <v>0</v>
      </c>
      <c r="O33" s="159"/>
      <c r="P33" s="144">
        <f t="shared" si="13"/>
        <v>0</v>
      </c>
      <c r="Q33" s="144"/>
      <c r="R33" s="203">
        <v>0</v>
      </c>
      <c r="S33" s="203"/>
      <c r="T33" s="203">
        <v>0</v>
      </c>
      <c r="U33" s="203"/>
      <c r="V33" s="57">
        <f t="shared" si="10"/>
        <v>0</v>
      </c>
      <c r="W33" s="197" t="s">
        <v>49</v>
      </c>
      <c r="X33" s="195"/>
      <c r="Y33" s="196"/>
    </row>
    <row r="34" spans="1:25" ht="27.75" customHeight="1" x14ac:dyDescent="0.3">
      <c r="A34" s="2">
        <v>13</v>
      </c>
      <c r="B34" s="122" t="str">
        <f t="shared" si="16"/>
        <v>EXEMPTED - CHEQUE</v>
      </c>
      <c r="C34" s="32">
        <v>4</v>
      </c>
      <c r="D34" s="32">
        <v>0</v>
      </c>
      <c r="E34" s="32">
        <v>0</v>
      </c>
      <c r="F34" s="32">
        <f t="shared" si="15"/>
        <v>4</v>
      </c>
      <c r="G34" s="144">
        <v>0</v>
      </c>
      <c r="H34" s="144"/>
      <c r="I34" s="39">
        <f t="shared" si="9"/>
        <v>-4</v>
      </c>
      <c r="J34" s="8">
        <v>82339</v>
      </c>
      <c r="K34" s="8">
        <v>0</v>
      </c>
      <c r="L34" s="144">
        <v>0</v>
      </c>
      <c r="M34" s="144"/>
      <c r="N34" s="158">
        <v>0</v>
      </c>
      <c r="O34" s="159"/>
      <c r="P34" s="212">
        <f t="shared" si="13"/>
        <v>0</v>
      </c>
      <c r="Q34" s="212"/>
      <c r="R34" s="203">
        <v>0</v>
      </c>
      <c r="S34" s="203"/>
      <c r="T34" s="203">
        <v>0</v>
      </c>
      <c r="U34" s="203"/>
      <c r="V34" s="57">
        <f t="shared" si="10"/>
        <v>0</v>
      </c>
      <c r="W34" s="197" t="s">
        <v>49</v>
      </c>
      <c r="X34" s="195"/>
      <c r="Y34" s="196"/>
    </row>
    <row r="35" spans="1:25" ht="27.75" customHeight="1" x14ac:dyDescent="0.25">
      <c r="A35" s="18"/>
      <c r="B35" s="22" t="s">
        <v>47</v>
      </c>
      <c r="C35" s="119">
        <f>SUM(C22:C34)</f>
        <v>185</v>
      </c>
      <c r="D35" s="111">
        <f t="shared" ref="D35:E35" si="17">SUM(D22:D34)</f>
        <v>23</v>
      </c>
      <c r="E35" s="58">
        <f t="shared" si="17"/>
        <v>21</v>
      </c>
      <c r="F35" s="58">
        <f>SUM(F22:F34)</f>
        <v>187</v>
      </c>
      <c r="G35" s="201">
        <f>SUM(G22:H34)</f>
        <v>177</v>
      </c>
      <c r="H35" s="201"/>
      <c r="I35" s="59">
        <f>SUM(I22:I34)</f>
        <v>-10</v>
      </c>
      <c r="J35" s="68">
        <f>SUM(J22:J34)</f>
        <v>1722602</v>
      </c>
      <c r="K35" s="68">
        <f>SUM(K22:K34)</f>
        <v>1485084</v>
      </c>
      <c r="L35" s="200">
        <f>SUM(L22:M34)</f>
        <v>1004254</v>
      </c>
      <c r="M35" s="200"/>
      <c r="N35" s="200">
        <f>SUM(N22:O34)</f>
        <v>905081.99999999988</v>
      </c>
      <c r="O35" s="200"/>
      <c r="P35" s="200">
        <f>SUM(P22:Q34)</f>
        <v>99172</v>
      </c>
      <c r="Q35" s="200"/>
      <c r="R35" s="200">
        <f>SUM(R22:S34)</f>
        <v>120509</v>
      </c>
      <c r="S35" s="200"/>
      <c r="T35" s="200">
        <f>SUM(T22:U34)</f>
        <v>120509</v>
      </c>
      <c r="U35" s="200"/>
      <c r="V35" s="60">
        <f>SUM(V22:V34)</f>
        <v>0</v>
      </c>
      <c r="W35" s="207"/>
      <c r="X35" s="208"/>
      <c r="Y35" s="209"/>
    </row>
    <row r="37" spans="1:25" x14ac:dyDescent="0.25">
      <c r="K37" s="100"/>
    </row>
    <row r="38" spans="1:25" ht="21" x14ac:dyDescent="0.35">
      <c r="A38" s="25" t="s">
        <v>63</v>
      </c>
      <c r="B38" s="25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ht="18.75" x14ac:dyDescent="0.25">
      <c r="A39" s="163" t="s">
        <v>1</v>
      </c>
      <c r="B39" s="163" t="s">
        <v>38</v>
      </c>
      <c r="C39" s="166" t="s">
        <v>39</v>
      </c>
      <c r="D39" s="166"/>
      <c r="E39" s="166"/>
      <c r="F39" s="166"/>
      <c r="G39" s="155" t="s">
        <v>61</v>
      </c>
      <c r="H39" s="166" t="s">
        <v>62</v>
      </c>
      <c r="I39" s="155" t="s">
        <v>41</v>
      </c>
      <c r="J39" s="155"/>
      <c r="K39" s="164" t="s">
        <v>60</v>
      </c>
      <c r="L39" s="155" t="s">
        <v>44</v>
      </c>
      <c r="M39" s="155"/>
      <c r="N39" s="166" t="s">
        <v>57</v>
      </c>
      <c r="O39" s="166"/>
      <c r="P39" s="166" t="s">
        <v>53</v>
      </c>
      <c r="Q39" s="166"/>
      <c r="R39" s="155" t="s">
        <v>59</v>
      </c>
      <c r="S39" s="155"/>
      <c r="T39" s="155" t="s">
        <v>58</v>
      </c>
      <c r="U39" s="155"/>
      <c r="V39" s="166" t="s">
        <v>74</v>
      </c>
      <c r="W39" s="166" t="s">
        <v>43</v>
      </c>
      <c r="X39" s="166"/>
      <c r="Y39" s="166"/>
    </row>
    <row r="40" spans="1:25" ht="18.75" x14ac:dyDescent="0.25">
      <c r="A40" s="163"/>
      <c r="B40" s="163"/>
      <c r="C40" s="44" t="s">
        <v>65</v>
      </c>
      <c r="D40" s="44" t="s">
        <v>66</v>
      </c>
      <c r="E40" s="119" t="s">
        <v>67</v>
      </c>
      <c r="F40" s="119" t="s">
        <v>68</v>
      </c>
      <c r="G40" s="155"/>
      <c r="H40" s="166"/>
      <c r="I40" s="155"/>
      <c r="J40" s="155"/>
      <c r="K40" s="165"/>
      <c r="L40" s="155"/>
      <c r="M40" s="155"/>
      <c r="N40" s="166"/>
      <c r="O40" s="166"/>
      <c r="P40" s="166"/>
      <c r="Q40" s="166"/>
      <c r="R40" s="155"/>
      <c r="S40" s="155"/>
      <c r="T40" s="155"/>
      <c r="U40" s="155"/>
      <c r="V40" s="166"/>
      <c r="W40" s="166"/>
      <c r="X40" s="166"/>
      <c r="Y40" s="166"/>
    </row>
    <row r="41" spans="1:25" ht="37.5" customHeight="1" x14ac:dyDescent="0.3">
      <c r="A41" s="2">
        <v>1</v>
      </c>
      <c r="B41" s="123" t="str">
        <f>B22</f>
        <v>SALARY -STAFF - BANK</v>
      </c>
      <c r="C41" s="32">
        <v>14</v>
      </c>
      <c r="D41" s="32">
        <v>1</v>
      </c>
      <c r="E41" s="32">
        <v>1</v>
      </c>
      <c r="F41" s="32">
        <f t="shared" ref="F41:F44" si="18">C41+D41-E41</f>
        <v>14</v>
      </c>
      <c r="G41" s="125">
        <v>10</v>
      </c>
      <c r="H41" s="116">
        <f t="shared" ref="H41:H53" si="19">G41-F41</f>
        <v>-4</v>
      </c>
      <c r="I41" s="203">
        <f>M4</f>
        <v>297861</v>
      </c>
      <c r="J41" s="203"/>
      <c r="K41" s="39">
        <v>0</v>
      </c>
      <c r="L41" s="144">
        <f>+I41-41500-32712-42500-22327-1</f>
        <v>158821</v>
      </c>
      <c r="M41" s="144"/>
      <c r="N41" s="144">
        <f>+I41+K41</f>
        <v>297861</v>
      </c>
      <c r="O41" s="144"/>
      <c r="P41" s="144">
        <f>+L41-N41</f>
        <v>-139040</v>
      </c>
      <c r="Q41" s="144"/>
      <c r="R41" s="204">
        <v>1196</v>
      </c>
      <c r="S41" s="205"/>
      <c r="T41" s="203">
        <v>1196</v>
      </c>
      <c r="U41" s="203"/>
      <c r="V41" s="57">
        <f>R41-T41</f>
        <v>0</v>
      </c>
      <c r="W41" s="202" t="s">
        <v>83</v>
      </c>
      <c r="X41" s="202"/>
      <c r="Y41" s="202"/>
    </row>
    <row r="42" spans="1:25" ht="39.200000000000003" customHeight="1" x14ac:dyDescent="0.3">
      <c r="A42" s="2">
        <v>2</v>
      </c>
      <c r="B42" s="123" t="str">
        <f t="shared" ref="B42:B53" si="20">B23</f>
        <v>SALARY - STAFF -2 BANK</v>
      </c>
      <c r="C42" s="32">
        <v>10</v>
      </c>
      <c r="D42" s="32"/>
      <c r="E42" s="32">
        <v>3</v>
      </c>
      <c r="F42" s="32">
        <f t="shared" si="18"/>
        <v>7</v>
      </c>
      <c r="G42" s="125">
        <v>6</v>
      </c>
      <c r="H42" s="116">
        <f t="shared" si="19"/>
        <v>-1</v>
      </c>
      <c r="I42" s="203">
        <f>M5</f>
        <v>98414</v>
      </c>
      <c r="J42" s="203"/>
      <c r="K42" s="39">
        <v>3386</v>
      </c>
      <c r="L42" s="144">
        <f>98415-22846+3386</f>
        <v>78955</v>
      </c>
      <c r="M42" s="144"/>
      <c r="N42" s="144">
        <f>+I42+K42</f>
        <v>101800</v>
      </c>
      <c r="O42" s="144"/>
      <c r="P42" s="144">
        <f>+L42-N42</f>
        <v>-22845</v>
      </c>
      <c r="Q42" s="144"/>
      <c r="R42" s="204">
        <v>594</v>
      </c>
      <c r="S42" s="205"/>
      <c r="T42" s="203">
        <v>594</v>
      </c>
      <c r="U42" s="203"/>
      <c r="V42" s="57">
        <f>R42-T42</f>
        <v>0</v>
      </c>
      <c r="W42" s="202" t="s">
        <v>71</v>
      </c>
      <c r="X42" s="202"/>
      <c r="Y42" s="202"/>
    </row>
    <row r="43" spans="1:25" ht="31.7" customHeight="1" x14ac:dyDescent="0.3">
      <c r="A43" s="2">
        <v>3</v>
      </c>
      <c r="B43" s="123" t="str">
        <f t="shared" si="20"/>
        <v>SALARY - STAFF-CHEQUE</v>
      </c>
      <c r="C43" s="32">
        <v>0</v>
      </c>
      <c r="D43" s="32">
        <v>2</v>
      </c>
      <c r="E43" s="32"/>
      <c r="F43" s="32">
        <f t="shared" si="18"/>
        <v>2</v>
      </c>
      <c r="G43" s="125">
        <v>2</v>
      </c>
      <c r="H43" s="116">
        <f t="shared" si="19"/>
        <v>0</v>
      </c>
      <c r="I43" s="203">
        <f t="shared" ref="I43:I53" si="21">M6</f>
        <v>14673</v>
      </c>
      <c r="J43" s="203"/>
      <c r="K43" s="39">
        <v>0</v>
      </c>
      <c r="L43" s="144">
        <v>14673</v>
      </c>
      <c r="M43" s="144"/>
      <c r="N43" s="144">
        <f t="shared" ref="N43:N53" si="22">+I43+K43</f>
        <v>14673</v>
      </c>
      <c r="O43" s="144"/>
      <c r="P43" s="144">
        <f>+L43-N43</f>
        <v>0</v>
      </c>
      <c r="Q43" s="144"/>
      <c r="R43" s="204">
        <v>111</v>
      </c>
      <c r="S43" s="205"/>
      <c r="T43" s="203">
        <v>111</v>
      </c>
      <c r="U43" s="203"/>
      <c r="V43" s="57">
        <f t="shared" ref="V43:V53" si="23">R43-T43</f>
        <v>0</v>
      </c>
      <c r="W43" s="202"/>
      <c r="X43" s="202"/>
      <c r="Y43" s="202"/>
    </row>
    <row r="44" spans="1:25" ht="30.2" customHeight="1" x14ac:dyDescent="0.3">
      <c r="A44" s="2">
        <v>4</v>
      </c>
      <c r="B44" s="123" t="str">
        <f t="shared" si="20"/>
        <v>WAGES-PERMANENT - BANK</v>
      </c>
      <c r="C44" s="32">
        <v>7</v>
      </c>
      <c r="D44" s="32">
        <v>0</v>
      </c>
      <c r="E44" s="32">
        <v>0</v>
      </c>
      <c r="F44" s="32">
        <f t="shared" si="18"/>
        <v>7</v>
      </c>
      <c r="G44" s="125">
        <v>7</v>
      </c>
      <c r="H44" s="116">
        <f t="shared" si="19"/>
        <v>0</v>
      </c>
      <c r="I44" s="203">
        <f t="shared" si="21"/>
        <v>82247</v>
      </c>
      <c r="J44" s="203"/>
      <c r="K44" s="39">
        <v>1640</v>
      </c>
      <c r="L44" s="144">
        <v>83886</v>
      </c>
      <c r="M44" s="144"/>
      <c r="N44" s="144">
        <f>+I44+K44</f>
        <v>83887</v>
      </c>
      <c r="O44" s="144"/>
      <c r="P44" s="144">
        <f t="shared" ref="P44:P53" si="24">+L44-N44</f>
        <v>-1</v>
      </c>
      <c r="Q44" s="144"/>
      <c r="R44" s="204">
        <v>635</v>
      </c>
      <c r="S44" s="205"/>
      <c r="T44" s="203">
        <v>635</v>
      </c>
      <c r="U44" s="203"/>
      <c r="V44" s="57">
        <f t="shared" si="23"/>
        <v>0</v>
      </c>
      <c r="W44" s="202"/>
      <c r="X44" s="202"/>
      <c r="Y44" s="202"/>
    </row>
    <row r="45" spans="1:25" ht="32.25" customHeight="1" x14ac:dyDescent="0.3">
      <c r="A45" s="2">
        <v>5</v>
      </c>
      <c r="B45" s="123" t="str">
        <f>B26</f>
        <v>WAGES - CASUAL - BANK(OUTSIDE)</v>
      </c>
      <c r="C45" s="32">
        <v>72</v>
      </c>
      <c r="D45" s="32"/>
      <c r="E45" s="32">
        <v>6</v>
      </c>
      <c r="F45" s="32">
        <f>C45+D45-E45</f>
        <v>66</v>
      </c>
      <c r="G45" s="125">
        <v>66</v>
      </c>
      <c r="H45" s="116">
        <f t="shared" si="19"/>
        <v>0</v>
      </c>
      <c r="I45" s="203">
        <f t="shared" si="21"/>
        <v>364155</v>
      </c>
      <c r="J45" s="203"/>
      <c r="K45" s="39">
        <v>0</v>
      </c>
      <c r="L45" s="144">
        <v>364155</v>
      </c>
      <c r="M45" s="144"/>
      <c r="N45" s="158">
        <f>+I45+K45</f>
        <v>364155</v>
      </c>
      <c r="O45" s="159"/>
      <c r="P45" s="144">
        <f t="shared" si="24"/>
        <v>0</v>
      </c>
      <c r="Q45" s="144"/>
      <c r="R45" s="204">
        <f>2760+56+1</f>
        <v>2817</v>
      </c>
      <c r="S45" s="205"/>
      <c r="T45" s="203">
        <f>2816+1</f>
        <v>2817</v>
      </c>
      <c r="U45" s="203"/>
      <c r="V45" s="57">
        <f t="shared" si="23"/>
        <v>0</v>
      </c>
      <c r="W45" s="202"/>
      <c r="X45" s="202"/>
      <c r="Y45" s="202"/>
    </row>
    <row r="46" spans="1:25" ht="37.5" x14ac:dyDescent="0.3">
      <c r="A46" s="2">
        <v>6</v>
      </c>
      <c r="B46" s="123" t="str">
        <f t="shared" si="20"/>
        <v>WAGES - CASUAL - CASH(OUTSIDE)</v>
      </c>
      <c r="C46" s="32">
        <v>25</v>
      </c>
      <c r="D46" s="32">
        <v>18</v>
      </c>
      <c r="E46" s="32">
        <v>3</v>
      </c>
      <c r="F46" s="32">
        <f t="shared" ref="F46:F49" si="25">C46+D46-E46</f>
        <v>40</v>
      </c>
      <c r="G46" s="125">
        <v>40</v>
      </c>
      <c r="H46" s="116">
        <f t="shared" si="19"/>
        <v>0</v>
      </c>
      <c r="I46" s="203">
        <f t="shared" si="21"/>
        <v>205305</v>
      </c>
      <c r="J46" s="203"/>
      <c r="K46" s="39">
        <v>12652</v>
      </c>
      <c r="L46" s="144">
        <f>205305+12652</f>
        <v>217957</v>
      </c>
      <c r="M46" s="144"/>
      <c r="N46" s="158">
        <f>+I46+K46</f>
        <v>217957</v>
      </c>
      <c r="O46" s="159"/>
      <c r="P46" s="144">
        <f t="shared" si="24"/>
        <v>0</v>
      </c>
      <c r="Q46" s="144"/>
      <c r="R46" s="204">
        <f>1557+38</f>
        <v>1595</v>
      </c>
      <c r="S46" s="205"/>
      <c r="T46" s="203">
        <f>1557+38+1</f>
        <v>1596</v>
      </c>
      <c r="U46" s="203"/>
      <c r="V46" s="57">
        <f t="shared" si="23"/>
        <v>-1</v>
      </c>
      <c r="W46" s="202"/>
      <c r="X46" s="202"/>
      <c r="Y46" s="202"/>
    </row>
    <row r="47" spans="1:25" ht="30.2" customHeight="1" x14ac:dyDescent="0.3">
      <c r="A47" s="2">
        <v>7</v>
      </c>
      <c r="B47" s="123" t="str">
        <f>B28</f>
        <v>WAGES - CASUAL - CASH(INSIDE)</v>
      </c>
      <c r="C47" s="32">
        <v>20</v>
      </c>
      <c r="D47" s="32">
        <v>1</v>
      </c>
      <c r="E47" s="32">
        <v>6</v>
      </c>
      <c r="F47" s="32">
        <f t="shared" si="25"/>
        <v>15</v>
      </c>
      <c r="G47" s="125">
        <v>15</v>
      </c>
      <c r="H47" s="116">
        <f t="shared" si="19"/>
        <v>0</v>
      </c>
      <c r="I47" s="203">
        <f t="shared" si="21"/>
        <v>47100</v>
      </c>
      <c r="J47" s="203"/>
      <c r="K47" s="39">
        <v>20316</v>
      </c>
      <c r="L47" s="203">
        <f>47100+20316</f>
        <v>67416</v>
      </c>
      <c r="M47" s="203"/>
      <c r="N47" s="158">
        <f>+I47+K47</f>
        <v>67416</v>
      </c>
      <c r="O47" s="159"/>
      <c r="P47" s="144">
        <f>+L47-N47</f>
        <v>0</v>
      </c>
      <c r="Q47" s="144"/>
      <c r="R47" s="204">
        <f>356</f>
        <v>356</v>
      </c>
      <c r="S47" s="205"/>
      <c r="T47" s="203">
        <f>356+1</f>
        <v>357</v>
      </c>
      <c r="U47" s="203"/>
      <c r="V47" s="57">
        <f t="shared" si="23"/>
        <v>-1</v>
      </c>
      <c r="W47" s="202"/>
      <c r="X47" s="202"/>
      <c r="Y47" s="202"/>
    </row>
    <row r="48" spans="1:25" ht="33" customHeight="1" x14ac:dyDescent="0.3">
      <c r="A48" s="2">
        <v>8</v>
      </c>
      <c r="B48" s="123" t="str">
        <f t="shared" si="20"/>
        <v>WAGES - CASUAL - BANK(INSIDE)</v>
      </c>
      <c r="C48" s="32">
        <v>18</v>
      </c>
      <c r="D48" s="32"/>
      <c r="E48" s="32">
        <v>0</v>
      </c>
      <c r="F48" s="32">
        <f t="shared" si="25"/>
        <v>18</v>
      </c>
      <c r="G48" s="125">
        <v>18</v>
      </c>
      <c r="H48" s="116">
        <f t="shared" si="19"/>
        <v>0</v>
      </c>
      <c r="I48" s="203">
        <f t="shared" si="21"/>
        <v>135320</v>
      </c>
      <c r="J48" s="203"/>
      <c r="K48" s="39"/>
      <c r="L48" s="203">
        <v>135320</v>
      </c>
      <c r="M48" s="203"/>
      <c r="N48" s="144">
        <f>+I48+K48</f>
        <v>135320</v>
      </c>
      <c r="O48" s="144"/>
      <c r="P48" s="144">
        <f>+L48-N48</f>
        <v>0</v>
      </c>
      <c r="Q48" s="144"/>
      <c r="R48" s="204">
        <f>1023+152+1</f>
        <v>1176</v>
      </c>
      <c r="S48" s="205"/>
      <c r="T48" s="203">
        <f>1175+1</f>
        <v>1176</v>
      </c>
      <c r="U48" s="203"/>
      <c r="V48" s="57">
        <f t="shared" si="23"/>
        <v>0</v>
      </c>
      <c r="W48" s="230"/>
      <c r="X48" s="231"/>
      <c r="Y48" s="232"/>
    </row>
    <row r="49" spans="1:25" ht="29.25" customHeight="1" x14ac:dyDescent="0.3">
      <c r="A49" s="2">
        <v>8</v>
      </c>
      <c r="B49" s="123" t="str">
        <f t="shared" si="20"/>
        <v>WAGES - SECUR &amp; GARDEN - CHQ</v>
      </c>
      <c r="C49" s="32">
        <v>0</v>
      </c>
      <c r="D49" s="32">
        <v>1</v>
      </c>
      <c r="E49" s="32">
        <v>0</v>
      </c>
      <c r="F49" s="32">
        <f t="shared" si="25"/>
        <v>1</v>
      </c>
      <c r="G49" s="125">
        <v>1</v>
      </c>
      <c r="H49" s="116">
        <f>G49-F49</f>
        <v>0</v>
      </c>
      <c r="I49" s="203">
        <f t="shared" si="21"/>
        <v>6400</v>
      </c>
      <c r="J49" s="203"/>
      <c r="K49" s="39">
        <v>0</v>
      </c>
      <c r="L49" s="144">
        <v>6400</v>
      </c>
      <c r="M49" s="144"/>
      <c r="N49" s="144">
        <f t="shared" si="22"/>
        <v>6400</v>
      </c>
      <c r="O49" s="144"/>
      <c r="P49" s="144">
        <f t="shared" si="24"/>
        <v>0</v>
      </c>
      <c r="Q49" s="144"/>
      <c r="R49" s="204">
        <v>48</v>
      </c>
      <c r="S49" s="205"/>
      <c r="T49" s="203">
        <v>48</v>
      </c>
      <c r="U49" s="203"/>
      <c r="V49" s="57">
        <f t="shared" si="23"/>
        <v>0</v>
      </c>
      <c r="W49" s="202"/>
      <c r="X49" s="202"/>
      <c r="Y49" s="202"/>
    </row>
    <row r="50" spans="1:25" ht="30.75" customHeight="1" x14ac:dyDescent="0.3">
      <c r="A50" s="2">
        <v>9</v>
      </c>
      <c r="B50" s="123" t="str">
        <f t="shared" si="20"/>
        <v>WAGES - SECUR &amp; GARDEN - BANK</v>
      </c>
      <c r="C50" s="116">
        <v>8</v>
      </c>
      <c r="D50" s="116"/>
      <c r="E50" s="116">
        <v>2</v>
      </c>
      <c r="F50" s="116">
        <f>C50+D50-E50</f>
        <v>6</v>
      </c>
      <c r="G50" s="125">
        <v>6</v>
      </c>
      <c r="H50" s="116">
        <f t="shared" si="19"/>
        <v>0</v>
      </c>
      <c r="I50" s="203">
        <f t="shared" si="21"/>
        <v>56996</v>
      </c>
      <c r="J50" s="203"/>
      <c r="K50" s="39">
        <v>0</v>
      </c>
      <c r="L50" s="144">
        <v>56996</v>
      </c>
      <c r="M50" s="144"/>
      <c r="N50" s="144">
        <f>+I50+K50</f>
        <v>56996</v>
      </c>
      <c r="O50" s="144"/>
      <c r="P50" s="144">
        <f t="shared" si="24"/>
        <v>0</v>
      </c>
      <c r="Q50" s="144"/>
      <c r="R50" s="204">
        <v>431</v>
      </c>
      <c r="S50" s="205"/>
      <c r="T50" s="203">
        <v>431</v>
      </c>
      <c r="U50" s="203"/>
      <c r="V50" s="57">
        <f t="shared" si="23"/>
        <v>0</v>
      </c>
      <c r="W50" s="202"/>
      <c r="X50" s="202"/>
      <c r="Y50" s="202"/>
    </row>
    <row r="51" spans="1:25" ht="35.450000000000003" customHeight="1" x14ac:dyDescent="0.3">
      <c r="A51" s="2">
        <v>10</v>
      </c>
      <c r="B51" s="123" t="str">
        <f t="shared" si="20"/>
        <v>JMD</v>
      </c>
      <c r="C51" s="116">
        <v>1</v>
      </c>
      <c r="D51" s="116"/>
      <c r="E51" s="116"/>
      <c r="F51" s="116">
        <f t="shared" ref="F51:F53" si="26">C51+D51-E51</f>
        <v>1</v>
      </c>
      <c r="G51" s="125">
        <v>0</v>
      </c>
      <c r="H51" s="116">
        <f t="shared" si="19"/>
        <v>-1</v>
      </c>
      <c r="I51" s="203">
        <f t="shared" si="21"/>
        <v>200000</v>
      </c>
      <c r="J51" s="203"/>
      <c r="K51" s="39">
        <v>0</v>
      </c>
      <c r="L51" s="158">
        <v>0</v>
      </c>
      <c r="M51" s="159"/>
      <c r="N51" s="144">
        <f t="shared" si="22"/>
        <v>200000</v>
      </c>
      <c r="O51" s="144"/>
      <c r="P51" s="144">
        <f t="shared" si="24"/>
        <v>-200000</v>
      </c>
      <c r="Q51" s="144"/>
      <c r="R51" s="204">
        <v>0</v>
      </c>
      <c r="S51" s="205"/>
      <c r="T51" s="204"/>
      <c r="U51" s="205"/>
      <c r="V51" s="57">
        <f t="shared" si="23"/>
        <v>0</v>
      </c>
      <c r="W51" s="206" t="s">
        <v>71</v>
      </c>
      <c r="X51" s="206"/>
      <c r="Y51" s="206"/>
    </row>
    <row r="52" spans="1:25" ht="33" customHeight="1" x14ac:dyDescent="0.3">
      <c r="A52" s="2">
        <v>11</v>
      </c>
      <c r="B52" s="123" t="str">
        <f t="shared" si="20"/>
        <v>EXEMPTED - BANK</v>
      </c>
      <c r="C52" s="32">
        <v>6</v>
      </c>
      <c r="D52" s="32">
        <v>0</v>
      </c>
      <c r="E52" s="32">
        <v>0</v>
      </c>
      <c r="F52" s="32">
        <f t="shared" si="26"/>
        <v>6</v>
      </c>
      <c r="G52" s="125"/>
      <c r="H52" s="116">
        <f t="shared" si="19"/>
        <v>-6</v>
      </c>
      <c r="I52" s="203">
        <f>M15</f>
        <v>131793</v>
      </c>
      <c r="J52" s="203"/>
      <c r="K52" s="39">
        <v>0</v>
      </c>
      <c r="L52" s="144">
        <v>0</v>
      </c>
      <c r="M52" s="144"/>
      <c r="N52" s="144">
        <f t="shared" si="22"/>
        <v>131793</v>
      </c>
      <c r="O52" s="144"/>
      <c r="P52" s="144">
        <f t="shared" si="24"/>
        <v>-131793</v>
      </c>
      <c r="Q52" s="144"/>
      <c r="R52" s="204">
        <v>0</v>
      </c>
      <c r="S52" s="205"/>
      <c r="T52" s="203">
        <v>0</v>
      </c>
      <c r="U52" s="203"/>
      <c r="V52" s="57">
        <f t="shared" si="23"/>
        <v>0</v>
      </c>
      <c r="W52" s="202"/>
      <c r="X52" s="202"/>
      <c r="Y52" s="202"/>
    </row>
    <row r="53" spans="1:25" ht="28.5" customHeight="1" x14ac:dyDescent="0.3">
      <c r="A53" s="2">
        <v>12</v>
      </c>
      <c r="B53" s="123" t="str">
        <f t="shared" si="20"/>
        <v>EXEMPTED - CHEQUE</v>
      </c>
      <c r="C53" s="32">
        <v>4</v>
      </c>
      <c r="D53" s="32">
        <v>0</v>
      </c>
      <c r="E53" s="32">
        <v>0</v>
      </c>
      <c r="F53" s="32">
        <f t="shared" si="26"/>
        <v>4</v>
      </c>
      <c r="G53" s="125">
        <v>0</v>
      </c>
      <c r="H53" s="116">
        <f t="shared" si="19"/>
        <v>-4</v>
      </c>
      <c r="I53" s="203">
        <f t="shared" si="21"/>
        <v>82339</v>
      </c>
      <c r="J53" s="203"/>
      <c r="K53" s="39">
        <v>0</v>
      </c>
      <c r="L53" s="144">
        <v>0</v>
      </c>
      <c r="M53" s="144"/>
      <c r="N53" s="144">
        <f t="shared" si="22"/>
        <v>82339</v>
      </c>
      <c r="O53" s="144"/>
      <c r="P53" s="144">
        <f t="shared" si="24"/>
        <v>-82339</v>
      </c>
      <c r="Q53" s="144"/>
      <c r="R53" s="204">
        <v>0</v>
      </c>
      <c r="S53" s="205"/>
      <c r="T53" s="203">
        <v>0</v>
      </c>
      <c r="U53" s="203"/>
      <c r="V53" s="57">
        <f t="shared" si="23"/>
        <v>0</v>
      </c>
      <c r="W53" s="202"/>
      <c r="X53" s="202"/>
      <c r="Y53" s="202"/>
    </row>
    <row r="54" spans="1:25" ht="30.75" customHeight="1" x14ac:dyDescent="0.25">
      <c r="A54" s="18"/>
      <c r="B54" s="22" t="s">
        <v>47</v>
      </c>
      <c r="C54" s="58">
        <f t="shared" ref="C54:H54" si="27">SUM(C41:C53)</f>
        <v>185</v>
      </c>
      <c r="D54" s="58">
        <f t="shared" si="27"/>
        <v>23</v>
      </c>
      <c r="E54" s="58">
        <f t="shared" si="27"/>
        <v>21</v>
      </c>
      <c r="F54" s="58">
        <f>SUM(F41:F53)</f>
        <v>187</v>
      </c>
      <c r="G54" s="58">
        <f>SUM(G41:G53)</f>
        <v>171</v>
      </c>
      <c r="H54" s="58">
        <f t="shared" si="27"/>
        <v>-16</v>
      </c>
      <c r="I54" s="199">
        <f>SUM(I41:K53)</f>
        <v>1760597</v>
      </c>
      <c r="J54" s="199"/>
      <c r="K54" s="62">
        <f>SUM(K41:K53)</f>
        <v>37994</v>
      </c>
      <c r="L54" s="200">
        <f>SUM(L41:M53)</f>
        <v>1184579</v>
      </c>
      <c r="M54" s="200"/>
      <c r="N54" s="201">
        <f>SUM(N41:O53)</f>
        <v>1760597</v>
      </c>
      <c r="O54" s="201"/>
      <c r="P54" s="201">
        <f>SUM(P41:Q53)</f>
        <v>-576018</v>
      </c>
      <c r="Q54" s="201"/>
      <c r="R54" s="201">
        <f>SUM(R41:S53)</f>
        <v>8959</v>
      </c>
      <c r="S54" s="201"/>
      <c r="T54" s="201">
        <f>SUM(T41:U53)</f>
        <v>8961</v>
      </c>
      <c r="U54" s="201"/>
      <c r="V54" s="60">
        <f>SUM(V41:V53)</f>
        <v>-2</v>
      </c>
      <c r="W54" s="198"/>
      <c r="X54" s="198"/>
      <c r="Y54" s="198"/>
    </row>
  </sheetData>
  <mergeCells count="234">
    <mergeCell ref="W53:Y53"/>
    <mergeCell ref="I54:J54"/>
    <mergeCell ref="L54:M54"/>
    <mergeCell ref="N54:O54"/>
    <mergeCell ref="P54:Q54"/>
    <mergeCell ref="R54:S54"/>
    <mergeCell ref="T54:U54"/>
    <mergeCell ref="W54:Y54"/>
    <mergeCell ref="I53:J53"/>
    <mergeCell ref="L53:M53"/>
    <mergeCell ref="N53:O53"/>
    <mergeCell ref="P53:Q53"/>
    <mergeCell ref="R53:S53"/>
    <mergeCell ref="T53:U53"/>
    <mergeCell ref="W51:Y51"/>
    <mergeCell ref="I52:J52"/>
    <mergeCell ref="L52:M52"/>
    <mergeCell ref="N52:O52"/>
    <mergeCell ref="P52:Q52"/>
    <mergeCell ref="R52:S52"/>
    <mergeCell ref="T52:U52"/>
    <mergeCell ref="W52:Y52"/>
    <mergeCell ref="I51:J51"/>
    <mergeCell ref="L51:M51"/>
    <mergeCell ref="N51:O51"/>
    <mergeCell ref="P51:Q51"/>
    <mergeCell ref="R51:S51"/>
    <mergeCell ref="T51:U51"/>
    <mergeCell ref="W49:Y49"/>
    <mergeCell ref="I50:J50"/>
    <mergeCell ref="L50:M50"/>
    <mergeCell ref="N50:O50"/>
    <mergeCell ref="P50:Q50"/>
    <mergeCell ref="R50:S50"/>
    <mergeCell ref="T50:U50"/>
    <mergeCell ref="W50:Y50"/>
    <mergeCell ref="I49:J49"/>
    <mergeCell ref="L49:M49"/>
    <mergeCell ref="N49:O49"/>
    <mergeCell ref="P49:Q49"/>
    <mergeCell ref="R49:S49"/>
    <mergeCell ref="T49:U49"/>
    <mergeCell ref="W47:Y47"/>
    <mergeCell ref="I48:J48"/>
    <mergeCell ref="L48:M48"/>
    <mergeCell ref="N48:O48"/>
    <mergeCell ref="P48:Q48"/>
    <mergeCell ref="R48:S48"/>
    <mergeCell ref="T48:U48"/>
    <mergeCell ref="W48:Y48"/>
    <mergeCell ref="I47:J47"/>
    <mergeCell ref="L47:M47"/>
    <mergeCell ref="N47:O47"/>
    <mergeCell ref="P47:Q47"/>
    <mergeCell ref="R47:S47"/>
    <mergeCell ref="T47:U47"/>
    <mergeCell ref="W45:Y45"/>
    <mergeCell ref="I46:J46"/>
    <mergeCell ref="L46:M46"/>
    <mergeCell ref="N46:O46"/>
    <mergeCell ref="P46:Q46"/>
    <mergeCell ref="R46:S46"/>
    <mergeCell ref="T46:U46"/>
    <mergeCell ref="W46:Y46"/>
    <mergeCell ref="I45:J45"/>
    <mergeCell ref="L45:M45"/>
    <mergeCell ref="N45:O45"/>
    <mergeCell ref="P45:Q45"/>
    <mergeCell ref="R45:S45"/>
    <mergeCell ref="T45:U45"/>
    <mergeCell ref="W43:Y43"/>
    <mergeCell ref="I44:J44"/>
    <mergeCell ref="L44:M44"/>
    <mergeCell ref="N44:O44"/>
    <mergeCell ref="P44:Q44"/>
    <mergeCell ref="R44:S44"/>
    <mergeCell ref="T44:U44"/>
    <mergeCell ref="W44:Y44"/>
    <mergeCell ref="I43:J43"/>
    <mergeCell ref="L43:M43"/>
    <mergeCell ref="N43:O43"/>
    <mergeCell ref="P43:Q43"/>
    <mergeCell ref="R43:S43"/>
    <mergeCell ref="T43:U43"/>
    <mergeCell ref="I41:J41"/>
    <mergeCell ref="L41:M41"/>
    <mergeCell ref="N41:O41"/>
    <mergeCell ref="P41:Q41"/>
    <mergeCell ref="R41:S41"/>
    <mergeCell ref="T41:U41"/>
    <mergeCell ref="W41:Y41"/>
    <mergeCell ref="I42:J42"/>
    <mergeCell ref="L42:M42"/>
    <mergeCell ref="N42:O42"/>
    <mergeCell ref="P42:Q42"/>
    <mergeCell ref="R42:S42"/>
    <mergeCell ref="T42:U42"/>
    <mergeCell ref="W42:Y42"/>
    <mergeCell ref="W35:Y35"/>
    <mergeCell ref="A39:A40"/>
    <mergeCell ref="B39:B40"/>
    <mergeCell ref="C39:F39"/>
    <mergeCell ref="G39:G40"/>
    <mergeCell ref="H39:H40"/>
    <mergeCell ref="I39:J40"/>
    <mergeCell ref="K39:K40"/>
    <mergeCell ref="L39:M40"/>
    <mergeCell ref="N39:O40"/>
    <mergeCell ref="G35:H35"/>
    <mergeCell ref="L35:M35"/>
    <mergeCell ref="N35:O35"/>
    <mergeCell ref="P35:Q35"/>
    <mergeCell ref="R35:S35"/>
    <mergeCell ref="T35:U35"/>
    <mergeCell ref="P39:Q40"/>
    <mergeCell ref="R39:S40"/>
    <mergeCell ref="T39:U40"/>
    <mergeCell ref="V39:V40"/>
    <mergeCell ref="W39:Y40"/>
    <mergeCell ref="W33:Y33"/>
    <mergeCell ref="G34:H34"/>
    <mergeCell ref="L34:M34"/>
    <mergeCell ref="N34:O34"/>
    <mergeCell ref="P34:Q34"/>
    <mergeCell ref="R34:S34"/>
    <mergeCell ref="T34:U34"/>
    <mergeCell ref="W34:Y34"/>
    <mergeCell ref="G33:H33"/>
    <mergeCell ref="L33:M33"/>
    <mergeCell ref="N33:O33"/>
    <mergeCell ref="P33:Q33"/>
    <mergeCell ref="R33:S33"/>
    <mergeCell ref="T33:U33"/>
    <mergeCell ref="W31:Y31"/>
    <mergeCell ref="G32:H32"/>
    <mergeCell ref="L32:M32"/>
    <mergeCell ref="N32:O32"/>
    <mergeCell ref="P32:Q32"/>
    <mergeCell ref="R32:S32"/>
    <mergeCell ref="T32:U32"/>
    <mergeCell ref="W32:Y32"/>
    <mergeCell ref="G31:H31"/>
    <mergeCell ref="L31:M31"/>
    <mergeCell ref="N31:O31"/>
    <mergeCell ref="P31:Q31"/>
    <mergeCell ref="R31:S31"/>
    <mergeCell ref="T31:U31"/>
    <mergeCell ref="W29:Y29"/>
    <mergeCell ref="G30:H30"/>
    <mergeCell ref="L30:M30"/>
    <mergeCell ref="N30:O30"/>
    <mergeCell ref="P30:Q30"/>
    <mergeCell ref="R30:S30"/>
    <mergeCell ref="T30:U30"/>
    <mergeCell ref="W30:Y30"/>
    <mergeCell ref="G29:H29"/>
    <mergeCell ref="L29:M29"/>
    <mergeCell ref="N29:O29"/>
    <mergeCell ref="P29:Q29"/>
    <mergeCell ref="R29:S29"/>
    <mergeCell ref="T29:U29"/>
    <mergeCell ref="W27:Y27"/>
    <mergeCell ref="G28:H28"/>
    <mergeCell ref="L28:M28"/>
    <mergeCell ref="N28:O28"/>
    <mergeCell ref="P28:Q28"/>
    <mergeCell ref="R28:S28"/>
    <mergeCell ref="T28:U28"/>
    <mergeCell ref="W28:Y28"/>
    <mergeCell ref="G27:H27"/>
    <mergeCell ref="L27:M27"/>
    <mergeCell ref="N27:O27"/>
    <mergeCell ref="P27:Q27"/>
    <mergeCell ref="R27:S27"/>
    <mergeCell ref="T27:U27"/>
    <mergeCell ref="W25:Y25"/>
    <mergeCell ref="G26:H26"/>
    <mergeCell ref="L26:M26"/>
    <mergeCell ref="N26:O26"/>
    <mergeCell ref="P26:Q26"/>
    <mergeCell ref="R26:S26"/>
    <mergeCell ref="T26:U26"/>
    <mergeCell ref="W26:Y26"/>
    <mergeCell ref="G25:H25"/>
    <mergeCell ref="L25:M25"/>
    <mergeCell ref="N25:O25"/>
    <mergeCell ref="P25:Q25"/>
    <mergeCell ref="R25:S25"/>
    <mergeCell ref="T25:U25"/>
    <mergeCell ref="W23:Y23"/>
    <mergeCell ref="G24:H24"/>
    <mergeCell ref="L24:M24"/>
    <mergeCell ref="N24:O24"/>
    <mergeCell ref="P24:Q24"/>
    <mergeCell ref="R24:S24"/>
    <mergeCell ref="T24:U24"/>
    <mergeCell ref="W24:Y24"/>
    <mergeCell ref="G23:H23"/>
    <mergeCell ref="L23:M23"/>
    <mergeCell ref="N23:O23"/>
    <mergeCell ref="P23:Q23"/>
    <mergeCell ref="R23:S23"/>
    <mergeCell ref="T23:U23"/>
    <mergeCell ref="G22:H22"/>
    <mergeCell ref="L22:M22"/>
    <mergeCell ref="N22:O22"/>
    <mergeCell ref="P22:Q22"/>
    <mergeCell ref="R22:S22"/>
    <mergeCell ref="T22:U22"/>
    <mergeCell ref="W22:Y22"/>
    <mergeCell ref="K20:K21"/>
    <mergeCell ref="L20:M21"/>
    <mergeCell ref="N20:O21"/>
    <mergeCell ref="P20:Q21"/>
    <mergeCell ref="R20:S21"/>
    <mergeCell ref="T20:U21"/>
    <mergeCell ref="V2:W2"/>
    <mergeCell ref="X2:X3"/>
    <mergeCell ref="Y2:Y3"/>
    <mergeCell ref="A17:B17"/>
    <mergeCell ref="A20:A21"/>
    <mergeCell ref="B20:B21"/>
    <mergeCell ref="C20:F20"/>
    <mergeCell ref="G20:H21"/>
    <mergeCell ref="I20:I21"/>
    <mergeCell ref="J20:J21"/>
    <mergeCell ref="A2:A3"/>
    <mergeCell ref="B2:B3"/>
    <mergeCell ref="C2:F2"/>
    <mergeCell ref="G2:G3"/>
    <mergeCell ref="H2:M2"/>
    <mergeCell ref="N2:U2"/>
    <mergeCell ref="V20:V21"/>
    <mergeCell ref="W20:Y21"/>
  </mergeCells>
  <pageMargins left="0.7" right="0.7" top="0.75" bottom="0.90283018867924525" header="0.3" footer="0.3"/>
  <pageSetup paperSize="8" scale="66" orientation="landscape" r:id="rId1"/>
  <headerFooter>
    <oddHeader>&amp;C&amp;"-,Bold"&amp;18SRI SARADHAMBIKA SPINTEX</oddHeader>
    <oddFooter>&amp;L&amp;"-,Bold"&amp;12Works
&amp;"-,Regular"S.F.No 526/2B
Bilichi Post, Madampalayam,
Coimbatore - 641 019&amp;R&amp;"-,Bold"&amp;12office@saradhambikaspintex.com</oddFooter>
  </headerFooter>
  <rowBreaks count="1" manualBreakCount="1">
    <brk id="35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4"/>
  <sheetViews>
    <sheetView topLeftCell="E31" workbookViewId="0">
      <selection activeCell="N17" sqref="N17"/>
    </sheetView>
  </sheetViews>
  <sheetFormatPr defaultRowHeight="15" x14ac:dyDescent="0.25"/>
  <cols>
    <col min="1" max="1" width="4.85546875" customWidth="1"/>
    <col min="2" max="2" width="40" customWidth="1"/>
    <col min="3" max="4" width="9.140625" customWidth="1"/>
    <col min="5" max="5" width="9.140625" style="63" customWidth="1"/>
    <col min="6" max="6" width="9.140625" customWidth="1"/>
    <col min="7" max="7" width="10.140625" customWidth="1"/>
    <col min="8" max="8" width="9.140625" customWidth="1"/>
    <col min="9" max="9" width="10.85546875" customWidth="1"/>
    <col min="10" max="10" width="15.5703125" customWidth="1"/>
    <col min="11" max="11" width="14.85546875" customWidth="1"/>
    <col min="12" max="12" width="9.140625" customWidth="1"/>
    <col min="13" max="13" width="16.42578125" customWidth="1"/>
    <col min="14" max="17" width="9.140625" customWidth="1"/>
  </cols>
  <sheetData>
    <row r="1" spans="1:25" ht="18.75" x14ac:dyDescent="0.3">
      <c r="A1" s="14" t="s">
        <v>96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30.1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127" t="s">
        <v>65</v>
      </c>
      <c r="D3" s="64" t="s">
        <v>66</v>
      </c>
      <c r="E3" s="64" t="s">
        <v>67</v>
      </c>
      <c r="F3" s="50" t="s">
        <v>68</v>
      </c>
      <c r="G3" s="215"/>
      <c r="H3" s="127" t="s">
        <v>10</v>
      </c>
      <c r="I3" s="127" t="s">
        <v>11</v>
      </c>
      <c r="J3" s="127" t="s">
        <v>12</v>
      </c>
      <c r="K3" s="127" t="s">
        <v>13</v>
      </c>
      <c r="L3" s="127" t="s">
        <v>55</v>
      </c>
      <c r="M3" s="127" t="s">
        <v>14</v>
      </c>
      <c r="N3" s="127" t="s">
        <v>15</v>
      </c>
      <c r="O3" s="127" t="s">
        <v>16</v>
      </c>
      <c r="P3" s="127" t="s">
        <v>56</v>
      </c>
      <c r="Q3" s="127" t="s">
        <v>17</v>
      </c>
      <c r="R3" s="127" t="s">
        <v>18</v>
      </c>
      <c r="S3" s="127" t="s">
        <v>19</v>
      </c>
      <c r="T3" s="127" t="s">
        <v>20</v>
      </c>
      <c r="U3" s="127" t="s">
        <v>21</v>
      </c>
      <c r="V3" s="127" t="s">
        <v>22</v>
      </c>
      <c r="W3" s="127" t="s">
        <v>23</v>
      </c>
      <c r="X3" s="215"/>
      <c r="Y3" s="215"/>
    </row>
    <row r="4" spans="1:25" ht="38.25" customHeight="1" x14ac:dyDescent="0.25">
      <c r="A4" s="2">
        <v>1</v>
      </c>
      <c r="B4" s="3" t="s">
        <v>24</v>
      </c>
      <c r="C4" s="32">
        <v>14</v>
      </c>
      <c r="D4" s="32">
        <v>0</v>
      </c>
      <c r="E4" s="32">
        <v>0</v>
      </c>
      <c r="F4" s="32">
        <f t="shared" ref="F4:F16" si="0">C4+D4-E4</f>
        <v>14</v>
      </c>
      <c r="G4" s="9">
        <v>325</v>
      </c>
      <c r="H4" s="8">
        <v>165440</v>
      </c>
      <c r="I4" s="8"/>
      <c r="J4" s="8">
        <v>79607</v>
      </c>
      <c r="K4" s="8">
        <v>13614</v>
      </c>
      <c r="L4" s="8">
        <v>13614</v>
      </c>
      <c r="M4" s="51">
        <f>SUM(H4:L4)+1</f>
        <v>272276</v>
      </c>
      <c r="N4" s="8">
        <v>19853</v>
      </c>
      <c r="O4" s="8">
        <v>1035</v>
      </c>
      <c r="P4" s="8"/>
      <c r="Q4" s="8"/>
      <c r="R4" s="8"/>
      <c r="S4" s="8">
        <v>19000</v>
      </c>
      <c r="T4" s="8">
        <v>0</v>
      </c>
      <c r="U4" s="51">
        <f>SUM(N4:T4)</f>
        <v>39888</v>
      </c>
      <c r="V4" s="8" t="s">
        <v>25</v>
      </c>
      <c r="W4" s="8" t="s">
        <v>25</v>
      </c>
      <c r="X4" s="8">
        <v>22</v>
      </c>
      <c r="Y4" s="51">
        <f>M4-U4+X4</f>
        <v>232410</v>
      </c>
    </row>
    <row r="5" spans="1:25" ht="36" customHeight="1" x14ac:dyDescent="0.25">
      <c r="A5" s="2">
        <v>2</v>
      </c>
      <c r="B5" s="3" t="s">
        <v>94</v>
      </c>
      <c r="C5" s="32">
        <v>7</v>
      </c>
      <c r="D5" s="32"/>
      <c r="E5" s="32">
        <v>0</v>
      </c>
      <c r="F5" s="32">
        <f t="shared" si="0"/>
        <v>7</v>
      </c>
      <c r="G5" s="9">
        <v>175</v>
      </c>
      <c r="H5" s="8">
        <v>55990</v>
      </c>
      <c r="I5" s="8"/>
      <c r="J5" s="8">
        <v>27995</v>
      </c>
      <c r="K5" s="8">
        <v>4666</v>
      </c>
      <c r="L5" s="8">
        <v>4666</v>
      </c>
      <c r="M5" s="51">
        <f>SUM(H5:L5)</f>
        <v>93317</v>
      </c>
      <c r="N5" s="8">
        <v>6719</v>
      </c>
      <c r="O5" s="8">
        <v>544</v>
      </c>
      <c r="P5" s="8"/>
      <c r="Q5" s="124">
        <v>800</v>
      </c>
      <c r="R5" s="8"/>
      <c r="S5" s="8">
        <v>6000</v>
      </c>
      <c r="T5" s="8"/>
      <c r="U5" s="51">
        <f>SUM(N5:T5)</f>
        <v>14063</v>
      </c>
      <c r="V5" s="8" t="s">
        <v>25</v>
      </c>
      <c r="W5" s="8" t="s">
        <v>25</v>
      </c>
      <c r="X5" s="8">
        <v>6</v>
      </c>
      <c r="Y5" s="51">
        <f>M5-U5+X5</f>
        <v>79260</v>
      </c>
    </row>
    <row r="6" spans="1:25" ht="35.450000000000003" customHeight="1" x14ac:dyDescent="0.25">
      <c r="A6" s="2">
        <v>3</v>
      </c>
      <c r="B6" s="3" t="s">
        <v>27</v>
      </c>
      <c r="C6" s="32">
        <v>2</v>
      </c>
      <c r="D6" s="32">
        <v>0</v>
      </c>
      <c r="E6" s="32"/>
      <c r="F6" s="32">
        <f t="shared" si="0"/>
        <v>2</v>
      </c>
      <c r="G6" s="9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51">
        <v>0</v>
      </c>
      <c r="N6" s="8">
        <v>0</v>
      </c>
      <c r="O6" s="8">
        <v>0</v>
      </c>
      <c r="P6" s="8"/>
      <c r="Q6" s="8"/>
      <c r="R6" s="8"/>
      <c r="S6" s="8">
        <v>0</v>
      </c>
      <c r="T6" s="8"/>
      <c r="U6" s="51">
        <f>SUM(N6:T6)</f>
        <v>0</v>
      </c>
      <c r="V6" s="8" t="s">
        <v>25</v>
      </c>
      <c r="W6" s="8" t="s">
        <v>25</v>
      </c>
      <c r="X6" s="8">
        <v>0</v>
      </c>
      <c r="Y6" s="51">
        <f>M6-U6+X6</f>
        <v>0</v>
      </c>
    </row>
    <row r="7" spans="1:25" ht="43.5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111</v>
      </c>
      <c r="H7" s="8">
        <v>4440</v>
      </c>
      <c r="I7" s="8">
        <v>47274</v>
      </c>
      <c r="J7" s="8">
        <v>1110</v>
      </c>
      <c r="K7" s="8"/>
      <c r="L7" s="8"/>
      <c r="M7" s="51">
        <f t="shared" ref="M7:M16" si="1">SUM(H7:L7)</f>
        <v>52824</v>
      </c>
      <c r="N7" s="8">
        <v>6206</v>
      </c>
      <c r="O7" s="8">
        <v>399</v>
      </c>
      <c r="P7" s="8">
        <v>0</v>
      </c>
      <c r="Q7" s="8">
        <v>300</v>
      </c>
      <c r="R7" s="8"/>
      <c r="S7" s="8">
        <v>2000</v>
      </c>
      <c r="T7" s="8">
        <v>0</v>
      </c>
      <c r="U7" s="51">
        <f>SUM(N7:T7)</f>
        <v>8905</v>
      </c>
      <c r="V7" s="8"/>
      <c r="W7" s="8">
        <v>8512</v>
      </c>
      <c r="X7" s="8">
        <v>-1</v>
      </c>
      <c r="Y7" s="51">
        <f>M7-U7+W7+X7</f>
        <v>52430</v>
      </c>
    </row>
    <row r="8" spans="1:25" ht="36.75" customHeight="1" x14ac:dyDescent="0.25">
      <c r="A8" s="2">
        <v>5</v>
      </c>
      <c r="B8" s="28" t="s">
        <v>29</v>
      </c>
      <c r="C8" s="32">
        <v>66</v>
      </c>
      <c r="D8" s="32">
        <v>3</v>
      </c>
      <c r="E8" s="32">
        <v>10</v>
      </c>
      <c r="F8" s="32">
        <f>C8+D8-E8</f>
        <v>59</v>
      </c>
      <c r="G8" s="9">
        <v>1128</v>
      </c>
      <c r="H8" s="8">
        <v>216624</v>
      </c>
      <c r="I8" s="8"/>
      <c r="J8" s="8">
        <v>144416</v>
      </c>
      <c r="K8" s="8"/>
      <c r="L8" s="8"/>
      <c r="M8" s="51">
        <f t="shared" si="1"/>
        <v>361040</v>
      </c>
      <c r="N8" s="8">
        <v>25456</v>
      </c>
      <c r="O8" s="8">
        <v>2733</v>
      </c>
      <c r="P8" s="8">
        <v>0</v>
      </c>
      <c r="Q8" s="8">
        <v>4180</v>
      </c>
      <c r="R8" s="8"/>
      <c r="S8" s="8">
        <v>10500</v>
      </c>
      <c r="T8" s="8">
        <v>0</v>
      </c>
      <c r="U8" s="51">
        <f t="shared" ref="U8:U16" si="2">SUM(N8:T8)</f>
        <v>42869</v>
      </c>
      <c r="V8" s="8"/>
      <c r="W8" s="8">
        <v>98190</v>
      </c>
      <c r="X8" s="8">
        <v>-71</v>
      </c>
      <c r="Y8" s="51">
        <f t="shared" ref="Y8:Y13" si="3">M8-U8+W8+X8</f>
        <v>416290</v>
      </c>
    </row>
    <row r="9" spans="1:25" ht="47.25" customHeight="1" x14ac:dyDescent="0.25">
      <c r="A9" s="2">
        <v>6</v>
      </c>
      <c r="B9" s="28" t="s">
        <v>30</v>
      </c>
      <c r="C9" s="32">
        <v>40</v>
      </c>
      <c r="D9" s="32">
        <v>6</v>
      </c>
      <c r="E9" s="32">
        <f>3+3</f>
        <v>6</v>
      </c>
      <c r="F9" s="32">
        <f t="shared" si="0"/>
        <v>40</v>
      </c>
      <c r="G9" s="9">
        <v>589</v>
      </c>
      <c r="H9" s="8">
        <v>115614</v>
      </c>
      <c r="I9" s="8"/>
      <c r="J9" s="8">
        <v>77076</v>
      </c>
      <c r="K9" s="8"/>
      <c r="L9" s="8"/>
      <c r="M9" s="51">
        <f t="shared" si="1"/>
        <v>192690</v>
      </c>
      <c r="N9" s="8">
        <v>13291</v>
      </c>
      <c r="O9" s="8">
        <v>1463</v>
      </c>
      <c r="P9" s="8"/>
      <c r="Q9" s="8">
        <v>600</v>
      </c>
      <c r="R9" s="8"/>
      <c r="S9" s="8">
        <v>0</v>
      </c>
      <c r="T9" s="8">
        <v>0</v>
      </c>
      <c r="U9" s="51">
        <f t="shared" si="2"/>
        <v>15354</v>
      </c>
      <c r="V9" s="8"/>
      <c r="W9" s="8">
        <v>48390</v>
      </c>
      <c r="X9" s="8">
        <v>-6</v>
      </c>
      <c r="Y9" s="51">
        <f t="shared" si="3"/>
        <v>225720</v>
      </c>
    </row>
    <row r="10" spans="1:25" ht="45" customHeight="1" x14ac:dyDescent="0.25">
      <c r="A10" s="2">
        <v>7</v>
      </c>
      <c r="B10" s="28" t="s">
        <v>31</v>
      </c>
      <c r="C10" s="32">
        <v>15</v>
      </c>
      <c r="D10" s="32">
        <v>10</v>
      </c>
      <c r="E10" s="32">
        <v>7</v>
      </c>
      <c r="F10" s="32">
        <f t="shared" si="0"/>
        <v>18</v>
      </c>
      <c r="G10" s="9">
        <v>197</v>
      </c>
      <c r="H10" s="8">
        <v>35460</v>
      </c>
      <c r="I10" s="8"/>
      <c r="J10" s="8">
        <v>23640</v>
      </c>
      <c r="K10" s="8"/>
      <c r="L10" s="8"/>
      <c r="M10" s="51">
        <f t="shared" si="1"/>
        <v>59100</v>
      </c>
      <c r="N10" s="8">
        <v>4255</v>
      </c>
      <c r="O10" s="8">
        <v>449</v>
      </c>
      <c r="P10" s="8"/>
      <c r="Q10" s="8">
        <v>600</v>
      </c>
      <c r="R10" s="8"/>
      <c r="S10" s="8">
        <v>9480</v>
      </c>
      <c r="T10" s="8">
        <v>0</v>
      </c>
      <c r="U10" s="51">
        <f t="shared" si="2"/>
        <v>14784</v>
      </c>
      <c r="V10" s="8"/>
      <c r="W10" s="8">
        <v>10240</v>
      </c>
      <c r="X10" s="8">
        <v>34</v>
      </c>
      <c r="Y10" s="51">
        <f t="shared" si="3"/>
        <v>54590</v>
      </c>
    </row>
    <row r="11" spans="1:25" ht="37.5" customHeight="1" x14ac:dyDescent="0.25">
      <c r="A11" s="2">
        <v>8</v>
      </c>
      <c r="B11" s="28" t="s">
        <v>82</v>
      </c>
      <c r="C11" s="32">
        <v>18</v>
      </c>
      <c r="D11" s="32"/>
      <c r="E11" s="32">
        <v>0</v>
      </c>
      <c r="F11" s="32">
        <f t="shared" si="0"/>
        <v>18</v>
      </c>
      <c r="G11" s="9">
        <v>375</v>
      </c>
      <c r="H11" s="8">
        <v>68466</v>
      </c>
      <c r="I11" s="8"/>
      <c r="J11" s="8">
        <v>45644</v>
      </c>
      <c r="K11" s="8"/>
      <c r="L11" s="8"/>
      <c r="M11" s="51">
        <f t="shared" si="1"/>
        <v>114110</v>
      </c>
      <c r="N11" s="8">
        <v>8215</v>
      </c>
      <c r="O11" s="8">
        <v>860</v>
      </c>
      <c r="P11" s="8"/>
      <c r="Q11" s="8">
        <v>850</v>
      </c>
      <c r="R11" s="8"/>
      <c r="S11" s="8">
        <v>21560</v>
      </c>
      <c r="T11" s="8">
        <v>0</v>
      </c>
      <c r="U11" s="51">
        <f t="shared" ref="U11" si="4">SUM(N11:T11)</f>
        <v>31485</v>
      </c>
      <c r="V11" s="8"/>
      <c r="W11" s="8">
        <v>33135</v>
      </c>
      <c r="X11" s="8">
        <v>30</v>
      </c>
      <c r="Y11" s="51">
        <f t="shared" si="3"/>
        <v>115790</v>
      </c>
    </row>
    <row r="12" spans="1:25" ht="36.75" customHeight="1" x14ac:dyDescent="0.25">
      <c r="A12" s="2">
        <v>9</v>
      </c>
      <c r="B12" s="28" t="s">
        <v>91</v>
      </c>
      <c r="C12" s="32">
        <v>1</v>
      </c>
      <c r="D12" s="32">
        <v>0</v>
      </c>
      <c r="E12" s="32">
        <v>1</v>
      </c>
      <c r="F12" s="32">
        <f t="shared" si="0"/>
        <v>0</v>
      </c>
      <c r="G12" s="9">
        <v>0</v>
      </c>
      <c r="H12" s="8">
        <v>0</v>
      </c>
      <c r="I12" s="8">
        <v>0</v>
      </c>
      <c r="J12" s="8">
        <v>0</v>
      </c>
      <c r="K12" s="8"/>
      <c r="L12" s="8"/>
      <c r="M12" s="51">
        <f t="shared" si="1"/>
        <v>0</v>
      </c>
      <c r="N12" s="8">
        <v>0</v>
      </c>
      <c r="O12" s="8">
        <v>0</v>
      </c>
      <c r="P12" s="8">
        <v>0</v>
      </c>
      <c r="Q12" s="8"/>
      <c r="R12" s="8"/>
      <c r="S12" s="8">
        <v>0</v>
      </c>
      <c r="T12" s="8">
        <v>0</v>
      </c>
      <c r="U12" s="51">
        <f>SUM(N12:T12)</f>
        <v>0</v>
      </c>
      <c r="V12" s="8"/>
      <c r="W12" s="8">
        <v>0</v>
      </c>
      <c r="X12" s="8">
        <v>0</v>
      </c>
      <c r="Y12" s="51">
        <f t="shared" si="3"/>
        <v>0</v>
      </c>
    </row>
    <row r="13" spans="1:25" ht="39.75" customHeight="1" x14ac:dyDescent="0.25">
      <c r="A13" s="2">
        <v>10</v>
      </c>
      <c r="B13" s="121" t="s">
        <v>90</v>
      </c>
      <c r="C13" s="32">
        <v>6</v>
      </c>
      <c r="D13" s="32">
        <v>2</v>
      </c>
      <c r="E13" s="32">
        <v>0</v>
      </c>
      <c r="F13" s="32">
        <f>C13+D13-E13</f>
        <v>8</v>
      </c>
      <c r="G13" s="9">
        <v>153</v>
      </c>
      <c r="H13" s="8">
        <v>34697</v>
      </c>
      <c r="I13" s="8"/>
      <c r="J13" s="8">
        <v>23132</v>
      </c>
      <c r="K13" s="8"/>
      <c r="L13" s="8"/>
      <c r="M13" s="51">
        <f t="shared" si="1"/>
        <v>57829</v>
      </c>
      <c r="N13" s="8">
        <v>3757</v>
      </c>
      <c r="O13" s="8">
        <v>436</v>
      </c>
      <c r="P13" s="8"/>
      <c r="Q13" s="8">
        <v>600</v>
      </c>
      <c r="R13" s="8"/>
      <c r="S13" s="8">
        <v>0</v>
      </c>
      <c r="T13" s="8">
        <v>0</v>
      </c>
      <c r="U13" s="51">
        <f>SUM(N13:T13)</f>
        <v>4793</v>
      </c>
      <c r="V13" s="8"/>
      <c r="W13" s="8">
        <v>2500</v>
      </c>
      <c r="X13" s="8">
        <v>24</v>
      </c>
      <c r="Y13" s="51">
        <f t="shared" si="3"/>
        <v>55560</v>
      </c>
    </row>
    <row r="14" spans="1:25" ht="33" customHeight="1" x14ac:dyDescent="0.25">
      <c r="A14" s="2">
        <v>11</v>
      </c>
      <c r="B14" s="28" t="s">
        <v>34</v>
      </c>
      <c r="C14" s="32">
        <v>1</v>
      </c>
      <c r="D14" s="32"/>
      <c r="E14" s="32"/>
      <c r="F14" s="32">
        <f t="shared" si="0"/>
        <v>1</v>
      </c>
      <c r="G14" s="9">
        <v>26</v>
      </c>
      <c r="H14" s="8">
        <v>200000</v>
      </c>
      <c r="I14" s="8"/>
      <c r="J14" s="8">
        <v>0</v>
      </c>
      <c r="K14" s="8"/>
      <c r="L14" s="8"/>
      <c r="M14" s="51">
        <f t="shared" si="1"/>
        <v>200000</v>
      </c>
      <c r="N14" s="8">
        <v>24000</v>
      </c>
      <c r="O14" s="8">
        <v>0</v>
      </c>
      <c r="P14" s="8">
        <v>0</v>
      </c>
      <c r="Q14" s="8"/>
      <c r="R14" s="8">
        <v>0</v>
      </c>
      <c r="S14" s="8"/>
      <c r="T14" s="8">
        <v>0</v>
      </c>
      <c r="U14" s="51">
        <f>SUM(N14:T14)</f>
        <v>24000</v>
      </c>
      <c r="V14" s="8"/>
      <c r="W14" s="8"/>
      <c r="X14" s="8">
        <v>0</v>
      </c>
      <c r="Y14" s="51">
        <f>M14-U14+W14+X14</f>
        <v>176000</v>
      </c>
    </row>
    <row r="15" spans="1:25" ht="31.7" customHeight="1" x14ac:dyDescent="0.25">
      <c r="A15" s="2">
        <v>12</v>
      </c>
      <c r="B15" s="3" t="s">
        <v>35</v>
      </c>
      <c r="C15" s="32">
        <v>6</v>
      </c>
      <c r="D15" s="32">
        <v>0</v>
      </c>
      <c r="E15" s="32">
        <v>0</v>
      </c>
      <c r="F15" s="32">
        <f t="shared" si="0"/>
        <v>6</v>
      </c>
      <c r="G15" s="9">
        <v>143</v>
      </c>
      <c r="H15" s="8">
        <v>128199</v>
      </c>
      <c r="I15" s="8"/>
      <c r="J15" s="8">
        <v>0</v>
      </c>
      <c r="K15" s="8"/>
      <c r="L15" s="8"/>
      <c r="M15" s="51">
        <f t="shared" si="1"/>
        <v>128199</v>
      </c>
      <c r="N15" s="8"/>
      <c r="O15" s="8"/>
      <c r="P15" s="8">
        <v>0</v>
      </c>
      <c r="Q15" s="8"/>
      <c r="R15" s="8"/>
      <c r="S15" s="8">
        <v>45000</v>
      </c>
      <c r="T15" s="8"/>
      <c r="U15" s="51">
        <f>SUM(N15:T15)</f>
        <v>45000</v>
      </c>
      <c r="V15" s="8">
        <v>0</v>
      </c>
      <c r="W15" s="8"/>
      <c r="X15" s="8">
        <v>1</v>
      </c>
      <c r="Y15" s="51">
        <f>M15-U15+W15+X15</f>
        <v>83200</v>
      </c>
    </row>
    <row r="16" spans="1:25" ht="35.450000000000003" customHeight="1" x14ac:dyDescent="0.25">
      <c r="A16" s="2">
        <v>13</v>
      </c>
      <c r="B16" s="3" t="s">
        <v>36</v>
      </c>
      <c r="C16" s="32">
        <v>4</v>
      </c>
      <c r="D16" s="32">
        <v>0</v>
      </c>
      <c r="E16" s="32">
        <v>0</v>
      </c>
      <c r="F16" s="32">
        <f t="shared" si="0"/>
        <v>4</v>
      </c>
      <c r="G16" s="9">
        <v>78</v>
      </c>
      <c r="H16" s="8">
        <v>74985</v>
      </c>
      <c r="I16" s="8"/>
      <c r="J16" s="8">
        <v>0</v>
      </c>
      <c r="K16" s="8"/>
      <c r="L16" s="8"/>
      <c r="M16" s="51">
        <f t="shared" si="1"/>
        <v>74985</v>
      </c>
      <c r="N16" s="8"/>
      <c r="O16" s="8"/>
      <c r="P16" s="8">
        <v>0</v>
      </c>
      <c r="Q16" s="8">
        <v>0</v>
      </c>
      <c r="R16" s="8"/>
      <c r="S16" s="8">
        <v>36000</v>
      </c>
      <c r="T16" s="8"/>
      <c r="U16" s="51">
        <f t="shared" si="2"/>
        <v>36000</v>
      </c>
      <c r="V16" s="8"/>
      <c r="W16" s="8"/>
      <c r="X16" s="8">
        <v>-5</v>
      </c>
      <c r="Y16" s="51">
        <f t="shared" ref="Y16" si="5">M16-U16+W16+X16</f>
        <v>38980</v>
      </c>
    </row>
    <row r="17" spans="1:26" ht="26.45" customHeight="1" x14ac:dyDescent="0.25">
      <c r="A17" s="171" t="s">
        <v>37</v>
      </c>
      <c r="B17" s="171"/>
      <c r="C17" s="52">
        <f>SUM(C4:C16)</f>
        <v>187</v>
      </c>
      <c r="D17" s="52">
        <f t="shared" ref="D17:W17" si="6">SUM(D4:D16)</f>
        <v>21</v>
      </c>
      <c r="E17" s="52">
        <f t="shared" si="6"/>
        <v>24</v>
      </c>
      <c r="F17" s="52">
        <f>SUM(F4:F16)</f>
        <v>184</v>
      </c>
      <c r="G17" s="53">
        <f t="shared" si="6"/>
        <v>3300</v>
      </c>
      <c r="H17" s="53">
        <f>SUM(H4:H16)</f>
        <v>1099915</v>
      </c>
      <c r="I17" s="53">
        <f t="shared" si="6"/>
        <v>47274</v>
      </c>
      <c r="J17" s="53">
        <f t="shared" si="6"/>
        <v>422620</v>
      </c>
      <c r="K17" s="53">
        <f t="shared" si="6"/>
        <v>18280</v>
      </c>
      <c r="L17" s="53">
        <f t="shared" si="6"/>
        <v>18280</v>
      </c>
      <c r="M17" s="53">
        <f>SUM(M4:M16)</f>
        <v>1606370</v>
      </c>
      <c r="N17" s="53">
        <f>SUM(N4:N16)</f>
        <v>111752</v>
      </c>
      <c r="O17" s="53">
        <f>SUM(O4:O16)</f>
        <v>7919</v>
      </c>
      <c r="P17" s="53">
        <f t="shared" si="6"/>
        <v>0</v>
      </c>
      <c r="Q17" s="53">
        <f>SUM(Q4:Q16)</f>
        <v>7930</v>
      </c>
      <c r="R17" s="53">
        <f t="shared" si="6"/>
        <v>0</v>
      </c>
      <c r="S17" s="53">
        <f>SUM(S4:S16)</f>
        <v>149540</v>
      </c>
      <c r="T17" s="53">
        <f t="shared" si="6"/>
        <v>0</v>
      </c>
      <c r="U17" s="53">
        <f>SUM(U4:U16)</f>
        <v>277141</v>
      </c>
      <c r="V17" s="53">
        <f t="shared" si="6"/>
        <v>0</v>
      </c>
      <c r="W17" s="53">
        <f t="shared" si="6"/>
        <v>200967</v>
      </c>
      <c r="X17" s="53">
        <f>SUM(X4:X16)</f>
        <v>34</v>
      </c>
      <c r="Y17" s="53">
        <f>SUM(Y4:Y16)</f>
        <v>1530230</v>
      </c>
      <c r="Z17">
        <v>1588309</v>
      </c>
    </row>
    <row r="18" spans="1:26" ht="18.75" x14ac:dyDescent="0.25">
      <c r="C18" s="63"/>
      <c r="D18" s="63"/>
      <c r="E18" s="108"/>
      <c r="F18" s="109"/>
      <c r="G18" s="128"/>
      <c r="H18" s="110">
        <f>+H15+H16</f>
        <v>203184</v>
      </c>
      <c r="I18" s="133">
        <f>+H17-H18+47274</f>
        <v>944005</v>
      </c>
      <c r="J18" s="128"/>
      <c r="K18" s="128"/>
      <c r="L18" s="128"/>
      <c r="M18" s="133">
        <f>+M15+M16</f>
        <v>203184</v>
      </c>
      <c r="N18" s="128"/>
      <c r="O18" s="110"/>
      <c r="P18" s="128"/>
      <c r="Q18" s="63"/>
      <c r="R18" s="63"/>
      <c r="S18" s="63"/>
      <c r="T18" s="63"/>
      <c r="U18" s="63"/>
      <c r="V18" s="63"/>
      <c r="W18" s="63"/>
      <c r="X18" s="63"/>
      <c r="Y18" s="63"/>
      <c r="Z18" s="132">
        <f>+Z17-Y17</f>
        <v>58079</v>
      </c>
    </row>
    <row r="19" spans="1:26" ht="21" x14ac:dyDescent="0.35">
      <c r="A19" s="25" t="s">
        <v>64</v>
      </c>
      <c r="B19" s="25"/>
      <c r="C19" s="54"/>
      <c r="D19" s="54"/>
      <c r="E19" s="54"/>
      <c r="F19" s="54"/>
      <c r="G19" s="54"/>
      <c r="H19" s="95"/>
      <c r="I19" s="54"/>
      <c r="J19" s="54"/>
      <c r="K19" s="54"/>
      <c r="L19" s="54"/>
      <c r="M19" s="95">
        <f>+M17-M18</f>
        <v>1403186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6" ht="18.75" x14ac:dyDescent="0.25">
      <c r="A20" s="179" t="s">
        <v>1</v>
      </c>
      <c r="B20" s="179" t="s">
        <v>38</v>
      </c>
      <c r="C20" s="216" t="s">
        <v>39</v>
      </c>
      <c r="D20" s="217"/>
      <c r="E20" s="217"/>
      <c r="F20" s="218"/>
      <c r="G20" s="181" t="s">
        <v>40</v>
      </c>
      <c r="H20" s="182"/>
      <c r="I20" s="213" t="s">
        <v>69</v>
      </c>
      <c r="J20" s="181" t="s">
        <v>41</v>
      </c>
      <c r="K20" s="182" t="s">
        <v>76</v>
      </c>
      <c r="L20" s="181" t="s">
        <v>77</v>
      </c>
      <c r="M20" s="182"/>
      <c r="N20" s="167" t="s">
        <v>50</v>
      </c>
      <c r="O20" s="168"/>
      <c r="P20" s="167" t="s">
        <v>53</v>
      </c>
      <c r="Q20" s="168"/>
      <c r="R20" s="181" t="s">
        <v>54</v>
      </c>
      <c r="S20" s="182"/>
      <c r="T20" s="181" t="s">
        <v>51</v>
      </c>
      <c r="U20" s="182"/>
      <c r="V20" s="213" t="s">
        <v>52</v>
      </c>
      <c r="W20" s="167" t="s">
        <v>43</v>
      </c>
      <c r="X20" s="222"/>
      <c r="Y20" s="223"/>
    </row>
    <row r="21" spans="1:26" ht="18.75" x14ac:dyDescent="0.25">
      <c r="A21" s="180"/>
      <c r="B21" s="180"/>
      <c r="C21" s="44" t="s">
        <v>65</v>
      </c>
      <c r="D21" s="44" t="s">
        <v>66</v>
      </c>
      <c r="E21" s="44" t="s">
        <v>67</v>
      </c>
      <c r="F21" s="126" t="s">
        <v>68</v>
      </c>
      <c r="G21" s="183"/>
      <c r="H21" s="184"/>
      <c r="I21" s="214"/>
      <c r="J21" s="183"/>
      <c r="K21" s="184"/>
      <c r="L21" s="183"/>
      <c r="M21" s="184"/>
      <c r="N21" s="169"/>
      <c r="O21" s="170"/>
      <c r="P21" s="169"/>
      <c r="Q21" s="170"/>
      <c r="R21" s="183"/>
      <c r="S21" s="184"/>
      <c r="T21" s="183"/>
      <c r="U21" s="184"/>
      <c r="V21" s="214"/>
      <c r="W21" s="224"/>
      <c r="X21" s="225"/>
      <c r="Y21" s="226"/>
    </row>
    <row r="22" spans="1:26" ht="27" customHeight="1" x14ac:dyDescent="0.3">
      <c r="A22" s="2">
        <v>1</v>
      </c>
      <c r="B22" s="122" t="str">
        <f t="shared" ref="B22:B30" si="7">B4</f>
        <v>SALARY -STAFF - BANK</v>
      </c>
      <c r="C22" s="32">
        <v>14</v>
      </c>
      <c r="D22" s="32">
        <v>1</v>
      </c>
      <c r="E22" s="32">
        <v>1</v>
      </c>
      <c r="F22" s="32">
        <f t="shared" ref="F22:F25" si="8">C22+D22-E22</f>
        <v>14</v>
      </c>
      <c r="G22" s="144">
        <v>14</v>
      </c>
      <c r="H22" s="144"/>
      <c r="I22" s="39">
        <f t="shared" ref="I22:I34" si="9">G22-F22</f>
        <v>0</v>
      </c>
      <c r="J22" s="66">
        <v>297860</v>
      </c>
      <c r="K22" s="67">
        <v>297862</v>
      </c>
      <c r="L22" s="144">
        <v>180791</v>
      </c>
      <c r="M22" s="144"/>
      <c r="N22" s="158">
        <f>+J22*60/100</f>
        <v>178716</v>
      </c>
      <c r="O22" s="159"/>
      <c r="P22" s="144">
        <f>+L22-N22</f>
        <v>2075</v>
      </c>
      <c r="Q22" s="144"/>
      <c r="R22" s="203">
        <v>21695</v>
      </c>
      <c r="S22" s="203"/>
      <c r="T22" s="203">
        <v>21695</v>
      </c>
      <c r="U22" s="203"/>
      <c r="V22" s="57">
        <f t="shared" ref="V22:V34" si="10">R22-T22</f>
        <v>0</v>
      </c>
      <c r="W22" s="233" t="s">
        <v>45</v>
      </c>
      <c r="X22" s="195"/>
      <c r="Y22" s="196"/>
    </row>
    <row r="23" spans="1:26" ht="27" customHeight="1" x14ac:dyDescent="0.3">
      <c r="A23" s="2">
        <v>2</v>
      </c>
      <c r="B23" s="122" t="str">
        <f t="shared" si="7"/>
        <v>SALARY - STAFF -2 BANK</v>
      </c>
      <c r="C23" s="32">
        <v>10</v>
      </c>
      <c r="D23" s="32"/>
      <c r="E23" s="32">
        <v>3</v>
      </c>
      <c r="F23" s="32">
        <f t="shared" si="8"/>
        <v>7</v>
      </c>
      <c r="G23" s="144">
        <v>7</v>
      </c>
      <c r="H23" s="144"/>
      <c r="I23" s="39">
        <f t="shared" si="9"/>
        <v>0</v>
      </c>
      <c r="J23" s="66">
        <f>M5</f>
        <v>93317</v>
      </c>
      <c r="K23" s="67">
        <v>98413</v>
      </c>
      <c r="L23" s="144">
        <v>59049</v>
      </c>
      <c r="M23" s="144"/>
      <c r="N23" s="158">
        <f t="shared" ref="N23:N30" si="11">+J23*60/100</f>
        <v>55990.2</v>
      </c>
      <c r="O23" s="159"/>
      <c r="P23" s="144">
        <f>+L23-N23</f>
        <v>3058.8000000000029</v>
      </c>
      <c r="Q23" s="144"/>
      <c r="R23" s="203">
        <v>7086</v>
      </c>
      <c r="S23" s="203"/>
      <c r="T23" s="203">
        <v>7086</v>
      </c>
      <c r="U23" s="203"/>
      <c r="V23" s="57">
        <f t="shared" si="10"/>
        <v>0</v>
      </c>
      <c r="W23" s="197"/>
      <c r="X23" s="195"/>
      <c r="Y23" s="196"/>
    </row>
    <row r="24" spans="1:26" ht="31.7" customHeight="1" x14ac:dyDescent="0.3">
      <c r="A24" s="2">
        <v>3</v>
      </c>
      <c r="B24" s="122" t="str">
        <f t="shared" si="7"/>
        <v>SALARY - STAFF-CHEQUE</v>
      </c>
      <c r="C24" s="32">
        <v>0</v>
      </c>
      <c r="D24" s="32">
        <v>2</v>
      </c>
      <c r="E24" s="32"/>
      <c r="F24" s="32">
        <f t="shared" si="8"/>
        <v>2</v>
      </c>
      <c r="G24" s="144">
        <v>2</v>
      </c>
      <c r="H24" s="144"/>
      <c r="I24" s="39">
        <f t="shared" si="9"/>
        <v>0</v>
      </c>
      <c r="J24" s="66">
        <f t="shared" ref="J24" si="12">M6</f>
        <v>0</v>
      </c>
      <c r="K24" s="67">
        <v>14673</v>
      </c>
      <c r="L24" s="144">
        <v>8804</v>
      </c>
      <c r="M24" s="144"/>
      <c r="N24" s="158">
        <f t="shared" si="11"/>
        <v>0</v>
      </c>
      <c r="O24" s="159"/>
      <c r="P24" s="144">
        <f t="shared" ref="P24:P34" si="13">+L24-N24</f>
        <v>8804</v>
      </c>
      <c r="Q24" s="144"/>
      <c r="R24" s="203">
        <v>1057</v>
      </c>
      <c r="S24" s="203"/>
      <c r="T24" s="203">
        <v>1057</v>
      </c>
      <c r="U24" s="203"/>
      <c r="V24" s="57">
        <f t="shared" si="10"/>
        <v>0</v>
      </c>
      <c r="W24" s="197"/>
      <c r="X24" s="195"/>
      <c r="Y24" s="196"/>
    </row>
    <row r="25" spans="1:26" ht="34.5" customHeight="1" x14ac:dyDescent="0.3">
      <c r="A25" s="2">
        <v>4</v>
      </c>
      <c r="B25" s="122" t="str">
        <f t="shared" si="7"/>
        <v>WAGES-PERMANENT - BANK</v>
      </c>
      <c r="C25" s="32">
        <v>7</v>
      </c>
      <c r="D25" s="32">
        <v>0</v>
      </c>
      <c r="E25" s="32">
        <v>0</v>
      </c>
      <c r="F25" s="32">
        <f t="shared" si="8"/>
        <v>7</v>
      </c>
      <c r="G25" s="144">
        <v>7</v>
      </c>
      <c r="H25" s="144"/>
      <c r="I25" s="39">
        <f t="shared" si="9"/>
        <v>0</v>
      </c>
      <c r="J25" s="66">
        <f>M7</f>
        <v>52824</v>
      </c>
      <c r="K25" s="67">
        <v>82246</v>
      </c>
      <c r="L25" s="144">
        <v>80476</v>
      </c>
      <c r="M25" s="144"/>
      <c r="N25" s="158">
        <f>+J25*60/100</f>
        <v>31694.400000000001</v>
      </c>
      <c r="O25" s="159"/>
      <c r="P25" s="144">
        <f>+L25-N25</f>
        <v>48781.599999999999</v>
      </c>
      <c r="Q25" s="144"/>
      <c r="R25" s="203">
        <v>9656</v>
      </c>
      <c r="S25" s="203"/>
      <c r="T25" s="203">
        <v>9656</v>
      </c>
      <c r="U25" s="203"/>
      <c r="V25" s="57">
        <f t="shared" si="10"/>
        <v>0</v>
      </c>
      <c r="W25" s="197" t="s">
        <v>48</v>
      </c>
      <c r="X25" s="195"/>
      <c r="Y25" s="196"/>
    </row>
    <row r="26" spans="1:26" ht="42" customHeight="1" x14ac:dyDescent="0.3">
      <c r="A26" s="2">
        <v>5</v>
      </c>
      <c r="B26" s="123" t="str">
        <f t="shared" si="7"/>
        <v>WAGES - CASUAL - BANK(OUTSIDE)</v>
      </c>
      <c r="C26" s="32">
        <v>72</v>
      </c>
      <c r="D26" s="32"/>
      <c r="E26" s="32">
        <v>6</v>
      </c>
      <c r="F26" s="32">
        <f>C26+D26-E26</f>
        <v>66</v>
      </c>
      <c r="G26" s="144">
        <v>66</v>
      </c>
      <c r="H26" s="144"/>
      <c r="I26" s="39">
        <f t="shared" si="9"/>
        <v>0</v>
      </c>
      <c r="J26" s="66">
        <f>M8</f>
        <v>361040</v>
      </c>
      <c r="K26" s="67">
        <f>364155-7820</f>
        <v>356335</v>
      </c>
      <c r="L26" s="144">
        <v>213801</v>
      </c>
      <c r="M26" s="144"/>
      <c r="N26" s="158">
        <f t="shared" si="11"/>
        <v>216624</v>
      </c>
      <c r="O26" s="159"/>
      <c r="P26" s="144">
        <f t="shared" si="13"/>
        <v>-2823</v>
      </c>
      <c r="Q26" s="144"/>
      <c r="R26" s="203">
        <v>25655</v>
      </c>
      <c r="S26" s="203"/>
      <c r="T26" s="203">
        <v>25655</v>
      </c>
      <c r="U26" s="203"/>
      <c r="V26" s="57">
        <f t="shared" si="10"/>
        <v>0</v>
      </c>
      <c r="W26" s="197" t="s">
        <v>87</v>
      </c>
      <c r="X26" s="195"/>
      <c r="Y26" s="196"/>
    </row>
    <row r="27" spans="1:26" ht="38.25" customHeight="1" x14ac:dyDescent="0.3">
      <c r="A27" s="2">
        <v>6</v>
      </c>
      <c r="B27" s="123" t="str">
        <f t="shared" si="7"/>
        <v>WAGES - CASUAL - CASH(OUTSIDE)</v>
      </c>
      <c r="C27" s="32">
        <v>25</v>
      </c>
      <c r="D27" s="32">
        <v>18</v>
      </c>
      <c r="E27" s="32">
        <v>3</v>
      </c>
      <c r="F27" s="32">
        <f t="shared" ref="F27:F30" si="14">C27+D27-E27</f>
        <v>40</v>
      </c>
      <c r="G27" s="144">
        <v>40</v>
      </c>
      <c r="H27" s="144"/>
      <c r="I27" s="39">
        <f t="shared" si="9"/>
        <v>0</v>
      </c>
      <c r="J27" s="66">
        <f>M9</f>
        <v>192690</v>
      </c>
      <c r="K27" s="67">
        <f>205305-5355-5100</f>
        <v>194850</v>
      </c>
      <c r="L27" s="144">
        <v>116910</v>
      </c>
      <c r="M27" s="144"/>
      <c r="N27" s="158">
        <f t="shared" si="11"/>
        <v>115614</v>
      </c>
      <c r="O27" s="159"/>
      <c r="P27" s="144">
        <f t="shared" si="13"/>
        <v>1296</v>
      </c>
      <c r="Q27" s="144"/>
      <c r="R27" s="203">
        <v>14029</v>
      </c>
      <c r="S27" s="203"/>
      <c r="T27" s="203">
        <v>14029</v>
      </c>
      <c r="U27" s="203"/>
      <c r="V27" s="57">
        <f t="shared" si="10"/>
        <v>0</v>
      </c>
      <c r="W27" s="234" t="s">
        <v>95</v>
      </c>
      <c r="X27" s="235"/>
      <c r="Y27" s="236"/>
    </row>
    <row r="28" spans="1:26" ht="33.75" customHeight="1" x14ac:dyDescent="0.3">
      <c r="A28" s="2">
        <v>7</v>
      </c>
      <c r="B28" s="123" t="str">
        <f t="shared" si="7"/>
        <v>WAGES - CASUAL - CASH(INSIDE)</v>
      </c>
      <c r="C28" s="32">
        <v>20</v>
      </c>
      <c r="D28" s="32">
        <v>1</v>
      </c>
      <c r="E28" s="32">
        <v>6</v>
      </c>
      <c r="F28" s="32">
        <f t="shared" si="14"/>
        <v>15</v>
      </c>
      <c r="G28" s="144">
        <v>15</v>
      </c>
      <c r="H28" s="144"/>
      <c r="I28" s="39">
        <f t="shared" si="9"/>
        <v>0</v>
      </c>
      <c r="J28" s="66">
        <f>M10</f>
        <v>59100</v>
      </c>
      <c r="K28" s="67">
        <v>47100</v>
      </c>
      <c r="L28" s="144">
        <v>28260</v>
      </c>
      <c r="M28" s="144"/>
      <c r="N28" s="158">
        <f t="shared" si="11"/>
        <v>35460</v>
      </c>
      <c r="O28" s="159"/>
      <c r="P28" s="144">
        <f t="shared" si="13"/>
        <v>-7200</v>
      </c>
      <c r="Q28" s="144"/>
      <c r="R28" s="203">
        <v>3392</v>
      </c>
      <c r="S28" s="203"/>
      <c r="T28" s="203">
        <v>3392</v>
      </c>
      <c r="U28" s="203"/>
      <c r="V28" s="57">
        <f t="shared" si="10"/>
        <v>0</v>
      </c>
      <c r="W28" s="197"/>
      <c r="X28" s="195"/>
      <c r="Y28" s="196"/>
    </row>
    <row r="29" spans="1:26" ht="34.5" customHeight="1" x14ac:dyDescent="0.3">
      <c r="A29" s="2">
        <v>8</v>
      </c>
      <c r="B29" s="123" t="str">
        <f t="shared" si="7"/>
        <v>WAGES - CASUAL - BANK(INSIDE)</v>
      </c>
      <c r="C29" s="32">
        <v>18</v>
      </c>
      <c r="D29" s="32"/>
      <c r="E29" s="32">
        <v>0</v>
      </c>
      <c r="F29" s="32">
        <f t="shared" si="14"/>
        <v>18</v>
      </c>
      <c r="G29" s="144">
        <v>18</v>
      </c>
      <c r="H29" s="144"/>
      <c r="I29" s="39">
        <f t="shared" si="9"/>
        <v>0</v>
      </c>
      <c r="J29" s="66">
        <f>M11</f>
        <v>114110</v>
      </c>
      <c r="K29" s="67">
        <v>135320</v>
      </c>
      <c r="L29" s="144">
        <v>81192</v>
      </c>
      <c r="M29" s="144"/>
      <c r="N29" s="158">
        <f t="shared" si="11"/>
        <v>68466</v>
      </c>
      <c r="O29" s="159"/>
      <c r="P29" s="144">
        <f t="shared" si="13"/>
        <v>12726</v>
      </c>
      <c r="Q29" s="144"/>
      <c r="R29" s="203">
        <v>9742</v>
      </c>
      <c r="S29" s="203"/>
      <c r="T29" s="203">
        <v>9742</v>
      </c>
      <c r="U29" s="203"/>
      <c r="V29" s="57">
        <f t="shared" si="10"/>
        <v>0</v>
      </c>
      <c r="W29" s="197"/>
      <c r="X29" s="195"/>
      <c r="Y29" s="196"/>
    </row>
    <row r="30" spans="1:26" ht="34.5" customHeight="1" x14ac:dyDescent="0.3">
      <c r="A30" s="2">
        <v>9</v>
      </c>
      <c r="B30" s="123" t="str">
        <f t="shared" si="7"/>
        <v>WAGES - SECUR &amp; GARDEN - CHQ</v>
      </c>
      <c r="C30" s="32">
        <v>0</v>
      </c>
      <c r="D30" s="32">
        <v>1</v>
      </c>
      <c r="E30" s="32">
        <v>0</v>
      </c>
      <c r="F30" s="32">
        <f t="shared" si="14"/>
        <v>1</v>
      </c>
      <c r="G30" s="144">
        <v>1</v>
      </c>
      <c r="H30" s="144"/>
      <c r="I30" s="39">
        <f>G30-F30</f>
        <v>0</v>
      </c>
      <c r="J30" s="66">
        <v>6400</v>
      </c>
      <c r="K30" s="67">
        <v>6400</v>
      </c>
      <c r="L30" s="144">
        <v>3840</v>
      </c>
      <c r="M30" s="144"/>
      <c r="N30" s="158">
        <f t="shared" si="11"/>
        <v>3840</v>
      </c>
      <c r="O30" s="159"/>
      <c r="P30" s="144">
        <f t="shared" si="13"/>
        <v>0</v>
      </c>
      <c r="Q30" s="144"/>
      <c r="R30" s="203">
        <v>461</v>
      </c>
      <c r="S30" s="203"/>
      <c r="T30" s="203">
        <v>461</v>
      </c>
      <c r="U30" s="203"/>
      <c r="V30" s="57">
        <f t="shared" si="10"/>
        <v>0</v>
      </c>
      <c r="W30" s="197" t="s">
        <v>88</v>
      </c>
      <c r="X30" s="195"/>
      <c r="Y30" s="196"/>
    </row>
    <row r="31" spans="1:26" ht="42.75" customHeight="1" x14ac:dyDescent="0.3">
      <c r="A31" s="2">
        <v>10</v>
      </c>
      <c r="B31" s="123" t="str">
        <f>B13</f>
        <v>WAGES - SECUR &amp; GARDEN - BANK</v>
      </c>
      <c r="C31" s="32">
        <v>8</v>
      </c>
      <c r="D31" s="32"/>
      <c r="E31" s="32">
        <v>2</v>
      </c>
      <c r="F31" s="32">
        <f>C31+D31-E31</f>
        <v>6</v>
      </c>
      <c r="G31" s="144">
        <v>6</v>
      </c>
      <c r="H31" s="144"/>
      <c r="I31" s="39">
        <f t="shared" si="9"/>
        <v>0</v>
      </c>
      <c r="J31" s="66">
        <f>M13</f>
        <v>57829</v>
      </c>
      <c r="K31" s="67">
        <f>56996-5111</f>
        <v>51885</v>
      </c>
      <c r="L31" s="144">
        <f>34198-3067</f>
        <v>31131</v>
      </c>
      <c r="M31" s="144"/>
      <c r="N31" s="158">
        <f>+J31*60/100</f>
        <v>34697.4</v>
      </c>
      <c r="O31" s="159"/>
      <c r="P31" s="144">
        <f t="shared" si="13"/>
        <v>-3566.4000000000015</v>
      </c>
      <c r="Q31" s="144"/>
      <c r="R31" s="203">
        <v>3736</v>
      </c>
      <c r="S31" s="203"/>
      <c r="T31" s="203">
        <v>3736</v>
      </c>
      <c r="U31" s="203"/>
      <c r="V31" s="57">
        <f t="shared" si="10"/>
        <v>0</v>
      </c>
      <c r="W31" s="197" t="s">
        <v>89</v>
      </c>
      <c r="X31" s="195"/>
      <c r="Y31" s="196"/>
    </row>
    <row r="32" spans="1:26" ht="38.25" customHeight="1" x14ac:dyDescent="0.3">
      <c r="A32" s="2">
        <v>11</v>
      </c>
      <c r="B32" s="123" t="s">
        <v>34</v>
      </c>
      <c r="C32" s="32">
        <v>1</v>
      </c>
      <c r="D32" s="32"/>
      <c r="E32" s="32"/>
      <c r="F32" s="32">
        <f t="shared" ref="F32:F34" si="15">C32+D32-E32</f>
        <v>1</v>
      </c>
      <c r="G32" s="158">
        <v>1</v>
      </c>
      <c r="H32" s="159"/>
      <c r="I32" s="39"/>
      <c r="J32" s="66">
        <v>200000</v>
      </c>
      <c r="K32" s="67">
        <v>200000</v>
      </c>
      <c r="L32" s="158">
        <v>200000</v>
      </c>
      <c r="M32" s="159"/>
      <c r="N32" s="158">
        <f>+J32*60/100</f>
        <v>120000</v>
      </c>
      <c r="O32" s="159"/>
      <c r="P32" s="144">
        <f t="shared" si="13"/>
        <v>80000</v>
      </c>
      <c r="Q32" s="144"/>
      <c r="R32" s="204">
        <v>24000</v>
      </c>
      <c r="S32" s="205"/>
      <c r="T32" s="204">
        <v>24000</v>
      </c>
      <c r="U32" s="205"/>
      <c r="V32" s="57">
        <f t="shared" si="10"/>
        <v>0</v>
      </c>
      <c r="W32" s="189" t="s">
        <v>75</v>
      </c>
      <c r="X32" s="190"/>
      <c r="Y32" s="191"/>
    </row>
    <row r="33" spans="1:25" ht="24.75" customHeight="1" x14ac:dyDescent="0.3">
      <c r="A33" s="2">
        <v>12</v>
      </c>
      <c r="B33" s="122" t="str">
        <f t="shared" ref="B33:B34" si="16">B15</f>
        <v>EXEMPTED - BANK</v>
      </c>
      <c r="C33" s="32">
        <v>6</v>
      </c>
      <c r="D33" s="32">
        <v>0</v>
      </c>
      <c r="E33" s="32">
        <v>0</v>
      </c>
      <c r="F33" s="32">
        <f t="shared" si="15"/>
        <v>6</v>
      </c>
      <c r="G33" s="144"/>
      <c r="H33" s="144"/>
      <c r="I33" s="39">
        <f t="shared" si="9"/>
        <v>-6</v>
      </c>
      <c r="J33" s="8">
        <v>131793</v>
      </c>
      <c r="K33" s="8">
        <v>0</v>
      </c>
      <c r="L33" s="144">
        <v>0</v>
      </c>
      <c r="M33" s="144"/>
      <c r="N33" s="158">
        <v>0</v>
      </c>
      <c r="O33" s="159"/>
      <c r="P33" s="144">
        <f t="shared" si="13"/>
        <v>0</v>
      </c>
      <c r="Q33" s="144"/>
      <c r="R33" s="203">
        <v>0</v>
      </c>
      <c r="S33" s="203"/>
      <c r="T33" s="203">
        <v>0</v>
      </c>
      <c r="U33" s="203"/>
      <c r="V33" s="57">
        <f t="shared" si="10"/>
        <v>0</v>
      </c>
      <c r="W33" s="197" t="s">
        <v>49</v>
      </c>
      <c r="X33" s="195"/>
      <c r="Y33" s="196"/>
    </row>
    <row r="34" spans="1:25" ht="27.75" customHeight="1" x14ac:dyDescent="0.3">
      <c r="A34" s="2">
        <v>13</v>
      </c>
      <c r="B34" s="122" t="str">
        <f t="shared" si="16"/>
        <v>EXEMPTED - CHEQUE</v>
      </c>
      <c r="C34" s="32">
        <v>4</v>
      </c>
      <c r="D34" s="32">
        <v>0</v>
      </c>
      <c r="E34" s="32">
        <v>0</v>
      </c>
      <c r="F34" s="32">
        <f t="shared" si="15"/>
        <v>4</v>
      </c>
      <c r="G34" s="144">
        <v>0</v>
      </c>
      <c r="H34" s="144"/>
      <c r="I34" s="39">
        <f t="shared" si="9"/>
        <v>-4</v>
      </c>
      <c r="J34" s="8">
        <v>82339</v>
      </c>
      <c r="K34" s="8">
        <v>0</v>
      </c>
      <c r="L34" s="144">
        <v>0</v>
      </c>
      <c r="M34" s="144"/>
      <c r="N34" s="158">
        <v>0</v>
      </c>
      <c r="O34" s="159"/>
      <c r="P34" s="212">
        <f t="shared" si="13"/>
        <v>0</v>
      </c>
      <c r="Q34" s="212"/>
      <c r="R34" s="203">
        <v>0</v>
      </c>
      <c r="S34" s="203"/>
      <c r="T34" s="203">
        <v>0</v>
      </c>
      <c r="U34" s="203"/>
      <c r="V34" s="57">
        <f t="shared" si="10"/>
        <v>0</v>
      </c>
      <c r="W34" s="197" t="s">
        <v>49</v>
      </c>
      <c r="X34" s="195"/>
      <c r="Y34" s="196"/>
    </row>
    <row r="35" spans="1:25" ht="27.75" customHeight="1" x14ac:dyDescent="0.25">
      <c r="A35" s="18"/>
      <c r="B35" s="22" t="s">
        <v>47</v>
      </c>
      <c r="C35" s="126">
        <f>SUM(C22:C34)</f>
        <v>185</v>
      </c>
      <c r="D35" s="111">
        <f t="shared" ref="D35:E35" si="17">SUM(D22:D34)</f>
        <v>23</v>
      </c>
      <c r="E35" s="58">
        <f t="shared" si="17"/>
        <v>21</v>
      </c>
      <c r="F35" s="58">
        <f>SUM(F22:F34)</f>
        <v>187</v>
      </c>
      <c r="G35" s="201">
        <f>SUM(G22:H34)</f>
        <v>177</v>
      </c>
      <c r="H35" s="201"/>
      <c r="I35" s="59">
        <f>SUM(I22:I34)</f>
        <v>-10</v>
      </c>
      <c r="J35" s="68">
        <f>SUM(J22:J34)</f>
        <v>1649302</v>
      </c>
      <c r="K35" s="68">
        <f>SUM(K22:K34)</f>
        <v>1485084</v>
      </c>
      <c r="L35" s="200">
        <f>SUM(L22:M34)</f>
        <v>1004254</v>
      </c>
      <c r="M35" s="200"/>
      <c r="N35" s="200">
        <f>SUM(N22:O34)</f>
        <v>861102.00000000012</v>
      </c>
      <c r="O35" s="200"/>
      <c r="P35" s="200">
        <f>SUM(P22:Q34)</f>
        <v>143152</v>
      </c>
      <c r="Q35" s="200"/>
      <c r="R35" s="200">
        <f>SUM(R22:S34)</f>
        <v>120509</v>
      </c>
      <c r="S35" s="200"/>
      <c r="T35" s="200">
        <f>SUM(T22:U34)</f>
        <v>120509</v>
      </c>
      <c r="U35" s="200"/>
      <c r="V35" s="60">
        <f>SUM(V22:V34)</f>
        <v>0</v>
      </c>
      <c r="W35" s="207"/>
      <c r="X35" s="208"/>
      <c r="Y35" s="209"/>
    </row>
    <row r="37" spans="1:25" x14ac:dyDescent="0.25">
      <c r="K37" s="100"/>
    </row>
    <row r="38" spans="1:25" ht="21" x14ac:dyDescent="0.35">
      <c r="A38" s="25" t="s">
        <v>63</v>
      </c>
      <c r="B38" s="25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ht="18.75" x14ac:dyDescent="0.25">
      <c r="A39" s="163" t="s">
        <v>1</v>
      </c>
      <c r="B39" s="163" t="s">
        <v>38</v>
      </c>
      <c r="C39" s="166" t="s">
        <v>39</v>
      </c>
      <c r="D39" s="166"/>
      <c r="E39" s="166"/>
      <c r="F39" s="166"/>
      <c r="G39" s="155" t="s">
        <v>61</v>
      </c>
      <c r="H39" s="166" t="s">
        <v>62</v>
      </c>
      <c r="I39" s="155" t="s">
        <v>41</v>
      </c>
      <c r="J39" s="155"/>
      <c r="K39" s="164" t="s">
        <v>60</v>
      </c>
      <c r="L39" s="155" t="s">
        <v>44</v>
      </c>
      <c r="M39" s="155"/>
      <c r="N39" s="166" t="s">
        <v>57</v>
      </c>
      <c r="O39" s="166"/>
      <c r="P39" s="166" t="s">
        <v>53</v>
      </c>
      <c r="Q39" s="166"/>
      <c r="R39" s="155" t="s">
        <v>59</v>
      </c>
      <c r="S39" s="155"/>
      <c r="T39" s="155" t="s">
        <v>58</v>
      </c>
      <c r="U39" s="155"/>
      <c r="V39" s="166" t="s">
        <v>74</v>
      </c>
      <c r="W39" s="166" t="s">
        <v>43</v>
      </c>
      <c r="X39" s="166"/>
      <c r="Y39" s="166"/>
    </row>
    <row r="40" spans="1:25" ht="18.75" x14ac:dyDescent="0.25">
      <c r="A40" s="163"/>
      <c r="B40" s="163"/>
      <c r="C40" s="44" t="s">
        <v>65</v>
      </c>
      <c r="D40" s="44" t="s">
        <v>66</v>
      </c>
      <c r="E40" s="126" t="s">
        <v>67</v>
      </c>
      <c r="F40" s="126" t="s">
        <v>68</v>
      </c>
      <c r="G40" s="155"/>
      <c r="H40" s="166"/>
      <c r="I40" s="155"/>
      <c r="J40" s="155"/>
      <c r="K40" s="165"/>
      <c r="L40" s="155"/>
      <c r="M40" s="155"/>
      <c r="N40" s="166"/>
      <c r="O40" s="166"/>
      <c r="P40" s="166"/>
      <c r="Q40" s="166"/>
      <c r="R40" s="155"/>
      <c r="S40" s="155"/>
      <c r="T40" s="155"/>
      <c r="U40" s="155"/>
      <c r="V40" s="166"/>
      <c r="W40" s="166"/>
      <c r="X40" s="166"/>
      <c r="Y40" s="166"/>
    </row>
    <row r="41" spans="1:25" ht="37.5" customHeight="1" x14ac:dyDescent="0.3">
      <c r="A41" s="2">
        <v>1</v>
      </c>
      <c r="B41" s="123" t="str">
        <f>B22</f>
        <v>SALARY -STAFF - BANK</v>
      </c>
      <c r="C41" s="32">
        <v>14</v>
      </c>
      <c r="D41" s="32">
        <v>1</v>
      </c>
      <c r="E41" s="32">
        <v>1</v>
      </c>
      <c r="F41" s="32">
        <f t="shared" ref="F41:F44" si="18">C41+D41-E41</f>
        <v>14</v>
      </c>
      <c r="G41" s="125">
        <v>10</v>
      </c>
      <c r="H41" s="116">
        <f t="shared" ref="H41:H53" si="19">G41-F41</f>
        <v>-4</v>
      </c>
      <c r="I41" s="203">
        <f>M4</f>
        <v>272276</v>
      </c>
      <c r="J41" s="203"/>
      <c r="K41" s="39">
        <v>0</v>
      </c>
      <c r="L41" s="144">
        <f>+I41-41500-32712-42500-22327-1</f>
        <v>133236</v>
      </c>
      <c r="M41" s="144"/>
      <c r="N41" s="144">
        <f>+I41+K41</f>
        <v>272276</v>
      </c>
      <c r="O41" s="144"/>
      <c r="P41" s="144">
        <f>+L41-N41</f>
        <v>-139040</v>
      </c>
      <c r="Q41" s="144"/>
      <c r="R41" s="204">
        <v>1196</v>
      </c>
      <c r="S41" s="205"/>
      <c r="T41" s="203">
        <v>1196</v>
      </c>
      <c r="U41" s="203"/>
      <c r="V41" s="57">
        <f>R41-T41</f>
        <v>0</v>
      </c>
      <c r="W41" s="202" t="s">
        <v>83</v>
      </c>
      <c r="X41" s="202"/>
      <c r="Y41" s="202"/>
    </row>
    <row r="42" spans="1:25" ht="39.200000000000003" customHeight="1" x14ac:dyDescent="0.3">
      <c r="A42" s="2">
        <v>2</v>
      </c>
      <c r="B42" s="123" t="str">
        <f t="shared" ref="B42:B53" si="20">B23</f>
        <v>SALARY - STAFF -2 BANK</v>
      </c>
      <c r="C42" s="32">
        <v>10</v>
      </c>
      <c r="D42" s="32"/>
      <c r="E42" s="32">
        <v>3</v>
      </c>
      <c r="F42" s="32">
        <f t="shared" si="18"/>
        <v>7</v>
      </c>
      <c r="G42" s="125">
        <v>6</v>
      </c>
      <c r="H42" s="116">
        <f t="shared" si="19"/>
        <v>-1</v>
      </c>
      <c r="I42" s="203">
        <f>M5</f>
        <v>93317</v>
      </c>
      <c r="J42" s="203"/>
      <c r="K42" s="39">
        <v>3386</v>
      </c>
      <c r="L42" s="144">
        <f>98415-22846+3386</f>
        <v>78955</v>
      </c>
      <c r="M42" s="144"/>
      <c r="N42" s="144">
        <f>+I42+K42</f>
        <v>96703</v>
      </c>
      <c r="O42" s="144"/>
      <c r="P42" s="144">
        <f>+L42-N42</f>
        <v>-17748</v>
      </c>
      <c r="Q42" s="144"/>
      <c r="R42" s="204">
        <v>594</v>
      </c>
      <c r="S42" s="205"/>
      <c r="T42" s="203">
        <v>594</v>
      </c>
      <c r="U42" s="203"/>
      <c r="V42" s="57">
        <f>R42-T42</f>
        <v>0</v>
      </c>
      <c r="W42" s="202" t="s">
        <v>71</v>
      </c>
      <c r="X42" s="202"/>
      <c r="Y42" s="202"/>
    </row>
    <row r="43" spans="1:25" ht="31.7" customHeight="1" x14ac:dyDescent="0.3">
      <c r="A43" s="2">
        <v>3</v>
      </c>
      <c r="B43" s="123" t="str">
        <f t="shared" si="20"/>
        <v>SALARY - STAFF-CHEQUE</v>
      </c>
      <c r="C43" s="32">
        <v>0</v>
      </c>
      <c r="D43" s="32">
        <v>2</v>
      </c>
      <c r="E43" s="32"/>
      <c r="F43" s="32">
        <f t="shared" si="18"/>
        <v>2</v>
      </c>
      <c r="G43" s="125">
        <v>2</v>
      </c>
      <c r="H43" s="116">
        <f t="shared" si="19"/>
        <v>0</v>
      </c>
      <c r="I43" s="203">
        <f t="shared" ref="I43:I53" si="21">M6</f>
        <v>0</v>
      </c>
      <c r="J43" s="203"/>
      <c r="K43" s="39">
        <v>0</v>
      </c>
      <c r="L43" s="144">
        <v>14673</v>
      </c>
      <c r="M43" s="144"/>
      <c r="N43" s="144">
        <f t="shared" ref="N43:N53" si="22">+I43+K43</f>
        <v>0</v>
      </c>
      <c r="O43" s="144"/>
      <c r="P43" s="144">
        <f>+L43-N43</f>
        <v>14673</v>
      </c>
      <c r="Q43" s="144"/>
      <c r="R43" s="204">
        <v>111</v>
      </c>
      <c r="S43" s="205"/>
      <c r="T43" s="203">
        <v>111</v>
      </c>
      <c r="U43" s="203"/>
      <c r="V43" s="57">
        <f t="shared" ref="V43:V53" si="23">R43-T43</f>
        <v>0</v>
      </c>
      <c r="W43" s="202"/>
      <c r="X43" s="202"/>
      <c r="Y43" s="202"/>
    </row>
    <row r="44" spans="1:25" ht="30.2" customHeight="1" x14ac:dyDescent="0.3">
      <c r="A44" s="2">
        <v>4</v>
      </c>
      <c r="B44" s="123" t="str">
        <f t="shared" si="20"/>
        <v>WAGES-PERMANENT - BANK</v>
      </c>
      <c r="C44" s="32">
        <v>7</v>
      </c>
      <c r="D44" s="32">
        <v>0</v>
      </c>
      <c r="E44" s="32">
        <v>0</v>
      </c>
      <c r="F44" s="32">
        <f t="shared" si="18"/>
        <v>7</v>
      </c>
      <c r="G44" s="125">
        <v>7</v>
      </c>
      <c r="H44" s="116">
        <f t="shared" si="19"/>
        <v>0</v>
      </c>
      <c r="I44" s="203">
        <f t="shared" si="21"/>
        <v>52824</v>
      </c>
      <c r="J44" s="203"/>
      <c r="K44" s="39">
        <v>1640</v>
      </c>
      <c r="L44" s="144">
        <v>83886</v>
      </c>
      <c r="M44" s="144"/>
      <c r="N44" s="144">
        <f>+I44+K44</f>
        <v>54464</v>
      </c>
      <c r="O44" s="144"/>
      <c r="P44" s="144">
        <f t="shared" ref="P44:P53" si="24">+L44-N44</f>
        <v>29422</v>
      </c>
      <c r="Q44" s="144"/>
      <c r="R44" s="204">
        <v>635</v>
      </c>
      <c r="S44" s="205"/>
      <c r="T44" s="203">
        <v>635</v>
      </c>
      <c r="U44" s="203"/>
      <c r="V44" s="57">
        <f t="shared" si="23"/>
        <v>0</v>
      </c>
      <c r="W44" s="202"/>
      <c r="X44" s="202"/>
      <c r="Y44" s="202"/>
    </row>
    <row r="45" spans="1:25" ht="32.25" customHeight="1" x14ac:dyDescent="0.3">
      <c r="A45" s="2">
        <v>5</v>
      </c>
      <c r="B45" s="123" t="str">
        <f>B26</f>
        <v>WAGES - CASUAL - BANK(OUTSIDE)</v>
      </c>
      <c r="C45" s="32">
        <v>72</v>
      </c>
      <c r="D45" s="32"/>
      <c r="E45" s="32">
        <v>6</v>
      </c>
      <c r="F45" s="32">
        <f>C45+D45-E45</f>
        <v>66</v>
      </c>
      <c r="G45" s="125">
        <v>66</v>
      </c>
      <c r="H45" s="116">
        <f t="shared" si="19"/>
        <v>0</v>
      </c>
      <c r="I45" s="203">
        <f t="shared" si="21"/>
        <v>361040</v>
      </c>
      <c r="J45" s="203"/>
      <c r="K45" s="39">
        <v>0</v>
      </c>
      <c r="L45" s="144">
        <v>364155</v>
      </c>
      <c r="M45" s="144"/>
      <c r="N45" s="158">
        <f>+I45+K45</f>
        <v>361040</v>
      </c>
      <c r="O45" s="159"/>
      <c r="P45" s="144">
        <f t="shared" si="24"/>
        <v>3115</v>
      </c>
      <c r="Q45" s="144"/>
      <c r="R45" s="204">
        <f>2760+56+1</f>
        <v>2817</v>
      </c>
      <c r="S45" s="205"/>
      <c r="T45" s="203">
        <f>2816+1</f>
        <v>2817</v>
      </c>
      <c r="U45" s="203"/>
      <c r="V45" s="57">
        <f t="shared" si="23"/>
        <v>0</v>
      </c>
      <c r="W45" s="202"/>
      <c r="X45" s="202"/>
      <c r="Y45" s="202"/>
    </row>
    <row r="46" spans="1:25" ht="37.5" x14ac:dyDescent="0.3">
      <c r="A46" s="2">
        <v>6</v>
      </c>
      <c r="B46" s="123" t="str">
        <f t="shared" si="20"/>
        <v>WAGES - CASUAL - CASH(OUTSIDE)</v>
      </c>
      <c r="C46" s="32">
        <v>25</v>
      </c>
      <c r="D46" s="32">
        <v>18</v>
      </c>
      <c r="E46" s="32">
        <v>3</v>
      </c>
      <c r="F46" s="32">
        <f t="shared" ref="F46:F49" si="25">C46+D46-E46</f>
        <v>40</v>
      </c>
      <c r="G46" s="125">
        <v>40</v>
      </c>
      <c r="H46" s="116">
        <f t="shared" si="19"/>
        <v>0</v>
      </c>
      <c r="I46" s="203">
        <f t="shared" si="21"/>
        <v>192690</v>
      </c>
      <c r="J46" s="203"/>
      <c r="K46" s="39">
        <v>12652</v>
      </c>
      <c r="L46" s="144">
        <f>205305+12652</f>
        <v>217957</v>
      </c>
      <c r="M46" s="144"/>
      <c r="N46" s="158">
        <f>+I46+K46</f>
        <v>205342</v>
      </c>
      <c r="O46" s="159"/>
      <c r="P46" s="144">
        <f t="shared" si="24"/>
        <v>12615</v>
      </c>
      <c r="Q46" s="144"/>
      <c r="R46" s="204">
        <f>1557+38</f>
        <v>1595</v>
      </c>
      <c r="S46" s="205"/>
      <c r="T46" s="203">
        <f>1557+38+1</f>
        <v>1596</v>
      </c>
      <c r="U46" s="203"/>
      <c r="V46" s="57">
        <f t="shared" si="23"/>
        <v>-1</v>
      </c>
      <c r="W46" s="202"/>
      <c r="X46" s="202"/>
      <c r="Y46" s="202"/>
    </row>
    <row r="47" spans="1:25" ht="30.2" customHeight="1" x14ac:dyDescent="0.3">
      <c r="A47" s="2">
        <v>7</v>
      </c>
      <c r="B47" s="123" t="str">
        <f>B28</f>
        <v>WAGES - CASUAL - CASH(INSIDE)</v>
      </c>
      <c r="C47" s="32">
        <v>20</v>
      </c>
      <c r="D47" s="32">
        <v>1</v>
      </c>
      <c r="E47" s="32">
        <v>6</v>
      </c>
      <c r="F47" s="32">
        <f t="shared" si="25"/>
        <v>15</v>
      </c>
      <c r="G47" s="125">
        <v>15</v>
      </c>
      <c r="H47" s="116">
        <f t="shared" si="19"/>
        <v>0</v>
      </c>
      <c r="I47" s="203">
        <f t="shared" si="21"/>
        <v>59100</v>
      </c>
      <c r="J47" s="203"/>
      <c r="K47" s="39">
        <v>20316</v>
      </c>
      <c r="L47" s="203">
        <f>47100+20316</f>
        <v>67416</v>
      </c>
      <c r="M47" s="203"/>
      <c r="N47" s="158">
        <f>+I47+K47</f>
        <v>79416</v>
      </c>
      <c r="O47" s="159"/>
      <c r="P47" s="144">
        <f>+L47-N47</f>
        <v>-12000</v>
      </c>
      <c r="Q47" s="144"/>
      <c r="R47" s="204">
        <f>356</f>
        <v>356</v>
      </c>
      <c r="S47" s="205"/>
      <c r="T47" s="203">
        <f>356+1</f>
        <v>357</v>
      </c>
      <c r="U47" s="203"/>
      <c r="V47" s="57">
        <f t="shared" si="23"/>
        <v>-1</v>
      </c>
      <c r="W47" s="202"/>
      <c r="X47" s="202"/>
      <c r="Y47" s="202"/>
    </row>
    <row r="48" spans="1:25" ht="33" customHeight="1" x14ac:dyDescent="0.3">
      <c r="A48" s="2">
        <v>8</v>
      </c>
      <c r="B48" s="123" t="str">
        <f t="shared" si="20"/>
        <v>WAGES - CASUAL - BANK(INSIDE)</v>
      </c>
      <c r="C48" s="32">
        <v>18</v>
      </c>
      <c r="D48" s="32"/>
      <c r="E48" s="32">
        <v>0</v>
      </c>
      <c r="F48" s="32">
        <f t="shared" si="25"/>
        <v>18</v>
      </c>
      <c r="G48" s="125">
        <v>18</v>
      </c>
      <c r="H48" s="116">
        <f t="shared" si="19"/>
        <v>0</v>
      </c>
      <c r="I48" s="203">
        <f t="shared" si="21"/>
        <v>114110</v>
      </c>
      <c r="J48" s="203"/>
      <c r="K48" s="39"/>
      <c r="L48" s="203">
        <v>135320</v>
      </c>
      <c r="M48" s="203"/>
      <c r="N48" s="144">
        <f>+I48+K48</f>
        <v>114110</v>
      </c>
      <c r="O48" s="144"/>
      <c r="P48" s="144">
        <f>+L48-N48</f>
        <v>21210</v>
      </c>
      <c r="Q48" s="144"/>
      <c r="R48" s="204">
        <f>1023+152+1</f>
        <v>1176</v>
      </c>
      <c r="S48" s="205"/>
      <c r="T48" s="203">
        <f>1175+1</f>
        <v>1176</v>
      </c>
      <c r="U48" s="203"/>
      <c r="V48" s="57">
        <f t="shared" si="23"/>
        <v>0</v>
      </c>
      <c r="W48" s="230"/>
      <c r="X48" s="231"/>
      <c r="Y48" s="232"/>
    </row>
    <row r="49" spans="1:25" ht="29.25" customHeight="1" x14ac:dyDescent="0.3">
      <c r="A49" s="2">
        <v>8</v>
      </c>
      <c r="B49" s="123" t="str">
        <f t="shared" si="20"/>
        <v>WAGES - SECUR &amp; GARDEN - CHQ</v>
      </c>
      <c r="C49" s="32">
        <v>0</v>
      </c>
      <c r="D49" s="32">
        <v>1</v>
      </c>
      <c r="E49" s="32">
        <v>0</v>
      </c>
      <c r="F49" s="32">
        <f t="shared" si="25"/>
        <v>1</v>
      </c>
      <c r="G49" s="125">
        <v>1</v>
      </c>
      <c r="H49" s="116">
        <f>G49-F49</f>
        <v>0</v>
      </c>
      <c r="I49" s="203">
        <f t="shared" si="21"/>
        <v>0</v>
      </c>
      <c r="J49" s="203"/>
      <c r="K49" s="39">
        <v>0</v>
      </c>
      <c r="L49" s="144">
        <v>6400</v>
      </c>
      <c r="M49" s="144"/>
      <c r="N49" s="144">
        <f t="shared" si="22"/>
        <v>0</v>
      </c>
      <c r="O49" s="144"/>
      <c r="P49" s="144">
        <f t="shared" si="24"/>
        <v>6400</v>
      </c>
      <c r="Q49" s="144"/>
      <c r="R49" s="204">
        <v>48</v>
      </c>
      <c r="S49" s="205"/>
      <c r="T49" s="203">
        <v>48</v>
      </c>
      <c r="U49" s="203"/>
      <c r="V49" s="57">
        <f t="shared" si="23"/>
        <v>0</v>
      </c>
      <c r="W49" s="202"/>
      <c r="X49" s="202"/>
      <c r="Y49" s="202"/>
    </row>
    <row r="50" spans="1:25" ht="30.75" customHeight="1" x14ac:dyDescent="0.3">
      <c r="A50" s="2">
        <v>9</v>
      </c>
      <c r="B50" s="123" t="str">
        <f t="shared" si="20"/>
        <v>WAGES - SECUR &amp; GARDEN - BANK</v>
      </c>
      <c r="C50" s="116">
        <v>8</v>
      </c>
      <c r="D50" s="116"/>
      <c r="E50" s="116">
        <v>2</v>
      </c>
      <c r="F50" s="116">
        <f>C50+D50-E50</f>
        <v>6</v>
      </c>
      <c r="G50" s="125">
        <v>6</v>
      </c>
      <c r="H50" s="116">
        <f t="shared" si="19"/>
        <v>0</v>
      </c>
      <c r="I50" s="203">
        <f t="shared" si="21"/>
        <v>57829</v>
      </c>
      <c r="J50" s="203"/>
      <c r="K50" s="39">
        <v>0</v>
      </c>
      <c r="L50" s="144">
        <v>56996</v>
      </c>
      <c r="M50" s="144"/>
      <c r="N50" s="144">
        <f>+I50+K50</f>
        <v>57829</v>
      </c>
      <c r="O50" s="144"/>
      <c r="P50" s="144">
        <f t="shared" si="24"/>
        <v>-833</v>
      </c>
      <c r="Q50" s="144"/>
      <c r="R50" s="204">
        <v>431</v>
      </c>
      <c r="S50" s="205"/>
      <c r="T50" s="203">
        <v>431</v>
      </c>
      <c r="U50" s="203"/>
      <c r="V50" s="57">
        <f t="shared" si="23"/>
        <v>0</v>
      </c>
      <c r="W50" s="202"/>
      <c r="X50" s="202"/>
      <c r="Y50" s="202"/>
    </row>
    <row r="51" spans="1:25" ht="35.450000000000003" customHeight="1" x14ac:dyDescent="0.3">
      <c r="A51" s="2">
        <v>10</v>
      </c>
      <c r="B51" s="123" t="str">
        <f t="shared" si="20"/>
        <v>JMD</v>
      </c>
      <c r="C51" s="116">
        <v>1</v>
      </c>
      <c r="D51" s="116"/>
      <c r="E51" s="116"/>
      <c r="F51" s="116">
        <f t="shared" ref="F51:F53" si="26">C51+D51-E51</f>
        <v>1</v>
      </c>
      <c r="G51" s="125">
        <v>0</v>
      </c>
      <c r="H51" s="116">
        <f t="shared" si="19"/>
        <v>-1</v>
      </c>
      <c r="I51" s="203">
        <f t="shared" si="21"/>
        <v>200000</v>
      </c>
      <c r="J51" s="203"/>
      <c r="K51" s="39">
        <v>0</v>
      </c>
      <c r="L51" s="158">
        <v>0</v>
      </c>
      <c r="M51" s="159"/>
      <c r="N51" s="144">
        <f t="shared" si="22"/>
        <v>200000</v>
      </c>
      <c r="O51" s="144"/>
      <c r="P51" s="144">
        <f t="shared" si="24"/>
        <v>-200000</v>
      </c>
      <c r="Q51" s="144"/>
      <c r="R51" s="204">
        <v>0</v>
      </c>
      <c r="S51" s="205"/>
      <c r="T51" s="204"/>
      <c r="U51" s="205"/>
      <c r="V51" s="57">
        <f t="shared" si="23"/>
        <v>0</v>
      </c>
      <c r="W51" s="206" t="s">
        <v>71</v>
      </c>
      <c r="X51" s="206"/>
      <c r="Y51" s="206"/>
    </row>
    <row r="52" spans="1:25" ht="33" customHeight="1" x14ac:dyDescent="0.3">
      <c r="A52" s="2">
        <v>11</v>
      </c>
      <c r="B52" s="123" t="str">
        <f t="shared" si="20"/>
        <v>EXEMPTED - BANK</v>
      </c>
      <c r="C52" s="32">
        <v>6</v>
      </c>
      <c r="D52" s="32">
        <v>0</v>
      </c>
      <c r="E52" s="32">
        <v>0</v>
      </c>
      <c r="F52" s="32">
        <f t="shared" si="26"/>
        <v>6</v>
      </c>
      <c r="G52" s="125"/>
      <c r="H52" s="116">
        <f t="shared" si="19"/>
        <v>-6</v>
      </c>
      <c r="I52" s="203">
        <f>M15</f>
        <v>128199</v>
      </c>
      <c r="J52" s="203"/>
      <c r="K52" s="39">
        <v>0</v>
      </c>
      <c r="L52" s="144">
        <v>0</v>
      </c>
      <c r="M52" s="144"/>
      <c r="N52" s="144">
        <f t="shared" si="22"/>
        <v>128199</v>
      </c>
      <c r="O52" s="144"/>
      <c r="P52" s="144">
        <f t="shared" si="24"/>
        <v>-128199</v>
      </c>
      <c r="Q52" s="144"/>
      <c r="R52" s="204">
        <v>0</v>
      </c>
      <c r="S52" s="205"/>
      <c r="T52" s="203">
        <v>0</v>
      </c>
      <c r="U52" s="203"/>
      <c r="V52" s="57">
        <f t="shared" si="23"/>
        <v>0</v>
      </c>
      <c r="W52" s="202"/>
      <c r="X52" s="202"/>
      <c r="Y52" s="202"/>
    </row>
    <row r="53" spans="1:25" ht="28.5" customHeight="1" x14ac:dyDescent="0.3">
      <c r="A53" s="2">
        <v>12</v>
      </c>
      <c r="B53" s="123" t="str">
        <f t="shared" si="20"/>
        <v>EXEMPTED - CHEQUE</v>
      </c>
      <c r="C53" s="32">
        <v>4</v>
      </c>
      <c r="D53" s="32">
        <v>0</v>
      </c>
      <c r="E53" s="32">
        <v>0</v>
      </c>
      <c r="F53" s="32">
        <f t="shared" si="26"/>
        <v>4</v>
      </c>
      <c r="G53" s="125">
        <v>0</v>
      </c>
      <c r="H53" s="116">
        <f t="shared" si="19"/>
        <v>-4</v>
      </c>
      <c r="I53" s="203">
        <f t="shared" si="21"/>
        <v>74985</v>
      </c>
      <c r="J53" s="203"/>
      <c r="K53" s="39">
        <v>0</v>
      </c>
      <c r="L53" s="144">
        <v>0</v>
      </c>
      <c r="M53" s="144"/>
      <c r="N53" s="144">
        <f t="shared" si="22"/>
        <v>74985</v>
      </c>
      <c r="O53" s="144"/>
      <c r="P53" s="144">
        <f t="shared" si="24"/>
        <v>-74985</v>
      </c>
      <c r="Q53" s="144"/>
      <c r="R53" s="204">
        <v>0</v>
      </c>
      <c r="S53" s="205"/>
      <c r="T53" s="203">
        <v>0</v>
      </c>
      <c r="U53" s="203"/>
      <c r="V53" s="57">
        <f t="shared" si="23"/>
        <v>0</v>
      </c>
      <c r="W53" s="202"/>
      <c r="X53" s="202"/>
      <c r="Y53" s="202"/>
    </row>
    <row r="54" spans="1:25" ht="30.75" customHeight="1" x14ac:dyDescent="0.25">
      <c r="A54" s="18"/>
      <c r="B54" s="22" t="s">
        <v>47</v>
      </c>
      <c r="C54" s="58">
        <f t="shared" ref="C54:H54" si="27">SUM(C41:C53)</f>
        <v>185</v>
      </c>
      <c r="D54" s="58">
        <f t="shared" si="27"/>
        <v>23</v>
      </c>
      <c r="E54" s="58">
        <f t="shared" si="27"/>
        <v>21</v>
      </c>
      <c r="F54" s="58">
        <f>SUM(F41:F53)</f>
        <v>187</v>
      </c>
      <c r="G54" s="58">
        <f>SUM(G41:G53)</f>
        <v>171</v>
      </c>
      <c r="H54" s="58">
        <f t="shared" si="27"/>
        <v>-16</v>
      </c>
      <c r="I54" s="199">
        <f>SUM(I41:K53)</f>
        <v>1644364</v>
      </c>
      <c r="J54" s="199"/>
      <c r="K54" s="62">
        <f>SUM(K41:K53)</f>
        <v>37994</v>
      </c>
      <c r="L54" s="200">
        <f>SUM(L41:M53)</f>
        <v>1158994</v>
      </c>
      <c r="M54" s="200"/>
      <c r="N54" s="201">
        <f>SUM(N41:O53)</f>
        <v>1644364</v>
      </c>
      <c r="O54" s="201"/>
      <c r="P54" s="201">
        <f>SUM(P41:Q53)</f>
        <v>-485370</v>
      </c>
      <c r="Q54" s="201"/>
      <c r="R54" s="201">
        <f>SUM(R41:S53)</f>
        <v>8959</v>
      </c>
      <c r="S54" s="201"/>
      <c r="T54" s="201">
        <f>SUM(T41:U53)</f>
        <v>8961</v>
      </c>
      <c r="U54" s="201"/>
      <c r="V54" s="60">
        <f>SUM(V41:V53)</f>
        <v>-2</v>
      </c>
      <c r="W54" s="198"/>
      <c r="X54" s="198"/>
      <c r="Y54" s="198"/>
    </row>
  </sheetData>
  <mergeCells count="234">
    <mergeCell ref="V2:W2"/>
    <mergeCell ref="X2:X3"/>
    <mergeCell ref="Y2:Y3"/>
    <mergeCell ref="A17:B17"/>
    <mergeCell ref="A20:A21"/>
    <mergeCell ref="B20:B21"/>
    <mergeCell ref="C20:F20"/>
    <mergeCell ref="G20:H21"/>
    <mergeCell ref="I20:I21"/>
    <mergeCell ref="J20:J21"/>
    <mergeCell ref="A2:A3"/>
    <mergeCell ref="B2:B3"/>
    <mergeCell ref="C2:F2"/>
    <mergeCell ref="G2:G3"/>
    <mergeCell ref="H2:M2"/>
    <mergeCell ref="N2:U2"/>
    <mergeCell ref="V20:V21"/>
    <mergeCell ref="W20:Y21"/>
    <mergeCell ref="G22:H22"/>
    <mergeCell ref="L22:M22"/>
    <mergeCell ref="N22:O22"/>
    <mergeCell ref="P22:Q22"/>
    <mergeCell ref="R22:S22"/>
    <mergeCell ref="T22:U22"/>
    <mergeCell ref="W22:Y22"/>
    <mergeCell ref="K20:K21"/>
    <mergeCell ref="L20:M21"/>
    <mergeCell ref="N20:O21"/>
    <mergeCell ref="P20:Q21"/>
    <mergeCell ref="R20:S21"/>
    <mergeCell ref="T20:U21"/>
    <mergeCell ref="W23:Y23"/>
    <mergeCell ref="G24:H24"/>
    <mergeCell ref="L24:M24"/>
    <mergeCell ref="N24:O24"/>
    <mergeCell ref="P24:Q24"/>
    <mergeCell ref="R24:S24"/>
    <mergeCell ref="T24:U24"/>
    <mergeCell ref="W24:Y24"/>
    <mergeCell ref="G23:H23"/>
    <mergeCell ref="L23:M23"/>
    <mergeCell ref="N23:O23"/>
    <mergeCell ref="P23:Q23"/>
    <mergeCell ref="R23:S23"/>
    <mergeCell ref="T23:U23"/>
    <mergeCell ref="W25:Y25"/>
    <mergeCell ref="G26:H26"/>
    <mergeCell ref="L26:M26"/>
    <mergeCell ref="N26:O26"/>
    <mergeCell ref="P26:Q26"/>
    <mergeCell ref="R26:S26"/>
    <mergeCell ref="T26:U26"/>
    <mergeCell ref="W26:Y26"/>
    <mergeCell ref="G25:H25"/>
    <mergeCell ref="L25:M25"/>
    <mergeCell ref="N25:O25"/>
    <mergeCell ref="P25:Q25"/>
    <mergeCell ref="R25:S25"/>
    <mergeCell ref="T25:U25"/>
    <mergeCell ref="W27:Y27"/>
    <mergeCell ref="G28:H28"/>
    <mergeCell ref="L28:M28"/>
    <mergeCell ref="N28:O28"/>
    <mergeCell ref="P28:Q28"/>
    <mergeCell ref="R28:S28"/>
    <mergeCell ref="T28:U28"/>
    <mergeCell ref="W28:Y28"/>
    <mergeCell ref="G27:H27"/>
    <mergeCell ref="L27:M27"/>
    <mergeCell ref="N27:O27"/>
    <mergeCell ref="P27:Q27"/>
    <mergeCell ref="R27:S27"/>
    <mergeCell ref="T27:U27"/>
    <mergeCell ref="W29:Y29"/>
    <mergeCell ref="G30:H30"/>
    <mergeCell ref="L30:M30"/>
    <mergeCell ref="N30:O30"/>
    <mergeCell ref="P30:Q30"/>
    <mergeCell ref="R30:S30"/>
    <mergeCell ref="T30:U30"/>
    <mergeCell ref="W30:Y30"/>
    <mergeCell ref="G29:H29"/>
    <mergeCell ref="L29:M29"/>
    <mergeCell ref="N29:O29"/>
    <mergeCell ref="P29:Q29"/>
    <mergeCell ref="R29:S29"/>
    <mergeCell ref="T29:U29"/>
    <mergeCell ref="W31:Y31"/>
    <mergeCell ref="G32:H32"/>
    <mergeCell ref="L32:M32"/>
    <mergeCell ref="N32:O32"/>
    <mergeCell ref="P32:Q32"/>
    <mergeCell ref="R32:S32"/>
    <mergeCell ref="T32:U32"/>
    <mergeCell ref="W32:Y32"/>
    <mergeCell ref="G31:H31"/>
    <mergeCell ref="L31:M31"/>
    <mergeCell ref="N31:O31"/>
    <mergeCell ref="P31:Q31"/>
    <mergeCell ref="R31:S31"/>
    <mergeCell ref="T31:U31"/>
    <mergeCell ref="W33:Y33"/>
    <mergeCell ref="G34:H34"/>
    <mergeCell ref="L34:M34"/>
    <mergeCell ref="N34:O34"/>
    <mergeCell ref="P34:Q34"/>
    <mergeCell ref="R34:S34"/>
    <mergeCell ref="T34:U34"/>
    <mergeCell ref="W34:Y34"/>
    <mergeCell ref="G33:H33"/>
    <mergeCell ref="L33:M33"/>
    <mergeCell ref="N33:O33"/>
    <mergeCell ref="P33:Q33"/>
    <mergeCell ref="R33:S33"/>
    <mergeCell ref="T33:U33"/>
    <mergeCell ref="W35:Y35"/>
    <mergeCell ref="A39:A40"/>
    <mergeCell ref="B39:B40"/>
    <mergeCell ref="C39:F39"/>
    <mergeCell ref="G39:G40"/>
    <mergeCell ref="H39:H40"/>
    <mergeCell ref="I39:J40"/>
    <mergeCell ref="K39:K40"/>
    <mergeCell ref="L39:M40"/>
    <mergeCell ref="N39:O40"/>
    <mergeCell ref="G35:H35"/>
    <mergeCell ref="L35:M35"/>
    <mergeCell ref="N35:O35"/>
    <mergeCell ref="P35:Q35"/>
    <mergeCell ref="R35:S35"/>
    <mergeCell ref="T35:U35"/>
    <mergeCell ref="P39:Q40"/>
    <mergeCell ref="R39:S40"/>
    <mergeCell ref="T39:U40"/>
    <mergeCell ref="V39:V40"/>
    <mergeCell ref="W39:Y40"/>
    <mergeCell ref="I41:J41"/>
    <mergeCell ref="L41:M41"/>
    <mergeCell ref="N41:O41"/>
    <mergeCell ref="P41:Q41"/>
    <mergeCell ref="R41:S41"/>
    <mergeCell ref="T41:U41"/>
    <mergeCell ref="W41:Y41"/>
    <mergeCell ref="I42:J42"/>
    <mergeCell ref="L42:M42"/>
    <mergeCell ref="N42:O42"/>
    <mergeCell ref="P42:Q42"/>
    <mergeCell ref="R42:S42"/>
    <mergeCell ref="T42:U42"/>
    <mergeCell ref="W42:Y42"/>
    <mergeCell ref="W43:Y43"/>
    <mergeCell ref="I44:J44"/>
    <mergeCell ref="L44:M44"/>
    <mergeCell ref="N44:O44"/>
    <mergeCell ref="P44:Q44"/>
    <mergeCell ref="R44:S44"/>
    <mergeCell ref="T44:U44"/>
    <mergeCell ref="W44:Y44"/>
    <mergeCell ref="I43:J43"/>
    <mergeCell ref="L43:M43"/>
    <mergeCell ref="N43:O43"/>
    <mergeCell ref="P43:Q43"/>
    <mergeCell ref="R43:S43"/>
    <mergeCell ref="T43:U43"/>
    <mergeCell ref="W45:Y45"/>
    <mergeCell ref="I46:J46"/>
    <mergeCell ref="L46:M46"/>
    <mergeCell ref="N46:O46"/>
    <mergeCell ref="P46:Q46"/>
    <mergeCell ref="R46:S46"/>
    <mergeCell ref="T46:U46"/>
    <mergeCell ref="W46:Y46"/>
    <mergeCell ref="I45:J45"/>
    <mergeCell ref="L45:M45"/>
    <mergeCell ref="N45:O45"/>
    <mergeCell ref="P45:Q45"/>
    <mergeCell ref="R45:S45"/>
    <mergeCell ref="T45:U45"/>
    <mergeCell ref="W47:Y47"/>
    <mergeCell ref="I48:J48"/>
    <mergeCell ref="L48:M48"/>
    <mergeCell ref="N48:O48"/>
    <mergeCell ref="P48:Q48"/>
    <mergeCell ref="R48:S48"/>
    <mergeCell ref="T48:U48"/>
    <mergeCell ref="W48:Y48"/>
    <mergeCell ref="I47:J47"/>
    <mergeCell ref="L47:M47"/>
    <mergeCell ref="N47:O47"/>
    <mergeCell ref="P47:Q47"/>
    <mergeCell ref="R47:S47"/>
    <mergeCell ref="T47:U47"/>
    <mergeCell ref="W49:Y49"/>
    <mergeCell ref="I50:J50"/>
    <mergeCell ref="L50:M50"/>
    <mergeCell ref="N50:O50"/>
    <mergeCell ref="P50:Q50"/>
    <mergeCell ref="R50:S50"/>
    <mergeCell ref="T50:U50"/>
    <mergeCell ref="W50:Y50"/>
    <mergeCell ref="I49:J49"/>
    <mergeCell ref="L49:M49"/>
    <mergeCell ref="N49:O49"/>
    <mergeCell ref="P49:Q49"/>
    <mergeCell ref="R49:S49"/>
    <mergeCell ref="T49:U49"/>
    <mergeCell ref="W51:Y51"/>
    <mergeCell ref="I52:J52"/>
    <mergeCell ref="L52:M52"/>
    <mergeCell ref="N52:O52"/>
    <mergeCell ref="P52:Q52"/>
    <mergeCell ref="R52:S52"/>
    <mergeCell ref="T52:U52"/>
    <mergeCell ref="W52:Y52"/>
    <mergeCell ref="I51:J51"/>
    <mergeCell ref="L51:M51"/>
    <mergeCell ref="N51:O51"/>
    <mergeCell ref="P51:Q51"/>
    <mergeCell ref="R51:S51"/>
    <mergeCell ref="T51:U51"/>
    <mergeCell ref="W53:Y53"/>
    <mergeCell ref="I54:J54"/>
    <mergeCell ref="L54:M54"/>
    <mergeCell ref="N54:O54"/>
    <mergeCell ref="P54:Q54"/>
    <mergeCell ref="R54:S54"/>
    <mergeCell ref="T54:U54"/>
    <mergeCell ref="W54:Y54"/>
    <mergeCell ref="I53:J53"/>
    <mergeCell ref="L53:M53"/>
    <mergeCell ref="N53:O53"/>
    <mergeCell ref="P53:Q53"/>
    <mergeCell ref="R53:S53"/>
    <mergeCell ref="T53:U5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6"/>
  <sheetViews>
    <sheetView tabSelected="1" topLeftCell="G34" zoomScaleNormal="100" workbookViewId="0">
      <selection activeCell="V41" sqref="V41"/>
    </sheetView>
  </sheetViews>
  <sheetFormatPr defaultRowHeight="15" x14ac:dyDescent="0.25"/>
  <cols>
    <col min="1" max="1" width="6.42578125" customWidth="1"/>
    <col min="2" max="2" width="33.28515625" customWidth="1"/>
    <col min="3" max="6" width="9.140625" customWidth="1"/>
    <col min="7" max="8" width="10" customWidth="1"/>
    <col min="9" max="9" width="10.42578125" customWidth="1"/>
    <col min="10" max="10" width="15.5703125" customWidth="1"/>
    <col min="11" max="11" width="15.28515625" customWidth="1"/>
    <col min="12" max="12" width="9.140625" customWidth="1"/>
    <col min="13" max="13" width="15.42578125" customWidth="1"/>
    <col min="14" max="25" width="9.140625" customWidth="1"/>
    <col min="26" max="26" width="10.7109375" customWidth="1"/>
    <col min="27" max="27" width="9.28515625" bestFit="1" customWidth="1"/>
    <col min="28" max="28" width="12.85546875" style="63" customWidth="1"/>
  </cols>
  <sheetData>
    <row r="1" spans="1:28" ht="18.75" x14ac:dyDescent="0.3">
      <c r="A1" s="14" t="s">
        <v>97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22.33</v>
      </c>
    </row>
    <row r="2" spans="1:28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9" t="s">
        <v>9</v>
      </c>
      <c r="Z2" s="237" t="s">
        <v>99</v>
      </c>
      <c r="AA2" s="237" t="s">
        <v>98</v>
      </c>
      <c r="AB2" s="238" t="s">
        <v>37</v>
      </c>
    </row>
    <row r="3" spans="1:28" ht="37.5" x14ac:dyDescent="0.25">
      <c r="A3" s="172"/>
      <c r="B3" s="172"/>
      <c r="C3" s="130" t="s">
        <v>65</v>
      </c>
      <c r="D3" s="64" t="s">
        <v>66</v>
      </c>
      <c r="E3" s="64" t="s">
        <v>67</v>
      </c>
      <c r="F3" s="50" t="s">
        <v>68</v>
      </c>
      <c r="G3" s="215"/>
      <c r="H3" s="130" t="s">
        <v>10</v>
      </c>
      <c r="I3" s="130" t="s">
        <v>11</v>
      </c>
      <c r="J3" s="130" t="s">
        <v>12</v>
      </c>
      <c r="K3" s="130" t="s">
        <v>13</v>
      </c>
      <c r="L3" s="130" t="s">
        <v>55</v>
      </c>
      <c r="M3" s="130" t="s">
        <v>14</v>
      </c>
      <c r="N3" s="130" t="s">
        <v>15</v>
      </c>
      <c r="O3" s="130" t="s">
        <v>16</v>
      </c>
      <c r="P3" s="130" t="s">
        <v>56</v>
      </c>
      <c r="Q3" s="130" t="s">
        <v>17</v>
      </c>
      <c r="R3" s="130" t="s">
        <v>18</v>
      </c>
      <c r="S3" s="130" t="s">
        <v>19</v>
      </c>
      <c r="T3" s="130" t="s">
        <v>20</v>
      </c>
      <c r="U3" s="130" t="s">
        <v>21</v>
      </c>
      <c r="V3" s="130" t="s">
        <v>22</v>
      </c>
      <c r="W3" s="130" t="s">
        <v>23</v>
      </c>
      <c r="X3" s="215"/>
      <c r="Y3" s="219"/>
      <c r="Z3" s="237"/>
      <c r="AA3" s="237"/>
      <c r="AB3" s="238"/>
    </row>
    <row r="4" spans="1:28" ht="30" customHeight="1" x14ac:dyDescent="0.3">
      <c r="A4" s="2">
        <v>1</v>
      </c>
      <c r="B4" s="3" t="s">
        <v>24</v>
      </c>
      <c r="C4" s="32">
        <v>14</v>
      </c>
      <c r="D4" s="32">
        <v>1</v>
      </c>
      <c r="E4" s="32">
        <v>1</v>
      </c>
      <c r="F4" s="32">
        <f t="shared" ref="F4:F16" si="0">C4+D4-E4</f>
        <v>14</v>
      </c>
      <c r="G4" s="9">
        <v>322</v>
      </c>
      <c r="H4" s="8">
        <v>163757</v>
      </c>
      <c r="I4" s="8"/>
      <c r="J4" s="8">
        <v>78766</v>
      </c>
      <c r="K4" s="8">
        <v>13473</v>
      </c>
      <c r="L4" s="8">
        <v>13473</v>
      </c>
      <c r="M4" s="51">
        <f>SUM(H4:L4)+1</f>
        <v>269470</v>
      </c>
      <c r="N4" s="8">
        <v>19650</v>
      </c>
      <c r="O4" s="8">
        <v>996</v>
      </c>
      <c r="P4" s="8"/>
      <c r="Q4" s="8"/>
      <c r="R4" s="8"/>
      <c r="S4" s="8">
        <v>21000</v>
      </c>
      <c r="T4" s="8">
        <v>0</v>
      </c>
      <c r="U4" s="51">
        <f>SUM(N4:T4)</f>
        <v>41646</v>
      </c>
      <c r="V4" s="8" t="s">
        <v>25</v>
      </c>
      <c r="W4" s="8">
        <v>4783</v>
      </c>
      <c r="X4" s="8">
        <v>2</v>
      </c>
      <c r="Y4" s="134">
        <f>M4-U4+X4+W4</f>
        <v>232609</v>
      </c>
      <c r="Z4" s="136">
        <v>0</v>
      </c>
      <c r="AA4" s="137">
        <v>0</v>
      </c>
      <c r="AB4" s="139">
        <f>+Y4+AA4</f>
        <v>232609</v>
      </c>
    </row>
    <row r="5" spans="1:28" ht="31.5" customHeight="1" x14ac:dyDescent="0.3">
      <c r="A5" s="2">
        <v>2</v>
      </c>
      <c r="B5" s="3" t="s">
        <v>94</v>
      </c>
      <c r="C5" s="32">
        <v>7</v>
      </c>
      <c r="D5" s="32"/>
      <c r="E5" s="32">
        <v>0</v>
      </c>
      <c r="F5" s="32">
        <f t="shared" si="0"/>
        <v>7</v>
      </c>
      <c r="G5" s="9">
        <v>182</v>
      </c>
      <c r="H5" s="8">
        <v>58494</v>
      </c>
      <c r="I5" s="8"/>
      <c r="J5" s="8">
        <v>29247</v>
      </c>
      <c r="K5" s="8">
        <v>4875</v>
      </c>
      <c r="L5" s="8">
        <v>4875</v>
      </c>
      <c r="M5" s="51">
        <f>SUM(H5:L5)-1</f>
        <v>97490</v>
      </c>
      <c r="N5" s="8">
        <v>7019</v>
      </c>
      <c r="O5" s="8">
        <v>563</v>
      </c>
      <c r="P5" s="8"/>
      <c r="Q5" s="8">
        <v>0</v>
      </c>
      <c r="R5" s="8"/>
      <c r="S5" s="8">
        <v>5400</v>
      </c>
      <c r="T5" s="8"/>
      <c r="U5" s="51">
        <f>SUM(N5:T5)</f>
        <v>12982</v>
      </c>
      <c r="V5" s="8" t="s">
        <v>25</v>
      </c>
      <c r="W5" s="8">
        <v>1812</v>
      </c>
      <c r="X5" s="8">
        <v>0</v>
      </c>
      <c r="Y5" s="134">
        <f>M5-U5+X5+W5</f>
        <v>86320</v>
      </c>
      <c r="Z5" s="136"/>
      <c r="AA5" s="136"/>
      <c r="AB5" s="139">
        <f>+Y5+AA5</f>
        <v>86320</v>
      </c>
    </row>
    <row r="6" spans="1:28" ht="34.5" customHeight="1" x14ac:dyDescent="0.3">
      <c r="A6" s="2">
        <v>3</v>
      </c>
      <c r="B6" s="3" t="s">
        <v>27</v>
      </c>
      <c r="C6" s="32">
        <v>2</v>
      </c>
      <c r="D6" s="32">
        <v>0</v>
      </c>
      <c r="E6" s="32">
        <v>2</v>
      </c>
      <c r="F6" s="32">
        <f t="shared" si="0"/>
        <v>0</v>
      </c>
      <c r="G6" s="9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51">
        <v>0</v>
      </c>
      <c r="N6" s="8">
        <v>0</v>
      </c>
      <c r="O6" s="8">
        <v>0</v>
      </c>
      <c r="P6" s="8"/>
      <c r="Q6" s="8"/>
      <c r="R6" s="8"/>
      <c r="S6" s="8">
        <v>0</v>
      </c>
      <c r="T6" s="8"/>
      <c r="U6" s="51">
        <f>SUM(N6:T6)</f>
        <v>0</v>
      </c>
      <c r="V6" s="8" t="s">
        <v>25</v>
      </c>
      <c r="W6" s="8" t="s">
        <v>25</v>
      </c>
      <c r="X6" s="8">
        <v>0</v>
      </c>
      <c r="Y6" s="134">
        <f>M6-U6+X6</f>
        <v>0</v>
      </c>
      <c r="Z6" s="136"/>
      <c r="AA6" s="136"/>
      <c r="AB6" s="139">
        <f t="shared" ref="AB6:AB16" si="1">+Y6+AA6</f>
        <v>0</v>
      </c>
    </row>
    <row r="7" spans="1:28" ht="32.25" customHeight="1" x14ac:dyDescent="0.3">
      <c r="A7" s="2">
        <v>4</v>
      </c>
      <c r="B7" s="3" t="s">
        <v>28</v>
      </c>
      <c r="C7" s="32">
        <v>7</v>
      </c>
      <c r="D7" s="32">
        <v>0</v>
      </c>
      <c r="E7" s="32">
        <v>2</v>
      </c>
      <c r="F7" s="32">
        <f t="shared" si="0"/>
        <v>5</v>
      </c>
      <c r="G7" s="9">
        <v>100</v>
      </c>
      <c r="H7" s="8">
        <v>4000</v>
      </c>
      <c r="I7" s="8">
        <v>42108</v>
      </c>
      <c r="J7" s="8">
        <v>1000</v>
      </c>
      <c r="K7" s="8"/>
      <c r="L7" s="8"/>
      <c r="M7" s="51">
        <f t="shared" ref="M7:M16" si="2">SUM(H7:L7)</f>
        <v>47108</v>
      </c>
      <c r="N7" s="8">
        <v>5535</v>
      </c>
      <c r="O7" s="8">
        <v>355</v>
      </c>
      <c r="P7" s="8">
        <v>0</v>
      </c>
      <c r="Q7" s="8">
        <v>300</v>
      </c>
      <c r="R7" s="8"/>
      <c r="S7" s="8">
        <v>2000</v>
      </c>
      <c r="T7" s="8">
        <v>0</v>
      </c>
      <c r="U7" s="51">
        <f>SUM(N7:T7)</f>
        <v>8190</v>
      </c>
      <c r="V7" s="8"/>
      <c r="W7" s="8">
        <v>4948</v>
      </c>
      <c r="X7" s="8">
        <v>4</v>
      </c>
      <c r="Y7" s="134">
        <f>M7-U7+W7+X7</f>
        <v>43870</v>
      </c>
      <c r="Z7" s="136">
        <v>10</v>
      </c>
      <c r="AA7" s="136">
        <v>7065</v>
      </c>
      <c r="AB7" s="139">
        <f t="shared" si="1"/>
        <v>50935</v>
      </c>
    </row>
    <row r="8" spans="1:28" ht="50.25" customHeight="1" x14ac:dyDescent="0.3">
      <c r="A8" s="2">
        <v>5</v>
      </c>
      <c r="B8" s="28" t="s">
        <v>29</v>
      </c>
      <c r="C8" s="32">
        <v>59</v>
      </c>
      <c r="D8" s="32">
        <f>11+1</f>
        <v>12</v>
      </c>
      <c r="E8" s="32">
        <f>3</f>
        <v>3</v>
      </c>
      <c r="F8" s="32">
        <f>C8+D8-E8</f>
        <v>68</v>
      </c>
      <c r="G8" s="9">
        <v>1069</v>
      </c>
      <c r="H8" s="8">
        <v>207605</v>
      </c>
      <c r="I8" s="8"/>
      <c r="J8" s="8">
        <v>138403</v>
      </c>
      <c r="K8" s="8"/>
      <c r="L8" s="8"/>
      <c r="M8" s="51">
        <f t="shared" si="2"/>
        <v>346008</v>
      </c>
      <c r="N8" s="8">
        <v>24671</v>
      </c>
      <c r="O8" s="8">
        <v>2629</v>
      </c>
      <c r="P8" s="8">
        <v>0</v>
      </c>
      <c r="Q8" s="8">
        <v>3700</v>
      </c>
      <c r="R8" s="8"/>
      <c r="S8" s="8">
        <v>10500</v>
      </c>
      <c r="T8" s="8">
        <v>0</v>
      </c>
      <c r="U8" s="51">
        <f t="shared" ref="U8:U16" si="3">SUM(N8:T8)</f>
        <v>41500</v>
      </c>
      <c r="V8" s="8"/>
      <c r="W8" s="8">
        <v>88081</v>
      </c>
      <c r="X8" s="8">
        <v>11</v>
      </c>
      <c r="Y8" s="134">
        <f t="shared" ref="Y8:Y13" si="4">M8-U8+W8+X8</f>
        <v>392600</v>
      </c>
      <c r="Z8" s="136">
        <v>186</v>
      </c>
      <c r="AA8" s="136">
        <v>59985</v>
      </c>
      <c r="AB8" s="139">
        <f t="shared" si="1"/>
        <v>452585</v>
      </c>
    </row>
    <row r="9" spans="1:28" ht="51.75" customHeight="1" x14ac:dyDescent="0.3">
      <c r="A9" s="2">
        <v>6</v>
      </c>
      <c r="B9" s="28" t="s">
        <v>30</v>
      </c>
      <c r="C9" s="32">
        <v>40</v>
      </c>
      <c r="D9" s="32">
        <v>7</v>
      </c>
      <c r="E9" s="32">
        <f>11+6</f>
        <v>17</v>
      </c>
      <c r="F9" s="32">
        <f t="shared" si="0"/>
        <v>30</v>
      </c>
      <c r="G9" s="9">
        <v>352.5</v>
      </c>
      <c r="H9" s="8">
        <v>69842</v>
      </c>
      <c r="I9" s="8"/>
      <c r="J9" s="8">
        <v>46561</v>
      </c>
      <c r="K9" s="8"/>
      <c r="L9" s="8"/>
      <c r="M9" s="51">
        <f t="shared" si="2"/>
        <v>116403</v>
      </c>
      <c r="N9" s="8">
        <v>7970</v>
      </c>
      <c r="O9" s="8">
        <v>885</v>
      </c>
      <c r="P9" s="8"/>
      <c r="Q9" s="8">
        <v>600</v>
      </c>
      <c r="R9" s="8"/>
      <c r="S9" s="8">
        <v>2000</v>
      </c>
      <c r="T9" s="8">
        <v>0</v>
      </c>
      <c r="U9" s="51">
        <f t="shared" si="3"/>
        <v>11455</v>
      </c>
      <c r="V9" s="8"/>
      <c r="W9" s="8">
        <v>21305</v>
      </c>
      <c r="X9" s="8">
        <v>7</v>
      </c>
      <c r="Y9" s="134">
        <f t="shared" si="4"/>
        <v>126260</v>
      </c>
      <c r="Z9" s="136">
        <v>63</v>
      </c>
      <c r="AA9" s="136">
        <v>20550</v>
      </c>
      <c r="AB9" s="139">
        <f t="shared" si="1"/>
        <v>146810</v>
      </c>
    </row>
    <row r="10" spans="1:28" ht="42" customHeight="1" x14ac:dyDescent="0.3">
      <c r="A10" s="2">
        <v>7</v>
      </c>
      <c r="B10" s="28" t="s">
        <v>31</v>
      </c>
      <c r="C10" s="32">
        <v>18</v>
      </c>
      <c r="D10" s="32">
        <f>1+1</f>
        <v>2</v>
      </c>
      <c r="E10" s="32">
        <v>1</v>
      </c>
      <c r="F10" s="32">
        <f t="shared" si="0"/>
        <v>19</v>
      </c>
      <c r="G10" s="9">
        <v>266.5</v>
      </c>
      <c r="H10" s="8">
        <v>48330</v>
      </c>
      <c r="I10" s="8"/>
      <c r="J10" s="8">
        <v>32220</v>
      </c>
      <c r="K10" s="8"/>
      <c r="L10" s="8"/>
      <c r="M10" s="51">
        <f t="shared" si="2"/>
        <v>80550</v>
      </c>
      <c r="N10" s="8">
        <v>5797</v>
      </c>
      <c r="O10" s="8">
        <v>609</v>
      </c>
      <c r="P10" s="8"/>
      <c r="Q10" s="8"/>
      <c r="R10" s="8"/>
      <c r="S10" s="8">
        <v>14730</v>
      </c>
      <c r="T10" s="8">
        <v>0</v>
      </c>
      <c r="U10" s="51">
        <f t="shared" si="3"/>
        <v>21136</v>
      </c>
      <c r="V10" s="8"/>
      <c r="W10" s="8">
        <v>19353</v>
      </c>
      <c r="X10" s="8">
        <v>-7</v>
      </c>
      <c r="Y10" s="134">
        <f t="shared" si="4"/>
        <v>78760</v>
      </c>
      <c r="Z10" s="136">
        <v>42</v>
      </c>
      <c r="AA10" s="136">
        <v>12600</v>
      </c>
      <c r="AB10" s="139">
        <f>+Y10+AA10</f>
        <v>91360</v>
      </c>
    </row>
    <row r="11" spans="1:28" ht="33.75" customHeight="1" x14ac:dyDescent="0.3">
      <c r="A11" s="2">
        <v>8</v>
      </c>
      <c r="B11" s="28" t="s">
        <v>82</v>
      </c>
      <c r="C11" s="32">
        <v>18</v>
      </c>
      <c r="D11" s="32"/>
      <c r="E11" s="32">
        <v>3</v>
      </c>
      <c r="F11" s="32">
        <f t="shared" si="0"/>
        <v>15</v>
      </c>
      <c r="G11" s="9">
        <v>206</v>
      </c>
      <c r="H11" s="8">
        <v>37500</v>
      </c>
      <c r="I11" s="8"/>
      <c r="J11" s="8">
        <v>25000</v>
      </c>
      <c r="K11" s="8"/>
      <c r="L11" s="8"/>
      <c r="M11" s="51">
        <f t="shared" si="2"/>
        <v>62500</v>
      </c>
      <c r="N11" s="8">
        <v>4499</v>
      </c>
      <c r="O11" s="8">
        <v>471</v>
      </c>
      <c r="P11" s="8"/>
      <c r="Q11" s="8">
        <v>300</v>
      </c>
      <c r="R11" s="8"/>
      <c r="S11" s="8">
        <v>10560</v>
      </c>
      <c r="T11" s="8">
        <v>0</v>
      </c>
      <c r="U11" s="51">
        <f t="shared" ref="U11" si="5">SUM(N11:T11)</f>
        <v>15830</v>
      </c>
      <c r="V11" s="8"/>
      <c r="W11" s="8">
        <v>17070</v>
      </c>
      <c r="X11" s="8">
        <v>10</v>
      </c>
      <c r="Y11" s="134">
        <f t="shared" si="4"/>
        <v>63750</v>
      </c>
      <c r="Z11" s="136">
        <v>33</v>
      </c>
      <c r="AA11" s="136">
        <v>10005</v>
      </c>
      <c r="AB11" s="139">
        <f t="shared" si="1"/>
        <v>73755</v>
      </c>
    </row>
    <row r="12" spans="1:28" ht="31.5" customHeight="1" x14ac:dyDescent="0.3">
      <c r="A12" s="2">
        <v>9</v>
      </c>
      <c r="B12" s="28" t="s">
        <v>91</v>
      </c>
      <c r="C12" s="32">
        <v>0</v>
      </c>
      <c r="D12" s="32">
        <v>1</v>
      </c>
      <c r="E12" s="32">
        <v>0</v>
      </c>
      <c r="F12" s="32">
        <f t="shared" si="0"/>
        <v>1</v>
      </c>
      <c r="G12" s="9">
        <v>19</v>
      </c>
      <c r="H12" s="8">
        <v>4788</v>
      </c>
      <c r="I12" s="8">
        <v>0</v>
      </c>
      <c r="J12" s="8">
        <v>3192</v>
      </c>
      <c r="K12" s="8"/>
      <c r="L12" s="8"/>
      <c r="M12" s="51">
        <f t="shared" si="2"/>
        <v>7980</v>
      </c>
      <c r="N12" s="8">
        <v>575</v>
      </c>
      <c r="O12" s="8">
        <v>60</v>
      </c>
      <c r="P12" s="8">
        <v>0</v>
      </c>
      <c r="Q12" s="8"/>
      <c r="R12" s="8"/>
      <c r="S12" s="8">
        <v>0</v>
      </c>
      <c r="T12" s="8">
        <v>0</v>
      </c>
      <c r="U12" s="51">
        <f>SUM(N12:T12)</f>
        <v>635</v>
      </c>
      <c r="V12" s="8"/>
      <c r="W12" s="8">
        <v>0</v>
      </c>
      <c r="X12" s="8">
        <v>5</v>
      </c>
      <c r="Y12" s="134">
        <f t="shared" si="4"/>
        <v>7350</v>
      </c>
      <c r="Z12" s="136"/>
      <c r="AA12" s="136"/>
      <c r="AB12" s="139">
        <f t="shared" si="1"/>
        <v>7350</v>
      </c>
    </row>
    <row r="13" spans="1:28" ht="34.5" customHeight="1" x14ac:dyDescent="0.3">
      <c r="A13" s="2">
        <v>10</v>
      </c>
      <c r="B13" s="121" t="s">
        <v>90</v>
      </c>
      <c r="C13" s="32">
        <v>8</v>
      </c>
      <c r="D13" s="32"/>
      <c r="E13" s="32"/>
      <c r="F13" s="32">
        <f>C13+D13-E13</f>
        <v>8</v>
      </c>
      <c r="G13" s="9">
        <v>173</v>
      </c>
      <c r="H13" s="8">
        <v>35542</v>
      </c>
      <c r="I13" s="8"/>
      <c r="J13" s="8">
        <v>23694</v>
      </c>
      <c r="K13" s="8"/>
      <c r="L13" s="8"/>
      <c r="M13" s="51">
        <f t="shared" si="2"/>
        <v>59236</v>
      </c>
      <c r="N13" s="8">
        <v>3896</v>
      </c>
      <c r="O13" s="8">
        <v>448</v>
      </c>
      <c r="P13" s="8"/>
      <c r="Q13" s="8"/>
      <c r="R13" s="8"/>
      <c r="S13" s="8">
        <v>0</v>
      </c>
      <c r="T13" s="8">
        <v>0</v>
      </c>
      <c r="U13" s="51">
        <f>SUM(N13:T13)</f>
        <v>4344</v>
      </c>
      <c r="V13" s="8"/>
      <c r="W13" s="8">
        <v>4000</v>
      </c>
      <c r="X13" s="8">
        <v>-2</v>
      </c>
      <c r="Y13" s="134">
        <f t="shared" si="4"/>
        <v>58890</v>
      </c>
      <c r="Z13" s="136"/>
      <c r="AA13" s="136"/>
      <c r="AB13" s="139">
        <f>+Y13+AA13</f>
        <v>58890</v>
      </c>
    </row>
    <row r="14" spans="1:28" ht="31.5" customHeight="1" x14ac:dyDescent="0.3">
      <c r="A14" s="2">
        <v>11</v>
      </c>
      <c r="B14" s="28" t="s">
        <v>34</v>
      </c>
      <c r="C14" s="32">
        <v>1</v>
      </c>
      <c r="D14" s="32"/>
      <c r="E14" s="32"/>
      <c r="F14" s="32">
        <f t="shared" si="0"/>
        <v>1</v>
      </c>
      <c r="G14" s="9">
        <v>26</v>
      </c>
      <c r="H14" s="8">
        <v>200000</v>
      </c>
      <c r="I14" s="8"/>
      <c r="J14" s="8">
        <v>0</v>
      </c>
      <c r="K14" s="8"/>
      <c r="L14" s="8"/>
      <c r="M14" s="51">
        <f t="shared" si="2"/>
        <v>200000</v>
      </c>
      <c r="N14" s="8">
        <v>24000</v>
      </c>
      <c r="O14" s="8">
        <v>0</v>
      </c>
      <c r="P14" s="8">
        <v>0</v>
      </c>
      <c r="Q14" s="8"/>
      <c r="R14" s="8">
        <v>0</v>
      </c>
      <c r="S14" s="8"/>
      <c r="T14" s="8">
        <v>0</v>
      </c>
      <c r="U14" s="51">
        <f>SUM(N14:T14)</f>
        <v>24000</v>
      </c>
      <c r="V14" s="8"/>
      <c r="W14" s="8"/>
      <c r="X14" s="8">
        <v>0</v>
      </c>
      <c r="Y14" s="134">
        <f>M14-U14+W14+X14</f>
        <v>176000</v>
      </c>
      <c r="Z14" s="136"/>
      <c r="AA14" s="136"/>
      <c r="AB14" s="139">
        <f t="shared" si="1"/>
        <v>176000</v>
      </c>
    </row>
    <row r="15" spans="1:28" ht="31.5" customHeight="1" x14ac:dyDescent="0.3">
      <c r="A15" s="2">
        <v>12</v>
      </c>
      <c r="B15" s="3" t="s">
        <v>35</v>
      </c>
      <c r="C15" s="32">
        <v>6</v>
      </c>
      <c r="D15" s="32">
        <v>1</v>
      </c>
      <c r="E15" s="32">
        <v>0</v>
      </c>
      <c r="F15" s="32">
        <f t="shared" si="0"/>
        <v>7</v>
      </c>
      <c r="G15" s="9">
        <v>128</v>
      </c>
      <c r="H15" s="8">
        <v>115717</v>
      </c>
      <c r="I15" s="8"/>
      <c r="J15" s="8">
        <v>0</v>
      </c>
      <c r="K15" s="8"/>
      <c r="L15" s="8"/>
      <c r="M15" s="51">
        <f t="shared" si="2"/>
        <v>115717</v>
      </c>
      <c r="N15" s="8"/>
      <c r="O15" s="8"/>
      <c r="P15" s="8">
        <v>0</v>
      </c>
      <c r="Q15" s="8"/>
      <c r="R15" s="8"/>
      <c r="S15" s="8">
        <v>58500</v>
      </c>
      <c r="T15" s="8"/>
      <c r="U15" s="51">
        <f>SUM(N15:T15)</f>
        <v>58500</v>
      </c>
      <c r="V15" s="8">
        <v>0</v>
      </c>
      <c r="W15" s="8"/>
      <c r="X15" s="8">
        <v>-7</v>
      </c>
      <c r="Y15" s="134">
        <f>M15-U15+W15+X15</f>
        <v>57210</v>
      </c>
      <c r="Z15" s="136">
        <v>18</v>
      </c>
      <c r="AA15" s="136">
        <v>13272</v>
      </c>
      <c r="AB15" s="139">
        <f t="shared" si="1"/>
        <v>70482</v>
      </c>
    </row>
    <row r="16" spans="1:28" ht="36" customHeight="1" x14ac:dyDescent="0.3">
      <c r="A16" s="2">
        <v>13</v>
      </c>
      <c r="B16" s="3" t="s">
        <v>36</v>
      </c>
      <c r="C16" s="32">
        <v>4</v>
      </c>
      <c r="D16" s="32">
        <v>0</v>
      </c>
      <c r="E16" s="32">
        <v>1</v>
      </c>
      <c r="F16" s="32">
        <f t="shared" si="0"/>
        <v>3</v>
      </c>
      <c r="G16" s="9">
        <v>47</v>
      </c>
      <c r="H16" s="8">
        <v>44914</v>
      </c>
      <c r="I16" s="8"/>
      <c r="J16" s="8">
        <v>0</v>
      </c>
      <c r="K16" s="8"/>
      <c r="L16" s="8"/>
      <c r="M16" s="51">
        <f t="shared" si="2"/>
        <v>44914</v>
      </c>
      <c r="N16" s="8"/>
      <c r="O16" s="8"/>
      <c r="P16" s="8">
        <v>0</v>
      </c>
      <c r="Q16" s="8">
        <v>0</v>
      </c>
      <c r="R16" s="8"/>
      <c r="S16" s="8">
        <v>9900</v>
      </c>
      <c r="T16" s="8"/>
      <c r="U16" s="51">
        <f t="shared" si="3"/>
        <v>9900</v>
      </c>
      <c r="V16" s="8"/>
      <c r="W16" s="8"/>
      <c r="X16" s="8">
        <v>-4</v>
      </c>
      <c r="Y16" s="134">
        <f t="shared" ref="Y16" si="6">M16-U16+W16+X16</f>
        <v>35010</v>
      </c>
      <c r="Z16" s="136"/>
      <c r="AA16" s="136"/>
      <c r="AB16" s="139">
        <f t="shared" si="1"/>
        <v>35010</v>
      </c>
    </row>
    <row r="17" spans="1:28" ht="18.75" x14ac:dyDescent="0.3">
      <c r="A17" s="171" t="s">
        <v>37</v>
      </c>
      <c r="B17" s="171"/>
      <c r="C17" s="52">
        <f>SUM(C4:C16)</f>
        <v>184</v>
      </c>
      <c r="D17" s="52">
        <f t="shared" ref="D17:W17" si="7">SUM(D4:D16)</f>
        <v>24</v>
      </c>
      <c r="E17" s="52">
        <f t="shared" si="7"/>
        <v>30</v>
      </c>
      <c r="F17" s="52">
        <f>SUM(F4:F16)</f>
        <v>178</v>
      </c>
      <c r="G17" s="53">
        <f t="shared" si="7"/>
        <v>2891</v>
      </c>
      <c r="H17" s="53">
        <f>SUM(H4:H16)</f>
        <v>990489</v>
      </c>
      <c r="I17" s="53">
        <f t="shared" si="7"/>
        <v>42108</v>
      </c>
      <c r="J17" s="53">
        <f t="shared" si="7"/>
        <v>378083</v>
      </c>
      <c r="K17" s="53">
        <f t="shared" si="7"/>
        <v>18348</v>
      </c>
      <c r="L17" s="53">
        <f t="shared" si="7"/>
        <v>18348</v>
      </c>
      <c r="M17" s="53">
        <f>SUM(M4:M16)</f>
        <v>1447376</v>
      </c>
      <c r="N17" s="53">
        <f>SUM(N4:N16)</f>
        <v>103612</v>
      </c>
      <c r="O17" s="53">
        <f>SUM(O4:O16)</f>
        <v>7016</v>
      </c>
      <c r="P17" s="53">
        <f t="shared" si="7"/>
        <v>0</v>
      </c>
      <c r="Q17" s="53">
        <f>SUM(Q4:Q16)</f>
        <v>4900</v>
      </c>
      <c r="R17" s="53">
        <f t="shared" si="7"/>
        <v>0</v>
      </c>
      <c r="S17" s="53">
        <f>SUM(S4:S16)</f>
        <v>134590</v>
      </c>
      <c r="T17" s="53">
        <f t="shared" si="7"/>
        <v>0</v>
      </c>
      <c r="U17" s="53">
        <f>SUM(U4:U16)</f>
        <v>250118</v>
      </c>
      <c r="V17" s="53">
        <f t="shared" si="7"/>
        <v>0</v>
      </c>
      <c r="W17" s="53">
        <f t="shared" si="7"/>
        <v>161352</v>
      </c>
      <c r="X17" s="53">
        <f>SUM(X4:X16)</f>
        <v>19</v>
      </c>
      <c r="Y17" s="135">
        <f>SUM(Y4:Y16)</f>
        <v>1358629</v>
      </c>
      <c r="Z17" s="136">
        <f>SUM(Z4:Z16)</f>
        <v>352</v>
      </c>
      <c r="AA17" s="53">
        <f>SUM(AA4:AA16)</f>
        <v>123477</v>
      </c>
      <c r="AB17" s="53">
        <f>SUM(AB4:AB16)</f>
        <v>1482106</v>
      </c>
    </row>
    <row r="18" spans="1:28" ht="18.75" x14ac:dyDescent="0.25">
      <c r="C18" s="63"/>
      <c r="D18" s="63"/>
      <c r="E18" s="108"/>
      <c r="F18" s="109"/>
      <c r="G18" s="131"/>
      <c r="H18" s="110"/>
      <c r="I18" s="133"/>
      <c r="J18" s="133"/>
      <c r="K18" s="131"/>
      <c r="L18" s="131"/>
      <c r="M18" s="133">
        <v>28261</v>
      </c>
      <c r="N18" s="131"/>
      <c r="O18" s="110"/>
      <c r="P18" s="131"/>
      <c r="Q18" s="63"/>
      <c r="R18" s="63"/>
      <c r="S18" s="63"/>
      <c r="T18" s="63"/>
      <c r="U18" s="63"/>
      <c r="V18" s="63"/>
      <c r="W18" s="63"/>
      <c r="X18" s="63"/>
      <c r="Y18" s="63"/>
      <c r="Z18" s="138"/>
      <c r="AA18" s="138"/>
      <c r="AB18" s="140"/>
    </row>
    <row r="19" spans="1:28" ht="21" x14ac:dyDescent="0.35">
      <c r="A19" s="25" t="s">
        <v>64</v>
      </c>
      <c r="B19" s="25"/>
      <c r="C19" s="54"/>
      <c r="D19" s="54"/>
      <c r="E19" s="54"/>
      <c r="F19" s="54"/>
      <c r="G19" s="54"/>
      <c r="H19" s="95"/>
      <c r="I19" s="54"/>
      <c r="J19" s="54"/>
      <c r="K19" s="54"/>
      <c r="L19" s="54"/>
      <c r="M19" s="95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138"/>
      <c r="AA19" s="138"/>
      <c r="AB19" s="140"/>
    </row>
    <row r="20" spans="1:28" ht="18.75" x14ac:dyDescent="0.25">
      <c r="A20" s="179" t="s">
        <v>1</v>
      </c>
      <c r="B20" s="179" t="s">
        <v>38</v>
      </c>
      <c r="C20" s="216" t="s">
        <v>39</v>
      </c>
      <c r="D20" s="217"/>
      <c r="E20" s="217"/>
      <c r="F20" s="218"/>
      <c r="G20" s="181" t="s">
        <v>40</v>
      </c>
      <c r="H20" s="182"/>
      <c r="I20" s="213" t="s">
        <v>69</v>
      </c>
      <c r="J20" s="181" t="s">
        <v>41</v>
      </c>
      <c r="K20" s="182" t="s">
        <v>76</v>
      </c>
      <c r="L20" s="181" t="s">
        <v>77</v>
      </c>
      <c r="M20" s="182"/>
      <c r="N20" s="167" t="s">
        <v>50</v>
      </c>
      <c r="O20" s="168"/>
      <c r="P20" s="167" t="s">
        <v>53</v>
      </c>
      <c r="Q20" s="168"/>
      <c r="R20" s="181" t="s">
        <v>54</v>
      </c>
      <c r="S20" s="182"/>
      <c r="T20" s="181" t="s">
        <v>51</v>
      </c>
      <c r="U20" s="182"/>
      <c r="V20" s="213" t="s">
        <v>52</v>
      </c>
      <c r="W20" s="167" t="s">
        <v>43</v>
      </c>
      <c r="X20" s="222"/>
      <c r="Y20" s="222"/>
      <c r="Z20" s="237" t="s">
        <v>99</v>
      </c>
      <c r="AA20" s="237" t="s">
        <v>98</v>
      </c>
      <c r="AB20" s="238" t="s">
        <v>37</v>
      </c>
    </row>
    <row r="21" spans="1:28" ht="29.25" customHeight="1" x14ac:dyDescent="0.25">
      <c r="A21" s="180"/>
      <c r="B21" s="180"/>
      <c r="C21" s="44" t="s">
        <v>65</v>
      </c>
      <c r="D21" s="44" t="s">
        <v>66</v>
      </c>
      <c r="E21" s="44" t="s">
        <v>67</v>
      </c>
      <c r="F21" s="129" t="s">
        <v>68</v>
      </c>
      <c r="G21" s="183"/>
      <c r="H21" s="184"/>
      <c r="I21" s="214"/>
      <c r="J21" s="183"/>
      <c r="K21" s="184"/>
      <c r="L21" s="183"/>
      <c r="M21" s="184"/>
      <c r="N21" s="169"/>
      <c r="O21" s="170"/>
      <c r="P21" s="169"/>
      <c r="Q21" s="170"/>
      <c r="R21" s="183"/>
      <c r="S21" s="184"/>
      <c r="T21" s="183"/>
      <c r="U21" s="184"/>
      <c r="V21" s="214"/>
      <c r="W21" s="224"/>
      <c r="X21" s="225"/>
      <c r="Y21" s="225"/>
      <c r="Z21" s="237"/>
      <c r="AA21" s="237"/>
      <c r="AB21" s="238"/>
    </row>
    <row r="22" spans="1:28" ht="33.75" customHeight="1" x14ac:dyDescent="0.3">
      <c r="A22" s="2">
        <v>1</v>
      </c>
      <c r="B22" s="122" t="str">
        <f t="shared" ref="B22:B30" si="8">B4</f>
        <v>SALARY -STAFF - BANK</v>
      </c>
      <c r="C22" s="32">
        <v>14</v>
      </c>
      <c r="D22" s="32">
        <v>1</v>
      </c>
      <c r="E22" s="32">
        <v>1</v>
      </c>
      <c r="F22" s="32">
        <f t="shared" ref="F22:F25" si="9">C22+D22-E22</f>
        <v>14</v>
      </c>
      <c r="G22" s="144">
        <v>14</v>
      </c>
      <c r="H22" s="144"/>
      <c r="I22" s="39">
        <f>G22-F22</f>
        <v>0</v>
      </c>
      <c r="J22" s="66">
        <v>269470</v>
      </c>
      <c r="K22" s="67">
        <v>269470</v>
      </c>
      <c r="L22" s="144">
        <v>163757</v>
      </c>
      <c r="M22" s="144"/>
      <c r="N22" s="158">
        <f>+J22*60/100</f>
        <v>161682</v>
      </c>
      <c r="O22" s="159"/>
      <c r="P22" s="144">
        <f>+L22-N22</f>
        <v>2075</v>
      </c>
      <c r="Q22" s="144"/>
      <c r="R22" s="203">
        <v>19650</v>
      </c>
      <c r="S22" s="203"/>
      <c r="T22" s="203">
        <v>19650</v>
      </c>
      <c r="U22" s="203"/>
      <c r="V22" s="57">
        <f t="shared" ref="V22:V34" si="10">R22-T22</f>
        <v>0</v>
      </c>
      <c r="W22" s="233" t="s">
        <v>45</v>
      </c>
      <c r="X22" s="195"/>
      <c r="Y22" s="195"/>
      <c r="Z22" s="136">
        <v>0</v>
      </c>
      <c r="AA22" s="137">
        <v>0</v>
      </c>
      <c r="AB22" s="139">
        <v>232609</v>
      </c>
    </row>
    <row r="23" spans="1:28" ht="25.5" customHeight="1" x14ac:dyDescent="0.3">
      <c r="A23" s="2">
        <v>2</v>
      </c>
      <c r="B23" s="122" t="str">
        <f t="shared" si="8"/>
        <v>SALARY - STAFF -2 BANK</v>
      </c>
      <c r="C23" s="32">
        <v>7</v>
      </c>
      <c r="D23" s="32"/>
      <c r="E23" s="32">
        <v>0</v>
      </c>
      <c r="F23" s="32">
        <f t="shared" si="9"/>
        <v>7</v>
      </c>
      <c r="G23" s="144">
        <v>7</v>
      </c>
      <c r="H23" s="144"/>
      <c r="I23" s="39">
        <f t="shared" ref="I22:I34" si="11">G23-F23</f>
        <v>0</v>
      </c>
      <c r="J23" s="66">
        <f>M5</f>
        <v>97490</v>
      </c>
      <c r="K23" s="67">
        <v>97490</v>
      </c>
      <c r="L23" s="144">
        <v>58494</v>
      </c>
      <c r="M23" s="144"/>
      <c r="N23" s="158">
        <f t="shared" ref="N23:N30" si="12">+J23*60/100</f>
        <v>58494</v>
      </c>
      <c r="O23" s="159"/>
      <c r="P23" s="144">
        <f>+L23-N23</f>
        <v>0</v>
      </c>
      <c r="Q23" s="144"/>
      <c r="R23" s="203">
        <v>7019</v>
      </c>
      <c r="S23" s="203"/>
      <c r="T23" s="203">
        <v>7019</v>
      </c>
      <c r="U23" s="203"/>
      <c r="V23" s="57">
        <f t="shared" si="10"/>
        <v>0</v>
      </c>
      <c r="W23" s="197"/>
      <c r="X23" s="195"/>
      <c r="Y23" s="195"/>
      <c r="Z23" s="136"/>
      <c r="AA23" s="136"/>
      <c r="AB23" s="139">
        <v>86320</v>
      </c>
    </row>
    <row r="24" spans="1:28" ht="28.5" customHeight="1" x14ac:dyDescent="0.3">
      <c r="A24" s="2">
        <v>3</v>
      </c>
      <c r="B24" s="122" t="str">
        <f t="shared" si="8"/>
        <v>SALARY - STAFF-CHEQUE</v>
      </c>
      <c r="C24" s="32">
        <v>2</v>
      </c>
      <c r="D24" s="32">
        <v>0</v>
      </c>
      <c r="E24" s="32">
        <v>2</v>
      </c>
      <c r="F24" s="32">
        <f t="shared" si="9"/>
        <v>0</v>
      </c>
      <c r="G24" s="144">
        <v>0</v>
      </c>
      <c r="H24" s="144"/>
      <c r="I24" s="39">
        <f t="shared" si="11"/>
        <v>0</v>
      </c>
      <c r="J24" s="66">
        <f t="shared" ref="J24" si="13">M6</f>
        <v>0</v>
      </c>
      <c r="K24" s="67">
        <v>0</v>
      </c>
      <c r="L24" s="144">
        <v>0</v>
      </c>
      <c r="M24" s="144"/>
      <c r="N24" s="158">
        <f t="shared" si="12"/>
        <v>0</v>
      </c>
      <c r="O24" s="159"/>
      <c r="P24" s="144">
        <f t="shared" ref="P24:P34" si="14">+L24-N24</f>
        <v>0</v>
      </c>
      <c r="Q24" s="144"/>
      <c r="R24" s="203">
        <v>0</v>
      </c>
      <c r="S24" s="203"/>
      <c r="T24" s="203">
        <v>0</v>
      </c>
      <c r="U24" s="203"/>
      <c r="V24" s="57">
        <f t="shared" si="10"/>
        <v>0</v>
      </c>
      <c r="W24" s="197"/>
      <c r="X24" s="195"/>
      <c r="Y24" s="195"/>
      <c r="Z24" s="136"/>
      <c r="AA24" s="136"/>
      <c r="AB24" s="139">
        <v>0</v>
      </c>
    </row>
    <row r="25" spans="1:28" ht="30" customHeight="1" x14ac:dyDescent="0.3">
      <c r="A25" s="2">
        <v>4</v>
      </c>
      <c r="B25" s="122" t="str">
        <f t="shared" si="8"/>
        <v>WAGES-PERMANENT - BANK</v>
      </c>
      <c r="C25" s="32">
        <v>7</v>
      </c>
      <c r="D25" s="32">
        <v>0</v>
      </c>
      <c r="E25" s="32">
        <v>2</v>
      </c>
      <c r="F25" s="32">
        <f t="shared" si="9"/>
        <v>5</v>
      </c>
      <c r="G25" s="144">
        <v>5</v>
      </c>
      <c r="H25" s="144"/>
      <c r="I25" s="39">
        <f t="shared" si="11"/>
        <v>0</v>
      </c>
      <c r="J25" s="66">
        <f>M7</f>
        <v>47108</v>
      </c>
      <c r="K25" s="67">
        <v>47108</v>
      </c>
      <c r="L25" s="144">
        <v>46108</v>
      </c>
      <c r="M25" s="144"/>
      <c r="N25" s="158">
        <f>+J25*60/100</f>
        <v>28264.799999999999</v>
      </c>
      <c r="O25" s="159"/>
      <c r="P25" s="144">
        <f>+L25-N25</f>
        <v>17843.2</v>
      </c>
      <c r="Q25" s="144"/>
      <c r="R25" s="203">
        <v>5535</v>
      </c>
      <c r="S25" s="203"/>
      <c r="T25" s="203">
        <v>5535</v>
      </c>
      <c r="U25" s="203"/>
      <c r="V25" s="57">
        <f t="shared" si="10"/>
        <v>0</v>
      </c>
      <c r="W25" s="197" t="s">
        <v>48</v>
      </c>
      <c r="X25" s="195"/>
      <c r="Y25" s="195"/>
      <c r="Z25" s="136">
        <v>10</v>
      </c>
      <c r="AA25" s="136">
        <v>7065</v>
      </c>
      <c r="AB25" s="139">
        <v>50935</v>
      </c>
    </row>
    <row r="26" spans="1:28" ht="50.25" customHeight="1" x14ac:dyDescent="0.3">
      <c r="A26" s="2">
        <v>5</v>
      </c>
      <c r="B26" s="123" t="str">
        <f t="shared" si="8"/>
        <v>WAGES - CASUAL - BANK(OUTSIDE)</v>
      </c>
      <c r="C26" s="32">
        <v>59</v>
      </c>
      <c r="D26" s="32">
        <f>11+1</f>
        <v>12</v>
      </c>
      <c r="E26" s="32">
        <f>3</f>
        <v>3</v>
      </c>
      <c r="F26" s="32">
        <f>C26+D26-E26</f>
        <v>68</v>
      </c>
      <c r="G26" s="144">
        <v>67</v>
      </c>
      <c r="H26" s="144"/>
      <c r="I26" s="39">
        <f t="shared" si="11"/>
        <v>-1</v>
      </c>
      <c r="J26" s="66">
        <f>M8</f>
        <v>346008</v>
      </c>
      <c r="K26" s="67">
        <f>346008-3400</f>
        <v>342608</v>
      </c>
      <c r="L26" s="144">
        <f>207605-2040</f>
        <v>205565</v>
      </c>
      <c r="M26" s="144"/>
      <c r="N26" s="158">
        <f t="shared" si="12"/>
        <v>207604.8</v>
      </c>
      <c r="O26" s="159"/>
      <c r="P26" s="144">
        <f t="shared" si="14"/>
        <v>-2039.7999999999884</v>
      </c>
      <c r="Q26" s="144"/>
      <c r="R26" s="203">
        <v>24671</v>
      </c>
      <c r="S26" s="203"/>
      <c r="T26" s="203">
        <v>24671</v>
      </c>
      <c r="U26" s="203"/>
      <c r="V26" s="57">
        <f t="shared" si="10"/>
        <v>0</v>
      </c>
      <c r="W26" s="197" t="s">
        <v>87</v>
      </c>
      <c r="X26" s="195"/>
      <c r="Y26" s="195"/>
      <c r="Z26" s="136">
        <v>186</v>
      </c>
      <c r="AA26" s="136">
        <v>59985</v>
      </c>
      <c r="AB26" s="139">
        <v>452585</v>
      </c>
    </row>
    <row r="27" spans="1:28" ht="38.25" customHeight="1" x14ac:dyDescent="0.3">
      <c r="A27" s="2">
        <v>6</v>
      </c>
      <c r="B27" s="123" t="str">
        <f t="shared" si="8"/>
        <v>WAGES - CASUAL - CASH(OUTSIDE)</v>
      </c>
      <c r="C27" s="32">
        <v>40</v>
      </c>
      <c r="D27" s="32">
        <v>7</v>
      </c>
      <c r="E27" s="32">
        <f>11+6</f>
        <v>17</v>
      </c>
      <c r="F27" s="32">
        <f t="shared" ref="F27:F30" si="15">C27+D27-E27</f>
        <v>30</v>
      </c>
      <c r="G27" s="144">
        <v>28</v>
      </c>
      <c r="H27" s="144"/>
      <c r="I27" s="39">
        <f t="shared" si="11"/>
        <v>-2</v>
      </c>
      <c r="J27" s="66">
        <f>M9</f>
        <v>116403</v>
      </c>
      <c r="K27" s="67">
        <f>116403-5700</f>
        <v>110703</v>
      </c>
      <c r="L27" s="144">
        <f>69842-3420</f>
        <v>66422</v>
      </c>
      <c r="M27" s="144"/>
      <c r="N27" s="158">
        <f t="shared" si="12"/>
        <v>69841.8</v>
      </c>
      <c r="O27" s="159"/>
      <c r="P27" s="144">
        <f t="shared" si="14"/>
        <v>-3419.8000000000029</v>
      </c>
      <c r="Q27" s="144"/>
      <c r="R27" s="203">
        <v>7970</v>
      </c>
      <c r="S27" s="203"/>
      <c r="T27" s="203">
        <v>7970</v>
      </c>
      <c r="U27" s="203"/>
      <c r="V27" s="57">
        <f t="shared" si="10"/>
        <v>0</v>
      </c>
      <c r="W27" s="234" t="s">
        <v>95</v>
      </c>
      <c r="X27" s="235"/>
      <c r="Y27" s="235"/>
      <c r="Z27" s="136">
        <v>63</v>
      </c>
      <c r="AA27" s="136">
        <v>20550</v>
      </c>
      <c r="AB27" s="139">
        <v>146810</v>
      </c>
    </row>
    <row r="28" spans="1:28" ht="47.25" customHeight="1" x14ac:dyDescent="0.3">
      <c r="A28" s="2">
        <v>7</v>
      </c>
      <c r="B28" s="123" t="str">
        <f t="shared" si="8"/>
        <v>WAGES - CASUAL - CASH(INSIDE)</v>
      </c>
      <c r="C28" s="32">
        <v>18</v>
      </c>
      <c r="D28" s="32">
        <f>1+1</f>
        <v>2</v>
      </c>
      <c r="E28" s="32">
        <v>1</v>
      </c>
      <c r="F28" s="32">
        <f t="shared" si="15"/>
        <v>19</v>
      </c>
      <c r="G28" s="144">
        <v>19</v>
      </c>
      <c r="H28" s="144"/>
      <c r="I28" s="39">
        <f t="shared" si="11"/>
        <v>0</v>
      </c>
      <c r="J28" s="66">
        <f>M10</f>
        <v>80550</v>
      </c>
      <c r="K28" s="67">
        <v>80550</v>
      </c>
      <c r="L28" s="144">
        <v>48330</v>
      </c>
      <c r="M28" s="144"/>
      <c r="N28" s="158">
        <f t="shared" si="12"/>
        <v>48330</v>
      </c>
      <c r="O28" s="159"/>
      <c r="P28" s="144">
        <f t="shared" si="14"/>
        <v>0</v>
      </c>
      <c r="Q28" s="144"/>
      <c r="R28" s="203">
        <v>5797</v>
      </c>
      <c r="S28" s="203"/>
      <c r="T28" s="203">
        <v>5797</v>
      </c>
      <c r="U28" s="203"/>
      <c r="V28" s="57">
        <f t="shared" si="10"/>
        <v>0</v>
      </c>
      <c r="W28" s="197"/>
      <c r="X28" s="195"/>
      <c r="Y28" s="195"/>
      <c r="Z28" s="136">
        <v>42</v>
      </c>
      <c r="AA28" s="136">
        <v>12600</v>
      </c>
      <c r="AB28" s="139">
        <v>91360</v>
      </c>
    </row>
    <row r="29" spans="1:28" ht="52.5" customHeight="1" x14ac:dyDescent="0.3">
      <c r="A29" s="2">
        <v>8</v>
      </c>
      <c r="B29" s="123" t="str">
        <f t="shared" si="8"/>
        <v>WAGES - CASUAL - BANK(INSIDE)</v>
      </c>
      <c r="C29" s="32">
        <v>18</v>
      </c>
      <c r="D29" s="32"/>
      <c r="E29" s="32">
        <v>3</v>
      </c>
      <c r="F29" s="32">
        <f t="shared" si="15"/>
        <v>15</v>
      </c>
      <c r="G29" s="144">
        <v>15</v>
      </c>
      <c r="H29" s="144"/>
      <c r="I29" s="39">
        <f t="shared" si="11"/>
        <v>0</v>
      </c>
      <c r="J29" s="66">
        <f>M11</f>
        <v>62500</v>
      </c>
      <c r="K29" s="67">
        <v>62500</v>
      </c>
      <c r="L29" s="144">
        <v>37500</v>
      </c>
      <c r="M29" s="144"/>
      <c r="N29" s="158">
        <f t="shared" si="12"/>
        <v>37500</v>
      </c>
      <c r="O29" s="159"/>
      <c r="P29" s="144">
        <f t="shared" si="14"/>
        <v>0</v>
      </c>
      <c r="Q29" s="144"/>
      <c r="R29" s="203">
        <v>4499</v>
      </c>
      <c r="S29" s="203"/>
      <c r="T29" s="203">
        <v>4499</v>
      </c>
      <c r="U29" s="203"/>
      <c r="V29" s="57">
        <f t="shared" si="10"/>
        <v>0</v>
      </c>
      <c r="W29" s="197"/>
      <c r="X29" s="195"/>
      <c r="Y29" s="195"/>
      <c r="Z29" s="136">
        <v>33</v>
      </c>
      <c r="AA29" s="136">
        <v>10005</v>
      </c>
      <c r="AB29" s="139">
        <v>73755</v>
      </c>
    </row>
    <row r="30" spans="1:28" ht="53.25" customHeight="1" x14ac:dyDescent="0.3">
      <c r="A30" s="2">
        <v>9</v>
      </c>
      <c r="B30" s="123" t="str">
        <f t="shared" si="8"/>
        <v>WAGES - SECUR &amp; GARDEN - CHQ</v>
      </c>
      <c r="C30" s="32">
        <v>0</v>
      </c>
      <c r="D30" s="32">
        <v>1</v>
      </c>
      <c r="E30" s="32">
        <v>0</v>
      </c>
      <c r="F30" s="32">
        <f t="shared" si="15"/>
        <v>1</v>
      </c>
      <c r="G30" s="144">
        <v>1</v>
      </c>
      <c r="H30" s="144"/>
      <c r="I30" s="39">
        <f>G30-F30</f>
        <v>0</v>
      </c>
      <c r="J30" s="66">
        <v>7980</v>
      </c>
      <c r="K30" s="67">
        <v>7980</v>
      </c>
      <c r="L30" s="144">
        <v>4788</v>
      </c>
      <c r="M30" s="144"/>
      <c r="N30" s="158">
        <f t="shared" si="12"/>
        <v>4788</v>
      </c>
      <c r="O30" s="159"/>
      <c r="P30" s="144">
        <f t="shared" si="14"/>
        <v>0</v>
      </c>
      <c r="Q30" s="144"/>
      <c r="R30" s="203">
        <v>575</v>
      </c>
      <c r="S30" s="203"/>
      <c r="T30" s="203">
        <v>575</v>
      </c>
      <c r="U30" s="203"/>
      <c r="V30" s="57">
        <f t="shared" si="10"/>
        <v>0</v>
      </c>
      <c r="W30" s="197"/>
      <c r="X30" s="195"/>
      <c r="Y30" s="195"/>
      <c r="Z30" s="136"/>
      <c r="AA30" s="136"/>
      <c r="AB30" s="139">
        <v>7350</v>
      </c>
    </row>
    <row r="31" spans="1:28" ht="45" customHeight="1" x14ac:dyDescent="0.3">
      <c r="A31" s="2">
        <v>10</v>
      </c>
      <c r="B31" s="123" t="str">
        <f>B13</f>
        <v>WAGES - SECUR &amp; GARDEN - BANK</v>
      </c>
      <c r="C31" s="32">
        <v>8</v>
      </c>
      <c r="D31" s="32"/>
      <c r="E31" s="32"/>
      <c r="F31" s="32">
        <f>C31+D31-E31</f>
        <v>8</v>
      </c>
      <c r="G31" s="144">
        <v>7</v>
      </c>
      <c r="H31" s="144"/>
      <c r="I31" s="39">
        <f t="shared" si="11"/>
        <v>-1</v>
      </c>
      <c r="J31" s="66">
        <f>M13</f>
        <v>59236</v>
      </c>
      <c r="K31" s="67">
        <f>59236-5111</f>
        <v>54125</v>
      </c>
      <c r="L31" s="144">
        <f>35542-3067</f>
        <v>32475</v>
      </c>
      <c r="M31" s="144"/>
      <c r="N31" s="158">
        <f>+J31*60/100</f>
        <v>35541.599999999999</v>
      </c>
      <c r="O31" s="159"/>
      <c r="P31" s="144">
        <f>+L31-N31</f>
        <v>-3066.5999999999985</v>
      </c>
      <c r="Q31" s="144"/>
      <c r="R31" s="203">
        <v>3896</v>
      </c>
      <c r="S31" s="203"/>
      <c r="T31" s="203">
        <v>3896</v>
      </c>
      <c r="U31" s="203"/>
      <c r="V31" s="57">
        <f t="shared" si="10"/>
        <v>0</v>
      </c>
      <c r="W31" s="197" t="s">
        <v>89</v>
      </c>
      <c r="X31" s="195"/>
      <c r="Y31" s="195"/>
      <c r="Z31" s="136"/>
      <c r="AA31" s="136"/>
      <c r="AB31" s="139">
        <v>58890</v>
      </c>
    </row>
    <row r="32" spans="1:28" ht="29.25" customHeight="1" x14ac:dyDescent="0.3">
      <c r="A32" s="2">
        <v>11</v>
      </c>
      <c r="B32" s="123" t="s">
        <v>34</v>
      </c>
      <c r="C32" s="32">
        <v>1</v>
      </c>
      <c r="D32" s="32"/>
      <c r="E32" s="32"/>
      <c r="F32" s="32">
        <f t="shared" ref="F32:F34" si="16">C32+D32-E32</f>
        <v>1</v>
      </c>
      <c r="G32" s="158">
        <v>1</v>
      </c>
      <c r="H32" s="159"/>
      <c r="I32" s="39"/>
      <c r="J32" s="66">
        <v>200000</v>
      </c>
      <c r="K32" s="67">
        <v>200000</v>
      </c>
      <c r="L32" s="158">
        <v>200000</v>
      </c>
      <c r="M32" s="159"/>
      <c r="N32" s="158">
        <f>+J32*60/100</f>
        <v>120000</v>
      </c>
      <c r="O32" s="159"/>
      <c r="P32" s="144">
        <f t="shared" si="14"/>
        <v>80000</v>
      </c>
      <c r="Q32" s="144"/>
      <c r="R32" s="204">
        <v>24000</v>
      </c>
      <c r="S32" s="205"/>
      <c r="T32" s="204">
        <v>24000</v>
      </c>
      <c r="U32" s="205"/>
      <c r="V32" s="57">
        <f t="shared" si="10"/>
        <v>0</v>
      </c>
      <c r="W32" s="189" t="s">
        <v>75</v>
      </c>
      <c r="X32" s="190"/>
      <c r="Y32" s="190"/>
      <c r="Z32" s="136"/>
      <c r="AA32" s="136"/>
      <c r="AB32" s="139">
        <v>176000</v>
      </c>
    </row>
    <row r="33" spans="1:28" ht="32.25" customHeight="1" x14ac:dyDescent="0.3">
      <c r="A33" s="2">
        <v>12</v>
      </c>
      <c r="B33" s="122" t="str">
        <f t="shared" ref="B33:B34" si="17">B15</f>
        <v>EXEMPTED - BANK</v>
      </c>
      <c r="C33" s="32">
        <v>6</v>
      </c>
      <c r="D33" s="32">
        <v>1</v>
      </c>
      <c r="E33" s="32">
        <v>0</v>
      </c>
      <c r="F33" s="32">
        <f t="shared" si="16"/>
        <v>7</v>
      </c>
      <c r="G33" s="144"/>
      <c r="H33" s="144"/>
      <c r="I33" s="39">
        <f t="shared" si="11"/>
        <v>-7</v>
      </c>
      <c r="J33" s="8">
        <v>115717</v>
      </c>
      <c r="K33" s="8">
        <v>0</v>
      </c>
      <c r="L33" s="144">
        <v>0</v>
      </c>
      <c r="M33" s="144"/>
      <c r="N33" s="158">
        <v>0</v>
      </c>
      <c r="O33" s="159"/>
      <c r="P33" s="144">
        <f t="shared" si="14"/>
        <v>0</v>
      </c>
      <c r="Q33" s="144"/>
      <c r="R33" s="203">
        <v>0</v>
      </c>
      <c r="S33" s="203"/>
      <c r="T33" s="203">
        <v>0</v>
      </c>
      <c r="U33" s="203"/>
      <c r="V33" s="57">
        <f t="shared" si="10"/>
        <v>0</v>
      </c>
      <c r="W33" s="197" t="s">
        <v>49</v>
      </c>
      <c r="X33" s="195"/>
      <c r="Y33" s="195"/>
      <c r="Z33" s="136">
        <v>18</v>
      </c>
      <c r="AA33" s="136">
        <v>13272</v>
      </c>
      <c r="AB33" s="139">
        <v>70482</v>
      </c>
    </row>
    <row r="34" spans="1:28" ht="28.5" customHeight="1" x14ac:dyDescent="0.3">
      <c r="A34" s="2">
        <v>13</v>
      </c>
      <c r="B34" s="122" t="str">
        <f t="shared" si="17"/>
        <v>EXEMPTED - CHEQUE</v>
      </c>
      <c r="C34" s="32">
        <v>4</v>
      </c>
      <c r="D34" s="32">
        <v>0</v>
      </c>
      <c r="E34" s="32">
        <v>1</v>
      </c>
      <c r="F34" s="32">
        <f t="shared" si="16"/>
        <v>3</v>
      </c>
      <c r="G34" s="144">
        <v>0</v>
      </c>
      <c r="H34" s="144"/>
      <c r="I34" s="39">
        <f t="shared" si="11"/>
        <v>-3</v>
      </c>
      <c r="J34" s="8">
        <v>44914</v>
      </c>
      <c r="K34" s="8">
        <v>0</v>
      </c>
      <c r="L34" s="144">
        <v>0</v>
      </c>
      <c r="M34" s="144"/>
      <c r="N34" s="158">
        <v>0</v>
      </c>
      <c r="O34" s="159"/>
      <c r="P34" s="212">
        <f t="shared" si="14"/>
        <v>0</v>
      </c>
      <c r="Q34" s="212"/>
      <c r="R34" s="203">
        <v>0</v>
      </c>
      <c r="S34" s="203"/>
      <c r="T34" s="203">
        <v>0</v>
      </c>
      <c r="U34" s="203"/>
      <c r="V34" s="57">
        <f t="shared" si="10"/>
        <v>0</v>
      </c>
      <c r="W34" s="197" t="s">
        <v>49</v>
      </c>
      <c r="X34" s="195"/>
      <c r="Y34" s="195"/>
      <c r="Z34" s="136"/>
      <c r="AA34" s="136"/>
      <c r="AB34" s="139">
        <v>35010</v>
      </c>
    </row>
    <row r="35" spans="1:28" ht="33" customHeight="1" x14ac:dyDescent="0.25">
      <c r="A35" s="18"/>
      <c r="B35" s="22" t="s">
        <v>47</v>
      </c>
      <c r="C35" s="129">
        <f>SUM(C22:C34)</f>
        <v>184</v>
      </c>
      <c r="D35" s="111">
        <f t="shared" ref="D35:E35" si="18">SUM(D22:D34)</f>
        <v>24</v>
      </c>
      <c r="E35" s="58">
        <f t="shared" si="18"/>
        <v>30</v>
      </c>
      <c r="F35" s="58">
        <f>SUM(F22:F34)</f>
        <v>178</v>
      </c>
      <c r="G35" s="201">
        <f>SUM(G22:H34)</f>
        <v>164</v>
      </c>
      <c r="H35" s="201"/>
      <c r="I35" s="59">
        <f>SUM(I22:I34)</f>
        <v>-14</v>
      </c>
      <c r="J35" s="68">
        <f>SUM(J22:J34)</f>
        <v>1447376</v>
      </c>
      <c r="K35" s="68">
        <f>SUM(K22:K34)</f>
        <v>1272534</v>
      </c>
      <c r="L35" s="200">
        <f>SUM(L22:M34)</f>
        <v>863439</v>
      </c>
      <c r="M35" s="200"/>
      <c r="N35" s="200">
        <f>SUM(N22:O34)</f>
        <v>772047</v>
      </c>
      <c r="O35" s="200"/>
      <c r="P35" s="200">
        <f>SUM(P22:Q34)</f>
        <v>91392.000000000015</v>
      </c>
      <c r="Q35" s="200"/>
      <c r="R35" s="200">
        <f>SUM(R22:S34)</f>
        <v>103612</v>
      </c>
      <c r="S35" s="200"/>
      <c r="T35" s="200">
        <f>SUM(T22:U34)</f>
        <v>103612</v>
      </c>
      <c r="U35" s="200"/>
      <c r="V35" s="60">
        <f>SUM(V22:V34)</f>
        <v>0</v>
      </c>
      <c r="W35" s="207"/>
      <c r="X35" s="208"/>
      <c r="Y35" s="208"/>
      <c r="Z35" s="53">
        <f>SUM(Z22:Z34)</f>
        <v>352</v>
      </c>
      <c r="AA35" s="53">
        <f>SUM(AA22:AA34)</f>
        <v>123477</v>
      </c>
      <c r="AB35" s="53">
        <f>SUM(AB22:AB34)</f>
        <v>1482106</v>
      </c>
    </row>
    <row r="36" spans="1:28" x14ac:dyDescent="0.25">
      <c r="E36" s="63"/>
      <c r="K36">
        <v>160631</v>
      </c>
      <c r="Z36" s="138"/>
      <c r="AA36" s="138"/>
      <c r="AB36" s="140"/>
    </row>
    <row r="37" spans="1:28" x14ac:dyDescent="0.25">
      <c r="E37" s="63"/>
      <c r="K37" s="100">
        <v>14211</v>
      </c>
      <c r="Z37" s="138"/>
      <c r="AA37" s="138"/>
      <c r="AB37" s="140"/>
    </row>
    <row r="38" spans="1:28" ht="21" x14ac:dyDescent="0.35">
      <c r="A38" s="25" t="s">
        <v>63</v>
      </c>
      <c r="B38" s="25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138"/>
      <c r="AA38" s="138"/>
      <c r="AB38" s="140"/>
    </row>
    <row r="39" spans="1:28" ht="18.75" x14ac:dyDescent="0.25">
      <c r="A39" s="163" t="s">
        <v>1</v>
      </c>
      <c r="B39" s="163" t="s">
        <v>38</v>
      </c>
      <c r="C39" s="166" t="s">
        <v>39</v>
      </c>
      <c r="D39" s="166"/>
      <c r="E39" s="166"/>
      <c r="F39" s="166"/>
      <c r="G39" s="155" t="s">
        <v>61</v>
      </c>
      <c r="H39" s="166" t="s">
        <v>62</v>
      </c>
      <c r="I39" s="155" t="s">
        <v>41</v>
      </c>
      <c r="J39" s="155"/>
      <c r="K39" s="164" t="s">
        <v>60</v>
      </c>
      <c r="L39" s="155" t="s">
        <v>44</v>
      </c>
      <c r="M39" s="155"/>
      <c r="N39" s="166" t="s">
        <v>57</v>
      </c>
      <c r="O39" s="166"/>
      <c r="P39" s="166" t="s">
        <v>53</v>
      </c>
      <c r="Q39" s="166"/>
      <c r="R39" s="155" t="s">
        <v>59</v>
      </c>
      <c r="S39" s="155"/>
      <c r="T39" s="155" t="s">
        <v>58</v>
      </c>
      <c r="U39" s="155"/>
      <c r="V39" s="166" t="s">
        <v>74</v>
      </c>
      <c r="W39" s="166" t="s">
        <v>43</v>
      </c>
      <c r="X39" s="166"/>
      <c r="Y39" s="216"/>
      <c r="Z39" s="237" t="s">
        <v>99</v>
      </c>
      <c r="AA39" s="237" t="s">
        <v>98</v>
      </c>
      <c r="AB39" s="238" t="s">
        <v>37</v>
      </c>
    </row>
    <row r="40" spans="1:28" ht="28.5" customHeight="1" x14ac:dyDescent="0.25">
      <c r="A40" s="163"/>
      <c r="B40" s="163"/>
      <c r="C40" s="44" t="s">
        <v>65</v>
      </c>
      <c r="D40" s="44" t="s">
        <v>66</v>
      </c>
      <c r="E40" s="129" t="s">
        <v>67</v>
      </c>
      <c r="F40" s="129" t="s">
        <v>68</v>
      </c>
      <c r="G40" s="155"/>
      <c r="H40" s="166"/>
      <c r="I40" s="155"/>
      <c r="J40" s="155"/>
      <c r="K40" s="165"/>
      <c r="L40" s="155"/>
      <c r="M40" s="155"/>
      <c r="N40" s="166"/>
      <c r="O40" s="166"/>
      <c r="P40" s="166"/>
      <c r="Q40" s="166"/>
      <c r="R40" s="155"/>
      <c r="S40" s="155"/>
      <c r="T40" s="155"/>
      <c r="U40" s="155"/>
      <c r="V40" s="166"/>
      <c r="W40" s="166"/>
      <c r="X40" s="166"/>
      <c r="Y40" s="216"/>
      <c r="Z40" s="237"/>
      <c r="AA40" s="237"/>
      <c r="AB40" s="238"/>
    </row>
    <row r="41" spans="1:28" ht="39.75" customHeight="1" x14ac:dyDescent="0.3">
      <c r="A41" s="2">
        <v>1</v>
      </c>
      <c r="B41" s="123" t="str">
        <f>B22</f>
        <v>SALARY -STAFF - BANK</v>
      </c>
      <c r="C41" s="32">
        <v>14</v>
      </c>
      <c r="D41" s="32">
        <v>1</v>
      </c>
      <c r="E41" s="32">
        <v>1</v>
      </c>
      <c r="F41" s="32">
        <f t="shared" ref="F41:F44" si="19">C41+D41-E41</f>
        <v>14</v>
      </c>
      <c r="G41" s="125">
        <v>10</v>
      </c>
      <c r="H41" s="116">
        <f>G41-F41</f>
        <v>-4</v>
      </c>
      <c r="I41" s="203">
        <f>M4</f>
        <v>269470</v>
      </c>
      <c r="J41" s="203"/>
      <c r="K41" s="39">
        <v>0</v>
      </c>
      <c r="L41" s="144">
        <f>+I41-41500-31500-42500-21500</f>
        <v>132470</v>
      </c>
      <c r="M41" s="144"/>
      <c r="N41" s="144">
        <f>+I41+K41</f>
        <v>269470</v>
      </c>
      <c r="O41" s="144"/>
      <c r="P41" s="144">
        <f>+L41-N41</f>
        <v>-137000</v>
      </c>
      <c r="Q41" s="144"/>
      <c r="R41" s="204">
        <v>996</v>
      </c>
      <c r="S41" s="205"/>
      <c r="T41" s="203">
        <v>996</v>
      </c>
      <c r="U41" s="203"/>
      <c r="V41" s="57">
        <f>R41-T41</f>
        <v>0</v>
      </c>
      <c r="W41" s="202" t="s">
        <v>83</v>
      </c>
      <c r="X41" s="202"/>
      <c r="Y41" s="197"/>
      <c r="Z41" s="136">
        <v>0</v>
      </c>
      <c r="AA41" s="137">
        <v>0</v>
      </c>
      <c r="AB41" s="139">
        <v>232609</v>
      </c>
    </row>
    <row r="42" spans="1:28" ht="38.25" customHeight="1" x14ac:dyDescent="0.3">
      <c r="A42" s="2">
        <v>2</v>
      </c>
      <c r="B42" s="123" t="str">
        <f t="shared" ref="B42:B53" si="20">B23</f>
        <v>SALARY - STAFF -2 BANK</v>
      </c>
      <c r="C42" s="32">
        <v>7</v>
      </c>
      <c r="D42" s="32"/>
      <c r="E42" s="32">
        <v>0</v>
      </c>
      <c r="F42" s="32">
        <f t="shared" si="19"/>
        <v>7</v>
      </c>
      <c r="G42" s="125">
        <v>6</v>
      </c>
      <c r="H42" s="116">
        <f t="shared" ref="H41:H53" si="21">G42-F42</f>
        <v>-1</v>
      </c>
      <c r="I42" s="203">
        <f>M5</f>
        <v>97490</v>
      </c>
      <c r="J42" s="203"/>
      <c r="K42" s="39">
        <v>2971</v>
      </c>
      <c r="L42" s="144">
        <f>97490-22846+2971</f>
        <v>77615</v>
      </c>
      <c r="M42" s="144"/>
      <c r="N42" s="144">
        <f>+I42+K42</f>
        <v>100461</v>
      </c>
      <c r="O42" s="144"/>
      <c r="P42" s="144">
        <f>+L42-N42</f>
        <v>-22846</v>
      </c>
      <c r="Q42" s="144"/>
      <c r="R42" s="204">
        <f>563+22</f>
        <v>585</v>
      </c>
      <c r="S42" s="205"/>
      <c r="T42" s="203">
        <v>585</v>
      </c>
      <c r="U42" s="203"/>
      <c r="V42" s="57">
        <f>R42-T42</f>
        <v>0</v>
      </c>
      <c r="W42" s="202" t="s">
        <v>71</v>
      </c>
      <c r="X42" s="202"/>
      <c r="Y42" s="197"/>
      <c r="Z42" s="136"/>
      <c r="AA42" s="136"/>
      <c r="AB42" s="139">
        <v>86320</v>
      </c>
    </row>
    <row r="43" spans="1:28" ht="28.5" customHeight="1" x14ac:dyDescent="0.3">
      <c r="A43" s="2">
        <v>3</v>
      </c>
      <c r="B43" s="123" t="str">
        <f t="shared" si="20"/>
        <v>SALARY - STAFF-CHEQUE</v>
      </c>
      <c r="C43" s="32">
        <v>2</v>
      </c>
      <c r="D43" s="32">
        <v>0</v>
      </c>
      <c r="E43" s="32">
        <v>2</v>
      </c>
      <c r="F43" s="32">
        <f t="shared" si="19"/>
        <v>0</v>
      </c>
      <c r="G43" s="125">
        <v>0</v>
      </c>
      <c r="H43" s="116">
        <f t="shared" si="21"/>
        <v>0</v>
      </c>
      <c r="I43" s="203">
        <f t="shared" ref="I43:I53" si="22">M6</f>
        <v>0</v>
      </c>
      <c r="J43" s="203"/>
      <c r="K43" s="39">
        <v>0</v>
      </c>
      <c r="L43" s="144">
        <v>0</v>
      </c>
      <c r="M43" s="144"/>
      <c r="N43" s="144">
        <f t="shared" ref="N43:N53" si="23">+I43+K43</f>
        <v>0</v>
      </c>
      <c r="O43" s="144"/>
      <c r="P43" s="144">
        <f>+L43-N43</f>
        <v>0</v>
      </c>
      <c r="Q43" s="144"/>
      <c r="R43" s="204">
        <v>0</v>
      </c>
      <c r="S43" s="205"/>
      <c r="T43" s="203">
        <v>0</v>
      </c>
      <c r="U43" s="203"/>
      <c r="V43" s="57">
        <f t="shared" ref="V43:V53" si="24">R43-T43</f>
        <v>0</v>
      </c>
      <c r="W43" s="202"/>
      <c r="X43" s="202"/>
      <c r="Y43" s="197"/>
      <c r="Z43" s="136"/>
      <c r="AA43" s="136"/>
      <c r="AB43" s="139">
        <v>0</v>
      </c>
    </row>
    <row r="44" spans="1:28" ht="32.25" customHeight="1" x14ac:dyDescent="0.3">
      <c r="A44" s="2">
        <v>4</v>
      </c>
      <c r="B44" s="123" t="str">
        <f t="shared" si="20"/>
        <v>WAGES-PERMANENT - BANK</v>
      </c>
      <c r="C44" s="32">
        <v>7</v>
      </c>
      <c r="D44" s="32">
        <v>0</v>
      </c>
      <c r="E44" s="32">
        <v>2</v>
      </c>
      <c r="F44" s="32">
        <f t="shared" si="19"/>
        <v>5</v>
      </c>
      <c r="G44" s="125">
        <v>5</v>
      </c>
      <c r="H44" s="116">
        <f t="shared" si="21"/>
        <v>0</v>
      </c>
      <c r="I44" s="203">
        <f t="shared" si="22"/>
        <v>47108</v>
      </c>
      <c r="J44" s="203"/>
      <c r="K44" s="39">
        <v>2677</v>
      </c>
      <c r="L44" s="144">
        <f>+I44+K44</f>
        <v>49785</v>
      </c>
      <c r="M44" s="144"/>
      <c r="N44" s="144">
        <f>+I44+K44</f>
        <v>49785</v>
      </c>
      <c r="O44" s="144"/>
      <c r="P44" s="144">
        <f t="shared" ref="P44:P53" si="25">+L44-N44</f>
        <v>0</v>
      </c>
      <c r="Q44" s="144"/>
      <c r="R44" s="204">
        <f>355+20</f>
        <v>375</v>
      </c>
      <c r="S44" s="205"/>
      <c r="T44" s="203">
        <v>375</v>
      </c>
      <c r="U44" s="203"/>
      <c r="V44" s="57">
        <f t="shared" si="24"/>
        <v>0</v>
      </c>
      <c r="W44" s="202"/>
      <c r="X44" s="202"/>
      <c r="Y44" s="197"/>
      <c r="Z44" s="136">
        <v>10</v>
      </c>
      <c r="AA44" s="136">
        <v>7065</v>
      </c>
      <c r="AB44" s="139">
        <v>50935</v>
      </c>
    </row>
    <row r="45" spans="1:28" ht="40.5" customHeight="1" x14ac:dyDescent="0.3">
      <c r="A45" s="2">
        <v>5</v>
      </c>
      <c r="B45" s="123" t="str">
        <f>B26</f>
        <v>WAGES - CASUAL - BANK(OUTSIDE)</v>
      </c>
      <c r="C45" s="32">
        <v>59</v>
      </c>
      <c r="D45" s="32">
        <f>11+1</f>
        <v>12</v>
      </c>
      <c r="E45" s="32">
        <f>3</f>
        <v>3</v>
      </c>
      <c r="F45" s="32">
        <f>C45+D45-E45</f>
        <v>68</v>
      </c>
      <c r="G45" s="125">
        <v>68</v>
      </c>
      <c r="H45" s="116">
        <f t="shared" si="21"/>
        <v>0</v>
      </c>
      <c r="I45" s="203">
        <f t="shared" si="22"/>
        <v>346008</v>
      </c>
      <c r="J45" s="203"/>
      <c r="K45" s="39">
        <v>15449</v>
      </c>
      <c r="L45" s="144">
        <f>346008+15449</f>
        <v>361457</v>
      </c>
      <c r="M45" s="144"/>
      <c r="N45" s="158">
        <f>+I45+K45</f>
        <v>361457</v>
      </c>
      <c r="O45" s="159"/>
      <c r="P45" s="144">
        <f t="shared" si="25"/>
        <v>0</v>
      </c>
      <c r="Q45" s="144"/>
      <c r="R45" s="204">
        <f>2629+116+5</f>
        <v>2750</v>
      </c>
      <c r="S45" s="205"/>
      <c r="T45" s="203">
        <f>2745+5+1</f>
        <v>2751</v>
      </c>
      <c r="U45" s="203"/>
      <c r="V45" s="57">
        <f t="shared" si="24"/>
        <v>-1</v>
      </c>
      <c r="W45" s="202"/>
      <c r="X45" s="202"/>
      <c r="Y45" s="197"/>
      <c r="Z45" s="136">
        <v>186</v>
      </c>
      <c r="AA45" s="136">
        <v>59985</v>
      </c>
      <c r="AB45" s="139">
        <v>452585</v>
      </c>
    </row>
    <row r="46" spans="1:28" ht="39" customHeight="1" x14ac:dyDescent="0.3">
      <c r="A46" s="2">
        <v>6</v>
      </c>
      <c r="B46" s="123" t="str">
        <f t="shared" si="20"/>
        <v>WAGES - CASUAL - CASH(OUTSIDE)</v>
      </c>
      <c r="C46" s="32">
        <v>40</v>
      </c>
      <c r="D46" s="32">
        <v>7</v>
      </c>
      <c r="E46" s="32">
        <f>11+6</f>
        <v>17</v>
      </c>
      <c r="F46" s="32">
        <f t="shared" ref="F46:F49" si="26">C46+D46-E46</f>
        <v>30</v>
      </c>
      <c r="G46" s="125">
        <v>30</v>
      </c>
      <c r="H46" s="116">
        <f t="shared" si="21"/>
        <v>0</v>
      </c>
      <c r="I46" s="203">
        <f>M9</f>
        <v>116403</v>
      </c>
      <c r="J46" s="203"/>
      <c r="K46" s="39"/>
      <c r="L46" s="144">
        <v>116403</v>
      </c>
      <c r="M46" s="144"/>
      <c r="N46" s="158">
        <f>+I46+K46</f>
        <v>116403</v>
      </c>
      <c r="O46" s="159"/>
      <c r="P46" s="144">
        <f t="shared" si="25"/>
        <v>0</v>
      </c>
      <c r="Q46" s="144"/>
      <c r="R46" s="204">
        <v>885</v>
      </c>
      <c r="S46" s="205"/>
      <c r="T46" s="203">
        <f>885+1</f>
        <v>886</v>
      </c>
      <c r="U46" s="203"/>
      <c r="V46" s="57">
        <f t="shared" si="24"/>
        <v>-1</v>
      </c>
      <c r="W46" s="202"/>
      <c r="X46" s="202"/>
      <c r="Y46" s="197"/>
      <c r="Z46" s="136">
        <v>63</v>
      </c>
      <c r="AA46" s="136">
        <v>20550</v>
      </c>
      <c r="AB46" s="139">
        <v>146810</v>
      </c>
    </row>
    <row r="47" spans="1:28" ht="48" customHeight="1" x14ac:dyDescent="0.3">
      <c r="A47" s="2">
        <v>7</v>
      </c>
      <c r="B47" s="123" t="str">
        <f>B28</f>
        <v>WAGES - CASUAL - CASH(INSIDE)</v>
      </c>
      <c r="C47" s="32">
        <v>18</v>
      </c>
      <c r="D47" s="32">
        <f>1+1</f>
        <v>2</v>
      </c>
      <c r="E47" s="32">
        <v>1</v>
      </c>
      <c r="F47" s="32">
        <f t="shared" si="26"/>
        <v>19</v>
      </c>
      <c r="G47" s="125">
        <v>19</v>
      </c>
      <c r="H47" s="116">
        <f t="shared" si="21"/>
        <v>0</v>
      </c>
      <c r="I47" s="203">
        <f t="shared" si="22"/>
        <v>80550</v>
      </c>
      <c r="J47" s="203"/>
      <c r="K47" s="39">
        <v>7164</v>
      </c>
      <c r="L47" s="203">
        <f>+I47+K47</f>
        <v>87714</v>
      </c>
      <c r="M47" s="203"/>
      <c r="N47" s="158">
        <f>+I47+K47</f>
        <v>87714</v>
      </c>
      <c r="O47" s="159"/>
      <c r="P47" s="144">
        <f>+L47-N47</f>
        <v>0</v>
      </c>
      <c r="Q47" s="144"/>
      <c r="R47" s="204">
        <f>609+49</f>
        <v>658</v>
      </c>
      <c r="S47" s="205"/>
      <c r="T47" s="203">
        <f>609+49</f>
        <v>658</v>
      </c>
      <c r="U47" s="203"/>
      <c r="V47" s="57">
        <f t="shared" si="24"/>
        <v>0</v>
      </c>
      <c r="W47" s="202"/>
      <c r="X47" s="202"/>
      <c r="Y47" s="197"/>
      <c r="Z47" s="136">
        <v>42</v>
      </c>
      <c r="AA47" s="136">
        <v>12600</v>
      </c>
      <c r="AB47" s="139">
        <v>91360</v>
      </c>
    </row>
    <row r="48" spans="1:28" ht="42" customHeight="1" x14ac:dyDescent="0.3">
      <c r="A48" s="2">
        <v>8</v>
      </c>
      <c r="B48" s="123" t="str">
        <f t="shared" si="20"/>
        <v>WAGES - CASUAL - BANK(INSIDE)</v>
      </c>
      <c r="C48" s="32">
        <v>18</v>
      </c>
      <c r="D48" s="32"/>
      <c r="E48" s="32">
        <v>3</v>
      </c>
      <c r="F48" s="32">
        <f t="shared" si="26"/>
        <v>15</v>
      </c>
      <c r="G48" s="125">
        <v>15</v>
      </c>
      <c r="H48" s="116">
        <f t="shared" si="21"/>
        <v>0</v>
      </c>
      <c r="I48" s="203">
        <f t="shared" si="22"/>
        <v>62500</v>
      </c>
      <c r="J48" s="203"/>
      <c r="K48" s="39"/>
      <c r="L48" s="203">
        <v>62500</v>
      </c>
      <c r="M48" s="203"/>
      <c r="N48" s="144">
        <f>+I48+K48</f>
        <v>62500</v>
      </c>
      <c r="O48" s="144"/>
      <c r="P48" s="144">
        <f>+L48-N48</f>
        <v>0</v>
      </c>
      <c r="Q48" s="144"/>
      <c r="R48" s="204">
        <v>471</v>
      </c>
      <c r="S48" s="205"/>
      <c r="T48" s="203">
        <v>471</v>
      </c>
      <c r="U48" s="203"/>
      <c r="V48" s="57">
        <f t="shared" si="24"/>
        <v>0</v>
      </c>
      <c r="W48" s="230"/>
      <c r="X48" s="231"/>
      <c r="Y48" s="231"/>
      <c r="Z48" s="136">
        <v>33</v>
      </c>
      <c r="AA48" s="136">
        <v>10005</v>
      </c>
      <c r="AB48" s="139">
        <v>73755</v>
      </c>
    </row>
    <row r="49" spans="1:28" ht="46.5" customHeight="1" x14ac:dyDescent="0.3">
      <c r="A49" s="2">
        <v>8</v>
      </c>
      <c r="B49" s="123" t="str">
        <f t="shared" si="20"/>
        <v>WAGES - SECUR &amp; GARDEN - CHQ</v>
      </c>
      <c r="C49" s="32">
        <v>0</v>
      </c>
      <c r="D49" s="32">
        <v>1</v>
      </c>
      <c r="E49" s="32">
        <v>0</v>
      </c>
      <c r="F49" s="32">
        <f t="shared" si="26"/>
        <v>1</v>
      </c>
      <c r="G49" s="125">
        <v>1</v>
      </c>
      <c r="H49" s="116">
        <f>G49-F49</f>
        <v>0</v>
      </c>
      <c r="I49" s="203">
        <v>7980</v>
      </c>
      <c r="J49" s="203"/>
      <c r="K49" s="39">
        <v>0</v>
      </c>
      <c r="L49" s="144">
        <v>7980</v>
      </c>
      <c r="M49" s="144"/>
      <c r="N49" s="144">
        <v>7980</v>
      </c>
      <c r="O49" s="144"/>
      <c r="P49" s="144">
        <f t="shared" si="25"/>
        <v>0</v>
      </c>
      <c r="Q49" s="144"/>
      <c r="R49" s="204">
        <v>60</v>
      </c>
      <c r="S49" s="205"/>
      <c r="T49" s="203">
        <v>60</v>
      </c>
      <c r="U49" s="203"/>
      <c r="V49" s="57">
        <f t="shared" si="24"/>
        <v>0</v>
      </c>
      <c r="W49" s="202"/>
      <c r="X49" s="202"/>
      <c r="Y49" s="197"/>
      <c r="Z49" s="136"/>
      <c r="AA49" s="136"/>
      <c r="AB49" s="139">
        <v>7350</v>
      </c>
    </row>
    <row r="50" spans="1:28" ht="39.75" customHeight="1" x14ac:dyDescent="0.3">
      <c r="A50" s="2">
        <v>9</v>
      </c>
      <c r="B50" s="123" t="str">
        <f t="shared" si="20"/>
        <v>WAGES - SECUR &amp; GARDEN - BANK</v>
      </c>
      <c r="C50" s="32">
        <v>8</v>
      </c>
      <c r="D50" s="32"/>
      <c r="E50" s="32"/>
      <c r="F50" s="32">
        <f>C50+D50-E50</f>
        <v>8</v>
      </c>
      <c r="G50" s="125">
        <v>8</v>
      </c>
      <c r="H50" s="116">
        <f t="shared" si="21"/>
        <v>0</v>
      </c>
      <c r="I50" s="203">
        <v>59236</v>
      </c>
      <c r="J50" s="203"/>
      <c r="K50" s="39">
        <v>0</v>
      </c>
      <c r="L50" s="144">
        <v>59236</v>
      </c>
      <c r="M50" s="144"/>
      <c r="N50" s="144">
        <f>+I50+K50</f>
        <v>59236</v>
      </c>
      <c r="O50" s="144"/>
      <c r="P50" s="144">
        <f t="shared" si="25"/>
        <v>0</v>
      </c>
      <c r="Q50" s="144"/>
      <c r="R50" s="204">
        <v>448</v>
      </c>
      <c r="S50" s="205"/>
      <c r="T50" s="203">
        <v>448</v>
      </c>
      <c r="U50" s="203"/>
      <c r="V50" s="57">
        <f t="shared" si="24"/>
        <v>0</v>
      </c>
      <c r="W50" s="202"/>
      <c r="X50" s="202"/>
      <c r="Y50" s="197"/>
      <c r="Z50" s="136"/>
      <c r="AA50" s="136"/>
      <c r="AB50" s="139">
        <v>58890</v>
      </c>
    </row>
    <row r="51" spans="1:28" ht="42" customHeight="1" x14ac:dyDescent="0.3">
      <c r="A51" s="2">
        <v>10</v>
      </c>
      <c r="B51" s="123" t="str">
        <f t="shared" si="20"/>
        <v>JMD</v>
      </c>
      <c r="C51" s="32">
        <v>1</v>
      </c>
      <c r="D51" s="32"/>
      <c r="E51" s="32"/>
      <c r="F51" s="32">
        <f t="shared" ref="F51:F53" si="27">C51+D51-E51</f>
        <v>1</v>
      </c>
      <c r="G51" s="125">
        <v>0</v>
      </c>
      <c r="H51" s="116">
        <f t="shared" si="21"/>
        <v>-1</v>
      </c>
      <c r="I51" s="203">
        <f t="shared" si="22"/>
        <v>200000</v>
      </c>
      <c r="J51" s="203"/>
      <c r="K51" s="39">
        <v>0</v>
      </c>
      <c r="L51" s="158">
        <v>0</v>
      </c>
      <c r="M51" s="159"/>
      <c r="N51" s="144">
        <f t="shared" si="23"/>
        <v>200000</v>
      </c>
      <c r="O51" s="144"/>
      <c r="P51" s="144">
        <f t="shared" si="25"/>
        <v>-200000</v>
      </c>
      <c r="Q51" s="144"/>
      <c r="R51" s="204">
        <v>0</v>
      </c>
      <c r="S51" s="205"/>
      <c r="T51" s="204"/>
      <c r="U51" s="205"/>
      <c r="V51" s="57">
        <f t="shared" si="24"/>
        <v>0</v>
      </c>
      <c r="W51" s="202" t="s">
        <v>71</v>
      </c>
      <c r="X51" s="202"/>
      <c r="Y51" s="197"/>
      <c r="Z51" s="136"/>
      <c r="AA51" s="136"/>
      <c r="AB51" s="139">
        <v>176000</v>
      </c>
    </row>
    <row r="52" spans="1:28" ht="37.5" customHeight="1" x14ac:dyDescent="0.3">
      <c r="A52" s="2">
        <v>11</v>
      </c>
      <c r="B52" s="123" t="str">
        <f t="shared" si="20"/>
        <v>EXEMPTED - BANK</v>
      </c>
      <c r="C52" s="32">
        <v>6</v>
      </c>
      <c r="D52" s="32">
        <v>1</v>
      </c>
      <c r="E52" s="32">
        <v>0</v>
      </c>
      <c r="F52" s="32">
        <f t="shared" si="27"/>
        <v>7</v>
      </c>
      <c r="G52" s="125"/>
      <c r="H52" s="116">
        <f t="shared" si="21"/>
        <v>-7</v>
      </c>
      <c r="I52" s="203">
        <f>M15</f>
        <v>115717</v>
      </c>
      <c r="J52" s="203"/>
      <c r="K52" s="39">
        <v>0</v>
      </c>
      <c r="L52" s="144">
        <v>0</v>
      </c>
      <c r="M52" s="144"/>
      <c r="N52" s="144">
        <f t="shared" si="23"/>
        <v>115717</v>
      </c>
      <c r="O52" s="144"/>
      <c r="P52" s="144">
        <f t="shared" si="25"/>
        <v>-115717</v>
      </c>
      <c r="Q52" s="144"/>
      <c r="R52" s="204">
        <v>0</v>
      </c>
      <c r="S52" s="205"/>
      <c r="T52" s="203">
        <v>0</v>
      </c>
      <c r="U52" s="203"/>
      <c r="V52" s="57">
        <f t="shared" si="24"/>
        <v>0</v>
      </c>
      <c r="W52" s="202"/>
      <c r="X52" s="202"/>
      <c r="Y52" s="197"/>
      <c r="Z52" s="136">
        <v>18</v>
      </c>
      <c r="AA52" s="136">
        <v>13272</v>
      </c>
      <c r="AB52" s="139">
        <v>70482</v>
      </c>
    </row>
    <row r="53" spans="1:28" ht="35.25" customHeight="1" x14ac:dyDescent="0.3">
      <c r="A53" s="2">
        <v>12</v>
      </c>
      <c r="B53" s="123" t="str">
        <f t="shared" si="20"/>
        <v>EXEMPTED - CHEQUE</v>
      </c>
      <c r="C53" s="32">
        <v>4</v>
      </c>
      <c r="D53" s="32">
        <v>0</v>
      </c>
      <c r="E53" s="32">
        <v>1</v>
      </c>
      <c r="F53" s="32">
        <f t="shared" si="27"/>
        <v>3</v>
      </c>
      <c r="G53" s="125">
        <v>0</v>
      </c>
      <c r="H53" s="116">
        <f t="shared" si="21"/>
        <v>-3</v>
      </c>
      <c r="I53" s="203">
        <f t="shared" si="22"/>
        <v>44914</v>
      </c>
      <c r="J53" s="203"/>
      <c r="K53" s="39">
        <v>0</v>
      </c>
      <c r="L53" s="144">
        <v>0</v>
      </c>
      <c r="M53" s="144"/>
      <c r="N53" s="144">
        <f t="shared" si="23"/>
        <v>44914</v>
      </c>
      <c r="O53" s="144"/>
      <c r="P53" s="144">
        <f t="shared" si="25"/>
        <v>-44914</v>
      </c>
      <c r="Q53" s="144"/>
      <c r="R53" s="204">
        <v>0</v>
      </c>
      <c r="S53" s="205"/>
      <c r="T53" s="203">
        <v>0</v>
      </c>
      <c r="U53" s="203"/>
      <c r="V53" s="57">
        <f t="shared" si="24"/>
        <v>0</v>
      </c>
      <c r="W53" s="202"/>
      <c r="X53" s="202"/>
      <c r="Y53" s="197"/>
      <c r="Z53" s="136"/>
      <c r="AA53" s="136"/>
      <c r="AB53" s="139">
        <v>35010</v>
      </c>
    </row>
    <row r="54" spans="1:28" ht="18.75" x14ac:dyDescent="0.25">
      <c r="A54" s="18"/>
      <c r="B54" s="22" t="s">
        <v>47</v>
      </c>
      <c r="C54" s="129">
        <f>SUM(C41:C53)</f>
        <v>184</v>
      </c>
      <c r="D54" s="111">
        <f t="shared" ref="D54:E54" si="28">SUM(D41:D53)</f>
        <v>24</v>
      </c>
      <c r="E54" s="58">
        <f t="shared" si="28"/>
        <v>30</v>
      </c>
      <c r="F54" s="58">
        <f>SUM(F41:F53)</f>
        <v>178</v>
      </c>
      <c r="G54" s="58">
        <f>SUM(G41:G53)</f>
        <v>162</v>
      </c>
      <c r="H54" s="58">
        <f t="shared" ref="H54" si="29">SUM(H41:H53)</f>
        <v>-16</v>
      </c>
      <c r="I54" s="199">
        <f>SUM(I41:K53)</f>
        <v>1475637</v>
      </c>
      <c r="J54" s="199"/>
      <c r="K54" s="62">
        <f>SUM(K41:K53)</f>
        <v>28261</v>
      </c>
      <c r="L54" s="200">
        <f>SUM(L41:M53)</f>
        <v>955160</v>
      </c>
      <c r="M54" s="200"/>
      <c r="N54" s="201">
        <f>SUM(N41:O53)</f>
        <v>1475637</v>
      </c>
      <c r="O54" s="201"/>
      <c r="P54" s="201">
        <f>SUM(P41:Q53)</f>
        <v>-520477</v>
      </c>
      <c r="Q54" s="201"/>
      <c r="R54" s="201">
        <f>SUM(R41:S53)</f>
        <v>7228</v>
      </c>
      <c r="S54" s="201"/>
      <c r="T54" s="201">
        <f>SUM(T41:U53)</f>
        <v>7230</v>
      </c>
      <c r="U54" s="201"/>
      <c r="V54" s="60">
        <f>SUM(V41:V53)</f>
        <v>-2</v>
      </c>
      <c r="W54" s="198"/>
      <c r="X54" s="198"/>
      <c r="Y54" s="207"/>
      <c r="Z54" s="53">
        <f>SUM(Z41:Z53)</f>
        <v>352</v>
      </c>
      <c r="AA54" s="53">
        <f>SUM(AA41:AA53)</f>
        <v>123477</v>
      </c>
      <c r="AB54" s="53">
        <f>SUM(AB41:AB53)</f>
        <v>1482106</v>
      </c>
    </row>
    <row r="55" spans="1:28" x14ac:dyDescent="0.25">
      <c r="M55">
        <f>+L54*0.75/100</f>
        <v>7163.7</v>
      </c>
    </row>
    <row r="56" spans="1:28" x14ac:dyDescent="0.25">
      <c r="J56" s="100"/>
    </row>
  </sheetData>
  <mergeCells count="243">
    <mergeCell ref="V2:W2"/>
    <mergeCell ref="X2:X3"/>
    <mergeCell ref="Y2:Y3"/>
    <mergeCell ref="A17:B17"/>
    <mergeCell ref="A20:A21"/>
    <mergeCell ref="B20:B21"/>
    <mergeCell ref="C20:F20"/>
    <mergeCell ref="G20:H21"/>
    <mergeCell ref="I20:I21"/>
    <mergeCell ref="J20:J21"/>
    <mergeCell ref="A2:A3"/>
    <mergeCell ref="B2:B3"/>
    <mergeCell ref="C2:F2"/>
    <mergeCell ref="G2:G3"/>
    <mergeCell ref="H2:M2"/>
    <mergeCell ref="N2:U2"/>
    <mergeCell ref="V20:V21"/>
    <mergeCell ref="W20:Y21"/>
    <mergeCell ref="G22:H22"/>
    <mergeCell ref="L22:M22"/>
    <mergeCell ref="N22:O22"/>
    <mergeCell ref="P22:Q22"/>
    <mergeCell ref="R22:S22"/>
    <mergeCell ref="T22:U22"/>
    <mergeCell ref="W22:Y22"/>
    <mergeCell ref="K20:K21"/>
    <mergeCell ref="L20:M21"/>
    <mergeCell ref="N20:O21"/>
    <mergeCell ref="P20:Q21"/>
    <mergeCell ref="R20:S21"/>
    <mergeCell ref="T20:U21"/>
    <mergeCell ref="W23:Y23"/>
    <mergeCell ref="G24:H24"/>
    <mergeCell ref="L24:M24"/>
    <mergeCell ref="N24:O24"/>
    <mergeCell ref="P24:Q24"/>
    <mergeCell ref="R24:S24"/>
    <mergeCell ref="T24:U24"/>
    <mergeCell ref="W24:Y24"/>
    <mergeCell ref="G23:H23"/>
    <mergeCell ref="L23:M23"/>
    <mergeCell ref="N23:O23"/>
    <mergeCell ref="P23:Q23"/>
    <mergeCell ref="R23:S23"/>
    <mergeCell ref="T23:U23"/>
    <mergeCell ref="W25:Y25"/>
    <mergeCell ref="G26:H26"/>
    <mergeCell ref="L26:M26"/>
    <mergeCell ref="N26:O26"/>
    <mergeCell ref="P26:Q26"/>
    <mergeCell ref="R26:S26"/>
    <mergeCell ref="T26:U26"/>
    <mergeCell ref="W26:Y26"/>
    <mergeCell ref="G25:H25"/>
    <mergeCell ref="L25:M25"/>
    <mergeCell ref="N25:O25"/>
    <mergeCell ref="P25:Q25"/>
    <mergeCell ref="R25:S25"/>
    <mergeCell ref="T25:U25"/>
    <mergeCell ref="W27:Y27"/>
    <mergeCell ref="G28:H28"/>
    <mergeCell ref="L28:M28"/>
    <mergeCell ref="N28:O28"/>
    <mergeCell ref="P28:Q28"/>
    <mergeCell ref="R28:S28"/>
    <mergeCell ref="T28:U28"/>
    <mergeCell ref="W28:Y28"/>
    <mergeCell ref="G27:H27"/>
    <mergeCell ref="L27:M27"/>
    <mergeCell ref="N27:O27"/>
    <mergeCell ref="P27:Q27"/>
    <mergeCell ref="R27:S27"/>
    <mergeCell ref="T27:U27"/>
    <mergeCell ref="W29:Y29"/>
    <mergeCell ref="G30:H30"/>
    <mergeCell ref="L30:M30"/>
    <mergeCell ref="N30:O30"/>
    <mergeCell ref="P30:Q30"/>
    <mergeCell ref="R30:S30"/>
    <mergeCell ref="T30:U30"/>
    <mergeCell ref="W30:Y30"/>
    <mergeCell ref="G29:H29"/>
    <mergeCell ref="L29:M29"/>
    <mergeCell ref="N29:O29"/>
    <mergeCell ref="P29:Q29"/>
    <mergeCell ref="R29:S29"/>
    <mergeCell ref="T29:U29"/>
    <mergeCell ref="W31:Y31"/>
    <mergeCell ref="G32:H32"/>
    <mergeCell ref="L32:M32"/>
    <mergeCell ref="N32:O32"/>
    <mergeCell ref="P32:Q32"/>
    <mergeCell ref="R32:S32"/>
    <mergeCell ref="T32:U32"/>
    <mergeCell ref="W32:Y32"/>
    <mergeCell ref="G31:H31"/>
    <mergeCell ref="L31:M31"/>
    <mergeCell ref="N31:O31"/>
    <mergeCell ref="P31:Q31"/>
    <mergeCell ref="R31:S31"/>
    <mergeCell ref="T31:U31"/>
    <mergeCell ref="W33:Y33"/>
    <mergeCell ref="G34:H34"/>
    <mergeCell ref="L34:M34"/>
    <mergeCell ref="N34:O34"/>
    <mergeCell ref="P34:Q34"/>
    <mergeCell ref="R34:S34"/>
    <mergeCell ref="T34:U34"/>
    <mergeCell ref="W34:Y34"/>
    <mergeCell ref="G33:H33"/>
    <mergeCell ref="L33:M33"/>
    <mergeCell ref="N33:O33"/>
    <mergeCell ref="P33:Q33"/>
    <mergeCell ref="R33:S33"/>
    <mergeCell ref="T33:U33"/>
    <mergeCell ref="W35:Y35"/>
    <mergeCell ref="A39:A40"/>
    <mergeCell ref="B39:B40"/>
    <mergeCell ref="C39:F39"/>
    <mergeCell ref="G39:G40"/>
    <mergeCell ref="H39:H40"/>
    <mergeCell ref="I39:J40"/>
    <mergeCell ref="K39:K40"/>
    <mergeCell ref="L39:M40"/>
    <mergeCell ref="N39:O40"/>
    <mergeCell ref="G35:H35"/>
    <mergeCell ref="L35:M35"/>
    <mergeCell ref="N35:O35"/>
    <mergeCell ref="P35:Q35"/>
    <mergeCell ref="R35:S35"/>
    <mergeCell ref="T35:U35"/>
    <mergeCell ref="P39:Q40"/>
    <mergeCell ref="R39:S40"/>
    <mergeCell ref="T39:U40"/>
    <mergeCell ref="V39:V40"/>
    <mergeCell ref="W39:Y40"/>
    <mergeCell ref="I41:J41"/>
    <mergeCell ref="L41:M41"/>
    <mergeCell ref="N41:O41"/>
    <mergeCell ref="P41:Q41"/>
    <mergeCell ref="R41:S41"/>
    <mergeCell ref="T41:U41"/>
    <mergeCell ref="W41:Y41"/>
    <mergeCell ref="I42:J42"/>
    <mergeCell ref="L42:M42"/>
    <mergeCell ref="N42:O42"/>
    <mergeCell ref="P42:Q42"/>
    <mergeCell ref="R42:S42"/>
    <mergeCell ref="T42:U42"/>
    <mergeCell ref="W42:Y42"/>
    <mergeCell ref="W43:Y43"/>
    <mergeCell ref="I44:J44"/>
    <mergeCell ref="L44:M44"/>
    <mergeCell ref="N44:O44"/>
    <mergeCell ref="P44:Q44"/>
    <mergeCell ref="R44:S44"/>
    <mergeCell ref="T44:U44"/>
    <mergeCell ref="W44:Y44"/>
    <mergeCell ref="I43:J43"/>
    <mergeCell ref="L43:M43"/>
    <mergeCell ref="N43:O43"/>
    <mergeCell ref="P43:Q43"/>
    <mergeCell ref="R43:S43"/>
    <mergeCell ref="T43:U43"/>
    <mergeCell ref="W45:Y45"/>
    <mergeCell ref="I46:J46"/>
    <mergeCell ref="L46:M46"/>
    <mergeCell ref="N46:O46"/>
    <mergeCell ref="P46:Q46"/>
    <mergeCell ref="R46:S46"/>
    <mergeCell ref="T46:U46"/>
    <mergeCell ref="W46:Y46"/>
    <mergeCell ref="I45:J45"/>
    <mergeCell ref="L45:M45"/>
    <mergeCell ref="N45:O45"/>
    <mergeCell ref="P45:Q45"/>
    <mergeCell ref="R45:S45"/>
    <mergeCell ref="T45:U45"/>
    <mergeCell ref="W47:Y47"/>
    <mergeCell ref="I48:J48"/>
    <mergeCell ref="L48:M48"/>
    <mergeCell ref="N48:O48"/>
    <mergeCell ref="P48:Q48"/>
    <mergeCell ref="R48:S48"/>
    <mergeCell ref="T48:U48"/>
    <mergeCell ref="W48:Y48"/>
    <mergeCell ref="I47:J47"/>
    <mergeCell ref="L47:M47"/>
    <mergeCell ref="N47:O47"/>
    <mergeCell ref="P47:Q47"/>
    <mergeCell ref="R47:S47"/>
    <mergeCell ref="T47:U47"/>
    <mergeCell ref="W49:Y49"/>
    <mergeCell ref="I50:J50"/>
    <mergeCell ref="L50:M50"/>
    <mergeCell ref="N50:O50"/>
    <mergeCell ref="P50:Q50"/>
    <mergeCell ref="R50:S50"/>
    <mergeCell ref="T50:U50"/>
    <mergeCell ref="W50:Y50"/>
    <mergeCell ref="I49:J49"/>
    <mergeCell ref="L49:M49"/>
    <mergeCell ref="N49:O49"/>
    <mergeCell ref="P49:Q49"/>
    <mergeCell ref="R49:S49"/>
    <mergeCell ref="T49:U49"/>
    <mergeCell ref="W51:Y51"/>
    <mergeCell ref="I52:J52"/>
    <mergeCell ref="L52:M52"/>
    <mergeCell ref="N52:O52"/>
    <mergeCell ref="P52:Q52"/>
    <mergeCell ref="R52:S52"/>
    <mergeCell ref="T52:U52"/>
    <mergeCell ref="W52:Y52"/>
    <mergeCell ref="I51:J51"/>
    <mergeCell ref="L51:M51"/>
    <mergeCell ref="N51:O51"/>
    <mergeCell ref="P51:Q51"/>
    <mergeCell ref="R51:S51"/>
    <mergeCell ref="T51:U51"/>
    <mergeCell ref="W53:Y53"/>
    <mergeCell ref="I54:J54"/>
    <mergeCell ref="L54:M54"/>
    <mergeCell ref="N54:O54"/>
    <mergeCell ref="P54:Q54"/>
    <mergeCell ref="R54:S54"/>
    <mergeCell ref="T54:U54"/>
    <mergeCell ref="W54:Y54"/>
    <mergeCell ref="I53:J53"/>
    <mergeCell ref="L53:M53"/>
    <mergeCell ref="N53:O53"/>
    <mergeCell ref="P53:Q53"/>
    <mergeCell ref="R53:S53"/>
    <mergeCell ref="T53:U53"/>
    <mergeCell ref="Z39:Z40"/>
    <mergeCell ref="AA39:AA40"/>
    <mergeCell ref="AB39:AB40"/>
    <mergeCell ref="Z2:Z3"/>
    <mergeCell ref="AA2:AA3"/>
    <mergeCell ref="AB2:AB3"/>
    <mergeCell ref="Z20:Z21"/>
    <mergeCell ref="AA20:AA21"/>
    <mergeCell ref="AB20:AB21"/>
  </mergeCells>
  <pageMargins left="0.70866141732283472" right="0.70866141732283472" top="0.74803149606299213" bottom="0.74803149606299213" header="0.31496062992125984" footer="0.31496062992125984"/>
  <pageSetup paperSize="8" scale="63" orientation="landscape" r:id="rId1"/>
  <rowBreaks count="1" manualBreakCount="1">
    <brk id="35" max="16383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G10" workbookViewId="0">
      <selection activeCell="M4" sqref="M4:M13"/>
    </sheetView>
  </sheetViews>
  <sheetFormatPr defaultRowHeight="15" x14ac:dyDescent="0.25"/>
  <cols>
    <col min="1" max="1" width="8.5703125" customWidth="1"/>
    <col min="2" max="2" width="34.7109375" customWidth="1"/>
    <col min="3" max="9" width="9.140625" style="63" customWidth="1"/>
    <col min="10" max="10" width="15.28515625" style="63" customWidth="1"/>
    <col min="11" max="11" width="16.28515625" style="63" customWidth="1"/>
    <col min="12" max="17" width="9.140625" style="63" customWidth="1"/>
    <col min="18" max="21" width="9.140625" style="63"/>
    <col min="22" max="22" width="11.140625" style="63" customWidth="1"/>
    <col min="23" max="25" width="9.140625" style="63"/>
  </cols>
  <sheetData>
    <row r="1" spans="1:25" ht="18.75" x14ac:dyDescent="0.3">
      <c r="A1" s="14" t="s">
        <v>72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28.5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49" t="s">
        <v>65</v>
      </c>
      <c r="D3" s="64" t="s">
        <v>66</v>
      </c>
      <c r="E3" s="64" t="s">
        <v>67</v>
      </c>
      <c r="F3" s="50" t="s">
        <v>68</v>
      </c>
      <c r="G3" s="215"/>
      <c r="H3" s="49" t="s">
        <v>10</v>
      </c>
      <c r="I3" s="49" t="s">
        <v>11</v>
      </c>
      <c r="J3" s="49" t="s">
        <v>12</v>
      </c>
      <c r="K3" s="49" t="s">
        <v>13</v>
      </c>
      <c r="L3" s="49" t="s">
        <v>55</v>
      </c>
      <c r="M3" s="49" t="s">
        <v>14</v>
      </c>
      <c r="N3" s="49" t="s">
        <v>15</v>
      </c>
      <c r="O3" s="49" t="s">
        <v>16</v>
      </c>
      <c r="P3" s="49" t="s">
        <v>56</v>
      </c>
      <c r="Q3" s="49" t="s">
        <v>17</v>
      </c>
      <c r="R3" s="49" t="s">
        <v>18</v>
      </c>
      <c r="S3" s="49" t="s">
        <v>19</v>
      </c>
      <c r="T3" s="49" t="s">
        <v>20</v>
      </c>
      <c r="U3" s="49" t="s">
        <v>21</v>
      </c>
      <c r="V3" s="49" t="s">
        <v>22</v>
      </c>
      <c r="W3" s="49" t="s">
        <v>23</v>
      </c>
      <c r="X3" s="215"/>
      <c r="Y3" s="215"/>
    </row>
    <row r="4" spans="1:25" ht="18.75" x14ac:dyDescent="0.25">
      <c r="A4" s="2">
        <v>1</v>
      </c>
      <c r="B4" s="3" t="s">
        <v>24</v>
      </c>
      <c r="C4" s="32">
        <v>14</v>
      </c>
      <c r="D4" s="32">
        <v>0</v>
      </c>
      <c r="E4" s="32">
        <v>1</v>
      </c>
      <c r="F4" s="32">
        <f t="shared" ref="F4:F13" si="0">C4+D4-E4</f>
        <v>13</v>
      </c>
      <c r="G4" s="9">
        <v>332.5</v>
      </c>
      <c r="H4" s="8">
        <v>166228</v>
      </c>
      <c r="I4" s="8"/>
      <c r="J4" s="8">
        <v>80002</v>
      </c>
      <c r="K4" s="8">
        <v>13679</v>
      </c>
      <c r="L4" s="8">
        <v>13679</v>
      </c>
      <c r="M4" s="51">
        <f t="shared" ref="M4:M13" si="1">SUM(H4:L4)</f>
        <v>273588</v>
      </c>
      <c r="N4" s="8">
        <v>19946</v>
      </c>
      <c r="O4" s="8">
        <v>2420</v>
      </c>
      <c r="P4" s="8"/>
      <c r="Q4" s="8"/>
      <c r="R4" s="8">
        <v>0</v>
      </c>
      <c r="S4" s="8">
        <v>23000</v>
      </c>
      <c r="T4" s="8">
        <v>0</v>
      </c>
      <c r="U4" s="51">
        <f>SUM(N4:T4)</f>
        <v>45366</v>
      </c>
      <c r="V4" s="8" t="s">
        <v>25</v>
      </c>
      <c r="W4" s="8" t="s">
        <v>25</v>
      </c>
      <c r="X4" s="8">
        <v>18</v>
      </c>
      <c r="Y4" s="51">
        <f>M4-U4+X4</f>
        <v>228240</v>
      </c>
    </row>
    <row r="5" spans="1:25" ht="18.75" x14ac:dyDescent="0.25">
      <c r="A5" s="2">
        <v>2</v>
      </c>
      <c r="B5" s="3" t="s">
        <v>26</v>
      </c>
      <c r="C5" s="32">
        <v>3</v>
      </c>
      <c r="D5" s="32">
        <v>0</v>
      </c>
      <c r="E5" s="32">
        <v>0</v>
      </c>
      <c r="F5" s="32">
        <f t="shared" si="0"/>
        <v>3</v>
      </c>
      <c r="G5" s="9">
        <v>81</v>
      </c>
      <c r="H5" s="8">
        <v>33024</v>
      </c>
      <c r="I5" s="8"/>
      <c r="J5" s="8">
        <v>16512</v>
      </c>
      <c r="K5" s="8">
        <v>2752</v>
      </c>
      <c r="L5" s="8">
        <v>2752</v>
      </c>
      <c r="M5" s="51">
        <f t="shared" si="1"/>
        <v>55040</v>
      </c>
      <c r="N5" s="8">
        <v>3963</v>
      </c>
      <c r="O5" s="8">
        <v>564</v>
      </c>
      <c r="P5" s="8"/>
      <c r="Q5" s="8">
        <v>710</v>
      </c>
      <c r="R5" s="8">
        <v>0</v>
      </c>
      <c r="S5" s="8">
        <v>3000</v>
      </c>
      <c r="T5" s="8"/>
      <c r="U5" s="51">
        <f>SUM(N5:T5)</f>
        <v>8237</v>
      </c>
      <c r="V5" s="8" t="s">
        <v>25</v>
      </c>
      <c r="W5" s="8" t="s">
        <v>25</v>
      </c>
      <c r="X5" s="8">
        <v>7</v>
      </c>
      <c r="Y5" s="51">
        <f>M5-U5+X5</f>
        <v>46810</v>
      </c>
    </row>
    <row r="6" spans="1:25" ht="18.75" x14ac:dyDescent="0.25">
      <c r="A6" s="2">
        <v>3</v>
      </c>
      <c r="B6" s="3" t="s">
        <v>27</v>
      </c>
      <c r="C6" s="32">
        <v>2</v>
      </c>
      <c r="D6" s="32">
        <v>0</v>
      </c>
      <c r="E6" s="32">
        <v>0</v>
      </c>
      <c r="F6" s="32">
        <f t="shared" si="0"/>
        <v>2</v>
      </c>
      <c r="G6" s="9">
        <f>27+25</f>
        <v>52</v>
      </c>
      <c r="H6" s="8">
        <f>6635+9782</f>
        <v>16417</v>
      </c>
      <c r="I6" s="8"/>
      <c r="J6" s="8">
        <f>4891+3317</f>
        <v>8208</v>
      </c>
      <c r="K6" s="8">
        <f>815+553</f>
        <v>1368</v>
      </c>
      <c r="L6" s="8">
        <f>815+553</f>
        <v>1368</v>
      </c>
      <c r="M6" s="51">
        <f t="shared" si="1"/>
        <v>27361</v>
      </c>
      <c r="N6" s="8">
        <f>1174+796</f>
        <v>1970</v>
      </c>
      <c r="O6" s="8">
        <f>286+194</f>
        <v>480</v>
      </c>
      <c r="P6" s="8"/>
      <c r="Q6" s="8">
        <v>480</v>
      </c>
      <c r="R6" s="8"/>
      <c r="S6" s="8">
        <v>0</v>
      </c>
      <c r="T6" s="8"/>
      <c r="U6" s="51">
        <f>SUM(N6:T6)</f>
        <v>2930</v>
      </c>
      <c r="V6" s="8" t="s">
        <v>25</v>
      </c>
      <c r="W6" s="8" t="s">
        <v>25</v>
      </c>
      <c r="X6" s="8">
        <v>-1</v>
      </c>
      <c r="Y6" s="51">
        <f>M6-U6+X6</f>
        <v>24430</v>
      </c>
    </row>
    <row r="7" spans="1:25" ht="18.75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185</v>
      </c>
      <c r="H7" s="8">
        <v>7400</v>
      </c>
      <c r="I7" s="8">
        <v>73168</v>
      </c>
      <c r="J7" s="8">
        <v>1850</v>
      </c>
      <c r="K7" s="8">
        <v>0</v>
      </c>
      <c r="L7" s="8">
        <v>0</v>
      </c>
      <c r="M7" s="51">
        <f t="shared" si="1"/>
        <v>82418</v>
      </c>
      <c r="N7" s="8">
        <v>9668</v>
      </c>
      <c r="O7" s="8">
        <v>1446</v>
      </c>
      <c r="P7" s="8">
        <v>0</v>
      </c>
      <c r="Q7" s="8">
        <v>200</v>
      </c>
      <c r="R7" s="8">
        <v>0</v>
      </c>
      <c r="S7" s="8"/>
      <c r="T7" s="8">
        <v>0</v>
      </c>
      <c r="U7" s="51">
        <f>SUM(N7:T7)</f>
        <v>11314</v>
      </c>
      <c r="V7" s="8">
        <v>920</v>
      </c>
      <c r="W7" s="8">
        <v>4600</v>
      </c>
      <c r="X7" s="8">
        <v>16</v>
      </c>
      <c r="Y7" s="51">
        <f>M7-U7+W7+X7</f>
        <v>75720</v>
      </c>
    </row>
    <row r="8" spans="1:25" ht="57.2" customHeight="1" x14ac:dyDescent="0.25">
      <c r="A8" s="2">
        <v>5</v>
      </c>
      <c r="B8" s="28" t="s">
        <v>29</v>
      </c>
      <c r="C8" s="32">
        <v>33</v>
      </c>
      <c r="D8" s="32">
        <v>0</v>
      </c>
      <c r="E8" s="32">
        <v>0</v>
      </c>
      <c r="F8" s="32">
        <f t="shared" si="0"/>
        <v>33</v>
      </c>
      <c r="G8" s="9">
        <v>695</v>
      </c>
      <c r="H8" s="8">
        <v>131193</v>
      </c>
      <c r="I8" s="8">
        <v>0</v>
      </c>
      <c r="J8" s="8">
        <v>87462</v>
      </c>
      <c r="K8" s="8">
        <v>0</v>
      </c>
      <c r="L8" s="8">
        <v>0</v>
      </c>
      <c r="M8" s="51">
        <f t="shared" si="1"/>
        <v>218655</v>
      </c>
      <c r="N8" s="8">
        <v>15746</v>
      </c>
      <c r="O8" s="8">
        <v>3838</v>
      </c>
      <c r="P8" s="8">
        <v>0</v>
      </c>
      <c r="Q8" s="8">
        <v>2760</v>
      </c>
      <c r="R8" s="8">
        <v>0</v>
      </c>
      <c r="S8" s="8">
        <v>2000</v>
      </c>
      <c r="T8" s="8">
        <v>0</v>
      </c>
      <c r="U8" s="51">
        <f t="shared" ref="U8:U15" si="2">SUM(N8:T8)</f>
        <v>24344</v>
      </c>
      <c r="V8" s="8">
        <v>10892</v>
      </c>
      <c r="W8" s="8">
        <f>+V8*5</f>
        <v>54460</v>
      </c>
      <c r="X8" s="8">
        <v>-1</v>
      </c>
      <c r="Y8" s="51">
        <f t="shared" ref="Y8:Y13" si="3">M8-U8+W8+X8</f>
        <v>248770</v>
      </c>
    </row>
    <row r="9" spans="1:25" ht="41.25" customHeight="1" x14ac:dyDescent="0.25">
      <c r="A9" s="2">
        <v>6</v>
      </c>
      <c r="B9" s="28" t="s">
        <v>30</v>
      </c>
      <c r="C9" s="32">
        <v>59</v>
      </c>
      <c r="D9" s="32">
        <v>6</v>
      </c>
      <c r="E9" s="32">
        <v>9</v>
      </c>
      <c r="F9" s="32">
        <f t="shared" si="0"/>
        <v>56</v>
      </c>
      <c r="G9" s="9">
        <v>1063.5</v>
      </c>
      <c r="H9" s="8">
        <v>204585</v>
      </c>
      <c r="I9" s="8">
        <v>0</v>
      </c>
      <c r="J9" s="8">
        <v>136390</v>
      </c>
      <c r="K9" s="8">
        <v>0</v>
      </c>
      <c r="L9" s="8">
        <v>0</v>
      </c>
      <c r="M9" s="51">
        <f t="shared" si="1"/>
        <v>340975</v>
      </c>
      <c r="N9" s="8">
        <v>24550</v>
      </c>
      <c r="O9" s="8">
        <v>5992</v>
      </c>
      <c r="P9" s="8"/>
      <c r="Q9" s="8">
        <v>3890</v>
      </c>
      <c r="R9" s="8">
        <v>0</v>
      </c>
      <c r="S9" s="8">
        <v>7000</v>
      </c>
      <c r="T9" s="8">
        <v>0</v>
      </c>
      <c r="U9" s="51">
        <f t="shared" si="2"/>
        <v>41432</v>
      </c>
      <c r="V9" s="8">
        <v>15631</v>
      </c>
      <c r="W9" s="8">
        <f>+V9*5</f>
        <v>78155</v>
      </c>
      <c r="X9" s="8">
        <v>-8</v>
      </c>
      <c r="Y9" s="51">
        <f t="shared" si="3"/>
        <v>377690</v>
      </c>
    </row>
    <row r="10" spans="1:25" ht="39.75" customHeight="1" x14ac:dyDescent="0.25">
      <c r="A10" s="2">
        <v>7</v>
      </c>
      <c r="B10" s="28" t="s">
        <v>31</v>
      </c>
      <c r="C10" s="32">
        <v>52</v>
      </c>
      <c r="D10" s="32">
        <v>5</v>
      </c>
      <c r="E10" s="32">
        <v>13</v>
      </c>
      <c r="F10" s="32">
        <f t="shared" si="0"/>
        <v>44</v>
      </c>
      <c r="G10" s="9">
        <v>859</v>
      </c>
      <c r="H10" s="8">
        <v>155467</v>
      </c>
      <c r="I10" s="8"/>
      <c r="J10" s="8">
        <v>103644</v>
      </c>
      <c r="K10" s="8">
        <v>0</v>
      </c>
      <c r="L10" s="8">
        <v>0</v>
      </c>
      <c r="M10" s="51">
        <f t="shared" si="1"/>
        <v>259111</v>
      </c>
      <c r="N10" s="8">
        <v>18658</v>
      </c>
      <c r="O10" s="8">
        <v>4551</v>
      </c>
      <c r="P10" s="8"/>
      <c r="Q10" s="8">
        <v>4050</v>
      </c>
      <c r="R10" s="8">
        <v>0</v>
      </c>
      <c r="S10" s="8">
        <v>1500</v>
      </c>
      <c r="T10" s="8">
        <v>0</v>
      </c>
      <c r="U10" s="51">
        <f t="shared" si="2"/>
        <v>28759</v>
      </c>
      <c r="V10" s="8">
        <v>13906</v>
      </c>
      <c r="W10" s="8">
        <f>+V10*5</f>
        <v>69530</v>
      </c>
      <c r="X10" s="8">
        <v>88</v>
      </c>
      <c r="Y10" s="51">
        <f t="shared" si="3"/>
        <v>299970</v>
      </c>
    </row>
    <row r="11" spans="1:25" ht="39.75" customHeight="1" x14ac:dyDescent="0.25">
      <c r="A11" s="2">
        <v>8</v>
      </c>
      <c r="B11" s="28" t="s">
        <v>32</v>
      </c>
      <c r="C11" s="32">
        <v>1</v>
      </c>
      <c r="D11" s="32">
        <v>1</v>
      </c>
      <c r="E11" s="32">
        <v>0</v>
      </c>
      <c r="F11" s="32">
        <f t="shared" si="0"/>
        <v>2</v>
      </c>
      <c r="G11" s="9">
        <v>19</v>
      </c>
      <c r="H11" s="8">
        <v>4560</v>
      </c>
      <c r="I11" s="8">
        <v>0</v>
      </c>
      <c r="J11" s="8">
        <v>3040</v>
      </c>
      <c r="K11" s="8">
        <v>0</v>
      </c>
      <c r="L11" s="8">
        <v>0</v>
      </c>
      <c r="M11" s="51">
        <f t="shared" si="1"/>
        <v>7600</v>
      </c>
      <c r="N11" s="8">
        <v>547</v>
      </c>
      <c r="O11" s="8">
        <v>133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51">
        <f>SUM(N11:T11)</f>
        <v>680</v>
      </c>
      <c r="V11" s="8"/>
      <c r="W11" s="8"/>
      <c r="X11" s="8">
        <v>0</v>
      </c>
      <c r="Y11" s="51">
        <f t="shared" si="3"/>
        <v>6920</v>
      </c>
    </row>
    <row r="12" spans="1:25" ht="36.75" customHeight="1" x14ac:dyDescent="0.25">
      <c r="A12" s="2">
        <v>9</v>
      </c>
      <c r="B12" s="28" t="s">
        <v>33</v>
      </c>
      <c r="C12" s="32">
        <v>7</v>
      </c>
      <c r="D12" s="32">
        <v>0</v>
      </c>
      <c r="E12" s="32">
        <v>1</v>
      </c>
      <c r="F12" s="32">
        <f t="shared" si="0"/>
        <v>6</v>
      </c>
      <c r="G12" s="9">
        <v>146</v>
      </c>
      <c r="H12" s="8">
        <v>32872</v>
      </c>
      <c r="I12" s="8">
        <v>0</v>
      </c>
      <c r="J12" s="8">
        <v>21915</v>
      </c>
      <c r="K12" s="8"/>
      <c r="L12" s="8">
        <v>0</v>
      </c>
      <c r="M12" s="51">
        <f t="shared" si="1"/>
        <v>54787</v>
      </c>
      <c r="N12" s="8">
        <v>3944</v>
      </c>
      <c r="O12" s="8">
        <v>962</v>
      </c>
      <c r="P12" s="8">
        <v>0</v>
      </c>
      <c r="Q12" s="8">
        <v>550</v>
      </c>
      <c r="R12" s="8">
        <v>0</v>
      </c>
      <c r="S12" s="8"/>
      <c r="T12" s="8">
        <v>0</v>
      </c>
      <c r="U12" s="51">
        <f>SUM(N12:T12)</f>
        <v>5456</v>
      </c>
      <c r="V12" s="8"/>
      <c r="W12" s="8">
        <v>2700</v>
      </c>
      <c r="X12" s="8">
        <v>9</v>
      </c>
      <c r="Y12" s="51">
        <f t="shared" si="3"/>
        <v>52040</v>
      </c>
    </row>
    <row r="13" spans="1:25" ht="18.75" x14ac:dyDescent="0.25">
      <c r="A13" s="2">
        <v>10</v>
      </c>
      <c r="B13" s="28" t="s">
        <v>34</v>
      </c>
      <c r="C13" s="32">
        <v>1</v>
      </c>
      <c r="D13" s="32"/>
      <c r="E13" s="32"/>
      <c r="F13" s="32">
        <f t="shared" si="0"/>
        <v>1</v>
      </c>
      <c r="G13" s="9">
        <v>26</v>
      </c>
      <c r="H13" s="8">
        <v>200000</v>
      </c>
      <c r="I13" s="8">
        <v>0</v>
      </c>
      <c r="J13" s="8"/>
      <c r="K13" s="8"/>
      <c r="L13" s="8">
        <v>0</v>
      </c>
      <c r="M13" s="51">
        <f t="shared" si="1"/>
        <v>200000</v>
      </c>
      <c r="N13" s="8">
        <v>24000</v>
      </c>
      <c r="O13" s="8"/>
      <c r="P13" s="8">
        <v>0</v>
      </c>
      <c r="Q13" s="8"/>
      <c r="R13" s="8">
        <v>0</v>
      </c>
      <c r="S13" s="8"/>
      <c r="T13" s="8">
        <v>0</v>
      </c>
      <c r="U13" s="51">
        <f>SUM(N13:T13)</f>
        <v>24000</v>
      </c>
      <c r="V13" s="8"/>
      <c r="W13" s="8"/>
      <c r="X13" s="8">
        <v>0</v>
      </c>
      <c r="Y13" s="51">
        <f t="shared" si="3"/>
        <v>176000</v>
      </c>
    </row>
    <row r="14" spans="1:25" ht="18.75" x14ac:dyDescent="0.25">
      <c r="A14" s="2">
        <v>10</v>
      </c>
      <c r="B14" s="3" t="s">
        <v>35</v>
      </c>
      <c r="C14" s="32">
        <v>8</v>
      </c>
      <c r="D14" s="32">
        <v>0</v>
      </c>
      <c r="E14" s="32">
        <v>0</v>
      </c>
      <c r="F14" s="32">
        <v>8</v>
      </c>
      <c r="G14" s="9">
        <v>166.3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51">
        <v>152487</v>
      </c>
      <c r="N14" s="8">
        <v>0</v>
      </c>
      <c r="O14" s="8">
        <v>0</v>
      </c>
      <c r="P14" s="8">
        <v>0</v>
      </c>
      <c r="Q14" s="8"/>
      <c r="R14" s="8"/>
      <c r="S14" s="8">
        <v>70000</v>
      </c>
      <c r="T14" s="8"/>
      <c r="U14" s="51">
        <f>SUM(N14:T14)</f>
        <v>70000</v>
      </c>
      <c r="V14" s="8">
        <v>0</v>
      </c>
      <c r="W14" s="8"/>
      <c r="X14" s="8">
        <v>-7</v>
      </c>
      <c r="Y14" s="51">
        <f>M14-U14+W14+X14</f>
        <v>82480</v>
      </c>
    </row>
    <row r="15" spans="1:25" ht="18.75" x14ac:dyDescent="0.25">
      <c r="A15" s="2">
        <v>11</v>
      </c>
      <c r="B15" s="3" t="s">
        <v>36</v>
      </c>
      <c r="C15" s="32">
        <v>3</v>
      </c>
      <c r="D15" s="32">
        <v>0</v>
      </c>
      <c r="E15" s="32">
        <v>0</v>
      </c>
      <c r="F15" s="32">
        <v>3</v>
      </c>
      <c r="G15" s="9">
        <v>51.6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51">
        <v>48155</v>
      </c>
      <c r="N15" s="8">
        <v>0</v>
      </c>
      <c r="O15" s="8">
        <v>0</v>
      </c>
      <c r="P15" s="8">
        <v>0</v>
      </c>
      <c r="Q15" s="8">
        <v>0</v>
      </c>
      <c r="R15" s="8"/>
      <c r="S15" s="8">
        <v>15000</v>
      </c>
      <c r="T15" s="8"/>
      <c r="U15" s="51">
        <f t="shared" si="2"/>
        <v>15000</v>
      </c>
      <c r="V15" s="8"/>
      <c r="W15" s="8"/>
      <c r="X15" s="8">
        <v>-5</v>
      </c>
      <c r="Y15" s="51">
        <f t="shared" ref="Y15" si="4">M15-U15+W15+X15</f>
        <v>33150</v>
      </c>
    </row>
    <row r="16" spans="1:25" ht="18.75" x14ac:dyDescent="0.25">
      <c r="A16" s="171" t="s">
        <v>37</v>
      </c>
      <c r="B16" s="171"/>
      <c r="C16" s="52">
        <f>SUM(C4:C15)</f>
        <v>190</v>
      </c>
      <c r="D16" s="52">
        <f>SUM(D4:D15)</f>
        <v>12</v>
      </c>
      <c r="E16" s="52">
        <f>SUM(E4:E15)</f>
        <v>24</v>
      </c>
      <c r="F16" s="52">
        <f>SUM(F4:F15)</f>
        <v>178</v>
      </c>
      <c r="G16" s="53">
        <f t="shared" ref="G16:Y16" si="5">SUM(G4:G15)</f>
        <v>3676.9</v>
      </c>
      <c r="H16" s="53">
        <f>SUM(H4:H15)</f>
        <v>951746</v>
      </c>
      <c r="I16" s="53">
        <f t="shared" si="5"/>
        <v>73168</v>
      </c>
      <c r="J16" s="53">
        <f t="shared" si="5"/>
        <v>459023</v>
      </c>
      <c r="K16" s="53">
        <f t="shared" si="5"/>
        <v>17799</v>
      </c>
      <c r="L16" s="53">
        <f t="shared" si="5"/>
        <v>17799</v>
      </c>
      <c r="M16" s="53">
        <f t="shared" si="5"/>
        <v>1720177</v>
      </c>
      <c r="N16" s="53">
        <f>SUM(N4:N15)</f>
        <v>122992</v>
      </c>
      <c r="O16" s="53">
        <f>SUM(O4:O15)</f>
        <v>20386</v>
      </c>
      <c r="P16" s="53">
        <f t="shared" si="5"/>
        <v>0</v>
      </c>
      <c r="Q16" s="53">
        <f>SUM(Q4:Q15)</f>
        <v>12640</v>
      </c>
      <c r="R16" s="53">
        <f t="shared" si="5"/>
        <v>0</v>
      </c>
      <c r="S16" s="53">
        <f>SUM(S4:S15)</f>
        <v>121500</v>
      </c>
      <c r="T16" s="53">
        <f t="shared" si="5"/>
        <v>0</v>
      </c>
      <c r="U16" s="53">
        <f>SUM(U4:U15)</f>
        <v>277518</v>
      </c>
      <c r="V16" s="53">
        <f t="shared" si="5"/>
        <v>41349</v>
      </c>
      <c r="W16" s="53">
        <f t="shared" si="5"/>
        <v>209445</v>
      </c>
      <c r="X16" s="53">
        <f t="shared" si="5"/>
        <v>116</v>
      </c>
      <c r="Y16" s="53">
        <f t="shared" si="5"/>
        <v>1652220</v>
      </c>
    </row>
    <row r="18" spans="1:25" ht="21" x14ac:dyDescent="0.35">
      <c r="A18" s="25" t="s">
        <v>64</v>
      </c>
      <c r="B18" s="25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18.75" customHeight="1" x14ac:dyDescent="0.25">
      <c r="A19" s="179" t="s">
        <v>1</v>
      </c>
      <c r="B19" s="179" t="s">
        <v>38</v>
      </c>
      <c r="C19" s="216" t="s">
        <v>39</v>
      </c>
      <c r="D19" s="217"/>
      <c r="E19" s="217"/>
      <c r="F19" s="218"/>
      <c r="G19" s="181" t="s">
        <v>40</v>
      </c>
      <c r="H19" s="182"/>
      <c r="I19" s="213" t="s">
        <v>69</v>
      </c>
      <c r="J19" s="181" t="s">
        <v>41</v>
      </c>
      <c r="K19" s="182" t="s">
        <v>76</v>
      </c>
      <c r="L19" s="181" t="s">
        <v>77</v>
      </c>
      <c r="M19" s="182"/>
      <c r="N19" s="167" t="s">
        <v>50</v>
      </c>
      <c r="O19" s="168"/>
      <c r="P19" s="167" t="s">
        <v>53</v>
      </c>
      <c r="Q19" s="168"/>
      <c r="R19" s="181" t="s">
        <v>54</v>
      </c>
      <c r="S19" s="182"/>
      <c r="T19" s="181" t="s">
        <v>51</v>
      </c>
      <c r="U19" s="182"/>
      <c r="V19" s="213" t="s">
        <v>52</v>
      </c>
      <c r="W19" s="167" t="s">
        <v>43</v>
      </c>
      <c r="X19" s="222"/>
      <c r="Y19" s="223"/>
    </row>
    <row r="20" spans="1:25" ht="18.75" x14ac:dyDescent="0.25">
      <c r="A20" s="180"/>
      <c r="B20" s="180"/>
      <c r="C20" s="44" t="s">
        <v>65</v>
      </c>
      <c r="D20" s="44" t="s">
        <v>66</v>
      </c>
      <c r="E20" s="44" t="s">
        <v>67</v>
      </c>
      <c r="F20" s="55" t="s">
        <v>68</v>
      </c>
      <c r="G20" s="183"/>
      <c r="H20" s="184"/>
      <c r="I20" s="214"/>
      <c r="J20" s="183"/>
      <c r="K20" s="184"/>
      <c r="L20" s="183"/>
      <c r="M20" s="184"/>
      <c r="N20" s="169"/>
      <c r="O20" s="170"/>
      <c r="P20" s="169"/>
      <c r="Q20" s="170"/>
      <c r="R20" s="183"/>
      <c r="S20" s="184"/>
      <c r="T20" s="183"/>
      <c r="U20" s="184"/>
      <c r="V20" s="214"/>
      <c r="W20" s="224"/>
      <c r="X20" s="225"/>
      <c r="Y20" s="226"/>
    </row>
    <row r="21" spans="1:25" ht="37.5" customHeight="1" x14ac:dyDescent="0.3">
      <c r="A21" s="18">
        <v>1</v>
      </c>
      <c r="B21" s="19" t="str">
        <f t="shared" ref="B21:B29" si="6">B4</f>
        <v>SALARY -STAFF - BANK</v>
      </c>
      <c r="C21" s="56">
        <v>14</v>
      </c>
      <c r="D21" s="56">
        <v>0</v>
      </c>
      <c r="E21" s="56">
        <v>1</v>
      </c>
      <c r="F21" s="39">
        <f>C21+D21-E21</f>
        <v>13</v>
      </c>
      <c r="G21" s="144">
        <v>13</v>
      </c>
      <c r="H21" s="144"/>
      <c r="I21" s="39">
        <f t="shared" ref="I21:I32" si="7">G21-F21</f>
        <v>0</v>
      </c>
      <c r="J21" s="66">
        <f>M4</f>
        <v>273588</v>
      </c>
      <c r="K21" s="67">
        <v>273592</v>
      </c>
      <c r="L21" s="144">
        <v>166228</v>
      </c>
      <c r="M21" s="144"/>
      <c r="N21" s="158">
        <f>+J21*60/100</f>
        <v>164152.79999999999</v>
      </c>
      <c r="O21" s="159"/>
      <c r="P21" s="144">
        <f>+L21-N21</f>
        <v>2075.2000000000116</v>
      </c>
      <c r="Q21" s="144"/>
      <c r="R21" s="203">
        <v>19946</v>
      </c>
      <c r="S21" s="203"/>
      <c r="T21" s="203">
        <v>19946</v>
      </c>
      <c r="U21" s="203"/>
      <c r="V21" s="57">
        <f t="shared" ref="V21:V32" si="8">R21-T21</f>
        <v>0</v>
      </c>
      <c r="W21" s="194" t="s">
        <v>45</v>
      </c>
      <c r="X21" s="195"/>
      <c r="Y21" s="196"/>
    </row>
    <row r="22" spans="1:25" ht="18.75" x14ac:dyDescent="0.3">
      <c r="A22" s="18">
        <v>2</v>
      </c>
      <c r="B22" s="19" t="str">
        <f t="shared" si="6"/>
        <v>SALARY - STAFF -2 CSB</v>
      </c>
      <c r="C22" s="45">
        <v>3</v>
      </c>
      <c r="D22" s="45"/>
      <c r="E22" s="45"/>
      <c r="F22" s="41">
        <f t="shared" ref="F22:F32" si="9">C22+D22-E22</f>
        <v>3</v>
      </c>
      <c r="G22" s="144">
        <v>3</v>
      </c>
      <c r="H22" s="144"/>
      <c r="I22" s="39">
        <f t="shared" si="7"/>
        <v>0</v>
      </c>
      <c r="J22" s="66">
        <f t="shared" ref="J22:J29" si="10">M5</f>
        <v>55040</v>
      </c>
      <c r="K22" s="67">
        <v>55041</v>
      </c>
      <c r="L22" s="144">
        <v>33024</v>
      </c>
      <c r="M22" s="144"/>
      <c r="N22" s="158">
        <f t="shared" ref="N22:N32" si="11">+J22*60/100</f>
        <v>33024</v>
      </c>
      <c r="O22" s="159"/>
      <c r="P22" s="144">
        <f>+L22-N22</f>
        <v>0</v>
      </c>
      <c r="Q22" s="144"/>
      <c r="R22" s="203">
        <f t="shared" ref="R22:R26" si="12">N22*12%</f>
        <v>3962.8799999999997</v>
      </c>
      <c r="S22" s="203"/>
      <c r="T22" s="203">
        <v>3963</v>
      </c>
      <c r="U22" s="203"/>
      <c r="V22" s="57">
        <f t="shared" si="8"/>
        <v>-0.12000000000034561</v>
      </c>
      <c r="W22" s="197"/>
      <c r="X22" s="195"/>
      <c r="Y22" s="196"/>
    </row>
    <row r="23" spans="1:25" ht="18.75" x14ac:dyDescent="0.3">
      <c r="A23" s="18">
        <v>3</v>
      </c>
      <c r="B23" s="19" t="str">
        <f t="shared" si="6"/>
        <v>SALARY - STAFF-CHEQUE</v>
      </c>
      <c r="C23" s="45">
        <v>2</v>
      </c>
      <c r="D23" s="45"/>
      <c r="E23" s="45"/>
      <c r="F23" s="41">
        <f t="shared" si="9"/>
        <v>2</v>
      </c>
      <c r="G23" s="144">
        <v>2</v>
      </c>
      <c r="H23" s="144"/>
      <c r="I23" s="39">
        <f t="shared" si="7"/>
        <v>0</v>
      </c>
      <c r="J23" s="66">
        <f t="shared" si="10"/>
        <v>27361</v>
      </c>
      <c r="K23" s="67">
        <f>11058+16304</f>
        <v>27362</v>
      </c>
      <c r="L23" s="144">
        <v>16417</v>
      </c>
      <c r="M23" s="144"/>
      <c r="N23" s="158">
        <f t="shared" si="11"/>
        <v>16416.599999999999</v>
      </c>
      <c r="O23" s="159"/>
      <c r="P23" s="144">
        <f t="shared" ref="P23:P32" si="13">+L23-N23</f>
        <v>0.40000000000145519</v>
      </c>
      <c r="Q23" s="144"/>
      <c r="R23" s="203">
        <f>796+1174</f>
        <v>1970</v>
      </c>
      <c r="S23" s="203"/>
      <c r="T23" s="203">
        <v>1970</v>
      </c>
      <c r="U23" s="203"/>
      <c r="V23" s="57">
        <f t="shared" si="8"/>
        <v>0</v>
      </c>
      <c r="W23" s="197"/>
      <c r="X23" s="195"/>
      <c r="Y23" s="196"/>
    </row>
    <row r="24" spans="1:25" ht="18.75" customHeight="1" x14ac:dyDescent="0.3">
      <c r="A24" s="18">
        <v>4</v>
      </c>
      <c r="B24" s="19" t="str">
        <f t="shared" si="6"/>
        <v>WAGES-PERMANENT - BANK</v>
      </c>
      <c r="C24" s="45">
        <v>7</v>
      </c>
      <c r="D24" s="45"/>
      <c r="E24" s="45"/>
      <c r="F24" s="41">
        <f t="shared" si="9"/>
        <v>7</v>
      </c>
      <c r="G24" s="144">
        <v>7</v>
      </c>
      <c r="H24" s="144"/>
      <c r="I24" s="39">
        <f t="shared" si="7"/>
        <v>0</v>
      </c>
      <c r="J24" s="66">
        <f>M7</f>
        <v>82418</v>
      </c>
      <c r="K24" s="67">
        <v>82420</v>
      </c>
      <c r="L24" s="144">
        <v>80570</v>
      </c>
      <c r="M24" s="144"/>
      <c r="N24" s="158">
        <f t="shared" si="11"/>
        <v>49450.8</v>
      </c>
      <c r="O24" s="159"/>
      <c r="P24" s="144">
        <f t="shared" si="13"/>
        <v>31119.199999999997</v>
      </c>
      <c r="Q24" s="144"/>
      <c r="R24" s="203">
        <v>9668</v>
      </c>
      <c r="S24" s="203"/>
      <c r="T24" s="203">
        <v>9668</v>
      </c>
      <c r="U24" s="203"/>
      <c r="V24" s="57">
        <f t="shared" si="8"/>
        <v>0</v>
      </c>
      <c r="W24" s="197" t="s">
        <v>48</v>
      </c>
      <c r="X24" s="195"/>
      <c r="Y24" s="196"/>
    </row>
    <row r="25" spans="1:25" ht="37.5" customHeight="1" x14ac:dyDescent="0.3">
      <c r="A25" s="18">
        <v>5</v>
      </c>
      <c r="B25" s="37" t="str">
        <f t="shared" si="6"/>
        <v>WAGES - CASUAL - BANK(OUTSIDE)</v>
      </c>
      <c r="C25" s="45">
        <v>33</v>
      </c>
      <c r="D25" s="45"/>
      <c r="E25" s="45"/>
      <c r="F25" s="41">
        <f t="shared" si="9"/>
        <v>33</v>
      </c>
      <c r="G25" s="144">
        <v>33</v>
      </c>
      <c r="H25" s="144"/>
      <c r="I25" s="39">
        <f t="shared" si="7"/>
        <v>0</v>
      </c>
      <c r="J25" s="66">
        <f t="shared" si="10"/>
        <v>218655</v>
      </c>
      <c r="K25" s="67">
        <v>218655</v>
      </c>
      <c r="L25" s="144">
        <f>131193+1</f>
        <v>131194</v>
      </c>
      <c r="M25" s="144"/>
      <c r="N25" s="158">
        <f t="shared" si="11"/>
        <v>131193</v>
      </c>
      <c r="O25" s="159"/>
      <c r="P25" s="144">
        <f t="shared" si="13"/>
        <v>1</v>
      </c>
      <c r="Q25" s="144"/>
      <c r="R25" s="203">
        <v>15746</v>
      </c>
      <c r="S25" s="203"/>
      <c r="T25" s="203">
        <v>15746</v>
      </c>
      <c r="U25" s="203"/>
      <c r="V25" s="57">
        <f t="shared" si="8"/>
        <v>0</v>
      </c>
      <c r="W25" s="197"/>
      <c r="X25" s="195"/>
      <c r="Y25" s="196"/>
    </row>
    <row r="26" spans="1:25" ht="34.5" customHeight="1" x14ac:dyDescent="0.3">
      <c r="A26" s="18">
        <v>6</v>
      </c>
      <c r="B26" s="37" t="str">
        <f t="shared" si="6"/>
        <v>WAGES - CASUAL - CASH(OUTSIDE)</v>
      </c>
      <c r="C26" s="45">
        <v>59</v>
      </c>
      <c r="D26" s="45">
        <v>6</v>
      </c>
      <c r="E26" s="45">
        <v>9</v>
      </c>
      <c r="F26" s="41">
        <f t="shared" si="9"/>
        <v>56</v>
      </c>
      <c r="G26" s="144">
        <v>56</v>
      </c>
      <c r="H26" s="144"/>
      <c r="I26" s="39">
        <f t="shared" si="7"/>
        <v>0</v>
      </c>
      <c r="J26" s="66">
        <f t="shared" si="10"/>
        <v>340975</v>
      </c>
      <c r="K26" s="67">
        <v>340976</v>
      </c>
      <c r="L26" s="144">
        <v>204585</v>
      </c>
      <c r="M26" s="144"/>
      <c r="N26" s="158">
        <f t="shared" si="11"/>
        <v>204585</v>
      </c>
      <c r="O26" s="159"/>
      <c r="P26" s="144">
        <f t="shared" si="13"/>
        <v>0</v>
      </c>
      <c r="Q26" s="144"/>
      <c r="R26" s="203">
        <f t="shared" si="12"/>
        <v>24550.2</v>
      </c>
      <c r="S26" s="203"/>
      <c r="T26" s="203">
        <v>24550</v>
      </c>
      <c r="U26" s="203"/>
      <c r="V26" s="57">
        <f t="shared" si="8"/>
        <v>0.2000000000007276</v>
      </c>
      <c r="W26" s="197"/>
      <c r="X26" s="195"/>
      <c r="Y26" s="196"/>
    </row>
    <row r="27" spans="1:25" ht="35.450000000000003" customHeight="1" x14ac:dyDescent="0.3">
      <c r="A27" s="18">
        <v>7</v>
      </c>
      <c r="B27" s="37" t="str">
        <f t="shared" si="6"/>
        <v>WAGES - CASUAL - CASH(INSIDE)</v>
      </c>
      <c r="C27" s="45">
        <v>52</v>
      </c>
      <c r="D27" s="45">
        <v>5</v>
      </c>
      <c r="E27" s="45">
        <v>13</v>
      </c>
      <c r="F27" s="41">
        <f t="shared" si="9"/>
        <v>44</v>
      </c>
      <c r="G27" s="144">
        <v>44</v>
      </c>
      <c r="H27" s="144"/>
      <c r="I27" s="39">
        <f t="shared" si="7"/>
        <v>0</v>
      </c>
      <c r="J27" s="66">
        <f t="shared" si="10"/>
        <v>259111</v>
      </c>
      <c r="K27" s="67">
        <v>259111</v>
      </c>
      <c r="L27" s="144">
        <v>155467</v>
      </c>
      <c r="M27" s="144"/>
      <c r="N27" s="158">
        <f t="shared" si="11"/>
        <v>155466.6</v>
      </c>
      <c r="O27" s="159"/>
      <c r="P27" s="144">
        <f t="shared" si="13"/>
        <v>0.39999999999417923</v>
      </c>
      <c r="Q27" s="144"/>
      <c r="R27" s="203">
        <v>18658</v>
      </c>
      <c r="S27" s="203"/>
      <c r="T27" s="203">
        <v>18658</v>
      </c>
      <c r="U27" s="203"/>
      <c r="V27" s="57">
        <f t="shared" si="8"/>
        <v>0</v>
      </c>
      <c r="W27" s="197"/>
      <c r="X27" s="195"/>
      <c r="Y27" s="196"/>
    </row>
    <row r="28" spans="1:25" ht="37.5" customHeight="1" x14ac:dyDescent="0.3">
      <c r="A28" s="18">
        <v>8</v>
      </c>
      <c r="B28" s="37" t="str">
        <f t="shared" si="6"/>
        <v>WAGES - SECUR &amp; GARDEN - CHEQUE</v>
      </c>
      <c r="C28" s="45">
        <v>1</v>
      </c>
      <c r="D28" s="45">
        <v>1</v>
      </c>
      <c r="E28" s="45"/>
      <c r="F28" s="41">
        <f t="shared" si="9"/>
        <v>2</v>
      </c>
      <c r="G28" s="144">
        <v>2</v>
      </c>
      <c r="H28" s="144"/>
      <c r="I28" s="39">
        <f t="shared" si="7"/>
        <v>0</v>
      </c>
      <c r="J28" s="66">
        <f t="shared" si="10"/>
        <v>7600</v>
      </c>
      <c r="K28" s="67">
        <v>7600</v>
      </c>
      <c r="L28" s="144">
        <v>4560</v>
      </c>
      <c r="M28" s="144"/>
      <c r="N28" s="158">
        <f t="shared" si="11"/>
        <v>4560</v>
      </c>
      <c r="O28" s="159"/>
      <c r="P28" s="144">
        <f t="shared" si="13"/>
        <v>0</v>
      </c>
      <c r="Q28" s="144"/>
      <c r="R28" s="203">
        <f>259+288</f>
        <v>547</v>
      </c>
      <c r="S28" s="203"/>
      <c r="T28" s="203">
        <v>547</v>
      </c>
      <c r="U28" s="203"/>
      <c r="V28" s="57">
        <f t="shared" si="8"/>
        <v>0</v>
      </c>
      <c r="W28" s="197"/>
      <c r="X28" s="195"/>
      <c r="Y28" s="196"/>
    </row>
    <row r="29" spans="1:25" ht="37.5" x14ac:dyDescent="0.3">
      <c r="A29" s="18">
        <v>9</v>
      </c>
      <c r="B29" s="37" t="str">
        <f t="shared" si="6"/>
        <v>WAGES - SECUR &amp; GARDEN - CSB</v>
      </c>
      <c r="C29" s="45">
        <v>7</v>
      </c>
      <c r="D29" s="45"/>
      <c r="E29" s="45">
        <v>1</v>
      </c>
      <c r="F29" s="41">
        <f t="shared" si="9"/>
        <v>6</v>
      </c>
      <c r="G29" s="144">
        <v>6</v>
      </c>
      <c r="H29" s="144"/>
      <c r="I29" s="39">
        <f t="shared" si="7"/>
        <v>0</v>
      </c>
      <c r="J29" s="66">
        <f t="shared" si="10"/>
        <v>54787</v>
      </c>
      <c r="K29" s="67">
        <f>62387-7600</f>
        <v>54787</v>
      </c>
      <c r="L29" s="144">
        <v>32872</v>
      </c>
      <c r="M29" s="144"/>
      <c r="N29" s="158">
        <f>+J29*60/100</f>
        <v>32872.199999999997</v>
      </c>
      <c r="O29" s="159"/>
      <c r="P29" s="144">
        <f t="shared" si="13"/>
        <v>-0.19999999999708962</v>
      </c>
      <c r="Q29" s="144"/>
      <c r="R29" s="203">
        <v>3944</v>
      </c>
      <c r="S29" s="203"/>
      <c r="T29" s="203">
        <v>3944</v>
      </c>
      <c r="U29" s="203"/>
      <c r="V29" s="57">
        <f t="shared" si="8"/>
        <v>0</v>
      </c>
      <c r="W29" s="197"/>
      <c r="X29" s="195"/>
      <c r="Y29" s="196"/>
    </row>
    <row r="30" spans="1:25" ht="18.75" x14ac:dyDescent="0.3">
      <c r="A30" s="18">
        <v>10</v>
      </c>
      <c r="B30" s="37" t="s">
        <v>34</v>
      </c>
      <c r="C30" s="45">
        <v>1</v>
      </c>
      <c r="D30" s="45"/>
      <c r="E30" s="45"/>
      <c r="F30" s="41">
        <v>1</v>
      </c>
      <c r="G30" s="158">
        <v>1</v>
      </c>
      <c r="H30" s="159"/>
      <c r="I30" s="39"/>
      <c r="J30" s="66">
        <v>200000</v>
      </c>
      <c r="K30" s="67">
        <v>200000</v>
      </c>
      <c r="L30" s="158">
        <v>200000</v>
      </c>
      <c r="M30" s="159"/>
      <c r="N30" s="158">
        <f>+J30*60/100</f>
        <v>120000</v>
      </c>
      <c r="O30" s="159"/>
      <c r="P30" s="144">
        <f t="shared" ref="P30" si="14">+L30-N30</f>
        <v>80000</v>
      </c>
      <c r="Q30" s="144"/>
      <c r="R30" s="204">
        <v>24000</v>
      </c>
      <c r="S30" s="205"/>
      <c r="T30" s="204">
        <v>24000</v>
      </c>
      <c r="U30" s="205"/>
      <c r="V30" s="57">
        <f t="shared" si="8"/>
        <v>0</v>
      </c>
      <c r="W30" s="189" t="s">
        <v>75</v>
      </c>
      <c r="X30" s="190"/>
      <c r="Y30" s="191"/>
    </row>
    <row r="31" spans="1:25" ht="18.75" customHeight="1" x14ac:dyDescent="0.3">
      <c r="A31" s="18">
        <v>11</v>
      </c>
      <c r="B31" s="19" t="str">
        <f t="shared" ref="B31:B32" si="15">B14</f>
        <v>EXEMPTED - BANK</v>
      </c>
      <c r="C31" s="45">
        <v>8</v>
      </c>
      <c r="D31" s="45"/>
      <c r="E31" s="45"/>
      <c r="F31" s="41">
        <f t="shared" si="9"/>
        <v>8</v>
      </c>
      <c r="G31" s="144">
        <v>8</v>
      </c>
      <c r="H31" s="144"/>
      <c r="I31" s="39">
        <f t="shared" si="7"/>
        <v>0</v>
      </c>
      <c r="J31" s="66">
        <v>0</v>
      </c>
      <c r="K31" s="67"/>
      <c r="L31" s="144">
        <v>0</v>
      </c>
      <c r="M31" s="144"/>
      <c r="N31" s="158">
        <f t="shared" si="11"/>
        <v>0</v>
      </c>
      <c r="O31" s="159"/>
      <c r="P31" s="144">
        <f t="shared" si="13"/>
        <v>0</v>
      </c>
      <c r="Q31" s="144"/>
      <c r="R31" s="203">
        <v>0</v>
      </c>
      <c r="S31" s="203"/>
      <c r="T31" s="203">
        <v>0</v>
      </c>
      <c r="U31" s="203"/>
      <c r="V31" s="57">
        <f t="shared" si="8"/>
        <v>0</v>
      </c>
      <c r="W31" s="197" t="s">
        <v>49</v>
      </c>
      <c r="X31" s="195"/>
      <c r="Y31" s="196"/>
    </row>
    <row r="32" spans="1:25" ht="18.75" customHeight="1" x14ac:dyDescent="0.3">
      <c r="A32" s="18">
        <v>12</v>
      </c>
      <c r="B32" s="19" t="str">
        <f t="shared" si="15"/>
        <v>EXEMPTED - CHEQUE</v>
      </c>
      <c r="C32" s="45">
        <v>3</v>
      </c>
      <c r="D32" s="45"/>
      <c r="E32" s="45"/>
      <c r="F32" s="41">
        <f t="shared" si="9"/>
        <v>3</v>
      </c>
      <c r="G32" s="144">
        <v>3</v>
      </c>
      <c r="H32" s="144"/>
      <c r="I32" s="39">
        <f t="shared" si="7"/>
        <v>0</v>
      </c>
      <c r="J32" s="66">
        <v>0</v>
      </c>
      <c r="K32" s="67"/>
      <c r="L32" s="144">
        <v>0</v>
      </c>
      <c r="M32" s="144"/>
      <c r="N32" s="158">
        <f t="shared" si="11"/>
        <v>0</v>
      </c>
      <c r="O32" s="159"/>
      <c r="P32" s="212">
        <f t="shared" si="13"/>
        <v>0</v>
      </c>
      <c r="Q32" s="212"/>
      <c r="R32" s="203">
        <v>0</v>
      </c>
      <c r="S32" s="203"/>
      <c r="T32" s="203">
        <v>0</v>
      </c>
      <c r="U32" s="203"/>
      <c r="V32" s="57">
        <f t="shared" si="8"/>
        <v>0</v>
      </c>
      <c r="W32" s="197" t="s">
        <v>49</v>
      </c>
      <c r="X32" s="195"/>
      <c r="Y32" s="196"/>
    </row>
    <row r="33" spans="1:25" ht="18.75" x14ac:dyDescent="0.25">
      <c r="A33" s="18"/>
      <c r="B33" s="22" t="s">
        <v>47</v>
      </c>
      <c r="C33" s="55">
        <f>SUM(C21:C32)</f>
        <v>190</v>
      </c>
      <c r="D33" s="58">
        <f t="shared" ref="D33:E33" si="16">SUM(D21:D32)</f>
        <v>12</v>
      </c>
      <c r="E33" s="58">
        <f t="shared" si="16"/>
        <v>24</v>
      </c>
      <c r="F33" s="58">
        <f>SUM(F21:F32)</f>
        <v>178</v>
      </c>
      <c r="G33" s="201">
        <f>SUM(G21:H32)</f>
        <v>178</v>
      </c>
      <c r="H33" s="201"/>
      <c r="I33" s="59">
        <f>SUM(I21:I32)</f>
        <v>0</v>
      </c>
      <c r="J33" s="68">
        <f>SUM(J21:J32)</f>
        <v>1519535</v>
      </c>
      <c r="K33" s="68">
        <f>SUM(K21:K32)</f>
        <v>1519544</v>
      </c>
      <c r="L33" s="200">
        <f>SUM(L21:M32)</f>
        <v>1024917</v>
      </c>
      <c r="M33" s="200"/>
      <c r="N33" s="200">
        <f>SUM(N21:O32)</f>
        <v>911720.99999999988</v>
      </c>
      <c r="O33" s="200"/>
      <c r="P33" s="200">
        <f>SUM(P21:Q32)</f>
        <v>113196</v>
      </c>
      <c r="Q33" s="200"/>
      <c r="R33" s="200">
        <f>SUM(R21:S32)</f>
        <v>122992.08</v>
      </c>
      <c r="S33" s="200"/>
      <c r="T33" s="200">
        <f>SUM(T21:U32)</f>
        <v>122992</v>
      </c>
      <c r="U33" s="200"/>
      <c r="V33" s="60">
        <f>SUM(V21:V32)</f>
        <v>8.0000000000381988E-2</v>
      </c>
      <c r="W33" s="207"/>
      <c r="X33" s="208"/>
      <c r="Y33" s="209"/>
    </row>
    <row r="35" spans="1:25" ht="18.75" x14ac:dyDescent="0.3">
      <c r="A35" s="11"/>
      <c r="B35" s="11"/>
      <c r="C35" s="61"/>
      <c r="D35" s="61"/>
      <c r="E35" s="61"/>
      <c r="F35" s="61"/>
      <c r="G35" s="61"/>
      <c r="H35" s="61"/>
      <c r="I35" s="61"/>
      <c r="J35" s="61"/>
      <c r="K35" s="61"/>
      <c r="L35" s="211"/>
      <c r="M35" s="211"/>
      <c r="N35" s="210"/>
      <c r="O35" s="211"/>
      <c r="P35" s="61"/>
      <c r="Q35" s="61"/>
      <c r="R35" s="61"/>
      <c r="S35" s="61"/>
      <c r="T35" s="61"/>
      <c r="U35" s="61"/>
      <c r="V35" s="61"/>
      <c r="W35" s="61"/>
      <c r="X35" s="61"/>
      <c r="Y35" s="61"/>
    </row>
    <row r="36" spans="1:25" ht="18.75" x14ac:dyDescent="0.3">
      <c r="A36" s="11"/>
      <c r="B36" s="11"/>
      <c r="C36" s="61"/>
      <c r="D36" s="61"/>
      <c r="E36" s="61"/>
      <c r="F36" s="61"/>
      <c r="G36" s="61"/>
      <c r="H36" s="61"/>
      <c r="I36" s="61"/>
      <c r="J36" s="61"/>
      <c r="K36" s="61"/>
      <c r="L36" s="210"/>
      <c r="M36" s="21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</row>
    <row r="37" spans="1:25" ht="21" x14ac:dyDescent="0.35">
      <c r="A37" s="25" t="s">
        <v>63</v>
      </c>
      <c r="B37" s="2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spans="1:25" ht="18.75" x14ac:dyDescent="0.25">
      <c r="A38" s="163" t="s">
        <v>1</v>
      </c>
      <c r="B38" s="163" t="s">
        <v>38</v>
      </c>
      <c r="C38" s="166" t="s">
        <v>39</v>
      </c>
      <c r="D38" s="166"/>
      <c r="E38" s="166"/>
      <c r="F38" s="166"/>
      <c r="G38" s="155" t="s">
        <v>61</v>
      </c>
      <c r="H38" s="166" t="s">
        <v>62</v>
      </c>
      <c r="I38" s="155" t="s">
        <v>41</v>
      </c>
      <c r="J38" s="155"/>
      <c r="K38" s="164" t="s">
        <v>60</v>
      </c>
      <c r="L38" s="155" t="s">
        <v>44</v>
      </c>
      <c r="M38" s="155"/>
      <c r="N38" s="166" t="s">
        <v>57</v>
      </c>
      <c r="O38" s="166"/>
      <c r="P38" s="166" t="s">
        <v>53</v>
      </c>
      <c r="Q38" s="166"/>
      <c r="R38" s="155" t="s">
        <v>59</v>
      </c>
      <c r="S38" s="155"/>
      <c r="T38" s="155" t="s">
        <v>58</v>
      </c>
      <c r="U38" s="155"/>
      <c r="V38" s="166" t="s">
        <v>74</v>
      </c>
      <c r="W38" s="166" t="s">
        <v>43</v>
      </c>
      <c r="X38" s="166"/>
      <c r="Y38" s="166"/>
    </row>
    <row r="39" spans="1:25" ht="18.75" x14ac:dyDescent="0.25">
      <c r="A39" s="163"/>
      <c r="B39" s="163"/>
      <c r="C39" s="44" t="s">
        <v>65</v>
      </c>
      <c r="D39" s="44" t="s">
        <v>66</v>
      </c>
      <c r="E39" s="44" t="s">
        <v>67</v>
      </c>
      <c r="F39" s="55" t="s">
        <v>68</v>
      </c>
      <c r="G39" s="155"/>
      <c r="H39" s="166"/>
      <c r="I39" s="155"/>
      <c r="J39" s="155"/>
      <c r="K39" s="165"/>
      <c r="L39" s="155"/>
      <c r="M39" s="155"/>
      <c r="N39" s="166"/>
      <c r="O39" s="166"/>
      <c r="P39" s="166"/>
      <c r="Q39" s="166"/>
      <c r="R39" s="155"/>
      <c r="S39" s="155"/>
      <c r="T39" s="155"/>
      <c r="U39" s="155"/>
      <c r="V39" s="166"/>
      <c r="W39" s="166"/>
      <c r="X39" s="166"/>
      <c r="Y39" s="166"/>
    </row>
    <row r="40" spans="1:25" ht="33.75" customHeight="1" x14ac:dyDescent="0.3">
      <c r="A40" s="18">
        <v>1</v>
      </c>
      <c r="B40" s="37" t="str">
        <f t="shared" ref="B40:B48" si="17">B21</f>
        <v>SALARY -STAFF - BANK</v>
      </c>
      <c r="C40" s="56">
        <v>14</v>
      </c>
      <c r="D40" s="56">
        <v>0</v>
      </c>
      <c r="E40" s="56">
        <v>1</v>
      </c>
      <c r="F40" s="41">
        <f>C40+D40-E40</f>
        <v>13</v>
      </c>
      <c r="G40" s="56">
        <v>9</v>
      </c>
      <c r="H40" s="39">
        <f t="shared" ref="H40:H51" si="18">G40-F40</f>
        <v>-4</v>
      </c>
      <c r="I40" s="203">
        <f>M4</f>
        <v>273588</v>
      </c>
      <c r="J40" s="203"/>
      <c r="K40" s="39">
        <v>0</v>
      </c>
      <c r="L40" s="144">
        <v>138097</v>
      </c>
      <c r="M40" s="144"/>
      <c r="N40" s="144">
        <f>+I40+K40</f>
        <v>273588</v>
      </c>
      <c r="O40" s="144"/>
      <c r="P40" s="144">
        <f>+L40-N40</f>
        <v>-135491</v>
      </c>
      <c r="Q40" s="144"/>
      <c r="R40" s="203">
        <v>2420</v>
      </c>
      <c r="S40" s="203"/>
      <c r="T40" s="203">
        <v>2420</v>
      </c>
      <c r="U40" s="203"/>
      <c r="V40" s="57">
        <f>R40-T40</f>
        <v>0</v>
      </c>
      <c r="W40" s="202" t="s">
        <v>70</v>
      </c>
      <c r="X40" s="202"/>
      <c r="Y40" s="202"/>
    </row>
    <row r="41" spans="1:25" ht="27" customHeight="1" x14ac:dyDescent="0.3">
      <c r="A41" s="18">
        <v>2</v>
      </c>
      <c r="B41" s="37" t="str">
        <f t="shared" si="17"/>
        <v>SALARY - STAFF -2 CSB</v>
      </c>
      <c r="C41" s="45">
        <v>3</v>
      </c>
      <c r="D41" s="45"/>
      <c r="E41" s="45"/>
      <c r="F41" s="41">
        <f t="shared" ref="F41:F51" si="19">C41+D41-E41</f>
        <v>3</v>
      </c>
      <c r="G41" s="56">
        <v>2</v>
      </c>
      <c r="H41" s="39">
        <f t="shared" si="18"/>
        <v>-1</v>
      </c>
      <c r="I41" s="203">
        <f t="shared" ref="I41:I48" si="20">M5</f>
        <v>55040</v>
      </c>
      <c r="J41" s="203"/>
      <c r="K41" s="39">
        <v>0</v>
      </c>
      <c r="L41" s="144">
        <v>32194</v>
      </c>
      <c r="M41" s="144"/>
      <c r="N41" s="144">
        <f t="shared" ref="N41:N51" si="21">+I41+K41</f>
        <v>55040</v>
      </c>
      <c r="O41" s="144"/>
      <c r="P41" s="144">
        <f>+L41-N41</f>
        <v>-22846</v>
      </c>
      <c r="Q41" s="144"/>
      <c r="R41" s="203">
        <v>564</v>
      </c>
      <c r="S41" s="203"/>
      <c r="T41" s="203">
        <v>564</v>
      </c>
      <c r="U41" s="203"/>
      <c r="V41" s="57">
        <f>R41-T41</f>
        <v>0</v>
      </c>
      <c r="W41" s="202"/>
      <c r="X41" s="202"/>
      <c r="Y41" s="202"/>
    </row>
    <row r="42" spans="1:25" ht="21.2" customHeight="1" x14ac:dyDescent="0.3">
      <c r="A42" s="18">
        <v>3</v>
      </c>
      <c r="B42" s="37" t="str">
        <f t="shared" si="17"/>
        <v>SALARY - STAFF-CHEQUE</v>
      </c>
      <c r="C42" s="45">
        <v>2</v>
      </c>
      <c r="D42" s="45">
        <v>0</v>
      </c>
      <c r="E42" s="45"/>
      <c r="F42" s="41">
        <f t="shared" si="19"/>
        <v>2</v>
      </c>
      <c r="G42" s="56">
        <v>2</v>
      </c>
      <c r="H42" s="39">
        <f t="shared" si="18"/>
        <v>0</v>
      </c>
      <c r="I42" s="203">
        <f t="shared" si="20"/>
        <v>27361</v>
      </c>
      <c r="J42" s="203"/>
      <c r="K42" s="39">
        <v>0</v>
      </c>
      <c r="L42" s="144">
        <v>27361</v>
      </c>
      <c r="M42" s="144"/>
      <c r="N42" s="144">
        <f t="shared" si="21"/>
        <v>27361</v>
      </c>
      <c r="O42" s="144"/>
      <c r="P42" s="144">
        <f>+L42-N42</f>
        <v>0</v>
      </c>
      <c r="Q42" s="144"/>
      <c r="R42" s="203">
        <f>286+194</f>
        <v>480</v>
      </c>
      <c r="S42" s="203"/>
      <c r="T42" s="203">
        <v>480</v>
      </c>
      <c r="U42" s="203"/>
      <c r="V42" s="57">
        <f t="shared" ref="V42:V51" si="22">R42-T42</f>
        <v>0</v>
      </c>
      <c r="W42" s="202"/>
      <c r="X42" s="202"/>
      <c r="Y42" s="202"/>
    </row>
    <row r="43" spans="1:25" ht="30.2" customHeight="1" x14ac:dyDescent="0.3">
      <c r="A43" s="18">
        <v>4</v>
      </c>
      <c r="B43" s="37" t="str">
        <f t="shared" si="17"/>
        <v>WAGES-PERMANENT - BANK</v>
      </c>
      <c r="C43" s="45">
        <v>7</v>
      </c>
      <c r="D43" s="45"/>
      <c r="E43" s="45"/>
      <c r="F43" s="41">
        <f t="shared" si="19"/>
        <v>7</v>
      </c>
      <c r="G43" s="56">
        <v>7</v>
      </c>
      <c r="H43" s="39">
        <f t="shared" si="18"/>
        <v>0</v>
      </c>
      <c r="I43" s="203">
        <f t="shared" si="20"/>
        <v>82418</v>
      </c>
      <c r="J43" s="203"/>
      <c r="K43" s="39">
        <v>0</v>
      </c>
      <c r="L43" s="144">
        <v>82418</v>
      </c>
      <c r="M43" s="144"/>
      <c r="N43" s="144">
        <f t="shared" si="21"/>
        <v>82418</v>
      </c>
      <c r="O43" s="144"/>
      <c r="P43" s="144">
        <f t="shared" ref="P43:P51" si="23">+L43-N43</f>
        <v>0</v>
      </c>
      <c r="Q43" s="144"/>
      <c r="R43" s="203">
        <v>1446</v>
      </c>
      <c r="S43" s="203"/>
      <c r="T43" s="203">
        <v>1446</v>
      </c>
      <c r="U43" s="203"/>
      <c r="V43" s="57">
        <f t="shared" si="22"/>
        <v>0</v>
      </c>
      <c r="W43" s="202"/>
      <c r="X43" s="202"/>
      <c r="Y43" s="202"/>
    </row>
    <row r="44" spans="1:25" ht="51" customHeight="1" x14ac:dyDescent="0.3">
      <c r="A44" s="18">
        <v>5</v>
      </c>
      <c r="B44" s="37" t="str">
        <f t="shared" si="17"/>
        <v>WAGES - CASUAL - BANK(OUTSIDE)</v>
      </c>
      <c r="C44" s="45">
        <v>33</v>
      </c>
      <c r="D44" s="45"/>
      <c r="E44" s="45"/>
      <c r="F44" s="41">
        <f t="shared" si="19"/>
        <v>33</v>
      </c>
      <c r="G44" s="56">
        <v>33</v>
      </c>
      <c r="H44" s="39">
        <f t="shared" si="18"/>
        <v>0</v>
      </c>
      <c r="I44" s="203">
        <f>M8</f>
        <v>218655</v>
      </c>
      <c r="J44" s="203"/>
      <c r="K44" s="39">
        <v>0</v>
      </c>
      <c r="L44" s="144">
        <v>218655</v>
      </c>
      <c r="M44" s="144"/>
      <c r="N44" s="144">
        <f t="shared" si="21"/>
        <v>218655</v>
      </c>
      <c r="O44" s="144"/>
      <c r="P44" s="144">
        <f t="shared" si="23"/>
        <v>0</v>
      </c>
      <c r="Q44" s="144"/>
      <c r="R44" s="203">
        <v>3838</v>
      </c>
      <c r="S44" s="203"/>
      <c r="T44" s="203">
        <v>3838</v>
      </c>
      <c r="U44" s="203"/>
      <c r="V44" s="57">
        <f t="shared" si="22"/>
        <v>0</v>
      </c>
      <c r="W44" s="202"/>
      <c r="X44" s="202"/>
      <c r="Y44" s="202"/>
    </row>
    <row r="45" spans="1:25" ht="37.5" x14ac:dyDescent="0.3">
      <c r="A45" s="18">
        <v>6</v>
      </c>
      <c r="B45" s="37" t="str">
        <f t="shared" si="17"/>
        <v>WAGES - CASUAL - CASH(OUTSIDE)</v>
      </c>
      <c r="C45" s="45">
        <v>59</v>
      </c>
      <c r="D45" s="45">
        <v>6</v>
      </c>
      <c r="E45" s="45">
        <v>9</v>
      </c>
      <c r="F45" s="41">
        <f t="shared" si="19"/>
        <v>56</v>
      </c>
      <c r="G45" s="56">
        <v>56</v>
      </c>
      <c r="H45" s="39">
        <f t="shared" si="18"/>
        <v>0</v>
      </c>
      <c r="I45" s="203">
        <f t="shared" si="20"/>
        <v>340975</v>
      </c>
      <c r="J45" s="203"/>
      <c r="K45" s="39">
        <v>19314</v>
      </c>
      <c r="L45" s="144">
        <f>340945+19344</f>
        <v>360289</v>
      </c>
      <c r="M45" s="144"/>
      <c r="N45" s="144">
        <f>+I45+K45</f>
        <v>360289</v>
      </c>
      <c r="O45" s="144"/>
      <c r="P45" s="144">
        <f t="shared" si="23"/>
        <v>0</v>
      </c>
      <c r="Q45" s="144"/>
      <c r="R45" s="203">
        <f>5992+331</f>
        <v>6323</v>
      </c>
      <c r="S45" s="203"/>
      <c r="T45" s="203">
        <f>5992+326+5</f>
        <v>6323</v>
      </c>
      <c r="U45" s="203"/>
      <c r="V45" s="57">
        <f t="shared" si="22"/>
        <v>0</v>
      </c>
      <c r="W45" s="202"/>
      <c r="X45" s="202"/>
      <c r="Y45" s="202"/>
    </row>
    <row r="46" spans="1:25" ht="37.5" x14ac:dyDescent="0.3">
      <c r="A46" s="18">
        <v>7</v>
      </c>
      <c r="B46" s="37" t="str">
        <f t="shared" si="17"/>
        <v>WAGES - CASUAL - CASH(INSIDE)</v>
      </c>
      <c r="C46" s="45">
        <v>52</v>
      </c>
      <c r="D46" s="45">
        <v>5</v>
      </c>
      <c r="E46" s="45">
        <v>13</v>
      </c>
      <c r="F46" s="41">
        <f t="shared" si="19"/>
        <v>44</v>
      </c>
      <c r="G46" s="56">
        <v>44</v>
      </c>
      <c r="H46" s="39">
        <f t="shared" si="18"/>
        <v>0</v>
      </c>
      <c r="I46" s="203">
        <f t="shared" si="20"/>
        <v>259111</v>
      </c>
      <c r="J46" s="203"/>
      <c r="K46" s="39">
        <v>22840</v>
      </c>
      <c r="L46" s="144">
        <f>259111+22840</f>
        <v>281951</v>
      </c>
      <c r="M46" s="144"/>
      <c r="N46" s="144">
        <f t="shared" si="21"/>
        <v>281951</v>
      </c>
      <c r="O46" s="144"/>
      <c r="P46" s="144">
        <f>+L46-N46</f>
        <v>0</v>
      </c>
      <c r="Q46" s="144"/>
      <c r="R46" s="203">
        <f>4551+407</f>
        <v>4958</v>
      </c>
      <c r="S46" s="203"/>
      <c r="T46" s="203">
        <f>4551+398+9</f>
        <v>4958</v>
      </c>
      <c r="U46" s="203"/>
      <c r="V46" s="57">
        <f t="shared" si="22"/>
        <v>0</v>
      </c>
      <c r="W46" s="202"/>
      <c r="X46" s="202"/>
      <c r="Y46" s="202"/>
    </row>
    <row r="47" spans="1:25" ht="37.5" x14ac:dyDescent="0.3">
      <c r="A47" s="18">
        <v>8</v>
      </c>
      <c r="B47" s="37" t="str">
        <f t="shared" si="17"/>
        <v>WAGES - SECUR &amp; GARDEN - CHEQUE</v>
      </c>
      <c r="C47" s="45">
        <v>1</v>
      </c>
      <c r="D47" s="45">
        <v>1</v>
      </c>
      <c r="E47" s="45"/>
      <c r="F47" s="41">
        <f t="shared" si="19"/>
        <v>2</v>
      </c>
      <c r="G47" s="56">
        <v>2</v>
      </c>
      <c r="H47" s="39">
        <f t="shared" si="18"/>
        <v>0</v>
      </c>
      <c r="I47" s="203">
        <f t="shared" si="20"/>
        <v>7600</v>
      </c>
      <c r="J47" s="203"/>
      <c r="K47" s="39">
        <v>0</v>
      </c>
      <c r="L47" s="144">
        <v>7600</v>
      </c>
      <c r="M47" s="144"/>
      <c r="N47" s="144">
        <f t="shared" si="21"/>
        <v>7600</v>
      </c>
      <c r="O47" s="144"/>
      <c r="P47" s="144">
        <f t="shared" si="23"/>
        <v>0</v>
      </c>
      <c r="Q47" s="144"/>
      <c r="R47" s="203">
        <f t="shared" ref="R47:R51" si="24">ROUNDUP(N47*1.75%,0)</f>
        <v>133</v>
      </c>
      <c r="S47" s="203"/>
      <c r="T47" s="203">
        <v>133</v>
      </c>
      <c r="U47" s="203"/>
      <c r="V47" s="57">
        <f t="shared" si="22"/>
        <v>0</v>
      </c>
      <c r="W47" s="202"/>
      <c r="X47" s="202"/>
      <c r="Y47" s="202"/>
    </row>
    <row r="48" spans="1:25" ht="37.5" x14ac:dyDescent="0.3">
      <c r="A48" s="18">
        <v>9</v>
      </c>
      <c r="B48" s="37" t="str">
        <f t="shared" si="17"/>
        <v>WAGES - SECUR &amp; GARDEN - CSB</v>
      </c>
      <c r="C48" s="45">
        <v>7</v>
      </c>
      <c r="D48" s="45"/>
      <c r="E48" s="45">
        <v>1</v>
      </c>
      <c r="F48" s="41">
        <f t="shared" si="19"/>
        <v>6</v>
      </c>
      <c r="G48" s="56">
        <v>6</v>
      </c>
      <c r="H48" s="39">
        <f t="shared" si="18"/>
        <v>0</v>
      </c>
      <c r="I48" s="203">
        <f t="shared" si="20"/>
        <v>54787</v>
      </c>
      <c r="J48" s="203"/>
      <c r="K48" s="39">
        <v>0</v>
      </c>
      <c r="L48" s="144">
        <v>54787</v>
      </c>
      <c r="M48" s="144"/>
      <c r="N48" s="144">
        <f t="shared" si="21"/>
        <v>54787</v>
      </c>
      <c r="O48" s="144"/>
      <c r="P48" s="144">
        <f t="shared" si="23"/>
        <v>0</v>
      </c>
      <c r="Q48" s="144"/>
      <c r="R48" s="203">
        <v>962</v>
      </c>
      <c r="S48" s="203"/>
      <c r="T48" s="203">
        <v>962</v>
      </c>
      <c r="U48" s="203"/>
      <c r="V48" s="57">
        <f t="shared" si="22"/>
        <v>0</v>
      </c>
      <c r="W48" s="202"/>
      <c r="X48" s="202"/>
      <c r="Y48" s="202"/>
    </row>
    <row r="49" spans="1:25" ht="27.75" customHeight="1" x14ac:dyDescent="0.3">
      <c r="A49" s="18">
        <v>10</v>
      </c>
      <c r="B49" s="37" t="s">
        <v>34</v>
      </c>
      <c r="C49" s="45">
        <v>1</v>
      </c>
      <c r="D49" s="45"/>
      <c r="E49" s="45"/>
      <c r="F49" s="41">
        <v>1</v>
      </c>
      <c r="G49" s="56"/>
      <c r="H49" s="39">
        <f t="shared" si="18"/>
        <v>-1</v>
      </c>
      <c r="I49" s="204">
        <v>200000</v>
      </c>
      <c r="J49" s="205"/>
      <c r="K49" s="39">
        <v>0</v>
      </c>
      <c r="L49" s="158">
        <v>0</v>
      </c>
      <c r="M49" s="159"/>
      <c r="N49" s="144">
        <f t="shared" ref="N49" si="25">+I49+K49</f>
        <v>200000</v>
      </c>
      <c r="O49" s="144"/>
      <c r="P49" s="144">
        <f t="shared" ref="P49" si="26">+L49-N49</f>
        <v>-200000</v>
      </c>
      <c r="Q49" s="144"/>
      <c r="R49" s="203">
        <v>0</v>
      </c>
      <c r="S49" s="203"/>
      <c r="T49" s="204"/>
      <c r="U49" s="205"/>
      <c r="V49" s="57">
        <f t="shared" si="22"/>
        <v>0</v>
      </c>
      <c r="W49" s="206" t="s">
        <v>71</v>
      </c>
      <c r="X49" s="206"/>
      <c r="Y49" s="206"/>
    </row>
    <row r="50" spans="1:25" ht="18.75" x14ac:dyDescent="0.3">
      <c r="A50" s="18">
        <v>11</v>
      </c>
      <c r="B50" s="37" t="str">
        <f t="shared" ref="B50:B51" si="27">B31</f>
        <v>EXEMPTED - BANK</v>
      </c>
      <c r="C50" s="45">
        <v>8</v>
      </c>
      <c r="D50" s="45"/>
      <c r="E50" s="45"/>
      <c r="F50" s="41">
        <f t="shared" si="19"/>
        <v>8</v>
      </c>
      <c r="G50" s="56">
        <v>0</v>
      </c>
      <c r="H50" s="39">
        <f t="shared" si="18"/>
        <v>-8</v>
      </c>
      <c r="I50" s="203">
        <v>0</v>
      </c>
      <c r="J50" s="203"/>
      <c r="K50" s="39">
        <v>0</v>
      </c>
      <c r="L50" s="144">
        <v>0</v>
      </c>
      <c r="M50" s="144"/>
      <c r="N50" s="144">
        <f t="shared" si="21"/>
        <v>0</v>
      </c>
      <c r="O50" s="144"/>
      <c r="P50" s="144">
        <f t="shared" si="23"/>
        <v>0</v>
      </c>
      <c r="Q50" s="144"/>
      <c r="R50" s="203">
        <f t="shared" si="24"/>
        <v>0</v>
      </c>
      <c r="S50" s="203"/>
      <c r="T50" s="203">
        <v>0</v>
      </c>
      <c r="U50" s="203"/>
      <c r="V50" s="57">
        <f t="shared" si="22"/>
        <v>0</v>
      </c>
      <c r="W50" s="202"/>
      <c r="X50" s="202"/>
      <c r="Y50" s="202"/>
    </row>
    <row r="51" spans="1:25" ht="18.75" x14ac:dyDescent="0.3">
      <c r="A51" s="18">
        <v>12</v>
      </c>
      <c r="B51" s="37" t="str">
        <f t="shared" si="27"/>
        <v>EXEMPTED - CHEQUE</v>
      </c>
      <c r="C51" s="45">
        <v>3</v>
      </c>
      <c r="D51" s="45"/>
      <c r="E51" s="45"/>
      <c r="F51" s="41">
        <f t="shared" si="19"/>
        <v>3</v>
      </c>
      <c r="G51" s="56">
        <v>0</v>
      </c>
      <c r="H51" s="39">
        <f t="shared" si="18"/>
        <v>-3</v>
      </c>
      <c r="I51" s="203">
        <v>0</v>
      </c>
      <c r="J51" s="203"/>
      <c r="K51" s="39">
        <v>0</v>
      </c>
      <c r="L51" s="144">
        <v>0</v>
      </c>
      <c r="M51" s="144"/>
      <c r="N51" s="144">
        <f t="shared" si="21"/>
        <v>0</v>
      </c>
      <c r="O51" s="144"/>
      <c r="P51" s="144">
        <f t="shared" si="23"/>
        <v>0</v>
      </c>
      <c r="Q51" s="144"/>
      <c r="R51" s="203">
        <f t="shared" si="24"/>
        <v>0</v>
      </c>
      <c r="S51" s="203"/>
      <c r="T51" s="203">
        <v>0</v>
      </c>
      <c r="U51" s="203"/>
      <c r="V51" s="57">
        <f t="shared" si="22"/>
        <v>0</v>
      </c>
      <c r="W51" s="202"/>
      <c r="X51" s="202"/>
      <c r="Y51" s="202"/>
    </row>
    <row r="52" spans="1:25" ht="18.75" x14ac:dyDescent="0.25">
      <c r="A52" s="18"/>
      <c r="B52" s="22" t="s">
        <v>47</v>
      </c>
      <c r="C52" s="58">
        <f t="shared" ref="C52:H52" si="28">SUM(C40:C51)</f>
        <v>190</v>
      </c>
      <c r="D52" s="58">
        <f t="shared" si="28"/>
        <v>12</v>
      </c>
      <c r="E52" s="58">
        <f t="shared" si="28"/>
        <v>24</v>
      </c>
      <c r="F52" s="58">
        <f t="shared" si="28"/>
        <v>178</v>
      </c>
      <c r="G52" s="58">
        <f t="shared" si="28"/>
        <v>161</v>
      </c>
      <c r="H52" s="58">
        <f t="shared" si="28"/>
        <v>-17</v>
      </c>
      <c r="I52" s="199">
        <f>SUM(I40:K51)</f>
        <v>1561689</v>
      </c>
      <c r="J52" s="199"/>
      <c r="K52" s="62"/>
      <c r="L52" s="200">
        <f>SUM(L40:M51)</f>
        <v>1203352</v>
      </c>
      <c r="M52" s="200"/>
      <c r="N52" s="201">
        <f>SUM(N40:O51)</f>
        <v>1561689</v>
      </c>
      <c r="O52" s="201"/>
      <c r="P52" s="201">
        <f>SUM(P40:Q51)</f>
        <v>-358337</v>
      </c>
      <c r="Q52" s="201"/>
      <c r="R52" s="201">
        <f>SUM(R40:S51)</f>
        <v>21124</v>
      </c>
      <c r="S52" s="201"/>
      <c r="T52" s="201">
        <f>SUM(T40:U51)</f>
        <v>21124</v>
      </c>
      <c r="U52" s="201"/>
      <c r="V52" s="60">
        <f>SUM(V40:V51)</f>
        <v>0</v>
      </c>
      <c r="W52" s="198"/>
      <c r="X52" s="198"/>
      <c r="Y52" s="198"/>
    </row>
    <row r="53" spans="1:25" x14ac:dyDescent="0.25">
      <c r="C53" s="63" t="s">
        <v>73</v>
      </c>
      <c r="D53" s="63" t="s">
        <v>73</v>
      </c>
    </row>
  </sheetData>
  <mergeCells count="223">
    <mergeCell ref="W30:Y30"/>
    <mergeCell ref="V19:V20"/>
    <mergeCell ref="V2:W2"/>
    <mergeCell ref="X2:X3"/>
    <mergeCell ref="Y2:Y3"/>
    <mergeCell ref="A16:B16"/>
    <mergeCell ref="A19:A20"/>
    <mergeCell ref="B19:B20"/>
    <mergeCell ref="C19:F19"/>
    <mergeCell ref="G19:H20"/>
    <mergeCell ref="I19:I20"/>
    <mergeCell ref="A2:A3"/>
    <mergeCell ref="B2:B3"/>
    <mergeCell ref="C2:F2"/>
    <mergeCell ref="G2:G3"/>
    <mergeCell ref="H2:M2"/>
    <mergeCell ref="N2:U2"/>
    <mergeCell ref="W19:Y20"/>
    <mergeCell ref="J19:J20"/>
    <mergeCell ref="K19:K20"/>
    <mergeCell ref="G21:H21"/>
    <mergeCell ref="L21:M21"/>
    <mergeCell ref="N21:O21"/>
    <mergeCell ref="P21:Q21"/>
    <mergeCell ref="R21:S21"/>
    <mergeCell ref="T21:U21"/>
    <mergeCell ref="L19:M20"/>
    <mergeCell ref="N19:O20"/>
    <mergeCell ref="P19:Q20"/>
    <mergeCell ref="R19:S20"/>
    <mergeCell ref="T19:U20"/>
    <mergeCell ref="T22:U22"/>
    <mergeCell ref="G23:H23"/>
    <mergeCell ref="L23:M23"/>
    <mergeCell ref="N23:O23"/>
    <mergeCell ref="P23:Q23"/>
    <mergeCell ref="R23:S23"/>
    <mergeCell ref="T23:U23"/>
    <mergeCell ref="G22:H22"/>
    <mergeCell ref="L22:M22"/>
    <mergeCell ref="N22:O22"/>
    <mergeCell ref="P22:Q22"/>
    <mergeCell ref="R22:S22"/>
    <mergeCell ref="T24:U24"/>
    <mergeCell ref="G25:H25"/>
    <mergeCell ref="L25:M25"/>
    <mergeCell ref="N25:O25"/>
    <mergeCell ref="P25:Q25"/>
    <mergeCell ref="R25:S25"/>
    <mergeCell ref="T25:U25"/>
    <mergeCell ref="G24:H24"/>
    <mergeCell ref="L24:M24"/>
    <mergeCell ref="N24:O24"/>
    <mergeCell ref="P24:Q24"/>
    <mergeCell ref="R24:S24"/>
    <mergeCell ref="T26:U26"/>
    <mergeCell ref="G27:H27"/>
    <mergeCell ref="L27:M27"/>
    <mergeCell ref="N27:O27"/>
    <mergeCell ref="P27:Q27"/>
    <mergeCell ref="R27:S27"/>
    <mergeCell ref="T27:U27"/>
    <mergeCell ref="G26:H26"/>
    <mergeCell ref="L26:M26"/>
    <mergeCell ref="N26:O26"/>
    <mergeCell ref="P26:Q26"/>
    <mergeCell ref="R26:S26"/>
    <mergeCell ref="G30:H30"/>
    <mergeCell ref="L30:M30"/>
    <mergeCell ref="P30:Q30"/>
    <mergeCell ref="R30:S30"/>
    <mergeCell ref="T30:U30"/>
    <mergeCell ref="T28:U28"/>
    <mergeCell ref="G29:H29"/>
    <mergeCell ref="L29:M29"/>
    <mergeCell ref="N29:O29"/>
    <mergeCell ref="P29:Q29"/>
    <mergeCell ref="R29:S29"/>
    <mergeCell ref="T29:U29"/>
    <mergeCell ref="G28:H28"/>
    <mergeCell ref="L28:M28"/>
    <mergeCell ref="N28:O28"/>
    <mergeCell ref="P28:Q28"/>
    <mergeCell ref="R28:S28"/>
    <mergeCell ref="N30:O30"/>
    <mergeCell ref="T31:U31"/>
    <mergeCell ref="G32:H32"/>
    <mergeCell ref="L32:M32"/>
    <mergeCell ref="N32:O32"/>
    <mergeCell ref="P32:Q32"/>
    <mergeCell ref="R32:S32"/>
    <mergeCell ref="T32:U32"/>
    <mergeCell ref="G31:H31"/>
    <mergeCell ref="L31:M31"/>
    <mergeCell ref="N31:O31"/>
    <mergeCell ref="P31:Q31"/>
    <mergeCell ref="R31:S31"/>
    <mergeCell ref="N38:O39"/>
    <mergeCell ref="P38:Q39"/>
    <mergeCell ref="R38:S39"/>
    <mergeCell ref="T38:U39"/>
    <mergeCell ref="V38:V39"/>
    <mergeCell ref="W38:Y39"/>
    <mergeCell ref="T33:U33"/>
    <mergeCell ref="W33:Y33"/>
    <mergeCell ref="A38:A39"/>
    <mergeCell ref="B38:B39"/>
    <mergeCell ref="C38:F38"/>
    <mergeCell ref="G38:G39"/>
    <mergeCell ref="H38:H39"/>
    <mergeCell ref="I38:J39"/>
    <mergeCell ref="K38:K39"/>
    <mergeCell ref="L38:M39"/>
    <mergeCell ref="G33:H33"/>
    <mergeCell ref="L33:M33"/>
    <mergeCell ref="N33:O33"/>
    <mergeCell ref="P33:Q33"/>
    <mergeCell ref="R33:S33"/>
    <mergeCell ref="N35:O35"/>
    <mergeCell ref="L35:M35"/>
    <mergeCell ref="L36:M36"/>
    <mergeCell ref="W40:Y40"/>
    <mergeCell ref="I41:J41"/>
    <mergeCell ref="L41:M41"/>
    <mergeCell ref="N41:O41"/>
    <mergeCell ref="P41:Q41"/>
    <mergeCell ref="R41:S41"/>
    <mergeCell ref="T41:U41"/>
    <mergeCell ref="W41:Y41"/>
    <mergeCell ref="I40:J40"/>
    <mergeCell ref="L40:M40"/>
    <mergeCell ref="N40:O40"/>
    <mergeCell ref="P40:Q40"/>
    <mergeCell ref="R40:S40"/>
    <mergeCell ref="T40:U40"/>
    <mergeCell ref="W42:Y42"/>
    <mergeCell ref="I43:J43"/>
    <mergeCell ref="L43:M43"/>
    <mergeCell ref="N43:O43"/>
    <mergeCell ref="P43:Q43"/>
    <mergeCell ref="R43:S43"/>
    <mergeCell ref="T43:U43"/>
    <mergeCell ref="W43:Y43"/>
    <mergeCell ref="I42:J42"/>
    <mergeCell ref="L42:M42"/>
    <mergeCell ref="N42:O42"/>
    <mergeCell ref="P42:Q42"/>
    <mergeCell ref="R42:S42"/>
    <mergeCell ref="T42:U42"/>
    <mergeCell ref="W44:Y44"/>
    <mergeCell ref="I45:J45"/>
    <mergeCell ref="L45:M45"/>
    <mergeCell ref="N45:O45"/>
    <mergeCell ref="P45:Q45"/>
    <mergeCell ref="R45:S45"/>
    <mergeCell ref="T45:U45"/>
    <mergeCell ref="W45:Y45"/>
    <mergeCell ref="I44:J44"/>
    <mergeCell ref="L44:M44"/>
    <mergeCell ref="N44:O44"/>
    <mergeCell ref="P44:Q44"/>
    <mergeCell ref="R44:S44"/>
    <mergeCell ref="T44:U44"/>
    <mergeCell ref="W46:Y46"/>
    <mergeCell ref="I47:J47"/>
    <mergeCell ref="L47:M47"/>
    <mergeCell ref="N47:O47"/>
    <mergeCell ref="P47:Q47"/>
    <mergeCell ref="R47:S47"/>
    <mergeCell ref="T47:U47"/>
    <mergeCell ref="W47:Y47"/>
    <mergeCell ref="I46:J46"/>
    <mergeCell ref="L46:M46"/>
    <mergeCell ref="N46:O46"/>
    <mergeCell ref="P46:Q46"/>
    <mergeCell ref="R46:S46"/>
    <mergeCell ref="T46:U46"/>
    <mergeCell ref="I49:J49"/>
    <mergeCell ref="L49:M49"/>
    <mergeCell ref="N49:O49"/>
    <mergeCell ref="P49:Q49"/>
    <mergeCell ref="R49:S49"/>
    <mergeCell ref="T49:U49"/>
    <mergeCell ref="W49:Y49"/>
    <mergeCell ref="I48:J48"/>
    <mergeCell ref="L48:M48"/>
    <mergeCell ref="N48:O48"/>
    <mergeCell ref="P48:Q48"/>
    <mergeCell ref="R48:S48"/>
    <mergeCell ref="T48:U48"/>
    <mergeCell ref="W32:Y32"/>
    <mergeCell ref="W31:Y31"/>
    <mergeCell ref="W52:Y52"/>
    <mergeCell ref="I52:J52"/>
    <mergeCell ref="L52:M52"/>
    <mergeCell ref="N52:O52"/>
    <mergeCell ref="P52:Q52"/>
    <mergeCell ref="R52:S52"/>
    <mergeCell ref="T52:U52"/>
    <mergeCell ref="W50:Y50"/>
    <mergeCell ref="I51:J51"/>
    <mergeCell ref="L51:M51"/>
    <mergeCell ref="N51:O51"/>
    <mergeCell ref="P51:Q51"/>
    <mergeCell ref="R51:S51"/>
    <mergeCell ref="T51:U51"/>
    <mergeCell ref="W51:Y51"/>
    <mergeCell ref="I50:J50"/>
    <mergeCell ref="L50:M50"/>
    <mergeCell ref="N50:O50"/>
    <mergeCell ref="P50:Q50"/>
    <mergeCell ref="R50:S50"/>
    <mergeCell ref="T50:U50"/>
    <mergeCell ref="W48:Y48"/>
    <mergeCell ref="W21:Y21"/>
    <mergeCell ref="W23:Y23"/>
    <mergeCell ref="W22:Y22"/>
    <mergeCell ref="W25:Y25"/>
    <mergeCell ref="W24:Y24"/>
    <mergeCell ref="W27:Y27"/>
    <mergeCell ref="W26:Y26"/>
    <mergeCell ref="W29:Y29"/>
    <mergeCell ref="W28:Y28"/>
  </mergeCells>
  <pageMargins left="0.7" right="0.7" top="0.75" bottom="0.75" header="0.3" footer="0.3"/>
  <pageSetup paperSize="8" scale="71" orientation="landscape" verticalDpi="1200" r:id="rId1"/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opLeftCell="G16" workbookViewId="0">
      <selection activeCell="V24" sqref="V24"/>
    </sheetView>
  </sheetViews>
  <sheetFormatPr defaultRowHeight="15" x14ac:dyDescent="0.25"/>
  <cols>
    <col min="2" max="2" width="38.42578125" customWidth="1"/>
    <col min="7" max="7" width="9.42578125" bestFit="1" customWidth="1"/>
    <col min="10" max="10" width="16" customWidth="1"/>
    <col min="11" max="11" width="15.140625" customWidth="1"/>
  </cols>
  <sheetData>
    <row r="1" spans="1:25" ht="18.75" x14ac:dyDescent="0.3">
      <c r="A1" s="14" t="s">
        <v>78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29.25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71" t="s">
        <v>65</v>
      </c>
      <c r="D3" s="64" t="s">
        <v>66</v>
      </c>
      <c r="E3" s="64" t="s">
        <v>67</v>
      </c>
      <c r="F3" s="50" t="s">
        <v>68</v>
      </c>
      <c r="G3" s="215"/>
      <c r="H3" s="71" t="s">
        <v>10</v>
      </c>
      <c r="I3" s="71" t="s">
        <v>11</v>
      </c>
      <c r="J3" s="71" t="s">
        <v>12</v>
      </c>
      <c r="K3" s="71" t="s">
        <v>13</v>
      </c>
      <c r="L3" s="71" t="s">
        <v>55</v>
      </c>
      <c r="M3" s="71" t="s">
        <v>14</v>
      </c>
      <c r="N3" s="71" t="s">
        <v>15</v>
      </c>
      <c r="O3" s="71" t="s">
        <v>16</v>
      </c>
      <c r="P3" s="71" t="s">
        <v>56</v>
      </c>
      <c r="Q3" s="71" t="s">
        <v>17</v>
      </c>
      <c r="R3" s="71" t="s">
        <v>18</v>
      </c>
      <c r="S3" s="71" t="s">
        <v>19</v>
      </c>
      <c r="T3" s="71" t="s">
        <v>20</v>
      </c>
      <c r="U3" s="71" t="s">
        <v>21</v>
      </c>
      <c r="V3" s="71" t="s">
        <v>22</v>
      </c>
      <c r="W3" s="71" t="s">
        <v>23</v>
      </c>
      <c r="X3" s="215"/>
      <c r="Y3" s="215"/>
    </row>
    <row r="4" spans="1:25" ht="35.1" customHeight="1" x14ac:dyDescent="0.25">
      <c r="A4" s="2">
        <v>1</v>
      </c>
      <c r="B4" s="3" t="s">
        <v>24</v>
      </c>
      <c r="C4" s="32">
        <v>14</v>
      </c>
      <c r="D4" s="32">
        <v>0</v>
      </c>
      <c r="E4" s="32">
        <v>0</v>
      </c>
      <c r="F4" s="32">
        <f t="shared" ref="F4:F15" si="0">C4+D4-E4</f>
        <v>14</v>
      </c>
      <c r="G4" s="9">
        <v>340.5</v>
      </c>
      <c r="H4" s="8">
        <v>167974</v>
      </c>
      <c r="I4" s="8"/>
      <c r="J4" s="8">
        <v>80875</v>
      </c>
      <c r="K4" s="8">
        <v>13825</v>
      </c>
      <c r="L4" s="8">
        <v>13825</v>
      </c>
      <c r="M4" s="51">
        <f t="shared" ref="M4:M15" si="1">SUM(H4:L4)</f>
        <v>276499</v>
      </c>
      <c r="N4" s="8">
        <v>20157</v>
      </c>
      <c r="O4" s="8">
        <v>2555</v>
      </c>
      <c r="P4" s="8"/>
      <c r="Q4" s="8"/>
      <c r="R4" s="8">
        <v>0</v>
      </c>
      <c r="S4" s="8">
        <v>28000</v>
      </c>
      <c r="T4" s="8">
        <v>0</v>
      </c>
      <c r="U4" s="51">
        <f>SUM(N4:T4)</f>
        <v>50712</v>
      </c>
      <c r="V4" s="8" t="s">
        <v>25</v>
      </c>
      <c r="W4" s="8" t="s">
        <v>25</v>
      </c>
      <c r="X4" s="8">
        <v>-17</v>
      </c>
      <c r="Y4" s="51">
        <f>M4-U4+X4</f>
        <v>225770</v>
      </c>
    </row>
    <row r="5" spans="1:25" ht="35.1" customHeight="1" x14ac:dyDescent="0.25">
      <c r="A5" s="2">
        <v>2</v>
      </c>
      <c r="B5" s="3" t="s">
        <v>26</v>
      </c>
      <c r="C5" s="32">
        <v>3</v>
      </c>
      <c r="D5" s="32">
        <v>0</v>
      </c>
      <c r="E5" s="32">
        <v>0</v>
      </c>
      <c r="F5" s="32">
        <f t="shared" si="0"/>
        <v>3</v>
      </c>
      <c r="G5" s="9">
        <v>78</v>
      </c>
      <c r="H5" s="8">
        <v>31800</v>
      </c>
      <c r="I5" s="8"/>
      <c r="J5" s="8">
        <v>15900</v>
      </c>
      <c r="K5" s="8">
        <v>2650</v>
      </c>
      <c r="L5" s="8">
        <v>2650</v>
      </c>
      <c r="M5" s="51">
        <f t="shared" si="1"/>
        <v>53000</v>
      </c>
      <c r="N5" s="8">
        <v>3816</v>
      </c>
      <c r="O5" s="8">
        <v>544</v>
      </c>
      <c r="P5" s="8"/>
      <c r="Q5" s="8">
        <v>770</v>
      </c>
      <c r="R5" s="8">
        <v>0</v>
      </c>
      <c r="S5" s="8">
        <v>5000</v>
      </c>
      <c r="T5" s="8"/>
      <c r="U5" s="51">
        <f>SUM(N5:T5)</f>
        <v>10130</v>
      </c>
      <c r="V5" s="8" t="s">
        <v>25</v>
      </c>
      <c r="W5" s="8" t="s">
        <v>25</v>
      </c>
      <c r="X5" s="8">
        <v>0</v>
      </c>
      <c r="Y5" s="51">
        <f>M5-U5+X5</f>
        <v>42870</v>
      </c>
    </row>
    <row r="6" spans="1:25" ht="35.1" customHeight="1" x14ac:dyDescent="0.25">
      <c r="A6" s="2">
        <v>3</v>
      </c>
      <c r="B6" s="3" t="s">
        <v>27</v>
      </c>
      <c r="C6" s="32">
        <v>1</v>
      </c>
      <c r="D6" s="32">
        <v>0</v>
      </c>
      <c r="E6" s="32">
        <v>0</v>
      </c>
      <c r="F6" s="32">
        <f t="shared" si="0"/>
        <v>1</v>
      </c>
      <c r="G6" s="9">
        <v>24</v>
      </c>
      <c r="H6" s="8">
        <v>6369</v>
      </c>
      <c r="I6" s="8"/>
      <c r="J6" s="8">
        <v>4246</v>
      </c>
      <c r="K6" s="8">
        <v>0</v>
      </c>
      <c r="L6" s="8">
        <v>0</v>
      </c>
      <c r="M6" s="51">
        <f t="shared" si="1"/>
        <v>10615</v>
      </c>
      <c r="N6" s="8">
        <v>764</v>
      </c>
      <c r="O6" s="8">
        <v>186</v>
      </c>
      <c r="P6" s="8"/>
      <c r="Q6" s="8">
        <v>0</v>
      </c>
      <c r="R6" s="8"/>
      <c r="S6" s="8">
        <v>0</v>
      </c>
      <c r="T6" s="8"/>
      <c r="U6" s="51">
        <f>SUM(N6:T6)</f>
        <v>950</v>
      </c>
      <c r="V6" s="8" t="s">
        <v>25</v>
      </c>
      <c r="W6" s="8" t="s">
        <v>25</v>
      </c>
      <c r="X6" s="8">
        <v>5</v>
      </c>
      <c r="Y6" s="51">
        <f>M6-U6+X6</f>
        <v>9670</v>
      </c>
    </row>
    <row r="7" spans="1:25" ht="35.1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176</v>
      </c>
      <c r="H7" s="8">
        <v>7040</v>
      </c>
      <c r="I7" s="8">
        <v>70453</v>
      </c>
      <c r="J7" s="8">
        <v>1760</v>
      </c>
      <c r="K7" s="8">
        <v>0</v>
      </c>
      <c r="L7" s="8">
        <v>0</v>
      </c>
      <c r="M7" s="51">
        <f t="shared" si="1"/>
        <v>79253</v>
      </c>
      <c r="N7" s="8">
        <v>9300</v>
      </c>
      <c r="O7" s="8">
        <v>1390</v>
      </c>
      <c r="P7" s="8">
        <v>0</v>
      </c>
      <c r="Q7" s="8">
        <v>320</v>
      </c>
      <c r="R7" s="8">
        <v>0</v>
      </c>
      <c r="S7" s="8"/>
      <c r="T7" s="8">
        <v>0</v>
      </c>
      <c r="U7" s="51">
        <f>SUM(N7:T7)</f>
        <v>11010</v>
      </c>
      <c r="V7" s="8">
        <v>1913</v>
      </c>
      <c r="W7" s="8">
        <v>9563</v>
      </c>
      <c r="X7" s="8">
        <v>-6</v>
      </c>
      <c r="Y7" s="51">
        <f>M7-U7+W7+X7</f>
        <v>77800</v>
      </c>
    </row>
    <row r="8" spans="1:25" ht="35.1" customHeight="1" x14ac:dyDescent="0.25">
      <c r="A8" s="2">
        <v>5</v>
      </c>
      <c r="B8" s="28" t="s">
        <v>29</v>
      </c>
      <c r="C8" s="32">
        <v>33</v>
      </c>
      <c r="D8" s="32">
        <v>0</v>
      </c>
      <c r="E8" s="32">
        <v>4</v>
      </c>
      <c r="F8" s="32">
        <f t="shared" si="0"/>
        <v>29</v>
      </c>
      <c r="G8" s="9">
        <v>574</v>
      </c>
      <c r="H8" s="8">
        <v>112239</v>
      </c>
      <c r="I8" s="8">
        <v>0</v>
      </c>
      <c r="J8" s="8">
        <v>74826</v>
      </c>
      <c r="K8" s="8">
        <v>0</v>
      </c>
      <c r="L8" s="8">
        <v>0</v>
      </c>
      <c r="M8" s="51">
        <f t="shared" si="1"/>
        <v>187065</v>
      </c>
      <c r="N8" s="8">
        <v>13471</v>
      </c>
      <c r="O8" s="8">
        <v>3285</v>
      </c>
      <c r="P8" s="8">
        <v>0</v>
      </c>
      <c r="Q8" s="8">
        <v>2910</v>
      </c>
      <c r="R8" s="8">
        <v>0</v>
      </c>
      <c r="S8" s="8">
        <v>2500</v>
      </c>
      <c r="T8" s="8">
        <v>0</v>
      </c>
      <c r="U8" s="51">
        <f t="shared" ref="U8:U15" si="2">SUM(N8:T8)</f>
        <v>22166</v>
      </c>
      <c r="V8" s="8">
        <v>8238</v>
      </c>
      <c r="W8" s="8">
        <v>41190</v>
      </c>
      <c r="X8" s="8">
        <v>21</v>
      </c>
      <c r="Y8" s="51">
        <f t="shared" ref="Y8:Y13" si="3">M8-U8+W8+X8</f>
        <v>206110</v>
      </c>
    </row>
    <row r="9" spans="1:25" ht="35.1" customHeight="1" x14ac:dyDescent="0.25">
      <c r="A9" s="2">
        <v>6</v>
      </c>
      <c r="B9" s="28" t="s">
        <v>30</v>
      </c>
      <c r="C9" s="32">
        <v>56</v>
      </c>
      <c r="D9" s="32">
        <v>4</v>
      </c>
      <c r="E9" s="32">
        <v>1</v>
      </c>
      <c r="F9" s="32">
        <f t="shared" si="0"/>
        <v>59</v>
      </c>
      <c r="G9" s="9">
        <v>999.5</v>
      </c>
      <c r="H9" s="8">
        <v>192502</v>
      </c>
      <c r="I9" s="8">
        <v>0</v>
      </c>
      <c r="J9" s="8">
        <v>128335</v>
      </c>
      <c r="K9" s="8">
        <v>0</v>
      </c>
      <c r="L9" s="8">
        <v>0</v>
      </c>
      <c r="M9" s="51">
        <f t="shared" si="1"/>
        <v>320837</v>
      </c>
      <c r="N9" s="8">
        <v>23100</v>
      </c>
      <c r="O9" s="8">
        <v>5641</v>
      </c>
      <c r="P9" s="8"/>
      <c r="Q9" s="8">
        <v>3865</v>
      </c>
      <c r="R9" s="8">
        <v>0</v>
      </c>
      <c r="S9" s="8">
        <v>6000</v>
      </c>
      <c r="T9" s="8">
        <v>0</v>
      </c>
      <c r="U9" s="51">
        <f t="shared" si="2"/>
        <v>38606</v>
      </c>
      <c r="V9" s="8">
        <v>14804</v>
      </c>
      <c r="W9" s="8">
        <v>74020</v>
      </c>
      <c r="X9" s="8">
        <v>-1</v>
      </c>
      <c r="Y9" s="51">
        <f t="shared" si="3"/>
        <v>356250</v>
      </c>
    </row>
    <row r="10" spans="1:25" ht="35.1" customHeight="1" x14ac:dyDescent="0.25">
      <c r="A10" s="2">
        <v>7</v>
      </c>
      <c r="B10" s="28" t="s">
        <v>31</v>
      </c>
      <c r="C10" s="32">
        <v>44</v>
      </c>
      <c r="D10" s="32">
        <v>8</v>
      </c>
      <c r="E10" s="32">
        <v>5</v>
      </c>
      <c r="F10" s="32">
        <f t="shared" si="0"/>
        <v>47</v>
      </c>
      <c r="G10" s="9">
        <v>945</v>
      </c>
      <c r="H10" s="8">
        <v>171847</v>
      </c>
      <c r="I10" s="8"/>
      <c r="J10" s="8">
        <v>114564</v>
      </c>
      <c r="K10" s="8">
        <v>0</v>
      </c>
      <c r="L10" s="8">
        <v>0</v>
      </c>
      <c r="M10" s="51">
        <f t="shared" si="1"/>
        <v>286411</v>
      </c>
      <c r="N10" s="8">
        <v>20622</v>
      </c>
      <c r="O10" s="8">
        <v>5028</v>
      </c>
      <c r="P10" s="8"/>
      <c r="Q10" s="8">
        <v>5040</v>
      </c>
      <c r="R10" s="8">
        <v>0</v>
      </c>
      <c r="S10" s="8">
        <v>10660</v>
      </c>
      <c r="T10" s="8">
        <v>0</v>
      </c>
      <c r="U10" s="51">
        <f t="shared" si="2"/>
        <v>41350</v>
      </c>
      <c r="V10" s="8">
        <v>14807</v>
      </c>
      <c r="W10" s="8">
        <v>74035</v>
      </c>
      <c r="X10" s="8">
        <v>14</v>
      </c>
      <c r="Y10" s="51">
        <f t="shared" si="3"/>
        <v>319110</v>
      </c>
    </row>
    <row r="11" spans="1:25" ht="35.1" customHeight="1" x14ac:dyDescent="0.25">
      <c r="A11" s="2">
        <v>8</v>
      </c>
      <c r="B11" s="28" t="s">
        <v>32</v>
      </c>
      <c r="C11" s="32">
        <v>1</v>
      </c>
      <c r="D11" s="32"/>
      <c r="E11" s="32">
        <v>0</v>
      </c>
      <c r="F11" s="32">
        <f t="shared" si="0"/>
        <v>1</v>
      </c>
      <c r="G11" s="9">
        <v>26</v>
      </c>
      <c r="H11" s="8">
        <v>6240</v>
      </c>
      <c r="I11" s="8">
        <v>0</v>
      </c>
      <c r="J11" s="8">
        <v>4160</v>
      </c>
      <c r="K11" s="8">
        <v>0</v>
      </c>
      <c r="L11" s="8">
        <v>0</v>
      </c>
      <c r="M11" s="51">
        <f t="shared" si="1"/>
        <v>10400</v>
      </c>
      <c r="N11" s="8">
        <v>749</v>
      </c>
      <c r="O11" s="8">
        <v>182</v>
      </c>
      <c r="P11" s="8">
        <v>0</v>
      </c>
      <c r="Q11" s="8">
        <v>0</v>
      </c>
      <c r="R11" s="8">
        <v>0</v>
      </c>
      <c r="S11" s="8">
        <v>1000</v>
      </c>
      <c r="T11" s="8">
        <v>0</v>
      </c>
      <c r="U11" s="51">
        <f>SUM(N11:T11)</f>
        <v>1931</v>
      </c>
      <c r="V11" s="8"/>
      <c r="W11" s="8">
        <v>2650</v>
      </c>
      <c r="X11" s="8">
        <v>1</v>
      </c>
      <c r="Y11" s="51">
        <f t="shared" si="3"/>
        <v>11120</v>
      </c>
    </row>
    <row r="12" spans="1:25" ht="35.1" customHeight="1" x14ac:dyDescent="0.25">
      <c r="A12" s="2">
        <v>9</v>
      </c>
      <c r="B12" s="28" t="s">
        <v>33</v>
      </c>
      <c r="C12" s="32">
        <f>6+1</f>
        <v>7</v>
      </c>
      <c r="D12" s="32">
        <v>0</v>
      </c>
      <c r="E12" s="32">
        <v>0</v>
      </c>
      <c r="F12" s="32">
        <f>C12+D12-E12</f>
        <v>7</v>
      </c>
      <c r="G12" s="9">
        <v>139</v>
      </c>
      <c r="H12" s="8">
        <v>31373</v>
      </c>
      <c r="I12" s="8">
        <v>0</v>
      </c>
      <c r="J12" s="8">
        <v>20916</v>
      </c>
      <c r="K12" s="8"/>
      <c r="L12" s="8">
        <v>0</v>
      </c>
      <c r="M12" s="51">
        <f t="shared" si="1"/>
        <v>52289</v>
      </c>
      <c r="N12" s="8">
        <v>3765</v>
      </c>
      <c r="O12" s="8">
        <v>918</v>
      </c>
      <c r="P12" s="8">
        <v>0</v>
      </c>
      <c r="Q12" s="8">
        <v>550</v>
      </c>
      <c r="R12" s="8">
        <v>0</v>
      </c>
      <c r="S12" s="8"/>
      <c r="T12" s="8">
        <v>0</v>
      </c>
      <c r="U12" s="51">
        <f>SUM(N12:T12)</f>
        <v>5233</v>
      </c>
      <c r="V12" s="8"/>
      <c r="W12" s="8">
        <v>4820</v>
      </c>
      <c r="X12" s="8">
        <v>-6</v>
      </c>
      <c r="Y12" s="51">
        <f t="shared" si="3"/>
        <v>51870</v>
      </c>
    </row>
    <row r="13" spans="1:25" ht="35.1" customHeight="1" x14ac:dyDescent="0.25">
      <c r="A13" s="2">
        <v>10</v>
      </c>
      <c r="B13" s="28" t="s">
        <v>34</v>
      </c>
      <c r="C13" s="32">
        <v>1</v>
      </c>
      <c r="D13" s="32"/>
      <c r="E13" s="32"/>
      <c r="F13" s="32">
        <f t="shared" si="0"/>
        <v>1</v>
      </c>
      <c r="G13" s="9">
        <v>26</v>
      </c>
      <c r="H13" s="8">
        <v>200000</v>
      </c>
      <c r="I13" s="8">
        <v>0</v>
      </c>
      <c r="J13" s="8"/>
      <c r="K13" s="8"/>
      <c r="L13" s="8">
        <v>0</v>
      </c>
      <c r="M13" s="51">
        <f t="shared" si="1"/>
        <v>200000</v>
      </c>
      <c r="N13" s="8">
        <v>24000</v>
      </c>
      <c r="O13" s="8"/>
      <c r="P13" s="8">
        <v>0</v>
      </c>
      <c r="Q13" s="8"/>
      <c r="R13" s="8">
        <v>0</v>
      </c>
      <c r="S13" s="8"/>
      <c r="T13" s="8">
        <v>0</v>
      </c>
      <c r="U13" s="51">
        <f>SUM(N13:T13)</f>
        <v>24000</v>
      </c>
      <c r="V13" s="8"/>
      <c r="W13" s="8"/>
      <c r="X13" s="8">
        <v>0</v>
      </c>
      <c r="Y13" s="51">
        <f t="shared" si="3"/>
        <v>176000</v>
      </c>
    </row>
    <row r="14" spans="1:25" ht="35.1" customHeight="1" x14ac:dyDescent="0.25">
      <c r="A14" s="2">
        <v>10</v>
      </c>
      <c r="B14" s="3" t="s">
        <v>35</v>
      </c>
      <c r="C14" s="32">
        <v>8</v>
      </c>
      <c r="D14" s="32">
        <v>0</v>
      </c>
      <c r="E14" s="32">
        <v>2</v>
      </c>
      <c r="F14" s="32">
        <f t="shared" si="0"/>
        <v>6</v>
      </c>
      <c r="G14" s="9">
        <v>133.5</v>
      </c>
      <c r="H14" s="8">
        <v>121053</v>
      </c>
      <c r="I14" s="8">
        <v>0</v>
      </c>
      <c r="J14" s="8">
        <v>0</v>
      </c>
      <c r="K14" s="8">
        <v>0</v>
      </c>
      <c r="L14" s="8">
        <v>0</v>
      </c>
      <c r="M14" s="51">
        <f t="shared" si="1"/>
        <v>121053</v>
      </c>
      <c r="N14" s="8">
        <v>0</v>
      </c>
      <c r="O14" s="8">
        <v>0</v>
      </c>
      <c r="P14" s="8">
        <v>0</v>
      </c>
      <c r="Q14" s="8"/>
      <c r="R14" s="8"/>
      <c r="S14" s="8">
        <v>51300</v>
      </c>
      <c r="T14" s="8"/>
      <c r="U14" s="51">
        <f>SUM(N14:T14)</f>
        <v>51300</v>
      </c>
      <c r="V14" s="8">
        <v>0</v>
      </c>
      <c r="W14" s="8"/>
      <c r="X14" s="8">
        <v>-3</v>
      </c>
      <c r="Y14" s="51">
        <f>M14-U14+W14+X14</f>
        <v>69750</v>
      </c>
    </row>
    <row r="15" spans="1:25" ht="35.1" customHeight="1" x14ac:dyDescent="0.25">
      <c r="A15" s="2">
        <v>11</v>
      </c>
      <c r="B15" s="3" t="s">
        <v>36</v>
      </c>
      <c r="C15" s="32">
        <v>3</v>
      </c>
      <c r="D15" s="32">
        <v>0</v>
      </c>
      <c r="E15" s="32">
        <v>1</v>
      </c>
      <c r="F15" s="32">
        <f t="shared" si="0"/>
        <v>2</v>
      </c>
      <c r="G15" s="9">
        <v>38.6</v>
      </c>
      <c r="H15" s="8">
        <v>37135</v>
      </c>
      <c r="I15" s="8">
        <v>0</v>
      </c>
      <c r="J15" s="8">
        <v>0</v>
      </c>
      <c r="K15" s="8">
        <v>0</v>
      </c>
      <c r="L15" s="8">
        <v>0</v>
      </c>
      <c r="M15" s="51">
        <f t="shared" si="1"/>
        <v>37135</v>
      </c>
      <c r="N15" s="8">
        <v>0</v>
      </c>
      <c r="O15" s="8">
        <v>0</v>
      </c>
      <c r="P15" s="8">
        <v>0</v>
      </c>
      <c r="Q15" s="8">
        <v>0</v>
      </c>
      <c r="R15" s="8"/>
      <c r="S15" s="8">
        <v>15000</v>
      </c>
      <c r="T15" s="8"/>
      <c r="U15" s="51">
        <f t="shared" si="2"/>
        <v>15000</v>
      </c>
      <c r="V15" s="8"/>
      <c r="W15" s="8"/>
      <c r="X15" s="8">
        <v>-5</v>
      </c>
      <c r="Y15" s="51">
        <f t="shared" ref="Y15" si="4">M15-U15+W15+X15</f>
        <v>22130</v>
      </c>
    </row>
    <row r="16" spans="1:25" ht="18.75" x14ac:dyDescent="0.25">
      <c r="A16" s="171" t="s">
        <v>37</v>
      </c>
      <c r="B16" s="171"/>
      <c r="C16" s="52">
        <f>SUM(C4:C15)</f>
        <v>178</v>
      </c>
      <c r="D16" s="52">
        <f>SUM(D4:D15)</f>
        <v>12</v>
      </c>
      <c r="E16" s="52">
        <f>SUM(E4:E15)</f>
        <v>13</v>
      </c>
      <c r="F16" s="52">
        <f>SUM(F4:F15)</f>
        <v>177</v>
      </c>
      <c r="G16" s="53">
        <f t="shared" ref="G16:V16" si="5">SUM(G4:G15)</f>
        <v>3500.1</v>
      </c>
      <c r="H16" s="53">
        <f>SUM(H4:H15)</f>
        <v>1085572</v>
      </c>
      <c r="I16" s="53">
        <f t="shared" si="5"/>
        <v>70453</v>
      </c>
      <c r="J16" s="53">
        <f t="shared" si="5"/>
        <v>445582</v>
      </c>
      <c r="K16" s="53">
        <f t="shared" si="5"/>
        <v>16475</v>
      </c>
      <c r="L16" s="53">
        <f t="shared" si="5"/>
        <v>16475</v>
      </c>
      <c r="M16" s="53">
        <f>SUM(M4:M15)</f>
        <v>1634557</v>
      </c>
      <c r="N16" s="53">
        <f>SUM(N4:N15)</f>
        <v>119744</v>
      </c>
      <c r="O16" s="53">
        <f>SUM(O4:O15)</f>
        <v>19729</v>
      </c>
      <c r="P16" s="53">
        <f t="shared" si="5"/>
        <v>0</v>
      </c>
      <c r="Q16" s="53">
        <f>SUM(Q4:Q15)</f>
        <v>13455</v>
      </c>
      <c r="R16" s="53">
        <f t="shared" si="5"/>
        <v>0</v>
      </c>
      <c r="S16" s="53">
        <f>SUM(S4:S15)</f>
        <v>119460</v>
      </c>
      <c r="T16" s="53">
        <f t="shared" si="5"/>
        <v>0</v>
      </c>
      <c r="U16" s="53">
        <f>SUM(U4:U15)</f>
        <v>272388</v>
      </c>
      <c r="V16" s="53">
        <f t="shared" si="5"/>
        <v>39762</v>
      </c>
      <c r="W16" s="53">
        <f>SUM(W4:W15)</f>
        <v>206278</v>
      </c>
      <c r="X16" s="53">
        <f>SUM(X4:X15)</f>
        <v>3</v>
      </c>
      <c r="Y16" s="53">
        <f>SUM(Y4:Y15)</f>
        <v>1568450</v>
      </c>
    </row>
    <row r="17" spans="1:25" x14ac:dyDescent="0.25"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21" x14ac:dyDescent="0.35">
      <c r="A18" s="25" t="s">
        <v>64</v>
      </c>
      <c r="B18" s="25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18.75" x14ac:dyDescent="0.25">
      <c r="A19" s="179" t="s">
        <v>1</v>
      </c>
      <c r="B19" s="179" t="s">
        <v>38</v>
      </c>
      <c r="C19" s="216" t="s">
        <v>39</v>
      </c>
      <c r="D19" s="217"/>
      <c r="E19" s="217"/>
      <c r="F19" s="218"/>
      <c r="G19" s="181" t="s">
        <v>40</v>
      </c>
      <c r="H19" s="182"/>
      <c r="I19" s="213" t="s">
        <v>69</v>
      </c>
      <c r="J19" s="181" t="s">
        <v>41</v>
      </c>
      <c r="K19" s="182" t="s">
        <v>76</v>
      </c>
      <c r="L19" s="181" t="s">
        <v>77</v>
      </c>
      <c r="M19" s="182"/>
      <c r="N19" s="167" t="s">
        <v>50</v>
      </c>
      <c r="O19" s="168"/>
      <c r="P19" s="167" t="s">
        <v>53</v>
      </c>
      <c r="Q19" s="168"/>
      <c r="R19" s="181" t="s">
        <v>54</v>
      </c>
      <c r="S19" s="182"/>
      <c r="T19" s="181" t="s">
        <v>51</v>
      </c>
      <c r="U19" s="182"/>
      <c r="V19" s="213" t="s">
        <v>52</v>
      </c>
      <c r="W19" s="167" t="s">
        <v>43</v>
      </c>
      <c r="X19" s="222"/>
      <c r="Y19" s="223"/>
    </row>
    <row r="20" spans="1:25" ht="18.75" x14ac:dyDescent="0.25">
      <c r="A20" s="180"/>
      <c r="B20" s="180"/>
      <c r="C20" s="44" t="s">
        <v>65</v>
      </c>
      <c r="D20" s="44" t="s">
        <v>66</v>
      </c>
      <c r="E20" s="44" t="s">
        <v>67</v>
      </c>
      <c r="F20" s="72" t="s">
        <v>68</v>
      </c>
      <c r="G20" s="183"/>
      <c r="H20" s="184"/>
      <c r="I20" s="214"/>
      <c r="J20" s="183"/>
      <c r="K20" s="184"/>
      <c r="L20" s="183"/>
      <c r="M20" s="184"/>
      <c r="N20" s="169"/>
      <c r="O20" s="170"/>
      <c r="P20" s="169"/>
      <c r="Q20" s="170"/>
      <c r="R20" s="183"/>
      <c r="S20" s="184"/>
      <c r="T20" s="183"/>
      <c r="U20" s="184"/>
      <c r="V20" s="214"/>
      <c r="W20" s="224"/>
      <c r="X20" s="225"/>
      <c r="Y20" s="226"/>
    </row>
    <row r="21" spans="1:25" ht="35.1" customHeight="1" x14ac:dyDescent="0.3">
      <c r="A21" s="18">
        <v>1</v>
      </c>
      <c r="B21" s="19" t="str">
        <f t="shared" ref="B21:B29" si="6">B4</f>
        <v>SALARY -STAFF - BANK</v>
      </c>
      <c r="C21" s="56">
        <v>14</v>
      </c>
      <c r="D21" s="56">
        <v>0</v>
      </c>
      <c r="E21" s="56">
        <v>0</v>
      </c>
      <c r="F21" s="39">
        <f>C21+D21-E21</f>
        <v>14</v>
      </c>
      <c r="G21" s="144">
        <v>14</v>
      </c>
      <c r="H21" s="144"/>
      <c r="I21" s="39">
        <f t="shared" ref="I21:I32" si="7">G21-F21</f>
        <v>0</v>
      </c>
      <c r="J21" s="66">
        <f>M4</f>
        <v>276499</v>
      </c>
      <c r="K21" s="67">
        <v>273592</v>
      </c>
      <c r="L21" s="144">
        <v>167974</v>
      </c>
      <c r="M21" s="144"/>
      <c r="N21" s="158">
        <f>+J21*60/100</f>
        <v>165899.4</v>
      </c>
      <c r="O21" s="159"/>
      <c r="P21" s="144">
        <f>+L21-N21</f>
        <v>2074.6000000000058</v>
      </c>
      <c r="Q21" s="144"/>
      <c r="R21" s="203">
        <v>20157</v>
      </c>
      <c r="S21" s="203"/>
      <c r="T21" s="203">
        <v>20157</v>
      </c>
      <c r="U21" s="203"/>
      <c r="V21" s="57">
        <f t="shared" ref="V21:V32" si="8">R21-T21</f>
        <v>0</v>
      </c>
      <c r="W21" s="194" t="s">
        <v>45</v>
      </c>
      <c r="X21" s="195"/>
      <c r="Y21" s="196"/>
    </row>
    <row r="22" spans="1:25" ht="35.1" customHeight="1" x14ac:dyDescent="0.3">
      <c r="A22" s="18">
        <v>2</v>
      </c>
      <c r="B22" s="19" t="str">
        <f t="shared" si="6"/>
        <v>SALARY - STAFF -2 CSB</v>
      </c>
      <c r="C22" s="70">
        <v>3</v>
      </c>
      <c r="D22" s="70"/>
      <c r="E22" s="70"/>
      <c r="F22" s="41">
        <f t="shared" ref="F22:F32" si="9">C22+D22-E22</f>
        <v>3</v>
      </c>
      <c r="G22" s="144">
        <v>3</v>
      </c>
      <c r="H22" s="144"/>
      <c r="I22" s="39">
        <f t="shared" si="7"/>
        <v>0</v>
      </c>
      <c r="J22" s="66">
        <f t="shared" ref="J22:J29" si="10">M5</f>
        <v>53000</v>
      </c>
      <c r="K22" s="67">
        <v>53000</v>
      </c>
      <c r="L22" s="144">
        <v>31800</v>
      </c>
      <c r="M22" s="144"/>
      <c r="N22" s="158">
        <f>+J22*60/100</f>
        <v>31800</v>
      </c>
      <c r="O22" s="159"/>
      <c r="P22" s="144">
        <f>+L22-N22</f>
        <v>0</v>
      </c>
      <c r="Q22" s="144"/>
      <c r="R22" s="203">
        <f t="shared" ref="R22" si="11">N22*12%</f>
        <v>3816</v>
      </c>
      <c r="S22" s="203"/>
      <c r="T22" s="203">
        <v>3816</v>
      </c>
      <c r="U22" s="203"/>
      <c r="V22" s="57">
        <f t="shared" si="8"/>
        <v>0</v>
      </c>
      <c r="W22" s="197"/>
      <c r="X22" s="195"/>
      <c r="Y22" s="196"/>
    </row>
    <row r="23" spans="1:25" ht="35.1" customHeight="1" x14ac:dyDescent="0.3">
      <c r="A23" s="18">
        <v>3</v>
      </c>
      <c r="B23" s="19" t="str">
        <f t="shared" si="6"/>
        <v>SALARY - STAFF-CHEQUE</v>
      </c>
      <c r="C23" s="70">
        <v>1</v>
      </c>
      <c r="D23" s="70"/>
      <c r="E23" s="70"/>
      <c r="F23" s="41">
        <f t="shared" si="9"/>
        <v>1</v>
      </c>
      <c r="G23" s="144">
        <v>1</v>
      </c>
      <c r="H23" s="144"/>
      <c r="I23" s="39">
        <f t="shared" si="7"/>
        <v>0</v>
      </c>
      <c r="J23" s="66">
        <f>M6</f>
        <v>10615</v>
      </c>
      <c r="K23" s="67">
        <v>10615</v>
      </c>
      <c r="L23" s="144">
        <v>6369</v>
      </c>
      <c r="M23" s="144"/>
      <c r="N23" s="158">
        <f t="shared" ref="N23" si="12">+J23*60/100</f>
        <v>6369</v>
      </c>
      <c r="O23" s="159"/>
      <c r="P23" s="144">
        <f t="shared" ref="P23:P32" si="13">+L23-N23</f>
        <v>0</v>
      </c>
      <c r="Q23" s="144"/>
      <c r="R23" s="203">
        <v>764</v>
      </c>
      <c r="S23" s="203"/>
      <c r="T23" s="203">
        <v>764</v>
      </c>
      <c r="U23" s="203"/>
      <c r="V23" s="57">
        <f t="shared" si="8"/>
        <v>0</v>
      </c>
      <c r="W23" s="197"/>
      <c r="X23" s="195"/>
      <c r="Y23" s="196"/>
    </row>
    <row r="24" spans="1:25" ht="35.1" customHeight="1" x14ac:dyDescent="0.3">
      <c r="A24" s="18">
        <v>4</v>
      </c>
      <c r="B24" s="19" t="str">
        <f t="shared" si="6"/>
        <v>WAGES-PERMANENT - BANK</v>
      </c>
      <c r="C24" s="70">
        <v>7</v>
      </c>
      <c r="D24" s="70"/>
      <c r="E24" s="70"/>
      <c r="F24" s="41">
        <f t="shared" si="9"/>
        <v>7</v>
      </c>
      <c r="G24" s="144">
        <v>7</v>
      </c>
      <c r="H24" s="144"/>
      <c r="I24" s="39">
        <f t="shared" si="7"/>
        <v>0</v>
      </c>
      <c r="J24" s="66">
        <f>M7</f>
        <v>79253</v>
      </c>
      <c r="K24" s="67">
        <v>79263</v>
      </c>
      <c r="L24" s="144">
        <v>80570</v>
      </c>
      <c r="M24" s="144"/>
      <c r="N24" s="158">
        <v>80570</v>
      </c>
      <c r="O24" s="159"/>
      <c r="P24" s="144">
        <f t="shared" si="13"/>
        <v>0</v>
      </c>
      <c r="Q24" s="144"/>
      <c r="R24" s="203">
        <v>9300</v>
      </c>
      <c r="S24" s="203"/>
      <c r="T24" s="203">
        <v>9300</v>
      </c>
      <c r="U24" s="203"/>
      <c r="V24" s="57">
        <f t="shared" si="8"/>
        <v>0</v>
      </c>
      <c r="W24" s="197" t="s">
        <v>48</v>
      </c>
      <c r="X24" s="195"/>
      <c r="Y24" s="196"/>
    </row>
    <row r="25" spans="1:25" ht="35.1" customHeight="1" x14ac:dyDescent="0.3">
      <c r="A25" s="18">
        <v>5</v>
      </c>
      <c r="B25" s="69" t="str">
        <f t="shared" si="6"/>
        <v>WAGES - CASUAL - BANK(OUTSIDE)</v>
      </c>
      <c r="C25" s="70">
        <v>33</v>
      </c>
      <c r="D25" s="70"/>
      <c r="E25" s="70">
        <v>4</v>
      </c>
      <c r="F25" s="41">
        <f t="shared" si="9"/>
        <v>29</v>
      </c>
      <c r="G25" s="144">
        <v>29</v>
      </c>
      <c r="H25" s="144"/>
      <c r="I25" s="39">
        <f t="shared" si="7"/>
        <v>0</v>
      </c>
      <c r="J25" s="66">
        <f t="shared" si="10"/>
        <v>187065</v>
      </c>
      <c r="K25" s="67">
        <v>187065</v>
      </c>
      <c r="L25" s="144">
        <f>131193+1</f>
        <v>131194</v>
      </c>
      <c r="M25" s="144"/>
      <c r="N25" s="158">
        <v>131194</v>
      </c>
      <c r="O25" s="159"/>
      <c r="P25" s="144">
        <f t="shared" si="13"/>
        <v>0</v>
      </c>
      <c r="Q25" s="144"/>
      <c r="R25" s="203">
        <v>13471</v>
      </c>
      <c r="S25" s="203"/>
      <c r="T25" s="203">
        <v>13471</v>
      </c>
      <c r="U25" s="203"/>
      <c r="V25" s="57">
        <f t="shared" si="8"/>
        <v>0</v>
      </c>
      <c r="W25" s="197"/>
      <c r="X25" s="195"/>
      <c r="Y25" s="196"/>
    </row>
    <row r="26" spans="1:25" ht="35.1" customHeight="1" x14ac:dyDescent="0.3">
      <c r="A26" s="18">
        <v>6</v>
      </c>
      <c r="B26" s="69" t="str">
        <f t="shared" si="6"/>
        <v>WAGES - CASUAL - CASH(OUTSIDE)</v>
      </c>
      <c r="C26" s="70">
        <v>56</v>
      </c>
      <c r="D26" s="70">
        <v>4</v>
      </c>
      <c r="E26" s="70">
        <v>1</v>
      </c>
      <c r="F26" s="41">
        <f t="shared" si="9"/>
        <v>59</v>
      </c>
      <c r="G26" s="144">
        <v>59</v>
      </c>
      <c r="H26" s="144"/>
      <c r="I26" s="39">
        <f t="shared" si="7"/>
        <v>0</v>
      </c>
      <c r="J26" s="66">
        <f t="shared" si="10"/>
        <v>320837</v>
      </c>
      <c r="K26" s="67">
        <v>320837</v>
      </c>
      <c r="L26" s="144">
        <v>204585</v>
      </c>
      <c r="M26" s="144"/>
      <c r="N26" s="158">
        <v>204585</v>
      </c>
      <c r="O26" s="159"/>
      <c r="P26" s="144">
        <f t="shared" si="13"/>
        <v>0</v>
      </c>
      <c r="Q26" s="144"/>
      <c r="R26" s="203">
        <v>23100</v>
      </c>
      <c r="S26" s="203"/>
      <c r="T26" s="203">
        <v>23100</v>
      </c>
      <c r="U26" s="203"/>
      <c r="V26" s="57">
        <f t="shared" si="8"/>
        <v>0</v>
      </c>
      <c r="W26" s="197"/>
      <c r="X26" s="195"/>
      <c r="Y26" s="196"/>
    </row>
    <row r="27" spans="1:25" ht="35.1" customHeight="1" x14ac:dyDescent="0.3">
      <c r="A27" s="18">
        <v>7</v>
      </c>
      <c r="B27" s="69" t="str">
        <f t="shared" si="6"/>
        <v>WAGES - CASUAL - CASH(INSIDE)</v>
      </c>
      <c r="C27" s="70">
        <v>44</v>
      </c>
      <c r="D27" s="70">
        <v>8</v>
      </c>
      <c r="E27" s="70">
        <v>5</v>
      </c>
      <c r="F27" s="41">
        <f t="shared" si="9"/>
        <v>47</v>
      </c>
      <c r="G27" s="144">
        <v>47</v>
      </c>
      <c r="H27" s="144"/>
      <c r="I27" s="39">
        <f t="shared" si="7"/>
        <v>0</v>
      </c>
      <c r="J27" s="66">
        <f t="shared" si="10"/>
        <v>286411</v>
      </c>
      <c r="K27" s="67">
        <v>286411</v>
      </c>
      <c r="L27" s="144">
        <v>155467</v>
      </c>
      <c r="M27" s="144"/>
      <c r="N27" s="158">
        <v>155467</v>
      </c>
      <c r="O27" s="159"/>
      <c r="P27" s="144">
        <f t="shared" si="13"/>
        <v>0</v>
      </c>
      <c r="Q27" s="144"/>
      <c r="R27" s="203">
        <v>20622</v>
      </c>
      <c r="S27" s="203"/>
      <c r="T27" s="203">
        <v>20622</v>
      </c>
      <c r="U27" s="203"/>
      <c r="V27" s="57">
        <f t="shared" si="8"/>
        <v>0</v>
      </c>
      <c r="W27" s="197"/>
      <c r="X27" s="195"/>
      <c r="Y27" s="196"/>
    </row>
    <row r="28" spans="1:25" ht="35.1" customHeight="1" x14ac:dyDescent="0.3">
      <c r="A28" s="18">
        <v>8</v>
      </c>
      <c r="B28" s="69" t="str">
        <f t="shared" si="6"/>
        <v>WAGES - SECUR &amp; GARDEN - CHEQUE</v>
      </c>
      <c r="C28" s="70">
        <v>2</v>
      </c>
      <c r="D28" s="70">
        <v>0</v>
      </c>
      <c r="E28" s="70"/>
      <c r="F28" s="41">
        <f t="shared" si="9"/>
        <v>2</v>
      </c>
      <c r="G28" s="144">
        <v>2</v>
      </c>
      <c r="H28" s="144"/>
      <c r="I28" s="39">
        <f t="shared" si="7"/>
        <v>0</v>
      </c>
      <c r="J28" s="66">
        <f t="shared" si="10"/>
        <v>10400</v>
      </c>
      <c r="K28" s="67">
        <v>10400</v>
      </c>
      <c r="L28" s="144">
        <v>4560</v>
      </c>
      <c r="M28" s="144"/>
      <c r="N28" s="158">
        <v>4560</v>
      </c>
      <c r="O28" s="159"/>
      <c r="P28" s="144">
        <f t="shared" si="13"/>
        <v>0</v>
      </c>
      <c r="Q28" s="144"/>
      <c r="R28" s="203">
        <v>749</v>
      </c>
      <c r="S28" s="203"/>
      <c r="T28" s="203">
        <v>749</v>
      </c>
      <c r="U28" s="203"/>
      <c r="V28" s="57">
        <f t="shared" si="8"/>
        <v>0</v>
      </c>
      <c r="W28" s="197"/>
      <c r="X28" s="195"/>
      <c r="Y28" s="196"/>
    </row>
    <row r="29" spans="1:25" ht="35.1" customHeight="1" x14ac:dyDescent="0.3">
      <c r="A29" s="18">
        <v>9</v>
      </c>
      <c r="B29" s="69" t="str">
        <f t="shared" si="6"/>
        <v>WAGES - SECUR &amp; GARDEN - CSB</v>
      </c>
      <c r="C29" s="70">
        <v>6</v>
      </c>
      <c r="D29" s="70"/>
      <c r="E29" s="70">
        <v>0</v>
      </c>
      <c r="F29" s="41">
        <f t="shared" si="9"/>
        <v>6</v>
      </c>
      <c r="G29" s="144">
        <v>6</v>
      </c>
      <c r="H29" s="144"/>
      <c r="I29" s="39">
        <f t="shared" si="7"/>
        <v>0</v>
      </c>
      <c r="J29" s="66">
        <f t="shared" si="10"/>
        <v>52289</v>
      </c>
      <c r="K29" s="67">
        <v>52289</v>
      </c>
      <c r="L29" s="144">
        <v>32872</v>
      </c>
      <c r="M29" s="144"/>
      <c r="N29" s="158">
        <v>32872</v>
      </c>
      <c r="O29" s="159"/>
      <c r="P29" s="144">
        <f t="shared" si="13"/>
        <v>0</v>
      </c>
      <c r="Q29" s="144"/>
      <c r="R29" s="203">
        <v>3765</v>
      </c>
      <c r="S29" s="203"/>
      <c r="T29" s="203">
        <v>3765</v>
      </c>
      <c r="U29" s="203"/>
      <c r="V29" s="57">
        <f t="shared" si="8"/>
        <v>0</v>
      </c>
      <c r="W29" s="197"/>
      <c r="X29" s="195"/>
      <c r="Y29" s="196"/>
    </row>
    <row r="30" spans="1:25" ht="35.1" customHeight="1" x14ac:dyDescent="0.3">
      <c r="A30" s="18">
        <v>10</v>
      </c>
      <c r="B30" s="69" t="s">
        <v>34</v>
      </c>
      <c r="C30" s="70">
        <v>1</v>
      </c>
      <c r="D30" s="70"/>
      <c r="E30" s="70"/>
      <c r="F30" s="41">
        <v>1</v>
      </c>
      <c r="G30" s="158">
        <v>1</v>
      </c>
      <c r="H30" s="159"/>
      <c r="I30" s="39"/>
      <c r="J30" s="66">
        <v>200000</v>
      </c>
      <c r="K30" s="67">
        <v>200000</v>
      </c>
      <c r="L30" s="158">
        <v>200000</v>
      </c>
      <c r="M30" s="159"/>
      <c r="N30" s="158">
        <f>+J30*60/100</f>
        <v>120000</v>
      </c>
      <c r="O30" s="159"/>
      <c r="P30" s="144">
        <f t="shared" si="13"/>
        <v>80000</v>
      </c>
      <c r="Q30" s="144"/>
      <c r="R30" s="204">
        <v>24000</v>
      </c>
      <c r="S30" s="205"/>
      <c r="T30" s="204">
        <v>24000</v>
      </c>
      <c r="U30" s="205"/>
      <c r="V30" s="57">
        <f t="shared" si="8"/>
        <v>0</v>
      </c>
      <c r="W30" s="189" t="s">
        <v>75</v>
      </c>
      <c r="X30" s="190"/>
      <c r="Y30" s="191"/>
    </row>
    <row r="31" spans="1:25" ht="35.1" customHeight="1" x14ac:dyDescent="0.3">
      <c r="A31" s="18">
        <v>11</v>
      </c>
      <c r="B31" s="19" t="str">
        <f t="shared" ref="B31:B32" si="14">B14</f>
        <v>EXEMPTED - BANK</v>
      </c>
      <c r="C31" s="70">
        <v>8</v>
      </c>
      <c r="D31" s="70"/>
      <c r="E31" s="70">
        <v>2</v>
      </c>
      <c r="F31" s="41">
        <f t="shared" si="9"/>
        <v>6</v>
      </c>
      <c r="G31" s="144">
        <v>0</v>
      </c>
      <c r="H31" s="144"/>
      <c r="I31" s="39">
        <f t="shared" si="7"/>
        <v>-6</v>
      </c>
      <c r="J31" s="8">
        <v>121053</v>
      </c>
      <c r="K31" s="8">
        <v>121053</v>
      </c>
      <c r="L31" s="144">
        <v>0</v>
      </c>
      <c r="M31" s="144"/>
      <c r="N31" s="158">
        <v>0</v>
      </c>
      <c r="O31" s="159"/>
      <c r="P31" s="144">
        <f t="shared" si="13"/>
        <v>0</v>
      </c>
      <c r="Q31" s="144"/>
      <c r="R31" s="203">
        <v>0</v>
      </c>
      <c r="S31" s="203"/>
      <c r="T31" s="203">
        <v>0</v>
      </c>
      <c r="U31" s="203"/>
      <c r="V31" s="57">
        <f t="shared" si="8"/>
        <v>0</v>
      </c>
      <c r="W31" s="197" t="s">
        <v>49</v>
      </c>
      <c r="X31" s="195"/>
      <c r="Y31" s="196"/>
    </row>
    <row r="32" spans="1:25" ht="35.1" customHeight="1" x14ac:dyDescent="0.3">
      <c r="A32" s="18">
        <v>12</v>
      </c>
      <c r="B32" s="19" t="str">
        <f t="shared" si="14"/>
        <v>EXEMPTED - CHEQUE</v>
      </c>
      <c r="C32" s="70">
        <v>3</v>
      </c>
      <c r="D32" s="70"/>
      <c r="E32" s="70">
        <v>1</v>
      </c>
      <c r="F32" s="41">
        <f t="shared" si="9"/>
        <v>2</v>
      </c>
      <c r="G32" s="144">
        <v>0</v>
      </c>
      <c r="H32" s="144"/>
      <c r="I32" s="39">
        <f t="shared" si="7"/>
        <v>-2</v>
      </c>
      <c r="J32" s="8">
        <v>37135</v>
      </c>
      <c r="K32" s="8">
        <v>37135</v>
      </c>
      <c r="L32" s="144">
        <v>0</v>
      </c>
      <c r="M32" s="144"/>
      <c r="N32" s="158">
        <v>0</v>
      </c>
      <c r="O32" s="159"/>
      <c r="P32" s="212">
        <f t="shared" si="13"/>
        <v>0</v>
      </c>
      <c r="Q32" s="212"/>
      <c r="R32" s="203">
        <v>0</v>
      </c>
      <c r="S32" s="203"/>
      <c r="T32" s="203">
        <v>0</v>
      </c>
      <c r="U32" s="203"/>
      <c r="V32" s="57">
        <f t="shared" si="8"/>
        <v>0</v>
      </c>
      <c r="W32" s="197" t="s">
        <v>49</v>
      </c>
      <c r="X32" s="195"/>
      <c r="Y32" s="196"/>
    </row>
    <row r="33" spans="1:25" ht="18.75" x14ac:dyDescent="0.25">
      <c r="A33" s="18"/>
      <c r="B33" s="22" t="s">
        <v>47</v>
      </c>
      <c r="C33" s="72">
        <f>SUM(C21:C32)</f>
        <v>178</v>
      </c>
      <c r="D33" s="58">
        <f t="shared" ref="D33:E33" si="15">SUM(D21:D32)</f>
        <v>12</v>
      </c>
      <c r="E33" s="58">
        <f t="shared" si="15"/>
        <v>13</v>
      </c>
      <c r="F33" s="58">
        <f>SUM(F21:F32)</f>
        <v>177</v>
      </c>
      <c r="G33" s="201">
        <f>SUM(G21:H32)</f>
        <v>169</v>
      </c>
      <c r="H33" s="201"/>
      <c r="I33" s="59">
        <f>SUM(I21:I32)</f>
        <v>-8</v>
      </c>
      <c r="J33" s="68">
        <f>SUM(J21:J32)</f>
        <v>1634557</v>
      </c>
      <c r="K33" s="68">
        <f>SUM(K21:K32)</f>
        <v>1631660</v>
      </c>
      <c r="L33" s="200">
        <f>SUM(L21:M32)</f>
        <v>1015391</v>
      </c>
      <c r="M33" s="200"/>
      <c r="N33" s="200">
        <f>SUM(N21:O32)</f>
        <v>933316.4</v>
      </c>
      <c r="O33" s="200"/>
      <c r="P33" s="200">
        <f>SUM(P21:Q32)</f>
        <v>82074.600000000006</v>
      </c>
      <c r="Q33" s="200"/>
      <c r="R33" s="200">
        <f>SUM(R21:S32)</f>
        <v>119744</v>
      </c>
      <c r="S33" s="200"/>
      <c r="T33" s="200">
        <f>SUM(T21:U32)</f>
        <v>119744</v>
      </c>
      <c r="U33" s="200"/>
      <c r="V33" s="60">
        <f>SUM(V21:V32)</f>
        <v>0</v>
      </c>
      <c r="W33" s="207"/>
      <c r="X33" s="208"/>
      <c r="Y33" s="209"/>
    </row>
    <row r="34" spans="1:25" x14ac:dyDescent="0.25">
      <c r="C34" s="63"/>
      <c r="D34" s="63"/>
      <c r="E34" s="63"/>
      <c r="F34" s="63"/>
      <c r="G34" s="63"/>
      <c r="H34" s="63"/>
      <c r="I34" s="63"/>
      <c r="J34" s="63"/>
      <c r="K34" s="7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1:25" ht="18.75" x14ac:dyDescent="0.3">
      <c r="A35" s="11"/>
      <c r="B35" s="11"/>
      <c r="C35" s="61"/>
      <c r="D35" s="61"/>
      <c r="E35" s="61"/>
      <c r="F35" s="61"/>
      <c r="G35" s="61"/>
      <c r="H35" s="61"/>
      <c r="I35" s="61"/>
      <c r="J35" s="74"/>
      <c r="K35" s="61"/>
      <c r="L35" s="211"/>
      <c r="M35" s="211"/>
      <c r="N35" s="210"/>
      <c r="O35" s="211"/>
      <c r="P35" s="61"/>
      <c r="Q35" s="61"/>
      <c r="R35" s="61"/>
      <c r="S35" s="61"/>
      <c r="T35" s="61"/>
      <c r="U35" s="61"/>
      <c r="V35" s="61"/>
      <c r="W35" s="61"/>
      <c r="X35" s="61"/>
      <c r="Y35" s="61"/>
    </row>
    <row r="36" spans="1:25" ht="18.75" x14ac:dyDescent="0.3">
      <c r="A36" s="11"/>
      <c r="B36" s="11"/>
      <c r="C36" s="61"/>
      <c r="D36" s="61"/>
      <c r="E36" s="61"/>
      <c r="F36" s="61"/>
      <c r="G36" s="61"/>
      <c r="H36" s="61"/>
      <c r="I36" s="61"/>
      <c r="J36" s="61"/>
      <c r="K36" s="61"/>
      <c r="L36" s="210"/>
      <c r="M36" s="21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</row>
    <row r="37" spans="1:25" ht="21" x14ac:dyDescent="0.35">
      <c r="A37" s="25" t="s">
        <v>63</v>
      </c>
      <c r="B37" s="2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spans="1:25" ht="18.75" x14ac:dyDescent="0.25">
      <c r="A38" s="163" t="s">
        <v>1</v>
      </c>
      <c r="B38" s="163" t="s">
        <v>38</v>
      </c>
      <c r="C38" s="166" t="s">
        <v>39</v>
      </c>
      <c r="D38" s="166"/>
      <c r="E38" s="166"/>
      <c r="F38" s="166"/>
      <c r="G38" s="155" t="s">
        <v>61</v>
      </c>
      <c r="H38" s="166" t="s">
        <v>62</v>
      </c>
      <c r="I38" s="155" t="s">
        <v>41</v>
      </c>
      <c r="J38" s="155"/>
      <c r="K38" s="164" t="s">
        <v>60</v>
      </c>
      <c r="L38" s="155" t="s">
        <v>44</v>
      </c>
      <c r="M38" s="155"/>
      <c r="N38" s="166" t="s">
        <v>57</v>
      </c>
      <c r="O38" s="166"/>
      <c r="P38" s="166" t="s">
        <v>53</v>
      </c>
      <c r="Q38" s="166"/>
      <c r="R38" s="155" t="s">
        <v>59</v>
      </c>
      <c r="S38" s="155"/>
      <c r="T38" s="155" t="s">
        <v>58</v>
      </c>
      <c r="U38" s="155"/>
      <c r="V38" s="166" t="s">
        <v>74</v>
      </c>
      <c r="W38" s="166" t="s">
        <v>43</v>
      </c>
      <c r="X38" s="166"/>
      <c r="Y38" s="166"/>
    </row>
    <row r="39" spans="1:25" ht="18.75" x14ac:dyDescent="0.25">
      <c r="A39" s="163"/>
      <c r="B39" s="163"/>
      <c r="C39" s="44" t="s">
        <v>65</v>
      </c>
      <c r="D39" s="44" t="s">
        <v>66</v>
      </c>
      <c r="E39" s="44" t="s">
        <v>67</v>
      </c>
      <c r="F39" s="72" t="s">
        <v>68</v>
      </c>
      <c r="G39" s="155"/>
      <c r="H39" s="166"/>
      <c r="I39" s="155"/>
      <c r="J39" s="155"/>
      <c r="K39" s="165"/>
      <c r="L39" s="155"/>
      <c r="M39" s="155"/>
      <c r="N39" s="166"/>
      <c r="O39" s="166"/>
      <c r="P39" s="166"/>
      <c r="Q39" s="166"/>
      <c r="R39" s="155"/>
      <c r="S39" s="155"/>
      <c r="T39" s="155"/>
      <c r="U39" s="155"/>
      <c r="V39" s="166"/>
      <c r="W39" s="166"/>
      <c r="X39" s="166"/>
      <c r="Y39" s="166"/>
    </row>
    <row r="40" spans="1:25" ht="57.2" customHeight="1" x14ac:dyDescent="0.3">
      <c r="A40" s="18">
        <v>1</v>
      </c>
      <c r="B40" s="69" t="str">
        <f t="shared" ref="B40:B48" si="16">B21</f>
        <v>SALARY -STAFF - BANK</v>
      </c>
      <c r="C40" s="56">
        <v>14</v>
      </c>
      <c r="D40" s="56">
        <v>0</v>
      </c>
      <c r="E40" s="56">
        <v>0</v>
      </c>
      <c r="F40" s="41">
        <f>C40+D40-E40</f>
        <v>14</v>
      </c>
      <c r="G40" s="56">
        <v>9</v>
      </c>
      <c r="H40" s="39">
        <f t="shared" ref="H40:H51" si="17">G40-F40</f>
        <v>-5</v>
      </c>
      <c r="I40" s="203">
        <f>M4</f>
        <v>276499</v>
      </c>
      <c r="J40" s="203"/>
      <c r="K40" s="39">
        <v>0</v>
      </c>
      <c r="L40" s="144">
        <f>276499-152847</f>
        <v>123652</v>
      </c>
      <c r="M40" s="144"/>
      <c r="N40" s="144">
        <f>+I40+K40</f>
        <v>276499</v>
      </c>
      <c r="O40" s="144"/>
      <c r="P40" s="144">
        <f>+L40-N40</f>
        <v>-152847</v>
      </c>
      <c r="Q40" s="144"/>
      <c r="R40" s="203">
        <v>2549</v>
      </c>
      <c r="S40" s="203"/>
      <c r="T40" s="203">
        <v>2549</v>
      </c>
      <c r="U40" s="203"/>
      <c r="V40" s="57">
        <f>R40-T40</f>
        <v>0</v>
      </c>
      <c r="W40" s="202" t="s">
        <v>70</v>
      </c>
      <c r="X40" s="202"/>
      <c r="Y40" s="202"/>
    </row>
    <row r="41" spans="1:25" ht="27.75" customHeight="1" x14ac:dyDescent="0.3">
      <c r="A41" s="18">
        <v>2</v>
      </c>
      <c r="B41" s="69" t="str">
        <f t="shared" si="16"/>
        <v>SALARY - STAFF -2 CSB</v>
      </c>
      <c r="C41" s="70">
        <v>3</v>
      </c>
      <c r="D41" s="70"/>
      <c r="E41" s="70"/>
      <c r="F41" s="41">
        <f t="shared" ref="F41:F51" si="18">C41+D41-E41</f>
        <v>3</v>
      </c>
      <c r="G41" s="56">
        <v>2</v>
      </c>
      <c r="H41" s="39">
        <f t="shared" si="17"/>
        <v>-1</v>
      </c>
      <c r="I41" s="203">
        <f t="shared" ref="I41:I48" si="19">M5</f>
        <v>53000</v>
      </c>
      <c r="J41" s="203"/>
      <c r="K41" s="39">
        <v>0</v>
      </c>
      <c r="L41" s="144">
        <v>53000</v>
      </c>
      <c r="M41" s="144"/>
      <c r="N41" s="144">
        <f t="shared" ref="N41:N49" si="20">+I41+K41</f>
        <v>53000</v>
      </c>
      <c r="O41" s="144"/>
      <c r="P41" s="144">
        <f>+L41-N41</f>
        <v>0</v>
      </c>
      <c r="Q41" s="144"/>
      <c r="R41" s="203">
        <v>543</v>
      </c>
      <c r="S41" s="203"/>
      <c r="T41" s="203">
        <v>543</v>
      </c>
      <c r="U41" s="203"/>
      <c r="V41" s="57">
        <f>R41-T41</f>
        <v>0</v>
      </c>
      <c r="W41" s="202"/>
      <c r="X41" s="202"/>
      <c r="Y41" s="202"/>
    </row>
    <row r="42" spans="1:25" ht="27" customHeight="1" x14ac:dyDescent="0.3">
      <c r="A42" s="18">
        <v>3</v>
      </c>
      <c r="B42" s="69" t="str">
        <f t="shared" si="16"/>
        <v>SALARY - STAFF-CHEQUE</v>
      </c>
      <c r="C42" s="70">
        <v>1</v>
      </c>
      <c r="D42" s="70">
        <v>0</v>
      </c>
      <c r="E42" s="70"/>
      <c r="F42" s="41">
        <f t="shared" si="18"/>
        <v>1</v>
      </c>
      <c r="G42" s="56">
        <v>1</v>
      </c>
      <c r="H42" s="39">
        <f t="shared" si="17"/>
        <v>0</v>
      </c>
      <c r="I42" s="203">
        <f t="shared" si="19"/>
        <v>10615</v>
      </c>
      <c r="J42" s="203"/>
      <c r="K42" s="39">
        <v>0</v>
      </c>
      <c r="L42" s="144">
        <v>10615</v>
      </c>
      <c r="M42" s="144"/>
      <c r="N42" s="144">
        <f t="shared" si="20"/>
        <v>10615</v>
      </c>
      <c r="O42" s="144"/>
      <c r="P42" s="144">
        <f>+L42-N42</f>
        <v>0</v>
      </c>
      <c r="Q42" s="144"/>
      <c r="R42" s="203">
        <v>186</v>
      </c>
      <c r="S42" s="203"/>
      <c r="T42" s="203">
        <v>186</v>
      </c>
      <c r="U42" s="203"/>
      <c r="V42" s="57">
        <f t="shared" ref="V42:V51" si="21">R42-T42</f>
        <v>0</v>
      </c>
      <c r="W42" s="202"/>
      <c r="X42" s="202"/>
      <c r="Y42" s="202"/>
    </row>
    <row r="43" spans="1:25" ht="36" customHeight="1" x14ac:dyDescent="0.3">
      <c r="A43" s="18">
        <v>4</v>
      </c>
      <c r="B43" s="69" t="str">
        <f t="shared" si="16"/>
        <v>WAGES-PERMANENT - BANK</v>
      </c>
      <c r="C43" s="70">
        <v>7</v>
      </c>
      <c r="D43" s="70"/>
      <c r="E43" s="70"/>
      <c r="F43" s="41">
        <f t="shared" si="18"/>
        <v>7</v>
      </c>
      <c r="G43" s="56">
        <v>7</v>
      </c>
      <c r="H43" s="39">
        <f t="shared" si="17"/>
        <v>0</v>
      </c>
      <c r="I43" s="203">
        <f t="shared" si="19"/>
        <v>79253</v>
      </c>
      <c r="J43" s="203"/>
      <c r="K43" s="39">
        <v>0</v>
      </c>
      <c r="L43" s="144">
        <v>79253</v>
      </c>
      <c r="M43" s="144"/>
      <c r="N43" s="144">
        <f t="shared" si="20"/>
        <v>79253</v>
      </c>
      <c r="O43" s="144"/>
      <c r="P43" s="144">
        <f t="shared" ref="P43:P51" si="22">+L43-N43</f>
        <v>0</v>
      </c>
      <c r="Q43" s="144"/>
      <c r="R43" s="203">
        <v>1387</v>
      </c>
      <c r="S43" s="203"/>
      <c r="T43" s="203">
        <v>1387</v>
      </c>
      <c r="U43" s="203"/>
      <c r="V43" s="57">
        <f t="shared" si="21"/>
        <v>0</v>
      </c>
      <c r="W43" s="202"/>
      <c r="X43" s="202"/>
      <c r="Y43" s="202"/>
    </row>
    <row r="44" spans="1:25" ht="39.200000000000003" customHeight="1" x14ac:dyDescent="0.3">
      <c r="A44" s="18">
        <v>5</v>
      </c>
      <c r="B44" s="69" t="str">
        <f t="shared" si="16"/>
        <v>WAGES - CASUAL - BANK(OUTSIDE)</v>
      </c>
      <c r="C44" s="70">
        <v>33</v>
      </c>
      <c r="D44" s="70"/>
      <c r="E44" s="70">
        <v>4</v>
      </c>
      <c r="F44" s="41">
        <f t="shared" si="18"/>
        <v>29</v>
      </c>
      <c r="G44" s="56">
        <v>29</v>
      </c>
      <c r="H44" s="39">
        <f t="shared" si="17"/>
        <v>0</v>
      </c>
      <c r="I44" s="203">
        <f>M8</f>
        <v>187065</v>
      </c>
      <c r="J44" s="203"/>
      <c r="K44" s="39">
        <v>0</v>
      </c>
      <c r="L44" s="144">
        <v>187065</v>
      </c>
      <c r="M44" s="144"/>
      <c r="N44" s="144">
        <f t="shared" si="20"/>
        <v>187065</v>
      </c>
      <c r="O44" s="144"/>
      <c r="P44" s="144">
        <f t="shared" si="22"/>
        <v>0</v>
      </c>
      <c r="Q44" s="144"/>
      <c r="R44" s="203">
        <v>3285</v>
      </c>
      <c r="S44" s="203"/>
      <c r="T44" s="203">
        <v>3285</v>
      </c>
      <c r="U44" s="203"/>
      <c r="V44" s="57">
        <f t="shared" si="21"/>
        <v>0</v>
      </c>
      <c r="W44" s="202"/>
      <c r="X44" s="202"/>
      <c r="Y44" s="202"/>
    </row>
    <row r="45" spans="1:25" ht="42.75" customHeight="1" x14ac:dyDescent="0.3">
      <c r="A45" s="18">
        <v>6</v>
      </c>
      <c r="B45" s="69" t="str">
        <f t="shared" si="16"/>
        <v>WAGES - CASUAL - CASH(OUTSIDE)</v>
      </c>
      <c r="C45" s="70">
        <v>56</v>
      </c>
      <c r="D45" s="70">
        <v>4</v>
      </c>
      <c r="E45" s="70">
        <v>1</v>
      </c>
      <c r="F45" s="41">
        <f t="shared" si="18"/>
        <v>59</v>
      </c>
      <c r="G45" s="56">
        <v>59</v>
      </c>
      <c r="H45" s="39">
        <f t="shared" si="17"/>
        <v>0</v>
      </c>
      <c r="I45" s="203">
        <f t="shared" si="19"/>
        <v>320837</v>
      </c>
      <c r="J45" s="203"/>
      <c r="K45" s="39">
        <v>4749</v>
      </c>
      <c r="L45" s="144">
        <v>325586</v>
      </c>
      <c r="M45" s="144"/>
      <c r="N45" s="144">
        <v>320837</v>
      </c>
      <c r="O45" s="144"/>
      <c r="P45" s="144">
        <f t="shared" si="22"/>
        <v>4749</v>
      </c>
      <c r="Q45" s="144"/>
      <c r="R45" s="203">
        <f>5641+83</f>
        <v>5724</v>
      </c>
      <c r="S45" s="203"/>
      <c r="T45" s="203">
        <f>5641+83+8</f>
        <v>5732</v>
      </c>
      <c r="U45" s="203"/>
      <c r="V45" s="57">
        <f t="shared" si="21"/>
        <v>-8</v>
      </c>
      <c r="W45" s="202"/>
      <c r="X45" s="202"/>
      <c r="Y45" s="202"/>
    </row>
    <row r="46" spans="1:25" ht="39.75" customHeight="1" x14ac:dyDescent="0.3">
      <c r="A46" s="18">
        <v>7</v>
      </c>
      <c r="B46" s="69" t="str">
        <f t="shared" si="16"/>
        <v>WAGES - CASUAL - CASH(INSIDE)</v>
      </c>
      <c r="C46" s="70">
        <v>44</v>
      </c>
      <c r="D46" s="70">
        <v>8</v>
      </c>
      <c r="E46" s="70">
        <v>5</v>
      </c>
      <c r="F46" s="41">
        <f t="shared" si="18"/>
        <v>47</v>
      </c>
      <c r="G46" s="56">
        <v>48</v>
      </c>
      <c r="H46" s="39">
        <f t="shared" si="17"/>
        <v>1</v>
      </c>
      <c r="I46" s="203">
        <f t="shared" si="19"/>
        <v>286411</v>
      </c>
      <c r="J46" s="203"/>
      <c r="K46" s="39">
        <v>12698</v>
      </c>
      <c r="L46" s="144">
        <v>299109</v>
      </c>
      <c r="M46" s="144"/>
      <c r="N46" s="144">
        <v>286411</v>
      </c>
      <c r="O46" s="144"/>
      <c r="P46" s="144">
        <f>+L46-N46</f>
        <v>12698</v>
      </c>
      <c r="Q46" s="144"/>
      <c r="R46" s="203">
        <f>5028+222</f>
        <v>5250</v>
      </c>
      <c r="S46" s="203"/>
      <c r="T46" s="203">
        <f>5028+222+6</f>
        <v>5256</v>
      </c>
      <c r="U46" s="203"/>
      <c r="V46" s="57">
        <f t="shared" si="21"/>
        <v>-6</v>
      </c>
      <c r="W46" s="202"/>
      <c r="X46" s="202"/>
      <c r="Y46" s="202"/>
    </row>
    <row r="47" spans="1:25" ht="49.7" customHeight="1" x14ac:dyDescent="0.3">
      <c r="A47" s="18">
        <v>8</v>
      </c>
      <c r="B47" s="69" t="str">
        <f t="shared" si="16"/>
        <v>WAGES - SECUR &amp; GARDEN - CHEQUE</v>
      </c>
      <c r="C47" s="70">
        <v>1</v>
      </c>
      <c r="D47" s="70">
        <v>0</v>
      </c>
      <c r="E47" s="70"/>
      <c r="F47" s="41">
        <f t="shared" si="18"/>
        <v>1</v>
      </c>
      <c r="G47" s="56">
        <v>1</v>
      </c>
      <c r="H47" s="39">
        <f t="shared" si="17"/>
        <v>0</v>
      </c>
      <c r="I47" s="203">
        <f t="shared" si="19"/>
        <v>10400</v>
      </c>
      <c r="J47" s="203"/>
      <c r="K47" s="39">
        <v>0</v>
      </c>
      <c r="L47" s="144">
        <v>10400</v>
      </c>
      <c r="M47" s="144"/>
      <c r="N47" s="144">
        <f t="shared" si="20"/>
        <v>10400</v>
      </c>
      <c r="O47" s="144"/>
      <c r="P47" s="144">
        <f t="shared" si="22"/>
        <v>0</v>
      </c>
      <c r="Q47" s="144"/>
      <c r="R47" s="203">
        <v>182</v>
      </c>
      <c r="S47" s="203"/>
      <c r="T47" s="203">
        <v>182</v>
      </c>
      <c r="U47" s="203"/>
      <c r="V47" s="57">
        <f t="shared" si="21"/>
        <v>0</v>
      </c>
      <c r="W47" s="202"/>
      <c r="X47" s="202"/>
      <c r="Y47" s="202"/>
    </row>
    <row r="48" spans="1:25" ht="44.45" customHeight="1" x14ac:dyDescent="0.3">
      <c r="A48" s="18">
        <v>9</v>
      </c>
      <c r="B48" s="69" t="str">
        <f t="shared" si="16"/>
        <v>WAGES - SECUR &amp; GARDEN - CSB</v>
      </c>
      <c r="C48" s="70">
        <v>7</v>
      </c>
      <c r="D48" s="70"/>
      <c r="E48" s="70">
        <v>0</v>
      </c>
      <c r="F48" s="41">
        <f t="shared" si="18"/>
        <v>7</v>
      </c>
      <c r="G48" s="56">
        <v>7</v>
      </c>
      <c r="H48" s="39">
        <f t="shared" si="17"/>
        <v>0</v>
      </c>
      <c r="I48" s="203">
        <f t="shared" si="19"/>
        <v>52289</v>
      </c>
      <c r="J48" s="203"/>
      <c r="K48" s="39">
        <v>0</v>
      </c>
      <c r="L48" s="144">
        <v>52289</v>
      </c>
      <c r="M48" s="144"/>
      <c r="N48" s="144">
        <f t="shared" si="20"/>
        <v>52289</v>
      </c>
      <c r="O48" s="144"/>
      <c r="P48" s="144">
        <f t="shared" si="22"/>
        <v>0</v>
      </c>
      <c r="Q48" s="144"/>
      <c r="R48" s="203">
        <f>1100-182</f>
        <v>918</v>
      </c>
      <c r="S48" s="203"/>
      <c r="T48" s="203">
        <v>918</v>
      </c>
      <c r="U48" s="203"/>
      <c r="V48" s="57">
        <f t="shared" si="21"/>
        <v>0</v>
      </c>
      <c r="W48" s="202"/>
      <c r="X48" s="202"/>
      <c r="Y48" s="202"/>
    </row>
    <row r="49" spans="1:25" ht="34.5" customHeight="1" x14ac:dyDescent="0.3">
      <c r="A49" s="18">
        <v>10</v>
      </c>
      <c r="B49" s="69" t="s">
        <v>34</v>
      </c>
      <c r="C49" s="70">
        <v>1</v>
      </c>
      <c r="D49" s="70"/>
      <c r="E49" s="70"/>
      <c r="F49" s="41">
        <v>1</v>
      </c>
      <c r="G49" s="56"/>
      <c r="H49" s="39">
        <f t="shared" si="17"/>
        <v>-1</v>
      </c>
      <c r="I49" s="204">
        <v>200000</v>
      </c>
      <c r="J49" s="205"/>
      <c r="K49" s="39">
        <v>0</v>
      </c>
      <c r="L49" s="158">
        <v>0</v>
      </c>
      <c r="M49" s="159"/>
      <c r="N49" s="144">
        <f t="shared" si="20"/>
        <v>200000</v>
      </c>
      <c r="O49" s="144"/>
      <c r="P49" s="144">
        <f t="shared" si="22"/>
        <v>-200000</v>
      </c>
      <c r="Q49" s="144"/>
      <c r="R49" s="203">
        <v>0</v>
      </c>
      <c r="S49" s="203"/>
      <c r="T49" s="204"/>
      <c r="U49" s="205"/>
      <c r="V49" s="57">
        <f t="shared" si="21"/>
        <v>0</v>
      </c>
      <c r="W49" s="206" t="s">
        <v>71</v>
      </c>
      <c r="X49" s="206"/>
      <c r="Y49" s="206"/>
    </row>
    <row r="50" spans="1:25" ht="26.45" customHeight="1" x14ac:dyDescent="0.3">
      <c r="A50" s="18">
        <v>11</v>
      </c>
      <c r="B50" s="69" t="str">
        <f t="shared" ref="B50:B51" si="23">B31</f>
        <v>EXEMPTED - BANK</v>
      </c>
      <c r="C50" s="70">
        <v>8</v>
      </c>
      <c r="D50" s="70"/>
      <c r="E50" s="70">
        <v>2</v>
      </c>
      <c r="F50" s="41">
        <f t="shared" si="18"/>
        <v>6</v>
      </c>
      <c r="G50" s="56">
        <v>0</v>
      </c>
      <c r="H50" s="39">
        <f t="shared" si="17"/>
        <v>-6</v>
      </c>
      <c r="I50" s="227">
        <v>121053</v>
      </c>
      <c r="J50" s="228"/>
      <c r="K50" s="39">
        <v>0</v>
      </c>
      <c r="L50" s="144">
        <v>0</v>
      </c>
      <c r="M50" s="144"/>
      <c r="N50" s="144">
        <f t="shared" ref="N50:N51" si="24">+I50+K50</f>
        <v>121053</v>
      </c>
      <c r="O50" s="144"/>
      <c r="P50" s="144">
        <f t="shared" si="22"/>
        <v>-121053</v>
      </c>
      <c r="Q50" s="144"/>
      <c r="R50" s="203">
        <v>0</v>
      </c>
      <c r="S50" s="203"/>
      <c r="T50" s="203">
        <v>0</v>
      </c>
      <c r="U50" s="203"/>
      <c r="V50" s="57">
        <f t="shared" si="21"/>
        <v>0</v>
      </c>
      <c r="W50" s="202"/>
      <c r="X50" s="202"/>
      <c r="Y50" s="202"/>
    </row>
    <row r="51" spans="1:25" ht="29.25" customHeight="1" x14ac:dyDescent="0.3">
      <c r="A51" s="18">
        <v>12</v>
      </c>
      <c r="B51" s="69" t="str">
        <f t="shared" si="23"/>
        <v>EXEMPTED - CHEQUE</v>
      </c>
      <c r="C51" s="70">
        <v>3</v>
      </c>
      <c r="D51" s="70"/>
      <c r="E51" s="70">
        <v>1</v>
      </c>
      <c r="F51" s="41">
        <f t="shared" si="18"/>
        <v>2</v>
      </c>
      <c r="G51" s="56">
        <v>0</v>
      </c>
      <c r="H51" s="39">
        <f t="shared" si="17"/>
        <v>-2</v>
      </c>
      <c r="I51" s="227">
        <v>37135</v>
      </c>
      <c r="J51" s="228"/>
      <c r="K51" s="39">
        <v>0</v>
      </c>
      <c r="L51" s="144">
        <v>0</v>
      </c>
      <c r="M51" s="144"/>
      <c r="N51" s="144">
        <f t="shared" si="24"/>
        <v>37135</v>
      </c>
      <c r="O51" s="144"/>
      <c r="P51" s="144">
        <f t="shared" si="22"/>
        <v>-37135</v>
      </c>
      <c r="Q51" s="144"/>
      <c r="R51" s="203">
        <v>0</v>
      </c>
      <c r="S51" s="203"/>
      <c r="T51" s="203">
        <v>0</v>
      </c>
      <c r="U51" s="203"/>
      <c r="V51" s="57">
        <f t="shared" si="21"/>
        <v>0</v>
      </c>
      <c r="W51" s="202"/>
      <c r="X51" s="202"/>
      <c r="Y51" s="202"/>
    </row>
    <row r="52" spans="1:25" ht="18.75" x14ac:dyDescent="0.25">
      <c r="A52" s="18"/>
      <c r="B52" s="22" t="s">
        <v>47</v>
      </c>
      <c r="C52" s="58">
        <f t="shared" ref="C52:H52" si="25">SUM(C40:C51)</f>
        <v>178</v>
      </c>
      <c r="D52" s="58">
        <f t="shared" si="25"/>
        <v>12</v>
      </c>
      <c r="E52" s="58">
        <f t="shared" si="25"/>
        <v>13</v>
      </c>
      <c r="F52" s="58">
        <f t="shared" si="25"/>
        <v>177</v>
      </c>
      <c r="G52" s="58">
        <f t="shared" si="25"/>
        <v>163</v>
      </c>
      <c r="H52" s="58">
        <f t="shared" si="25"/>
        <v>-14</v>
      </c>
      <c r="I52" s="199">
        <f>SUM(I40:K51)</f>
        <v>1652004</v>
      </c>
      <c r="J52" s="199"/>
      <c r="K52" s="62">
        <f>SUM(K40:K51)</f>
        <v>17447</v>
      </c>
      <c r="L52" s="200">
        <f>SUM(L40:M51)</f>
        <v>1140969</v>
      </c>
      <c r="M52" s="200"/>
      <c r="N52" s="201">
        <f>SUM(N40:O51)</f>
        <v>1634557</v>
      </c>
      <c r="O52" s="201"/>
      <c r="P52" s="201">
        <f>SUM(P40:Q51)</f>
        <v>-493588</v>
      </c>
      <c r="Q52" s="201"/>
      <c r="R52" s="201">
        <f>SUM(R40:S51)</f>
        <v>20024</v>
      </c>
      <c r="S52" s="201"/>
      <c r="T52" s="201">
        <f>SUM(T40:U51)</f>
        <v>20038</v>
      </c>
      <c r="U52" s="201"/>
      <c r="V52" s="60">
        <f>SUM(V40:V51)</f>
        <v>-14</v>
      </c>
      <c r="W52" s="198"/>
      <c r="X52" s="198"/>
      <c r="Y52" s="198"/>
    </row>
  </sheetData>
  <mergeCells count="223">
    <mergeCell ref="W51:Y51"/>
    <mergeCell ref="I52:J52"/>
    <mergeCell ref="L52:M52"/>
    <mergeCell ref="N52:O52"/>
    <mergeCell ref="P52:Q52"/>
    <mergeCell ref="R52:S52"/>
    <mergeCell ref="T52:U52"/>
    <mergeCell ref="W52:Y52"/>
    <mergeCell ref="I51:J51"/>
    <mergeCell ref="L51:M51"/>
    <mergeCell ref="N51:O51"/>
    <mergeCell ref="P51:Q51"/>
    <mergeCell ref="R51:S51"/>
    <mergeCell ref="T51:U51"/>
    <mergeCell ref="W49:Y49"/>
    <mergeCell ref="I50:J50"/>
    <mergeCell ref="L50:M50"/>
    <mergeCell ref="N50:O50"/>
    <mergeCell ref="P50:Q50"/>
    <mergeCell ref="R50:S50"/>
    <mergeCell ref="T50:U50"/>
    <mergeCell ref="W50:Y50"/>
    <mergeCell ref="I49:J49"/>
    <mergeCell ref="L49:M49"/>
    <mergeCell ref="N49:O49"/>
    <mergeCell ref="P49:Q49"/>
    <mergeCell ref="R49:S49"/>
    <mergeCell ref="T49:U49"/>
    <mergeCell ref="W47:Y47"/>
    <mergeCell ref="I48:J48"/>
    <mergeCell ref="L48:M48"/>
    <mergeCell ref="N48:O48"/>
    <mergeCell ref="P48:Q48"/>
    <mergeCell ref="R48:S48"/>
    <mergeCell ref="T48:U48"/>
    <mergeCell ref="W48:Y48"/>
    <mergeCell ref="I47:J47"/>
    <mergeCell ref="L47:M47"/>
    <mergeCell ref="N47:O47"/>
    <mergeCell ref="P47:Q47"/>
    <mergeCell ref="R47:S47"/>
    <mergeCell ref="T47:U47"/>
    <mergeCell ref="W45:Y45"/>
    <mergeCell ref="I46:J46"/>
    <mergeCell ref="L46:M46"/>
    <mergeCell ref="N46:O46"/>
    <mergeCell ref="P46:Q46"/>
    <mergeCell ref="R46:S46"/>
    <mergeCell ref="T46:U46"/>
    <mergeCell ref="W46:Y46"/>
    <mergeCell ref="I45:J45"/>
    <mergeCell ref="L45:M45"/>
    <mergeCell ref="N45:O45"/>
    <mergeCell ref="P45:Q45"/>
    <mergeCell ref="R45:S45"/>
    <mergeCell ref="T45:U45"/>
    <mergeCell ref="W43:Y43"/>
    <mergeCell ref="I44:J44"/>
    <mergeCell ref="L44:M44"/>
    <mergeCell ref="N44:O44"/>
    <mergeCell ref="P44:Q44"/>
    <mergeCell ref="R44:S44"/>
    <mergeCell ref="T44:U44"/>
    <mergeCell ref="W44:Y44"/>
    <mergeCell ref="I43:J43"/>
    <mergeCell ref="L43:M43"/>
    <mergeCell ref="N43:O43"/>
    <mergeCell ref="P43:Q43"/>
    <mergeCell ref="R43:S43"/>
    <mergeCell ref="T43:U43"/>
    <mergeCell ref="W41:Y41"/>
    <mergeCell ref="I42:J42"/>
    <mergeCell ref="L42:M42"/>
    <mergeCell ref="N42:O42"/>
    <mergeCell ref="P42:Q42"/>
    <mergeCell ref="R42:S42"/>
    <mergeCell ref="T42:U42"/>
    <mergeCell ref="W42:Y42"/>
    <mergeCell ref="I41:J41"/>
    <mergeCell ref="L41:M41"/>
    <mergeCell ref="N41:O41"/>
    <mergeCell ref="P41:Q41"/>
    <mergeCell ref="R41:S41"/>
    <mergeCell ref="T41:U41"/>
    <mergeCell ref="W38:Y39"/>
    <mergeCell ref="I40:J40"/>
    <mergeCell ref="L40:M40"/>
    <mergeCell ref="N40:O40"/>
    <mergeCell ref="P40:Q40"/>
    <mergeCell ref="R40:S40"/>
    <mergeCell ref="T40:U40"/>
    <mergeCell ref="W40:Y40"/>
    <mergeCell ref="L38:M39"/>
    <mergeCell ref="N38:O39"/>
    <mergeCell ref="P38:Q39"/>
    <mergeCell ref="R38:S39"/>
    <mergeCell ref="T38:U39"/>
    <mergeCell ref="V38:V39"/>
    <mergeCell ref="L35:M35"/>
    <mergeCell ref="N35:O35"/>
    <mergeCell ref="L36:M36"/>
    <mergeCell ref="A38:A39"/>
    <mergeCell ref="B38:B39"/>
    <mergeCell ref="C38:F38"/>
    <mergeCell ref="G38:G39"/>
    <mergeCell ref="H38:H39"/>
    <mergeCell ref="I38:J39"/>
    <mergeCell ref="K38:K39"/>
    <mergeCell ref="W32:Y32"/>
    <mergeCell ref="G33:H33"/>
    <mergeCell ref="L33:M33"/>
    <mergeCell ref="N33:O33"/>
    <mergeCell ref="P33:Q33"/>
    <mergeCell ref="R33:S33"/>
    <mergeCell ref="T33:U33"/>
    <mergeCell ref="W33:Y33"/>
    <mergeCell ref="G32:H32"/>
    <mergeCell ref="L32:M32"/>
    <mergeCell ref="N32:O32"/>
    <mergeCell ref="P32:Q32"/>
    <mergeCell ref="R32:S32"/>
    <mergeCell ref="T32:U32"/>
    <mergeCell ref="W30:Y30"/>
    <mergeCell ref="G31:H31"/>
    <mergeCell ref="L31:M31"/>
    <mergeCell ref="N31:O31"/>
    <mergeCell ref="P31:Q31"/>
    <mergeCell ref="R31:S31"/>
    <mergeCell ref="T31:U31"/>
    <mergeCell ref="W31:Y31"/>
    <mergeCell ref="G30:H30"/>
    <mergeCell ref="L30:M30"/>
    <mergeCell ref="N30:O30"/>
    <mergeCell ref="P30:Q30"/>
    <mergeCell ref="R30:S30"/>
    <mergeCell ref="T30:U30"/>
    <mergeCell ref="W28:Y28"/>
    <mergeCell ref="G29:H29"/>
    <mergeCell ref="L29:M29"/>
    <mergeCell ref="N29:O29"/>
    <mergeCell ref="P29:Q29"/>
    <mergeCell ref="R29:S29"/>
    <mergeCell ref="T29:U29"/>
    <mergeCell ref="W29:Y29"/>
    <mergeCell ref="G28:H28"/>
    <mergeCell ref="L28:M28"/>
    <mergeCell ref="N28:O28"/>
    <mergeCell ref="P28:Q28"/>
    <mergeCell ref="R28:S28"/>
    <mergeCell ref="T28:U28"/>
    <mergeCell ref="W26:Y26"/>
    <mergeCell ref="G27:H27"/>
    <mergeCell ref="L27:M27"/>
    <mergeCell ref="N27:O27"/>
    <mergeCell ref="P27:Q27"/>
    <mergeCell ref="R27:S27"/>
    <mergeCell ref="T27:U27"/>
    <mergeCell ref="W27:Y27"/>
    <mergeCell ref="G26:H26"/>
    <mergeCell ref="L26:M26"/>
    <mergeCell ref="N26:O26"/>
    <mergeCell ref="P26:Q26"/>
    <mergeCell ref="R26:S26"/>
    <mergeCell ref="T26:U26"/>
    <mergeCell ref="W24:Y24"/>
    <mergeCell ref="G25:H25"/>
    <mergeCell ref="L25:M25"/>
    <mergeCell ref="N25:O25"/>
    <mergeCell ref="P25:Q25"/>
    <mergeCell ref="R25:S25"/>
    <mergeCell ref="T25:U25"/>
    <mergeCell ref="W25:Y25"/>
    <mergeCell ref="G24:H24"/>
    <mergeCell ref="L24:M24"/>
    <mergeCell ref="N24:O24"/>
    <mergeCell ref="P24:Q24"/>
    <mergeCell ref="R24:S24"/>
    <mergeCell ref="T24:U24"/>
    <mergeCell ref="W22:Y22"/>
    <mergeCell ref="G23:H23"/>
    <mergeCell ref="L23:M23"/>
    <mergeCell ref="N23:O23"/>
    <mergeCell ref="P23:Q23"/>
    <mergeCell ref="R23:S23"/>
    <mergeCell ref="T23:U23"/>
    <mergeCell ref="W23:Y23"/>
    <mergeCell ref="G22:H22"/>
    <mergeCell ref="L22:M22"/>
    <mergeCell ref="N22:O22"/>
    <mergeCell ref="P22:Q22"/>
    <mergeCell ref="R22:S22"/>
    <mergeCell ref="T22:U22"/>
    <mergeCell ref="G21:H21"/>
    <mergeCell ref="L21:M21"/>
    <mergeCell ref="N21:O21"/>
    <mergeCell ref="P21:Q21"/>
    <mergeCell ref="R21:S21"/>
    <mergeCell ref="T21:U21"/>
    <mergeCell ref="W21:Y21"/>
    <mergeCell ref="K19:K20"/>
    <mergeCell ref="L19:M20"/>
    <mergeCell ref="N19:O20"/>
    <mergeCell ref="P19:Q20"/>
    <mergeCell ref="R19:S20"/>
    <mergeCell ref="T19:U20"/>
    <mergeCell ref="V2:W2"/>
    <mergeCell ref="X2:X3"/>
    <mergeCell ref="Y2:Y3"/>
    <mergeCell ref="A16:B16"/>
    <mergeCell ref="A19:A20"/>
    <mergeCell ref="B19:B20"/>
    <mergeCell ref="C19:F19"/>
    <mergeCell ref="G19:H20"/>
    <mergeCell ref="I19:I20"/>
    <mergeCell ref="J19:J20"/>
    <mergeCell ref="A2:A3"/>
    <mergeCell ref="B2:B3"/>
    <mergeCell ref="C2:F2"/>
    <mergeCell ref="G2:G3"/>
    <mergeCell ref="H2:M2"/>
    <mergeCell ref="N2:U2"/>
    <mergeCell ref="V19:V20"/>
    <mergeCell ref="W19:Y20"/>
  </mergeCells>
  <pageMargins left="0.7" right="0.7" top="0.75" bottom="0.75" header="0.3" footer="0.3"/>
  <pageSetup paperSize="8" scale="7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opLeftCell="A19" workbookViewId="0">
      <selection sqref="A1:Y54"/>
    </sheetView>
  </sheetViews>
  <sheetFormatPr defaultRowHeight="15" x14ac:dyDescent="0.25"/>
  <cols>
    <col min="2" max="2" width="45.28515625" customWidth="1"/>
    <col min="7" max="7" width="9.42578125" bestFit="1" customWidth="1"/>
    <col min="10" max="10" width="15.5703125" customWidth="1"/>
    <col min="11" max="11" width="15" customWidth="1"/>
  </cols>
  <sheetData>
    <row r="1" spans="1:25" ht="18.75" x14ac:dyDescent="0.3">
      <c r="A1" s="14" t="s">
        <v>79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30.5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77" t="s">
        <v>65</v>
      </c>
      <c r="D3" s="64" t="s">
        <v>66</v>
      </c>
      <c r="E3" s="64" t="s">
        <v>67</v>
      </c>
      <c r="F3" s="50" t="s">
        <v>68</v>
      </c>
      <c r="G3" s="215"/>
      <c r="H3" s="77" t="s">
        <v>10</v>
      </c>
      <c r="I3" s="77" t="s">
        <v>11</v>
      </c>
      <c r="J3" s="77" t="s">
        <v>12</v>
      </c>
      <c r="K3" s="77" t="s">
        <v>13</v>
      </c>
      <c r="L3" s="77" t="s">
        <v>55</v>
      </c>
      <c r="M3" s="77" t="s">
        <v>14</v>
      </c>
      <c r="N3" s="77" t="s">
        <v>15</v>
      </c>
      <c r="O3" s="77" t="s">
        <v>16</v>
      </c>
      <c r="P3" s="77" t="s">
        <v>56</v>
      </c>
      <c r="Q3" s="77" t="s">
        <v>17</v>
      </c>
      <c r="R3" s="77" t="s">
        <v>18</v>
      </c>
      <c r="S3" s="77" t="s">
        <v>19</v>
      </c>
      <c r="T3" s="77" t="s">
        <v>20</v>
      </c>
      <c r="U3" s="77" t="s">
        <v>21</v>
      </c>
      <c r="V3" s="77" t="s">
        <v>22</v>
      </c>
      <c r="W3" s="77" t="s">
        <v>23</v>
      </c>
      <c r="X3" s="215"/>
      <c r="Y3" s="215"/>
    </row>
    <row r="4" spans="1:25" ht="35.1" customHeight="1" x14ac:dyDescent="0.25">
      <c r="A4" s="2">
        <v>1</v>
      </c>
      <c r="B4" s="3" t="s">
        <v>24</v>
      </c>
      <c r="C4" s="32">
        <v>14</v>
      </c>
      <c r="D4" s="32">
        <v>0</v>
      </c>
      <c r="E4" s="32">
        <v>0</v>
      </c>
      <c r="F4" s="32">
        <f t="shared" ref="F4:F15" si="0">C4+D4-E4</f>
        <v>14</v>
      </c>
      <c r="G4" s="9">
        <v>366.5</v>
      </c>
      <c r="H4" s="8">
        <v>179051</v>
      </c>
      <c r="I4" s="8"/>
      <c r="J4" s="8">
        <v>86413</v>
      </c>
      <c r="K4" s="8">
        <v>14748</v>
      </c>
      <c r="L4" s="8">
        <v>14748</v>
      </c>
      <c r="M4" s="51">
        <f t="shared" ref="M4:M15" si="1">SUM(H4:L4)</f>
        <v>294960</v>
      </c>
      <c r="N4" s="8">
        <v>21486</v>
      </c>
      <c r="O4" s="8">
        <v>1188</v>
      </c>
      <c r="P4" s="8"/>
      <c r="Q4" s="8"/>
      <c r="R4" s="8">
        <v>0</v>
      </c>
      <c r="S4" s="8">
        <v>23000</v>
      </c>
      <c r="T4" s="8">
        <v>0</v>
      </c>
      <c r="U4" s="51">
        <f>SUM(N4:T4)</f>
        <v>45674</v>
      </c>
      <c r="V4" s="8" t="s">
        <v>25</v>
      </c>
      <c r="W4" s="8" t="s">
        <v>25</v>
      </c>
      <c r="X4" s="8">
        <v>4</v>
      </c>
      <c r="Y4" s="51">
        <f>M4-U4+X4</f>
        <v>249290</v>
      </c>
    </row>
    <row r="5" spans="1:25" ht="35.1" customHeight="1" x14ac:dyDescent="0.25">
      <c r="A5" s="2">
        <v>2</v>
      </c>
      <c r="B5" s="3" t="s">
        <v>26</v>
      </c>
      <c r="C5" s="32">
        <v>3</v>
      </c>
      <c r="D5" s="32">
        <v>2</v>
      </c>
      <c r="E5" s="32">
        <v>0</v>
      </c>
      <c r="F5" s="32">
        <f t="shared" si="0"/>
        <v>5</v>
      </c>
      <c r="G5" s="9">
        <v>131</v>
      </c>
      <c r="H5" s="8">
        <v>46824</v>
      </c>
      <c r="I5" s="8"/>
      <c r="J5" s="8">
        <v>23412</v>
      </c>
      <c r="K5" s="8">
        <v>3902</v>
      </c>
      <c r="L5" s="8">
        <v>3902</v>
      </c>
      <c r="M5" s="51">
        <f t="shared" si="1"/>
        <v>78040</v>
      </c>
      <c r="N5" s="8">
        <v>5619</v>
      </c>
      <c r="O5" s="8">
        <v>415</v>
      </c>
      <c r="P5" s="8"/>
      <c r="Q5" s="8">
        <v>600</v>
      </c>
      <c r="R5" s="8">
        <v>0</v>
      </c>
      <c r="S5" s="8">
        <v>5000</v>
      </c>
      <c r="T5" s="8"/>
      <c r="U5" s="51">
        <f>SUM(N5:T5)</f>
        <v>11634</v>
      </c>
      <c r="V5" s="8" t="s">
        <v>25</v>
      </c>
      <c r="W5" s="8" t="s">
        <v>25</v>
      </c>
      <c r="X5" s="8">
        <v>4</v>
      </c>
      <c r="Y5" s="51">
        <f>M5-U5+X5</f>
        <v>66410</v>
      </c>
    </row>
    <row r="6" spans="1:25" ht="35.1" customHeight="1" x14ac:dyDescent="0.25">
      <c r="A6" s="2">
        <v>3</v>
      </c>
      <c r="B6" s="3" t="s">
        <v>27</v>
      </c>
      <c r="C6" s="32">
        <v>1</v>
      </c>
      <c r="D6" s="32">
        <v>0</v>
      </c>
      <c r="E6" s="32">
        <v>1</v>
      </c>
      <c r="F6" s="32">
        <f t="shared" si="0"/>
        <v>0</v>
      </c>
      <c r="G6" s="9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51">
        <f t="shared" si="1"/>
        <v>0</v>
      </c>
      <c r="N6" s="8">
        <v>0</v>
      </c>
      <c r="O6" s="8">
        <v>0</v>
      </c>
      <c r="P6" s="8"/>
      <c r="Q6" s="8">
        <v>0</v>
      </c>
      <c r="R6" s="8"/>
      <c r="S6" s="8">
        <v>0</v>
      </c>
      <c r="T6" s="8"/>
      <c r="U6" s="51">
        <f>SUM(N6:T6)</f>
        <v>0</v>
      </c>
      <c r="V6" s="8" t="s">
        <v>25</v>
      </c>
      <c r="W6" s="8" t="s">
        <v>25</v>
      </c>
      <c r="X6" s="8">
        <v>0</v>
      </c>
      <c r="Y6" s="51">
        <f>M6-U6+X6</f>
        <v>0</v>
      </c>
    </row>
    <row r="7" spans="1:25" ht="35.1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187</v>
      </c>
      <c r="H7" s="8">
        <v>7480</v>
      </c>
      <c r="I7" s="8">
        <v>75754</v>
      </c>
      <c r="J7" s="8">
        <v>1870</v>
      </c>
      <c r="K7" s="8">
        <v>0</v>
      </c>
      <c r="L7" s="8">
        <v>0</v>
      </c>
      <c r="M7" s="51">
        <f t="shared" si="1"/>
        <v>85104</v>
      </c>
      <c r="N7" s="8">
        <v>9988</v>
      </c>
      <c r="O7" s="8">
        <v>643</v>
      </c>
      <c r="P7" s="8">
        <v>0</v>
      </c>
      <c r="Q7" s="8">
        <v>300</v>
      </c>
      <c r="R7" s="8">
        <v>0</v>
      </c>
      <c r="S7" s="8">
        <v>2000</v>
      </c>
      <c r="T7" s="8">
        <v>0</v>
      </c>
      <c r="U7" s="51">
        <f>SUM(N7:T7)</f>
        <v>12931</v>
      </c>
      <c r="V7" s="8">
        <v>2303</v>
      </c>
      <c r="W7" s="8">
        <v>11515</v>
      </c>
      <c r="X7" s="8">
        <v>-8</v>
      </c>
      <c r="Y7" s="51">
        <f>M7-U7+W7+X7</f>
        <v>83680</v>
      </c>
    </row>
    <row r="8" spans="1:25" ht="35.1" customHeight="1" x14ac:dyDescent="0.25">
      <c r="A8" s="2">
        <v>5</v>
      </c>
      <c r="B8" s="28" t="s">
        <v>29</v>
      </c>
      <c r="C8" s="32">
        <v>29</v>
      </c>
      <c r="D8" s="32">
        <v>49</v>
      </c>
      <c r="E8" s="32">
        <v>1</v>
      </c>
      <c r="F8" s="32">
        <f>C8+D8-E8</f>
        <v>77</v>
      </c>
      <c r="G8" s="9">
        <v>1616</v>
      </c>
      <c r="H8" s="8">
        <v>312623</v>
      </c>
      <c r="I8" s="8">
        <v>0</v>
      </c>
      <c r="J8" s="8">
        <v>208415</v>
      </c>
      <c r="K8" s="8">
        <v>0</v>
      </c>
      <c r="L8" s="8">
        <v>0</v>
      </c>
      <c r="M8" s="51">
        <f t="shared" si="1"/>
        <v>521038</v>
      </c>
      <c r="N8" s="8">
        <v>37514</v>
      </c>
      <c r="O8" s="8">
        <v>3940</v>
      </c>
      <c r="P8" s="8">
        <v>0</v>
      </c>
      <c r="Q8" s="8">
        <v>5820</v>
      </c>
      <c r="R8" s="8">
        <v>0</v>
      </c>
      <c r="S8" s="8">
        <v>8500</v>
      </c>
      <c r="T8" s="8">
        <v>0</v>
      </c>
      <c r="U8" s="51">
        <f t="shared" ref="U8:U15" si="2">SUM(N8:T8)</f>
        <v>55774</v>
      </c>
      <c r="V8" s="8">
        <v>26159</v>
      </c>
      <c r="W8" s="8">
        <v>130796</v>
      </c>
      <c r="X8" s="8">
        <v>-10</v>
      </c>
      <c r="Y8" s="51">
        <f t="shared" ref="Y8:Y13" si="3">M8-U8+W8+X8</f>
        <v>596050</v>
      </c>
    </row>
    <row r="9" spans="1:25" ht="35.1" customHeight="1" x14ac:dyDescent="0.25">
      <c r="A9" s="2">
        <v>6</v>
      </c>
      <c r="B9" s="28" t="s">
        <v>30</v>
      </c>
      <c r="C9" s="32">
        <v>59</v>
      </c>
      <c r="D9" s="32">
        <v>5</v>
      </c>
      <c r="E9" s="32">
        <f>9+48</f>
        <v>57</v>
      </c>
      <c r="F9" s="32">
        <f t="shared" si="0"/>
        <v>7</v>
      </c>
      <c r="G9" s="9">
        <v>120</v>
      </c>
      <c r="H9" s="8">
        <v>22575</v>
      </c>
      <c r="I9" s="8">
        <v>0</v>
      </c>
      <c r="J9" s="8">
        <v>15050</v>
      </c>
      <c r="K9" s="8">
        <v>0</v>
      </c>
      <c r="L9" s="8">
        <v>0</v>
      </c>
      <c r="M9" s="51">
        <f t="shared" si="1"/>
        <v>37625</v>
      </c>
      <c r="N9" s="8">
        <v>2708</v>
      </c>
      <c r="O9" s="8">
        <v>286</v>
      </c>
      <c r="P9" s="8"/>
      <c r="Q9" s="8">
        <v>1060</v>
      </c>
      <c r="R9" s="8">
        <v>0</v>
      </c>
      <c r="S9" s="8">
        <v>0</v>
      </c>
      <c r="T9" s="8">
        <v>0</v>
      </c>
      <c r="U9" s="51">
        <f t="shared" si="2"/>
        <v>4054</v>
      </c>
      <c r="V9" s="8">
        <v>1222</v>
      </c>
      <c r="W9" s="8">
        <v>6108</v>
      </c>
      <c r="X9" s="8">
        <v>1</v>
      </c>
      <c r="Y9" s="51">
        <f t="shared" si="3"/>
        <v>39680</v>
      </c>
    </row>
    <row r="10" spans="1:25" ht="35.1" customHeight="1" x14ac:dyDescent="0.25">
      <c r="A10" s="2">
        <v>7</v>
      </c>
      <c r="B10" s="28" t="s">
        <v>31</v>
      </c>
      <c r="C10" s="32">
        <v>47</v>
      </c>
      <c r="D10" s="32">
        <v>8</v>
      </c>
      <c r="E10" s="32">
        <v>3</v>
      </c>
      <c r="F10" s="32">
        <f t="shared" si="0"/>
        <v>52</v>
      </c>
      <c r="G10" s="9">
        <v>945</v>
      </c>
      <c r="H10" s="8">
        <v>143928</v>
      </c>
      <c r="I10" s="8"/>
      <c r="J10" s="8">
        <v>95952</v>
      </c>
      <c r="K10" s="8">
        <v>0</v>
      </c>
      <c r="L10" s="8">
        <v>0</v>
      </c>
      <c r="M10" s="51">
        <f t="shared" si="1"/>
        <v>239880</v>
      </c>
      <c r="N10" s="8">
        <v>17276</v>
      </c>
      <c r="O10" s="8">
        <v>1819</v>
      </c>
      <c r="P10" s="8"/>
      <c r="Q10" s="8">
        <v>4700</v>
      </c>
      <c r="R10" s="8">
        <v>0</v>
      </c>
      <c r="S10" s="8">
        <v>3000</v>
      </c>
      <c r="T10" s="8">
        <v>0</v>
      </c>
      <c r="U10" s="51">
        <f t="shared" si="2"/>
        <v>26795</v>
      </c>
      <c r="V10" s="8">
        <v>12002</v>
      </c>
      <c r="W10" s="8">
        <v>60010</v>
      </c>
      <c r="X10" s="8">
        <v>15</v>
      </c>
      <c r="Y10" s="51">
        <f t="shared" si="3"/>
        <v>273110</v>
      </c>
    </row>
    <row r="11" spans="1:25" ht="35.1" customHeight="1" x14ac:dyDescent="0.25">
      <c r="A11" s="2">
        <v>8</v>
      </c>
      <c r="B11" s="28" t="s">
        <v>32</v>
      </c>
      <c r="C11" s="32">
        <v>1</v>
      </c>
      <c r="D11" s="32"/>
      <c r="E11" s="32">
        <v>1</v>
      </c>
      <c r="F11" s="32">
        <f t="shared" si="0"/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51">
        <f t="shared" si="1"/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51">
        <f>SUM(N11:T11)</f>
        <v>0</v>
      </c>
      <c r="V11" s="8"/>
      <c r="W11" s="8">
        <v>0</v>
      </c>
      <c r="X11" s="8">
        <v>0</v>
      </c>
      <c r="Y11" s="51">
        <f t="shared" si="3"/>
        <v>0</v>
      </c>
    </row>
    <row r="12" spans="1:25" ht="35.1" customHeight="1" x14ac:dyDescent="0.25">
      <c r="A12" s="2">
        <v>9</v>
      </c>
      <c r="B12" s="28" t="s">
        <v>33</v>
      </c>
      <c r="C12" s="32">
        <v>7</v>
      </c>
      <c r="D12" s="32">
        <v>1</v>
      </c>
      <c r="E12" s="32">
        <v>1</v>
      </c>
      <c r="F12" s="32">
        <f>C12+D12-E12</f>
        <v>7</v>
      </c>
      <c r="G12" s="9">
        <v>177.5</v>
      </c>
      <c r="H12" s="8">
        <v>40223</v>
      </c>
      <c r="I12" s="8">
        <v>0</v>
      </c>
      <c r="J12" s="8">
        <v>26816</v>
      </c>
      <c r="K12" s="8"/>
      <c r="L12" s="8">
        <v>0</v>
      </c>
      <c r="M12" s="51">
        <f t="shared" si="1"/>
        <v>67039</v>
      </c>
      <c r="N12" s="8">
        <v>4827</v>
      </c>
      <c r="O12" s="8">
        <v>506</v>
      </c>
      <c r="P12" s="8">
        <v>0</v>
      </c>
      <c r="Q12" s="8">
        <v>350</v>
      </c>
      <c r="R12" s="8">
        <v>0</v>
      </c>
      <c r="S12" s="8">
        <v>2000</v>
      </c>
      <c r="T12" s="8">
        <v>0</v>
      </c>
      <c r="U12" s="51">
        <f>SUM(N12:T12)</f>
        <v>7683</v>
      </c>
      <c r="V12" s="8"/>
      <c r="W12" s="8">
        <v>4000</v>
      </c>
      <c r="X12" s="8">
        <v>14</v>
      </c>
      <c r="Y12" s="51">
        <f t="shared" si="3"/>
        <v>63370</v>
      </c>
    </row>
    <row r="13" spans="1:25" ht="35.1" customHeight="1" x14ac:dyDescent="0.25">
      <c r="A13" s="2">
        <v>10</v>
      </c>
      <c r="B13" s="28" t="s">
        <v>34</v>
      </c>
      <c r="C13" s="32">
        <v>1</v>
      </c>
      <c r="D13" s="32"/>
      <c r="E13" s="32"/>
      <c r="F13" s="32">
        <f t="shared" si="0"/>
        <v>1</v>
      </c>
      <c r="G13" s="9">
        <v>26</v>
      </c>
      <c r="H13" s="8">
        <v>200000</v>
      </c>
      <c r="I13" s="8">
        <v>0</v>
      </c>
      <c r="J13" s="8"/>
      <c r="K13" s="8"/>
      <c r="L13" s="8">
        <v>0</v>
      </c>
      <c r="M13" s="51">
        <f t="shared" si="1"/>
        <v>200000</v>
      </c>
      <c r="N13" s="8">
        <v>24000</v>
      </c>
      <c r="O13" s="8"/>
      <c r="P13" s="8">
        <v>0</v>
      </c>
      <c r="Q13" s="8"/>
      <c r="R13" s="8">
        <v>0</v>
      </c>
      <c r="S13" s="8"/>
      <c r="T13" s="8">
        <v>0</v>
      </c>
      <c r="U13" s="51">
        <f>SUM(N13:T13)</f>
        <v>24000</v>
      </c>
      <c r="V13" s="8"/>
      <c r="W13" s="8"/>
      <c r="X13" s="8">
        <v>0</v>
      </c>
      <c r="Y13" s="51">
        <f t="shared" si="3"/>
        <v>176000</v>
      </c>
    </row>
    <row r="14" spans="1:25" ht="35.1" customHeight="1" x14ac:dyDescent="0.25">
      <c r="A14" s="2">
        <v>10</v>
      </c>
      <c r="B14" s="3" t="s">
        <v>35</v>
      </c>
      <c r="C14" s="32">
        <v>6</v>
      </c>
      <c r="D14" s="32">
        <v>1</v>
      </c>
      <c r="E14" s="32"/>
      <c r="F14" s="32">
        <f t="shared" si="0"/>
        <v>7</v>
      </c>
      <c r="G14" s="9">
        <v>130</v>
      </c>
      <c r="H14" s="8">
        <v>118390</v>
      </c>
      <c r="I14" s="8">
        <v>0</v>
      </c>
      <c r="J14" s="8">
        <v>0</v>
      </c>
      <c r="K14" s="8">
        <v>0</v>
      </c>
      <c r="L14" s="8">
        <v>0</v>
      </c>
      <c r="M14" s="51">
        <f t="shared" si="1"/>
        <v>118390</v>
      </c>
      <c r="N14" s="8">
        <v>0</v>
      </c>
      <c r="O14" s="8">
        <v>0</v>
      </c>
      <c r="P14" s="8">
        <v>0</v>
      </c>
      <c r="Q14" s="8"/>
      <c r="R14" s="8"/>
      <c r="S14" s="8">
        <v>49000</v>
      </c>
      <c r="T14" s="8"/>
      <c r="U14" s="51">
        <f>SUM(N14:T14)</f>
        <v>49000</v>
      </c>
      <c r="V14" s="8">
        <v>0</v>
      </c>
      <c r="W14" s="8"/>
      <c r="X14" s="8">
        <v>-10</v>
      </c>
      <c r="Y14" s="51">
        <f>M14-U14+W14+X14</f>
        <v>69380</v>
      </c>
    </row>
    <row r="15" spans="1:25" ht="35.1" customHeight="1" x14ac:dyDescent="0.25">
      <c r="A15" s="2">
        <v>11</v>
      </c>
      <c r="B15" s="3" t="s">
        <v>36</v>
      </c>
      <c r="C15" s="32">
        <v>2</v>
      </c>
      <c r="D15" s="32">
        <v>2</v>
      </c>
      <c r="E15" s="32">
        <v>1</v>
      </c>
      <c r="F15" s="32">
        <f t="shared" si="0"/>
        <v>3</v>
      </c>
      <c r="G15" s="9">
        <v>109</v>
      </c>
      <c r="H15" s="8">
        <v>102371</v>
      </c>
      <c r="I15" s="8">
        <v>0</v>
      </c>
      <c r="J15" s="8">
        <v>0</v>
      </c>
      <c r="K15" s="8">
        <v>0</v>
      </c>
      <c r="L15" s="8">
        <v>0</v>
      </c>
      <c r="M15" s="51">
        <f t="shared" si="1"/>
        <v>102371</v>
      </c>
      <c r="N15" s="8">
        <v>0</v>
      </c>
      <c r="O15" s="8">
        <v>0</v>
      </c>
      <c r="P15" s="8">
        <v>0</v>
      </c>
      <c r="Q15" s="8">
        <v>0</v>
      </c>
      <c r="R15" s="8"/>
      <c r="S15" s="8">
        <v>34000</v>
      </c>
      <c r="T15" s="8"/>
      <c r="U15" s="51">
        <f t="shared" si="2"/>
        <v>34000</v>
      </c>
      <c r="V15" s="8"/>
      <c r="W15" s="8"/>
      <c r="X15" s="8">
        <v>-11</v>
      </c>
      <c r="Y15" s="51">
        <f t="shared" ref="Y15" si="4">M15-U15+W15+X15</f>
        <v>68360</v>
      </c>
    </row>
    <row r="16" spans="1:25" ht="35.1" customHeight="1" x14ac:dyDescent="0.25">
      <c r="A16" s="171" t="s">
        <v>37</v>
      </c>
      <c r="B16" s="171"/>
      <c r="C16" s="52">
        <f>SUM(C4:C15)</f>
        <v>177</v>
      </c>
      <c r="D16" s="52">
        <f t="shared" ref="D16:H16" si="5">SUM(D4:D15)</f>
        <v>68</v>
      </c>
      <c r="E16" s="52">
        <f t="shared" si="5"/>
        <v>65</v>
      </c>
      <c r="F16" s="52">
        <f t="shared" si="5"/>
        <v>180</v>
      </c>
      <c r="G16" s="53">
        <f t="shared" si="5"/>
        <v>3808</v>
      </c>
      <c r="H16" s="53">
        <f t="shared" si="5"/>
        <v>1173465</v>
      </c>
      <c r="I16" s="53">
        <f t="shared" ref="I16:W16" si="6">SUM(I4:I15)</f>
        <v>75754</v>
      </c>
      <c r="J16" s="53">
        <f t="shared" si="6"/>
        <v>457928</v>
      </c>
      <c r="K16" s="53">
        <f t="shared" si="6"/>
        <v>18650</v>
      </c>
      <c r="L16" s="53">
        <f t="shared" si="6"/>
        <v>18650</v>
      </c>
      <c r="M16" s="53">
        <f>SUM(M4:M15)</f>
        <v>1744447</v>
      </c>
      <c r="N16" s="53">
        <f>SUM(N4:N15)</f>
        <v>123418</v>
      </c>
      <c r="O16" s="53">
        <f>SUM(O4:O15)</f>
        <v>8797</v>
      </c>
      <c r="P16" s="53">
        <f t="shared" si="6"/>
        <v>0</v>
      </c>
      <c r="Q16" s="53">
        <f>SUM(Q4:Q15)</f>
        <v>12830</v>
      </c>
      <c r="R16" s="53">
        <f t="shared" si="6"/>
        <v>0</v>
      </c>
      <c r="S16" s="53">
        <f>SUM(S4:S15)</f>
        <v>126500</v>
      </c>
      <c r="T16" s="53">
        <f t="shared" si="6"/>
        <v>0</v>
      </c>
      <c r="U16" s="53">
        <f>SUM(U4:U15)</f>
        <v>271545</v>
      </c>
      <c r="V16" s="53">
        <f t="shared" si="6"/>
        <v>41686</v>
      </c>
      <c r="W16" s="53">
        <f t="shared" si="6"/>
        <v>212429</v>
      </c>
      <c r="X16" s="53">
        <f>SUM(X4:X15)</f>
        <v>-1</v>
      </c>
      <c r="Y16" s="53">
        <f>SUM(Y4:Y15)</f>
        <v>1685330</v>
      </c>
    </row>
    <row r="17" spans="1:25" ht="18.75" x14ac:dyDescent="0.25"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81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21" x14ac:dyDescent="0.35">
      <c r="A18" s="25" t="s">
        <v>64</v>
      </c>
      <c r="B18" s="25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18.75" x14ac:dyDescent="0.25">
      <c r="A19" s="179" t="s">
        <v>1</v>
      </c>
      <c r="B19" s="179" t="s">
        <v>38</v>
      </c>
      <c r="C19" s="216" t="s">
        <v>39</v>
      </c>
      <c r="D19" s="217"/>
      <c r="E19" s="217"/>
      <c r="F19" s="218"/>
      <c r="G19" s="181" t="s">
        <v>40</v>
      </c>
      <c r="H19" s="182"/>
      <c r="I19" s="213" t="s">
        <v>69</v>
      </c>
      <c r="J19" s="181" t="s">
        <v>41</v>
      </c>
      <c r="K19" s="182" t="s">
        <v>76</v>
      </c>
      <c r="L19" s="181" t="s">
        <v>77</v>
      </c>
      <c r="M19" s="182"/>
      <c r="N19" s="167" t="s">
        <v>50</v>
      </c>
      <c r="O19" s="168"/>
      <c r="P19" s="167" t="s">
        <v>53</v>
      </c>
      <c r="Q19" s="168"/>
      <c r="R19" s="181" t="s">
        <v>54</v>
      </c>
      <c r="S19" s="182"/>
      <c r="T19" s="181" t="s">
        <v>51</v>
      </c>
      <c r="U19" s="182"/>
      <c r="V19" s="213" t="s">
        <v>52</v>
      </c>
      <c r="W19" s="167" t="s">
        <v>43</v>
      </c>
      <c r="X19" s="222"/>
      <c r="Y19" s="223"/>
    </row>
    <row r="20" spans="1:25" ht="18.75" x14ac:dyDescent="0.25">
      <c r="A20" s="180"/>
      <c r="B20" s="180"/>
      <c r="C20" s="44" t="s">
        <v>65</v>
      </c>
      <c r="D20" s="44" t="s">
        <v>66</v>
      </c>
      <c r="E20" s="44" t="s">
        <v>67</v>
      </c>
      <c r="F20" s="78" t="s">
        <v>68</v>
      </c>
      <c r="G20" s="183"/>
      <c r="H20" s="184"/>
      <c r="I20" s="214"/>
      <c r="J20" s="183"/>
      <c r="K20" s="184"/>
      <c r="L20" s="183"/>
      <c r="M20" s="184"/>
      <c r="N20" s="169"/>
      <c r="O20" s="170"/>
      <c r="P20" s="169"/>
      <c r="Q20" s="170"/>
      <c r="R20" s="183"/>
      <c r="S20" s="184"/>
      <c r="T20" s="183"/>
      <c r="U20" s="184"/>
      <c r="V20" s="214"/>
      <c r="W20" s="224"/>
      <c r="X20" s="225"/>
      <c r="Y20" s="226"/>
    </row>
    <row r="21" spans="1:25" ht="35.1" customHeight="1" x14ac:dyDescent="0.3">
      <c r="A21" s="18">
        <v>1</v>
      </c>
      <c r="B21" s="19" t="str">
        <f t="shared" ref="B21:B29" si="7">B4</f>
        <v>SALARY -STAFF - BANK</v>
      </c>
      <c r="C21" s="56">
        <v>14</v>
      </c>
      <c r="D21" s="56">
        <v>0</v>
      </c>
      <c r="E21" s="56">
        <v>0</v>
      </c>
      <c r="F21" s="39">
        <f>C21+D21-E21</f>
        <v>14</v>
      </c>
      <c r="G21" s="144">
        <v>14</v>
      </c>
      <c r="H21" s="144"/>
      <c r="I21" s="39">
        <f t="shared" ref="I21:I32" si="8">G21-F21</f>
        <v>0</v>
      </c>
      <c r="J21" s="66">
        <f>M4</f>
        <v>294960</v>
      </c>
      <c r="K21" s="67">
        <v>294960</v>
      </c>
      <c r="L21" s="144">
        <v>179051</v>
      </c>
      <c r="M21" s="144"/>
      <c r="N21" s="158">
        <f t="shared" ref="N21:N27" si="9">+J21*60/100</f>
        <v>176976</v>
      </c>
      <c r="O21" s="159"/>
      <c r="P21" s="144">
        <f>+L21-N21</f>
        <v>2075</v>
      </c>
      <c r="Q21" s="144"/>
      <c r="R21" s="203">
        <v>21486</v>
      </c>
      <c r="S21" s="203"/>
      <c r="T21" s="203">
        <v>21486</v>
      </c>
      <c r="U21" s="203"/>
      <c r="V21" s="57">
        <f t="shared" ref="V21:V32" si="10">R21-T21</f>
        <v>0</v>
      </c>
      <c r="W21" s="194" t="s">
        <v>45</v>
      </c>
      <c r="X21" s="195"/>
      <c r="Y21" s="196"/>
    </row>
    <row r="22" spans="1:25" ht="35.1" customHeight="1" x14ac:dyDescent="0.3">
      <c r="A22" s="18">
        <v>2</v>
      </c>
      <c r="B22" s="19" t="str">
        <f t="shared" si="7"/>
        <v>SALARY - STAFF -2 CSB</v>
      </c>
      <c r="C22" s="76">
        <v>5</v>
      </c>
      <c r="D22" s="76"/>
      <c r="E22" s="76"/>
      <c r="F22" s="41">
        <f t="shared" ref="F22:F32" si="11">C22+D22-E22</f>
        <v>5</v>
      </c>
      <c r="G22" s="144">
        <v>5</v>
      </c>
      <c r="H22" s="144"/>
      <c r="I22" s="39">
        <f t="shared" si="8"/>
        <v>0</v>
      </c>
      <c r="J22" s="66">
        <f t="shared" ref="J22:J29" si="12">M5</f>
        <v>78040</v>
      </c>
      <c r="K22" s="67">
        <v>78040</v>
      </c>
      <c r="L22" s="144">
        <v>46824</v>
      </c>
      <c r="M22" s="144"/>
      <c r="N22" s="158">
        <f t="shared" si="9"/>
        <v>46824</v>
      </c>
      <c r="O22" s="159"/>
      <c r="P22" s="144">
        <f>+L22-N22</f>
        <v>0</v>
      </c>
      <c r="Q22" s="144"/>
      <c r="R22" s="203">
        <f t="shared" ref="R22" si="13">N22*12%</f>
        <v>5618.88</v>
      </c>
      <c r="S22" s="203"/>
      <c r="T22" s="203">
        <v>5619</v>
      </c>
      <c r="U22" s="203"/>
      <c r="V22" s="57">
        <f t="shared" si="10"/>
        <v>-0.11999999999989086</v>
      </c>
      <c r="W22" s="197"/>
      <c r="X22" s="195"/>
      <c r="Y22" s="196"/>
    </row>
    <row r="23" spans="1:25" ht="35.1" customHeight="1" x14ac:dyDescent="0.3">
      <c r="A23" s="18">
        <v>3</v>
      </c>
      <c r="B23" s="19" t="str">
        <f t="shared" si="7"/>
        <v>SALARY - STAFF-CHEQUE</v>
      </c>
      <c r="C23" s="76">
        <v>0</v>
      </c>
      <c r="D23" s="76"/>
      <c r="E23" s="76"/>
      <c r="F23" s="41">
        <f t="shared" si="11"/>
        <v>0</v>
      </c>
      <c r="G23" s="144">
        <v>0</v>
      </c>
      <c r="H23" s="144"/>
      <c r="I23" s="39">
        <f t="shared" si="8"/>
        <v>0</v>
      </c>
      <c r="J23" s="66">
        <f>M6</f>
        <v>0</v>
      </c>
      <c r="K23" s="67">
        <v>0</v>
      </c>
      <c r="L23" s="144">
        <v>0</v>
      </c>
      <c r="M23" s="144"/>
      <c r="N23" s="158">
        <f t="shared" si="9"/>
        <v>0</v>
      </c>
      <c r="O23" s="159"/>
      <c r="P23" s="144">
        <f t="shared" ref="P23:P32" si="14">+L23-N23</f>
        <v>0</v>
      </c>
      <c r="Q23" s="144"/>
      <c r="R23" s="203">
        <v>0</v>
      </c>
      <c r="S23" s="203"/>
      <c r="T23" s="203">
        <v>0</v>
      </c>
      <c r="U23" s="203"/>
      <c r="V23" s="57">
        <f t="shared" si="10"/>
        <v>0</v>
      </c>
      <c r="W23" s="197"/>
      <c r="X23" s="195"/>
      <c r="Y23" s="196"/>
    </row>
    <row r="24" spans="1:25" ht="35.1" customHeight="1" x14ac:dyDescent="0.3">
      <c r="A24" s="18">
        <v>4</v>
      </c>
      <c r="B24" s="19" t="str">
        <f t="shared" si="7"/>
        <v>WAGES-PERMANENT - BANK</v>
      </c>
      <c r="C24" s="76">
        <v>7</v>
      </c>
      <c r="D24" s="76"/>
      <c r="E24" s="76"/>
      <c r="F24" s="41">
        <f t="shared" si="11"/>
        <v>7</v>
      </c>
      <c r="G24" s="144">
        <v>7</v>
      </c>
      <c r="H24" s="144"/>
      <c r="I24" s="39">
        <f t="shared" si="8"/>
        <v>0</v>
      </c>
      <c r="J24" s="66">
        <f>M7</f>
        <v>85104</v>
      </c>
      <c r="K24" s="67">
        <v>85104</v>
      </c>
      <c r="L24" s="144">
        <v>83234</v>
      </c>
      <c r="M24" s="144"/>
      <c r="N24" s="158">
        <f t="shared" si="9"/>
        <v>51062.400000000001</v>
      </c>
      <c r="O24" s="159"/>
      <c r="P24" s="144">
        <f t="shared" si="14"/>
        <v>32171.599999999999</v>
      </c>
      <c r="Q24" s="144"/>
      <c r="R24" s="203">
        <v>9988</v>
      </c>
      <c r="S24" s="203"/>
      <c r="T24" s="203">
        <v>9988</v>
      </c>
      <c r="U24" s="203"/>
      <c r="V24" s="57">
        <f t="shared" si="10"/>
        <v>0</v>
      </c>
      <c r="W24" s="197" t="s">
        <v>48</v>
      </c>
      <c r="X24" s="195"/>
      <c r="Y24" s="196"/>
    </row>
    <row r="25" spans="1:25" ht="35.1" customHeight="1" x14ac:dyDescent="0.3">
      <c r="A25" s="18">
        <v>5</v>
      </c>
      <c r="B25" s="75" t="str">
        <f t="shared" si="7"/>
        <v>WAGES - CASUAL - BANK(OUTSIDE)</v>
      </c>
      <c r="C25" s="76">
        <v>29</v>
      </c>
      <c r="D25" s="76">
        <v>2</v>
      </c>
      <c r="E25" s="76">
        <v>1</v>
      </c>
      <c r="F25" s="41">
        <f t="shared" si="11"/>
        <v>30</v>
      </c>
      <c r="G25" s="144">
        <v>30</v>
      </c>
      <c r="H25" s="144"/>
      <c r="I25" s="39">
        <f t="shared" si="8"/>
        <v>0</v>
      </c>
      <c r="J25" s="66">
        <f t="shared" si="12"/>
        <v>521038</v>
      </c>
      <c r="K25" s="67">
        <v>521038</v>
      </c>
      <c r="L25" s="144">
        <v>312623</v>
      </c>
      <c r="M25" s="144"/>
      <c r="N25" s="158">
        <f t="shared" si="9"/>
        <v>312622.8</v>
      </c>
      <c r="O25" s="159"/>
      <c r="P25" s="144">
        <f t="shared" si="14"/>
        <v>0.20000000001164153</v>
      </c>
      <c r="Q25" s="144"/>
      <c r="R25" s="203">
        <v>37514</v>
      </c>
      <c r="S25" s="203"/>
      <c r="T25" s="203">
        <v>37514</v>
      </c>
      <c r="U25" s="203"/>
      <c r="V25" s="57">
        <f t="shared" si="10"/>
        <v>0</v>
      </c>
      <c r="W25" s="197"/>
      <c r="X25" s="195"/>
      <c r="Y25" s="196"/>
    </row>
    <row r="26" spans="1:25" ht="35.1" customHeight="1" x14ac:dyDescent="0.3">
      <c r="A26" s="18">
        <v>6</v>
      </c>
      <c r="B26" s="75" t="str">
        <f t="shared" si="7"/>
        <v>WAGES - CASUAL - CASH(OUTSIDE)</v>
      </c>
      <c r="C26" s="76">
        <v>58</v>
      </c>
      <c r="D26" s="76">
        <v>5</v>
      </c>
      <c r="E26" s="76">
        <v>9</v>
      </c>
      <c r="F26" s="41">
        <f t="shared" si="11"/>
        <v>54</v>
      </c>
      <c r="G26" s="144">
        <v>54</v>
      </c>
      <c r="H26" s="144"/>
      <c r="I26" s="39">
        <f t="shared" si="8"/>
        <v>0</v>
      </c>
      <c r="J26" s="66">
        <f t="shared" si="12"/>
        <v>37625</v>
      </c>
      <c r="K26" s="67">
        <v>37625</v>
      </c>
      <c r="L26" s="144">
        <v>22575</v>
      </c>
      <c r="M26" s="144"/>
      <c r="N26" s="158">
        <f t="shared" si="9"/>
        <v>22575</v>
      </c>
      <c r="O26" s="159"/>
      <c r="P26" s="144">
        <f t="shared" si="14"/>
        <v>0</v>
      </c>
      <c r="Q26" s="144"/>
      <c r="R26" s="203">
        <v>2708</v>
      </c>
      <c r="S26" s="203"/>
      <c r="T26" s="203">
        <v>2708</v>
      </c>
      <c r="U26" s="203"/>
      <c r="V26" s="57">
        <f t="shared" si="10"/>
        <v>0</v>
      </c>
      <c r="W26" s="197"/>
      <c r="X26" s="195"/>
      <c r="Y26" s="196"/>
    </row>
    <row r="27" spans="1:25" ht="35.1" customHeight="1" x14ac:dyDescent="0.3">
      <c r="A27" s="18">
        <v>7</v>
      </c>
      <c r="B27" s="75" t="str">
        <f t="shared" si="7"/>
        <v>WAGES - CASUAL - CASH(INSIDE)</v>
      </c>
      <c r="C27" s="76">
        <v>47</v>
      </c>
      <c r="D27" s="76">
        <v>8</v>
      </c>
      <c r="E27" s="76">
        <v>3</v>
      </c>
      <c r="F27" s="41">
        <f t="shared" si="11"/>
        <v>52</v>
      </c>
      <c r="G27" s="144">
        <v>52</v>
      </c>
      <c r="H27" s="144"/>
      <c r="I27" s="39">
        <f t="shared" si="8"/>
        <v>0</v>
      </c>
      <c r="J27" s="66">
        <f t="shared" si="12"/>
        <v>239880</v>
      </c>
      <c r="K27" s="67">
        <v>239880</v>
      </c>
      <c r="L27" s="144">
        <v>143928</v>
      </c>
      <c r="M27" s="144"/>
      <c r="N27" s="158">
        <f t="shared" si="9"/>
        <v>143928</v>
      </c>
      <c r="O27" s="159"/>
      <c r="P27" s="144">
        <f t="shared" si="14"/>
        <v>0</v>
      </c>
      <c r="Q27" s="144"/>
      <c r="R27" s="203">
        <v>17276</v>
      </c>
      <c r="S27" s="203"/>
      <c r="T27" s="203">
        <v>17276</v>
      </c>
      <c r="U27" s="203"/>
      <c r="V27" s="57">
        <f t="shared" si="10"/>
        <v>0</v>
      </c>
      <c r="W27" s="197"/>
      <c r="X27" s="195"/>
      <c r="Y27" s="196"/>
    </row>
    <row r="28" spans="1:25" ht="35.1" customHeight="1" x14ac:dyDescent="0.3">
      <c r="A28" s="18">
        <v>8</v>
      </c>
      <c r="B28" s="75" t="str">
        <f t="shared" si="7"/>
        <v>WAGES - SECUR &amp; GARDEN - CHEQUE</v>
      </c>
      <c r="C28" s="76">
        <v>0</v>
      </c>
      <c r="D28" s="76">
        <v>0</v>
      </c>
      <c r="E28" s="76">
        <v>1</v>
      </c>
      <c r="F28" s="41">
        <f t="shared" si="11"/>
        <v>-1</v>
      </c>
      <c r="G28" s="144">
        <v>-1</v>
      </c>
      <c r="H28" s="144"/>
      <c r="I28" s="39">
        <f t="shared" si="8"/>
        <v>0</v>
      </c>
      <c r="J28" s="66">
        <v>0</v>
      </c>
      <c r="K28" s="67">
        <v>0</v>
      </c>
      <c r="L28" s="144">
        <v>0</v>
      </c>
      <c r="M28" s="144"/>
      <c r="N28" s="158">
        <v>0</v>
      </c>
      <c r="O28" s="159"/>
      <c r="P28" s="144">
        <f t="shared" si="14"/>
        <v>0</v>
      </c>
      <c r="Q28" s="144"/>
      <c r="R28" s="203">
        <v>0</v>
      </c>
      <c r="S28" s="203"/>
      <c r="T28" s="203">
        <v>0</v>
      </c>
      <c r="U28" s="203"/>
      <c r="V28" s="57">
        <f t="shared" si="10"/>
        <v>0</v>
      </c>
      <c r="W28" s="197"/>
      <c r="X28" s="195"/>
      <c r="Y28" s="196"/>
    </row>
    <row r="29" spans="1:25" ht="35.1" customHeight="1" x14ac:dyDescent="0.3">
      <c r="A29" s="18">
        <v>9</v>
      </c>
      <c r="B29" s="75" t="str">
        <f t="shared" si="7"/>
        <v>WAGES - SECUR &amp; GARDEN - CSB</v>
      </c>
      <c r="C29" s="76">
        <v>8</v>
      </c>
      <c r="D29" s="76"/>
      <c r="E29" s="76">
        <v>0</v>
      </c>
      <c r="F29" s="41">
        <f t="shared" si="11"/>
        <v>8</v>
      </c>
      <c r="G29" s="144">
        <v>8</v>
      </c>
      <c r="H29" s="144"/>
      <c r="I29" s="39">
        <f t="shared" si="8"/>
        <v>0</v>
      </c>
      <c r="J29" s="66">
        <f t="shared" si="12"/>
        <v>67039</v>
      </c>
      <c r="K29" s="67">
        <v>67039</v>
      </c>
      <c r="L29" s="144">
        <v>40223</v>
      </c>
      <c r="M29" s="144"/>
      <c r="N29" s="158">
        <f>+J29*60/100</f>
        <v>40223.4</v>
      </c>
      <c r="O29" s="159"/>
      <c r="P29" s="144">
        <f t="shared" si="14"/>
        <v>-0.40000000000145519</v>
      </c>
      <c r="Q29" s="144"/>
      <c r="R29" s="203">
        <v>4827</v>
      </c>
      <c r="S29" s="203"/>
      <c r="T29" s="203">
        <v>4827</v>
      </c>
      <c r="U29" s="203"/>
      <c r="V29" s="57">
        <f t="shared" si="10"/>
        <v>0</v>
      </c>
      <c r="W29" s="197"/>
      <c r="X29" s="195"/>
      <c r="Y29" s="196"/>
    </row>
    <row r="30" spans="1:25" ht="35.1" customHeight="1" x14ac:dyDescent="0.3">
      <c r="A30" s="18">
        <v>10</v>
      </c>
      <c r="B30" s="75" t="s">
        <v>34</v>
      </c>
      <c r="C30" s="76">
        <v>1</v>
      </c>
      <c r="D30" s="76"/>
      <c r="E30" s="76"/>
      <c r="F30" s="41">
        <v>1</v>
      </c>
      <c r="G30" s="158">
        <v>1</v>
      </c>
      <c r="H30" s="159"/>
      <c r="I30" s="39"/>
      <c r="J30" s="66">
        <v>200000</v>
      </c>
      <c r="K30" s="67">
        <v>200000</v>
      </c>
      <c r="L30" s="158">
        <v>200000</v>
      </c>
      <c r="M30" s="159"/>
      <c r="N30" s="158">
        <f>+J30*60/100</f>
        <v>120000</v>
      </c>
      <c r="O30" s="159"/>
      <c r="P30" s="144">
        <f t="shared" si="14"/>
        <v>80000</v>
      </c>
      <c r="Q30" s="144"/>
      <c r="R30" s="204">
        <v>24000</v>
      </c>
      <c r="S30" s="205"/>
      <c r="T30" s="204">
        <v>24000</v>
      </c>
      <c r="U30" s="205"/>
      <c r="V30" s="57">
        <f t="shared" si="10"/>
        <v>0</v>
      </c>
      <c r="W30" s="189" t="s">
        <v>75</v>
      </c>
      <c r="X30" s="190"/>
      <c r="Y30" s="191"/>
    </row>
    <row r="31" spans="1:25" ht="35.1" customHeight="1" x14ac:dyDescent="0.3">
      <c r="A31" s="18">
        <v>11</v>
      </c>
      <c r="B31" s="19" t="str">
        <f t="shared" ref="B31:B32" si="15">B14</f>
        <v>EXEMPTED - BANK</v>
      </c>
      <c r="C31" s="76">
        <v>6</v>
      </c>
      <c r="D31" s="76">
        <v>1</v>
      </c>
      <c r="E31" s="76"/>
      <c r="F31" s="41">
        <f t="shared" si="11"/>
        <v>7</v>
      </c>
      <c r="G31" s="144">
        <v>7</v>
      </c>
      <c r="H31" s="144"/>
      <c r="I31" s="39">
        <f t="shared" si="8"/>
        <v>0</v>
      </c>
      <c r="J31" s="8">
        <v>118390</v>
      </c>
      <c r="K31" s="8">
        <v>118390</v>
      </c>
      <c r="L31" s="144">
        <v>0</v>
      </c>
      <c r="M31" s="144"/>
      <c r="N31" s="158">
        <v>0</v>
      </c>
      <c r="O31" s="159"/>
      <c r="P31" s="144">
        <f t="shared" si="14"/>
        <v>0</v>
      </c>
      <c r="Q31" s="144"/>
      <c r="R31" s="203">
        <v>0</v>
      </c>
      <c r="S31" s="203"/>
      <c r="T31" s="203">
        <v>0</v>
      </c>
      <c r="U31" s="203"/>
      <c r="V31" s="57">
        <f t="shared" si="10"/>
        <v>0</v>
      </c>
      <c r="W31" s="197" t="s">
        <v>49</v>
      </c>
      <c r="X31" s="195"/>
      <c r="Y31" s="196"/>
    </row>
    <row r="32" spans="1:25" ht="35.1" customHeight="1" x14ac:dyDescent="0.3">
      <c r="A32" s="18">
        <v>12</v>
      </c>
      <c r="B32" s="19" t="str">
        <f t="shared" si="15"/>
        <v>EXEMPTED - CHEQUE</v>
      </c>
      <c r="C32" s="76">
        <v>2</v>
      </c>
      <c r="D32" s="76">
        <v>2</v>
      </c>
      <c r="E32" s="76">
        <v>1</v>
      </c>
      <c r="F32" s="41">
        <f t="shared" si="11"/>
        <v>3</v>
      </c>
      <c r="G32" s="144">
        <v>3</v>
      </c>
      <c r="H32" s="144"/>
      <c r="I32" s="39">
        <f t="shared" si="8"/>
        <v>0</v>
      </c>
      <c r="J32" s="8">
        <v>102371</v>
      </c>
      <c r="K32" s="8">
        <v>102371</v>
      </c>
      <c r="L32" s="144">
        <v>0</v>
      </c>
      <c r="M32" s="144"/>
      <c r="N32" s="158">
        <v>0</v>
      </c>
      <c r="O32" s="159"/>
      <c r="P32" s="212">
        <f t="shared" si="14"/>
        <v>0</v>
      </c>
      <c r="Q32" s="212"/>
      <c r="R32" s="203">
        <v>0</v>
      </c>
      <c r="S32" s="203"/>
      <c r="T32" s="203">
        <v>0</v>
      </c>
      <c r="U32" s="203"/>
      <c r="V32" s="57">
        <f t="shared" si="10"/>
        <v>0</v>
      </c>
      <c r="W32" s="197" t="s">
        <v>49</v>
      </c>
      <c r="X32" s="195"/>
      <c r="Y32" s="196"/>
    </row>
    <row r="33" spans="1:25" ht="35.1" customHeight="1" x14ac:dyDescent="0.25">
      <c r="A33" s="18"/>
      <c r="B33" s="22" t="s">
        <v>47</v>
      </c>
      <c r="C33" s="78">
        <f>SUM(C21:C32)</f>
        <v>177</v>
      </c>
      <c r="D33" s="58">
        <f t="shared" ref="D33:E33" si="16">SUM(D21:D32)</f>
        <v>18</v>
      </c>
      <c r="E33" s="58">
        <f t="shared" si="16"/>
        <v>15</v>
      </c>
      <c r="F33" s="58">
        <f>SUM(F21:F32)</f>
        <v>180</v>
      </c>
      <c r="G33" s="201">
        <f>SUM(G21:H32)</f>
        <v>180</v>
      </c>
      <c r="H33" s="201"/>
      <c r="I33" s="59">
        <f>SUM(I21:I32)</f>
        <v>0</v>
      </c>
      <c r="J33" s="68">
        <f>SUM(J21:J32)</f>
        <v>1744447</v>
      </c>
      <c r="K33" s="68">
        <f>SUM(K21:K32)</f>
        <v>1744447</v>
      </c>
      <c r="L33" s="200">
        <f>SUM(L21:M32)</f>
        <v>1028458</v>
      </c>
      <c r="M33" s="200"/>
      <c r="N33" s="200">
        <f>SUM(N21:O32)</f>
        <v>914211.6</v>
      </c>
      <c r="O33" s="200"/>
      <c r="P33" s="200">
        <f>SUM(P21:Q32)</f>
        <v>114246.40000000001</v>
      </c>
      <c r="Q33" s="200"/>
      <c r="R33" s="200">
        <f>SUM(R21:S32)</f>
        <v>123417.88</v>
      </c>
      <c r="S33" s="200"/>
      <c r="T33" s="200">
        <f>SUM(T21:U32)</f>
        <v>123418</v>
      </c>
      <c r="U33" s="200"/>
      <c r="V33" s="60">
        <f>SUM(V21:V32)</f>
        <v>-0.11999999999989086</v>
      </c>
      <c r="W33" s="207"/>
      <c r="X33" s="208"/>
      <c r="Y33" s="209"/>
    </row>
    <row r="34" spans="1:25" x14ac:dyDescent="0.25">
      <c r="C34" s="63"/>
      <c r="D34" s="63"/>
      <c r="E34" s="63"/>
      <c r="F34" s="63"/>
      <c r="G34" s="63"/>
      <c r="H34" s="63"/>
      <c r="I34" s="63"/>
      <c r="J34" s="63"/>
      <c r="K34" s="7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1:25" ht="18.75" x14ac:dyDescent="0.3">
      <c r="A35" s="11"/>
      <c r="B35" s="11"/>
      <c r="C35" s="61"/>
      <c r="D35" s="61"/>
      <c r="E35" s="61"/>
      <c r="F35" s="61"/>
      <c r="G35" s="61"/>
      <c r="H35" s="61"/>
      <c r="I35" s="61"/>
      <c r="J35" s="74"/>
      <c r="K35" s="61"/>
      <c r="L35" s="211"/>
      <c r="M35" s="211"/>
      <c r="N35" s="210"/>
      <c r="O35" s="211"/>
      <c r="P35" s="61"/>
      <c r="Q35" s="61"/>
      <c r="R35" s="61"/>
      <c r="S35" s="61"/>
      <c r="T35" s="61"/>
      <c r="U35" s="61"/>
      <c r="V35" s="61"/>
      <c r="W35" s="61"/>
      <c r="X35" s="61"/>
      <c r="Y35" s="61"/>
    </row>
    <row r="36" spans="1:25" ht="18.75" x14ac:dyDescent="0.3">
      <c r="A36" s="11"/>
      <c r="B36" s="11"/>
      <c r="C36" s="61"/>
      <c r="D36" s="61"/>
      <c r="E36" s="61"/>
      <c r="F36" s="61"/>
      <c r="G36" s="61"/>
      <c r="H36" s="61"/>
      <c r="I36" s="61"/>
      <c r="J36" s="61"/>
      <c r="K36" s="61"/>
      <c r="L36" s="210"/>
      <c r="M36" s="21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</row>
    <row r="37" spans="1:25" ht="18.75" x14ac:dyDescent="0.3">
      <c r="A37" s="11"/>
      <c r="B37" s="11"/>
      <c r="C37" s="61"/>
      <c r="D37" s="61"/>
      <c r="E37" s="61"/>
      <c r="F37" s="61"/>
      <c r="G37" s="61"/>
      <c r="H37" s="61"/>
      <c r="I37" s="61"/>
      <c r="J37" s="61"/>
      <c r="K37" s="61"/>
      <c r="L37" s="79"/>
      <c r="M37" s="80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</row>
    <row r="38" spans="1:25" ht="18.75" x14ac:dyDescent="0.3">
      <c r="A38" s="11"/>
      <c r="B38" s="11"/>
      <c r="C38" s="61"/>
      <c r="D38" s="61"/>
      <c r="E38" s="61"/>
      <c r="F38" s="61"/>
      <c r="G38" s="61"/>
      <c r="H38" s="61"/>
      <c r="I38" s="61"/>
      <c r="J38" s="61"/>
      <c r="K38" s="61"/>
      <c r="L38" s="79"/>
      <c r="M38" s="80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</row>
    <row r="39" spans="1:25" ht="36" customHeight="1" x14ac:dyDescent="0.35">
      <c r="A39" s="25" t="s">
        <v>63</v>
      </c>
      <c r="B39" s="25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>
        <v>86794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r="40" spans="1:25" ht="18.75" x14ac:dyDescent="0.25">
      <c r="A40" s="163" t="s">
        <v>1</v>
      </c>
      <c r="B40" s="163" t="s">
        <v>38</v>
      </c>
      <c r="C40" s="166" t="s">
        <v>39</v>
      </c>
      <c r="D40" s="166"/>
      <c r="E40" s="166"/>
      <c r="F40" s="166"/>
      <c r="G40" s="155" t="s">
        <v>61</v>
      </c>
      <c r="H40" s="166" t="s">
        <v>62</v>
      </c>
      <c r="I40" s="155" t="s">
        <v>41</v>
      </c>
      <c r="J40" s="155"/>
      <c r="K40" s="164" t="s">
        <v>60</v>
      </c>
      <c r="L40" s="155" t="s">
        <v>44</v>
      </c>
      <c r="M40" s="155"/>
      <c r="N40" s="166" t="s">
        <v>57</v>
      </c>
      <c r="O40" s="166"/>
      <c r="P40" s="166" t="s">
        <v>53</v>
      </c>
      <c r="Q40" s="166"/>
      <c r="R40" s="155" t="s">
        <v>59</v>
      </c>
      <c r="S40" s="155"/>
      <c r="T40" s="155" t="s">
        <v>58</v>
      </c>
      <c r="U40" s="155"/>
      <c r="V40" s="166" t="s">
        <v>74</v>
      </c>
      <c r="W40" s="166" t="s">
        <v>43</v>
      </c>
      <c r="X40" s="166"/>
      <c r="Y40" s="166"/>
    </row>
    <row r="41" spans="1:25" ht="18.75" x14ac:dyDescent="0.25">
      <c r="A41" s="163"/>
      <c r="B41" s="163"/>
      <c r="C41" s="44" t="s">
        <v>65</v>
      </c>
      <c r="D41" s="44" t="s">
        <v>66</v>
      </c>
      <c r="E41" s="44" t="s">
        <v>67</v>
      </c>
      <c r="F41" s="78" t="s">
        <v>68</v>
      </c>
      <c r="G41" s="155"/>
      <c r="H41" s="166"/>
      <c r="I41" s="155"/>
      <c r="J41" s="155"/>
      <c r="K41" s="165"/>
      <c r="L41" s="155"/>
      <c r="M41" s="155"/>
      <c r="N41" s="166"/>
      <c r="O41" s="166"/>
      <c r="P41" s="166"/>
      <c r="Q41" s="166"/>
      <c r="R41" s="155"/>
      <c r="S41" s="155"/>
      <c r="T41" s="155"/>
      <c r="U41" s="155"/>
      <c r="V41" s="166"/>
      <c r="W41" s="166"/>
      <c r="X41" s="166"/>
      <c r="Y41" s="166"/>
    </row>
    <row r="42" spans="1:25" ht="35.1" customHeight="1" x14ac:dyDescent="0.3">
      <c r="A42" s="18">
        <v>1</v>
      </c>
      <c r="B42" s="75" t="str">
        <f t="shared" ref="B42:B50" si="17">B21</f>
        <v>SALARY -STAFF - BANK</v>
      </c>
      <c r="C42" s="56">
        <v>14</v>
      </c>
      <c r="D42" s="56">
        <v>0</v>
      </c>
      <c r="E42" s="56">
        <v>0</v>
      </c>
      <c r="F42" s="41">
        <f>C42+D42-E42</f>
        <v>14</v>
      </c>
      <c r="G42" s="56">
        <v>10</v>
      </c>
      <c r="H42" s="39">
        <f t="shared" ref="H42:H53" si="18">G42-F42</f>
        <v>-4</v>
      </c>
      <c r="I42" s="203">
        <f>M4</f>
        <v>294960</v>
      </c>
      <c r="J42" s="203"/>
      <c r="K42" s="39">
        <v>0</v>
      </c>
      <c r="L42" s="144">
        <f>294960-137308</f>
        <v>157652</v>
      </c>
      <c r="M42" s="144"/>
      <c r="N42" s="144">
        <f>+I42+K42</f>
        <v>294960</v>
      </c>
      <c r="O42" s="144"/>
      <c r="P42" s="144">
        <f>+L42-N42</f>
        <v>-137308</v>
      </c>
      <c r="Q42" s="144"/>
      <c r="R42" s="203">
        <v>1188</v>
      </c>
      <c r="S42" s="203"/>
      <c r="T42" s="203">
        <v>1188</v>
      </c>
      <c r="U42" s="203"/>
      <c r="V42" s="57">
        <f>R42-T42</f>
        <v>0</v>
      </c>
      <c r="W42" s="202" t="s">
        <v>70</v>
      </c>
      <c r="X42" s="202"/>
      <c r="Y42" s="202"/>
    </row>
    <row r="43" spans="1:25" ht="35.1" customHeight="1" x14ac:dyDescent="0.3">
      <c r="A43" s="18">
        <v>2</v>
      </c>
      <c r="B43" s="75" t="str">
        <f t="shared" si="17"/>
        <v>SALARY - STAFF -2 CSB</v>
      </c>
      <c r="C43" s="76">
        <v>5</v>
      </c>
      <c r="D43" s="76"/>
      <c r="E43" s="76"/>
      <c r="F43" s="41">
        <f t="shared" ref="F43:F53" si="19">C43+D43-E43</f>
        <v>5</v>
      </c>
      <c r="G43" s="56">
        <v>4</v>
      </c>
      <c r="H43" s="39">
        <f t="shared" si="18"/>
        <v>-1</v>
      </c>
      <c r="I43" s="203">
        <f t="shared" ref="I43:I50" si="20">M5</f>
        <v>78040</v>
      </c>
      <c r="J43" s="203"/>
      <c r="K43" s="39">
        <v>0</v>
      </c>
      <c r="L43" s="144">
        <f>78040-22846</f>
        <v>55194</v>
      </c>
      <c r="M43" s="144"/>
      <c r="N43" s="144">
        <f t="shared" ref="N43:N53" si="21">+I43+K43</f>
        <v>78040</v>
      </c>
      <c r="O43" s="144"/>
      <c r="P43" s="144">
        <f>+L43-N43</f>
        <v>-22846</v>
      </c>
      <c r="Q43" s="144"/>
      <c r="R43" s="203">
        <v>415</v>
      </c>
      <c r="S43" s="203"/>
      <c r="T43" s="203">
        <v>415</v>
      </c>
      <c r="U43" s="203"/>
      <c r="V43" s="57">
        <f>R43-T43</f>
        <v>0</v>
      </c>
      <c r="W43" s="202"/>
      <c r="X43" s="202"/>
      <c r="Y43" s="202"/>
    </row>
    <row r="44" spans="1:25" ht="35.1" customHeight="1" x14ac:dyDescent="0.3">
      <c r="A44" s="18">
        <v>3</v>
      </c>
      <c r="B44" s="75" t="str">
        <f t="shared" si="17"/>
        <v>SALARY - STAFF-CHEQUE</v>
      </c>
      <c r="C44" s="76">
        <v>0</v>
      </c>
      <c r="D44" s="76">
        <v>0</v>
      </c>
      <c r="E44" s="76"/>
      <c r="F44" s="41">
        <f t="shared" si="19"/>
        <v>0</v>
      </c>
      <c r="G44" s="56">
        <v>0</v>
      </c>
      <c r="H44" s="39">
        <f t="shared" si="18"/>
        <v>0</v>
      </c>
      <c r="I44" s="203">
        <f t="shared" si="20"/>
        <v>0</v>
      </c>
      <c r="J44" s="203"/>
      <c r="K44" s="39">
        <v>0</v>
      </c>
      <c r="L44" s="144">
        <v>0</v>
      </c>
      <c r="M44" s="144"/>
      <c r="N44" s="144">
        <f t="shared" si="21"/>
        <v>0</v>
      </c>
      <c r="O44" s="144"/>
      <c r="P44" s="144">
        <f>+L44-N44</f>
        <v>0</v>
      </c>
      <c r="Q44" s="144"/>
      <c r="R44" s="203">
        <v>0</v>
      </c>
      <c r="S44" s="203"/>
      <c r="T44" s="203">
        <v>0</v>
      </c>
      <c r="U44" s="203"/>
      <c r="V44" s="57">
        <f t="shared" ref="V44:V53" si="22">R44-T44</f>
        <v>0</v>
      </c>
      <c r="W44" s="202"/>
      <c r="X44" s="202"/>
      <c r="Y44" s="202"/>
    </row>
    <row r="45" spans="1:25" ht="35.1" customHeight="1" x14ac:dyDescent="0.3">
      <c r="A45" s="18">
        <v>4</v>
      </c>
      <c r="B45" s="75" t="str">
        <f t="shared" si="17"/>
        <v>WAGES-PERMANENT - BANK</v>
      </c>
      <c r="C45" s="76">
        <v>7</v>
      </c>
      <c r="D45" s="76"/>
      <c r="E45" s="76"/>
      <c r="F45" s="41">
        <f t="shared" si="19"/>
        <v>7</v>
      </c>
      <c r="G45" s="56">
        <v>7</v>
      </c>
      <c r="H45" s="39">
        <f t="shared" si="18"/>
        <v>0</v>
      </c>
      <c r="I45" s="203">
        <f t="shared" si="20"/>
        <v>85104</v>
      </c>
      <c r="J45" s="203"/>
      <c r="K45" s="39">
        <v>0</v>
      </c>
      <c r="L45" s="144">
        <v>85104</v>
      </c>
      <c r="M45" s="144"/>
      <c r="N45" s="144">
        <f>+I45+K45</f>
        <v>85104</v>
      </c>
      <c r="O45" s="144"/>
      <c r="P45" s="144">
        <f t="shared" ref="P45:P53" si="23">+L45-N45</f>
        <v>0</v>
      </c>
      <c r="Q45" s="144"/>
      <c r="R45" s="203">
        <v>643</v>
      </c>
      <c r="S45" s="203"/>
      <c r="T45" s="203">
        <v>643</v>
      </c>
      <c r="U45" s="203"/>
      <c r="V45" s="57">
        <f t="shared" si="22"/>
        <v>0</v>
      </c>
      <c r="W45" s="202"/>
      <c r="X45" s="202"/>
      <c r="Y45" s="202"/>
    </row>
    <row r="46" spans="1:25" ht="35.1" customHeight="1" x14ac:dyDescent="0.3">
      <c r="A46" s="18">
        <v>5</v>
      </c>
      <c r="B46" s="75" t="str">
        <f t="shared" si="17"/>
        <v>WAGES - CASUAL - BANK(OUTSIDE)</v>
      </c>
      <c r="C46" s="76">
        <v>29</v>
      </c>
      <c r="D46" s="76">
        <v>2</v>
      </c>
      <c r="E46" s="76">
        <v>1</v>
      </c>
      <c r="F46" s="41">
        <f t="shared" si="19"/>
        <v>30</v>
      </c>
      <c r="G46" s="56">
        <v>30</v>
      </c>
      <c r="H46" s="39">
        <f t="shared" si="18"/>
        <v>0</v>
      </c>
      <c r="I46" s="203">
        <f>M8</f>
        <v>521038</v>
      </c>
      <c r="J46" s="203"/>
      <c r="K46" s="39">
        <v>0</v>
      </c>
      <c r="L46" s="144">
        <v>521038</v>
      </c>
      <c r="M46" s="144"/>
      <c r="N46" s="144">
        <f t="shared" si="21"/>
        <v>521038</v>
      </c>
      <c r="O46" s="144"/>
      <c r="P46" s="144">
        <f t="shared" si="23"/>
        <v>0</v>
      </c>
      <c r="Q46" s="144"/>
      <c r="R46" s="203">
        <f>3940</f>
        <v>3940</v>
      </c>
      <c r="S46" s="203"/>
      <c r="T46" s="203">
        <v>3940</v>
      </c>
      <c r="U46" s="203"/>
      <c r="V46" s="57">
        <f t="shared" si="22"/>
        <v>0</v>
      </c>
      <c r="W46" s="202"/>
      <c r="X46" s="202"/>
      <c r="Y46" s="202"/>
    </row>
    <row r="47" spans="1:25" ht="35.1" customHeight="1" x14ac:dyDescent="0.3">
      <c r="A47" s="18">
        <v>6</v>
      </c>
      <c r="B47" s="75" t="str">
        <f t="shared" si="17"/>
        <v>WAGES - CASUAL - CASH(OUTSIDE)</v>
      </c>
      <c r="C47" s="76">
        <v>58</v>
      </c>
      <c r="D47" s="76">
        <v>5</v>
      </c>
      <c r="E47" s="76">
        <v>9</v>
      </c>
      <c r="F47" s="41">
        <f t="shared" si="19"/>
        <v>54</v>
      </c>
      <c r="G47" s="56">
        <v>54</v>
      </c>
      <c r="H47" s="39">
        <f t="shared" si="18"/>
        <v>0</v>
      </c>
      <c r="I47" s="203">
        <f t="shared" si="20"/>
        <v>37625</v>
      </c>
      <c r="J47" s="203"/>
      <c r="K47" s="39">
        <v>24412</v>
      </c>
      <c r="L47" s="144">
        <v>37625</v>
      </c>
      <c r="M47" s="144"/>
      <c r="N47" s="144">
        <v>37625</v>
      </c>
      <c r="O47" s="144"/>
      <c r="P47" s="144">
        <f t="shared" si="23"/>
        <v>0</v>
      </c>
      <c r="Q47" s="144"/>
      <c r="R47" s="203">
        <f>286+183</f>
        <v>469</v>
      </c>
      <c r="S47" s="203"/>
      <c r="T47" s="203">
        <v>469</v>
      </c>
      <c r="U47" s="203"/>
      <c r="V47" s="57">
        <f t="shared" si="22"/>
        <v>0</v>
      </c>
      <c r="W47" s="202"/>
      <c r="X47" s="202"/>
      <c r="Y47" s="202"/>
    </row>
    <row r="48" spans="1:25" ht="35.1" customHeight="1" x14ac:dyDescent="0.3">
      <c r="A48" s="18">
        <v>7</v>
      </c>
      <c r="B48" s="75" t="str">
        <f t="shared" si="17"/>
        <v>WAGES - CASUAL - CASH(INSIDE)</v>
      </c>
      <c r="C48" s="76">
        <v>47</v>
      </c>
      <c r="D48" s="76">
        <v>8</v>
      </c>
      <c r="E48" s="76">
        <v>3</v>
      </c>
      <c r="F48" s="41">
        <f t="shared" si="19"/>
        <v>52</v>
      </c>
      <c r="G48" s="56">
        <v>52</v>
      </c>
      <c r="H48" s="39">
        <f t="shared" si="18"/>
        <v>0</v>
      </c>
      <c r="I48" s="203">
        <f t="shared" si="20"/>
        <v>239880</v>
      </c>
      <c r="J48" s="203"/>
      <c r="K48" s="39">
        <v>43178</v>
      </c>
      <c r="L48" s="144">
        <v>239880</v>
      </c>
      <c r="M48" s="144"/>
      <c r="N48" s="144">
        <v>239880</v>
      </c>
      <c r="O48" s="144"/>
      <c r="P48" s="144">
        <f>+L48-N48</f>
        <v>0</v>
      </c>
      <c r="Q48" s="144"/>
      <c r="R48" s="203">
        <f>1819+324</f>
        <v>2143</v>
      </c>
      <c r="S48" s="203"/>
      <c r="T48" s="203">
        <v>2143</v>
      </c>
      <c r="U48" s="203"/>
      <c r="V48" s="57">
        <f t="shared" si="22"/>
        <v>0</v>
      </c>
      <c r="W48" s="202"/>
      <c r="X48" s="202"/>
      <c r="Y48" s="202"/>
    </row>
    <row r="49" spans="1:25" ht="35.1" customHeight="1" x14ac:dyDescent="0.3">
      <c r="A49" s="18">
        <v>8</v>
      </c>
      <c r="B49" s="75" t="str">
        <f t="shared" si="17"/>
        <v>WAGES - SECUR &amp; GARDEN - CHEQUE</v>
      </c>
      <c r="C49" s="76">
        <v>0</v>
      </c>
      <c r="D49" s="76">
        <v>0</v>
      </c>
      <c r="E49" s="76">
        <v>1</v>
      </c>
      <c r="F49" s="41">
        <f t="shared" si="19"/>
        <v>-1</v>
      </c>
      <c r="G49" s="56">
        <v>-1</v>
      </c>
      <c r="H49" s="39">
        <f>G49-F49</f>
        <v>0</v>
      </c>
      <c r="I49" s="203">
        <f t="shared" si="20"/>
        <v>0</v>
      </c>
      <c r="J49" s="203"/>
      <c r="K49" s="39">
        <v>0</v>
      </c>
      <c r="L49" s="144">
        <v>0</v>
      </c>
      <c r="M49" s="144"/>
      <c r="N49" s="144">
        <f t="shared" si="21"/>
        <v>0</v>
      </c>
      <c r="O49" s="144"/>
      <c r="P49" s="144">
        <f t="shared" si="23"/>
        <v>0</v>
      </c>
      <c r="Q49" s="144"/>
      <c r="R49" s="203">
        <v>0</v>
      </c>
      <c r="S49" s="203"/>
      <c r="T49" s="203">
        <v>0</v>
      </c>
      <c r="U49" s="203"/>
      <c r="V49" s="57">
        <f t="shared" si="22"/>
        <v>0</v>
      </c>
      <c r="W49" s="202"/>
      <c r="X49" s="202"/>
      <c r="Y49" s="202"/>
    </row>
    <row r="50" spans="1:25" ht="35.1" customHeight="1" x14ac:dyDescent="0.3">
      <c r="A50" s="18">
        <v>9</v>
      </c>
      <c r="B50" s="75" t="str">
        <f t="shared" si="17"/>
        <v>WAGES - SECUR &amp; GARDEN - CSB</v>
      </c>
      <c r="C50" s="76">
        <v>8</v>
      </c>
      <c r="D50" s="76"/>
      <c r="E50" s="76">
        <v>0</v>
      </c>
      <c r="F50" s="41">
        <f t="shared" si="19"/>
        <v>8</v>
      </c>
      <c r="G50" s="56">
        <v>8</v>
      </c>
      <c r="H50" s="39">
        <f t="shared" si="18"/>
        <v>0</v>
      </c>
      <c r="I50" s="203">
        <f t="shared" si="20"/>
        <v>67039</v>
      </c>
      <c r="J50" s="203"/>
      <c r="K50" s="39">
        <v>0</v>
      </c>
      <c r="L50" s="144">
        <v>67039</v>
      </c>
      <c r="M50" s="144"/>
      <c r="N50" s="144">
        <f t="shared" si="21"/>
        <v>67039</v>
      </c>
      <c r="O50" s="144"/>
      <c r="P50" s="144">
        <f t="shared" si="23"/>
        <v>0</v>
      </c>
      <c r="Q50" s="144"/>
      <c r="R50" s="203">
        <v>506</v>
      </c>
      <c r="S50" s="203"/>
      <c r="T50" s="203">
        <v>506</v>
      </c>
      <c r="U50" s="203"/>
      <c r="V50" s="57">
        <f t="shared" si="22"/>
        <v>0</v>
      </c>
      <c r="W50" s="202"/>
      <c r="X50" s="202"/>
      <c r="Y50" s="202"/>
    </row>
    <row r="51" spans="1:25" ht="35.1" customHeight="1" x14ac:dyDescent="0.3">
      <c r="A51" s="18">
        <v>10</v>
      </c>
      <c r="B51" s="75" t="s">
        <v>34</v>
      </c>
      <c r="C51" s="76">
        <v>1</v>
      </c>
      <c r="D51" s="76"/>
      <c r="E51" s="76"/>
      <c r="F51" s="41">
        <v>1</v>
      </c>
      <c r="G51" s="56">
        <v>0</v>
      </c>
      <c r="H51" s="39">
        <f t="shared" si="18"/>
        <v>-1</v>
      </c>
      <c r="I51" s="204">
        <v>200000</v>
      </c>
      <c r="J51" s="205"/>
      <c r="K51" s="39">
        <v>0</v>
      </c>
      <c r="L51" s="158">
        <v>0</v>
      </c>
      <c r="M51" s="159"/>
      <c r="N51" s="144">
        <f t="shared" si="21"/>
        <v>200000</v>
      </c>
      <c r="O51" s="144"/>
      <c r="P51" s="144">
        <f t="shared" si="23"/>
        <v>-200000</v>
      </c>
      <c r="Q51" s="144"/>
      <c r="R51" s="203">
        <v>0</v>
      </c>
      <c r="S51" s="203"/>
      <c r="T51" s="204"/>
      <c r="U51" s="205"/>
      <c r="V51" s="57">
        <f t="shared" si="22"/>
        <v>0</v>
      </c>
      <c r="W51" s="206" t="s">
        <v>71</v>
      </c>
      <c r="X51" s="206"/>
      <c r="Y51" s="206"/>
    </row>
    <row r="52" spans="1:25" ht="35.1" customHeight="1" x14ac:dyDescent="0.3">
      <c r="A52" s="18">
        <v>11</v>
      </c>
      <c r="B52" s="75" t="str">
        <f t="shared" ref="B52:B53" si="24">B31</f>
        <v>EXEMPTED - BANK</v>
      </c>
      <c r="C52" s="76">
        <v>6</v>
      </c>
      <c r="D52" s="76">
        <v>1</v>
      </c>
      <c r="E52" s="76"/>
      <c r="F52" s="41">
        <f t="shared" si="19"/>
        <v>7</v>
      </c>
      <c r="G52" s="56">
        <v>7</v>
      </c>
      <c r="H52" s="39">
        <f t="shared" si="18"/>
        <v>0</v>
      </c>
      <c r="I52" s="227">
        <f>+M14</f>
        <v>118390</v>
      </c>
      <c r="J52" s="228"/>
      <c r="K52" s="39">
        <v>0</v>
      </c>
      <c r="L52" s="144">
        <v>0</v>
      </c>
      <c r="M52" s="144"/>
      <c r="N52" s="144">
        <f t="shared" si="21"/>
        <v>118390</v>
      </c>
      <c r="O52" s="144"/>
      <c r="P52" s="144">
        <f t="shared" si="23"/>
        <v>-118390</v>
      </c>
      <c r="Q52" s="144"/>
      <c r="R52" s="203">
        <v>0</v>
      </c>
      <c r="S52" s="203"/>
      <c r="T52" s="203">
        <v>0</v>
      </c>
      <c r="U52" s="203"/>
      <c r="V52" s="57">
        <f t="shared" si="22"/>
        <v>0</v>
      </c>
      <c r="W52" s="202"/>
      <c r="X52" s="202"/>
      <c r="Y52" s="202"/>
    </row>
    <row r="53" spans="1:25" ht="35.1" customHeight="1" x14ac:dyDescent="0.3">
      <c r="A53" s="18">
        <v>12</v>
      </c>
      <c r="B53" s="75" t="str">
        <f t="shared" si="24"/>
        <v>EXEMPTED - CHEQUE</v>
      </c>
      <c r="C53" s="76">
        <v>2</v>
      </c>
      <c r="D53" s="76">
        <v>2</v>
      </c>
      <c r="E53" s="76">
        <v>1</v>
      </c>
      <c r="F53" s="41">
        <f t="shared" si="19"/>
        <v>3</v>
      </c>
      <c r="G53" s="56">
        <v>3</v>
      </c>
      <c r="H53" s="39">
        <f t="shared" si="18"/>
        <v>0</v>
      </c>
      <c r="I53" s="227">
        <f>+M15</f>
        <v>102371</v>
      </c>
      <c r="J53" s="228"/>
      <c r="K53" s="39">
        <v>0</v>
      </c>
      <c r="L53" s="144">
        <v>0</v>
      </c>
      <c r="M53" s="144"/>
      <c r="N53" s="144">
        <f t="shared" si="21"/>
        <v>102371</v>
      </c>
      <c r="O53" s="144"/>
      <c r="P53" s="144">
        <f t="shared" si="23"/>
        <v>-102371</v>
      </c>
      <c r="Q53" s="144"/>
      <c r="R53" s="203">
        <v>0</v>
      </c>
      <c r="S53" s="203"/>
      <c r="T53" s="203">
        <v>0</v>
      </c>
      <c r="U53" s="203"/>
      <c r="V53" s="57">
        <f t="shared" si="22"/>
        <v>0</v>
      </c>
      <c r="W53" s="202"/>
      <c r="X53" s="202"/>
      <c r="Y53" s="202"/>
    </row>
    <row r="54" spans="1:25" ht="35.1" customHeight="1" x14ac:dyDescent="0.25">
      <c r="A54" s="18"/>
      <c r="B54" s="22" t="s">
        <v>47</v>
      </c>
      <c r="C54" s="58">
        <f t="shared" ref="C54:H54" si="25">SUM(C42:C53)</f>
        <v>177</v>
      </c>
      <c r="D54" s="58">
        <f t="shared" si="25"/>
        <v>18</v>
      </c>
      <c r="E54" s="58">
        <f t="shared" si="25"/>
        <v>15</v>
      </c>
      <c r="F54" s="58">
        <f t="shared" si="25"/>
        <v>180</v>
      </c>
      <c r="G54" s="58">
        <f>SUM(G42:G53)</f>
        <v>174</v>
      </c>
      <c r="H54" s="58">
        <f t="shared" si="25"/>
        <v>-6</v>
      </c>
      <c r="I54" s="199">
        <f>SUM(I42:K53)</f>
        <v>1812037</v>
      </c>
      <c r="J54" s="199"/>
      <c r="K54" s="62">
        <f>SUM(K42:K53)</f>
        <v>67590</v>
      </c>
      <c r="L54" s="200">
        <f>SUM(L42:M53)</f>
        <v>1163532</v>
      </c>
      <c r="M54" s="200"/>
      <c r="N54" s="201">
        <f>SUM(N42:O53)</f>
        <v>1744447</v>
      </c>
      <c r="O54" s="201"/>
      <c r="P54" s="201">
        <f>SUM(P42:Q53)</f>
        <v>-580915</v>
      </c>
      <c r="Q54" s="201"/>
      <c r="R54" s="201">
        <f>SUM(R42:S53)</f>
        <v>9304</v>
      </c>
      <c r="S54" s="201"/>
      <c r="T54" s="201">
        <f>SUM(T42:U53)</f>
        <v>9304</v>
      </c>
      <c r="U54" s="201"/>
      <c r="V54" s="60">
        <f>SUM(V42:V53)</f>
        <v>0</v>
      </c>
      <c r="W54" s="198"/>
      <c r="X54" s="198"/>
      <c r="Y54" s="198"/>
    </row>
    <row r="55" spans="1:25" ht="18.75" x14ac:dyDescent="0.3">
      <c r="G55" s="82"/>
    </row>
  </sheetData>
  <mergeCells count="223">
    <mergeCell ref="W53:Y53"/>
    <mergeCell ref="I54:J54"/>
    <mergeCell ref="L54:M54"/>
    <mergeCell ref="N54:O54"/>
    <mergeCell ref="P54:Q54"/>
    <mergeCell ref="R54:S54"/>
    <mergeCell ref="T54:U54"/>
    <mergeCell ref="W54:Y54"/>
    <mergeCell ref="I53:J53"/>
    <mergeCell ref="L53:M53"/>
    <mergeCell ref="N53:O53"/>
    <mergeCell ref="P53:Q53"/>
    <mergeCell ref="R53:S53"/>
    <mergeCell ref="T53:U53"/>
    <mergeCell ref="W51:Y51"/>
    <mergeCell ref="I52:J52"/>
    <mergeCell ref="L52:M52"/>
    <mergeCell ref="N52:O52"/>
    <mergeCell ref="P52:Q52"/>
    <mergeCell ref="R52:S52"/>
    <mergeCell ref="T52:U52"/>
    <mergeCell ref="W52:Y52"/>
    <mergeCell ref="I51:J51"/>
    <mergeCell ref="L51:M51"/>
    <mergeCell ref="N51:O51"/>
    <mergeCell ref="P51:Q51"/>
    <mergeCell ref="R51:S51"/>
    <mergeCell ref="T51:U51"/>
    <mergeCell ref="W49:Y49"/>
    <mergeCell ref="I50:J50"/>
    <mergeCell ref="L50:M50"/>
    <mergeCell ref="N50:O50"/>
    <mergeCell ref="P50:Q50"/>
    <mergeCell ref="R50:S50"/>
    <mergeCell ref="T50:U50"/>
    <mergeCell ref="W50:Y50"/>
    <mergeCell ref="I49:J49"/>
    <mergeCell ref="L49:M49"/>
    <mergeCell ref="N49:O49"/>
    <mergeCell ref="P49:Q49"/>
    <mergeCell ref="R49:S49"/>
    <mergeCell ref="T49:U49"/>
    <mergeCell ref="W47:Y47"/>
    <mergeCell ref="I48:J48"/>
    <mergeCell ref="L48:M48"/>
    <mergeCell ref="N48:O48"/>
    <mergeCell ref="P48:Q48"/>
    <mergeCell ref="R48:S48"/>
    <mergeCell ref="T48:U48"/>
    <mergeCell ref="W48:Y48"/>
    <mergeCell ref="I47:J47"/>
    <mergeCell ref="L47:M47"/>
    <mergeCell ref="N47:O47"/>
    <mergeCell ref="P47:Q47"/>
    <mergeCell ref="R47:S47"/>
    <mergeCell ref="T47:U47"/>
    <mergeCell ref="W45:Y45"/>
    <mergeCell ref="I46:J46"/>
    <mergeCell ref="L46:M46"/>
    <mergeCell ref="N46:O46"/>
    <mergeCell ref="P46:Q46"/>
    <mergeCell ref="R46:S46"/>
    <mergeCell ref="T46:U46"/>
    <mergeCell ref="W46:Y46"/>
    <mergeCell ref="I45:J45"/>
    <mergeCell ref="L45:M45"/>
    <mergeCell ref="N45:O45"/>
    <mergeCell ref="P45:Q45"/>
    <mergeCell ref="R45:S45"/>
    <mergeCell ref="T45:U45"/>
    <mergeCell ref="W43:Y43"/>
    <mergeCell ref="I44:J44"/>
    <mergeCell ref="L44:M44"/>
    <mergeCell ref="N44:O44"/>
    <mergeCell ref="P44:Q44"/>
    <mergeCell ref="R44:S44"/>
    <mergeCell ref="T44:U44"/>
    <mergeCell ref="W44:Y44"/>
    <mergeCell ref="I43:J43"/>
    <mergeCell ref="L43:M43"/>
    <mergeCell ref="N43:O43"/>
    <mergeCell ref="P43:Q43"/>
    <mergeCell ref="R43:S43"/>
    <mergeCell ref="T43:U43"/>
    <mergeCell ref="W40:Y41"/>
    <mergeCell ref="I42:J42"/>
    <mergeCell ref="L42:M42"/>
    <mergeCell ref="N42:O42"/>
    <mergeCell ref="P42:Q42"/>
    <mergeCell ref="R42:S42"/>
    <mergeCell ref="T42:U42"/>
    <mergeCell ref="W42:Y42"/>
    <mergeCell ref="L40:M41"/>
    <mergeCell ref="N40:O41"/>
    <mergeCell ref="P40:Q41"/>
    <mergeCell ref="R40:S41"/>
    <mergeCell ref="T40:U41"/>
    <mergeCell ref="V40:V41"/>
    <mergeCell ref="L35:M35"/>
    <mergeCell ref="N35:O35"/>
    <mergeCell ref="L36:M36"/>
    <mergeCell ref="A40:A41"/>
    <mergeCell ref="B40:B41"/>
    <mergeCell ref="C40:F40"/>
    <mergeCell ref="G40:G41"/>
    <mergeCell ref="H40:H41"/>
    <mergeCell ref="I40:J41"/>
    <mergeCell ref="K40:K41"/>
    <mergeCell ref="W32:Y32"/>
    <mergeCell ref="G33:H33"/>
    <mergeCell ref="L33:M33"/>
    <mergeCell ref="N33:O33"/>
    <mergeCell ref="P33:Q33"/>
    <mergeCell ref="R33:S33"/>
    <mergeCell ref="T33:U33"/>
    <mergeCell ref="W33:Y33"/>
    <mergeCell ref="G32:H32"/>
    <mergeCell ref="L32:M32"/>
    <mergeCell ref="N32:O32"/>
    <mergeCell ref="P32:Q32"/>
    <mergeCell ref="R32:S32"/>
    <mergeCell ref="T32:U32"/>
    <mergeCell ref="W30:Y30"/>
    <mergeCell ref="G31:H31"/>
    <mergeCell ref="L31:M31"/>
    <mergeCell ref="N31:O31"/>
    <mergeCell ref="P31:Q31"/>
    <mergeCell ref="R31:S31"/>
    <mergeCell ref="T31:U31"/>
    <mergeCell ref="W31:Y31"/>
    <mergeCell ref="G30:H30"/>
    <mergeCell ref="L30:M30"/>
    <mergeCell ref="N30:O30"/>
    <mergeCell ref="P30:Q30"/>
    <mergeCell ref="R30:S30"/>
    <mergeCell ref="T30:U30"/>
    <mergeCell ref="W28:Y28"/>
    <mergeCell ref="G29:H29"/>
    <mergeCell ref="L29:M29"/>
    <mergeCell ref="N29:O29"/>
    <mergeCell ref="P29:Q29"/>
    <mergeCell ref="R29:S29"/>
    <mergeCell ref="T29:U29"/>
    <mergeCell ref="W29:Y29"/>
    <mergeCell ref="G28:H28"/>
    <mergeCell ref="L28:M28"/>
    <mergeCell ref="N28:O28"/>
    <mergeCell ref="P28:Q28"/>
    <mergeCell ref="R28:S28"/>
    <mergeCell ref="T28:U28"/>
    <mergeCell ref="W26:Y26"/>
    <mergeCell ref="G27:H27"/>
    <mergeCell ref="L27:M27"/>
    <mergeCell ref="N27:O27"/>
    <mergeCell ref="P27:Q27"/>
    <mergeCell ref="R27:S27"/>
    <mergeCell ref="T27:U27"/>
    <mergeCell ref="W27:Y27"/>
    <mergeCell ref="G26:H26"/>
    <mergeCell ref="L26:M26"/>
    <mergeCell ref="N26:O26"/>
    <mergeCell ref="P26:Q26"/>
    <mergeCell ref="R26:S26"/>
    <mergeCell ref="T26:U26"/>
    <mergeCell ref="W24:Y24"/>
    <mergeCell ref="G25:H25"/>
    <mergeCell ref="L25:M25"/>
    <mergeCell ref="N25:O25"/>
    <mergeCell ref="P25:Q25"/>
    <mergeCell ref="R25:S25"/>
    <mergeCell ref="T25:U25"/>
    <mergeCell ref="W25:Y25"/>
    <mergeCell ref="G24:H24"/>
    <mergeCell ref="L24:M24"/>
    <mergeCell ref="N24:O24"/>
    <mergeCell ref="P24:Q24"/>
    <mergeCell ref="R24:S24"/>
    <mergeCell ref="T24:U24"/>
    <mergeCell ref="W22:Y22"/>
    <mergeCell ref="G23:H23"/>
    <mergeCell ref="L23:M23"/>
    <mergeCell ref="N23:O23"/>
    <mergeCell ref="P23:Q23"/>
    <mergeCell ref="R23:S23"/>
    <mergeCell ref="T23:U23"/>
    <mergeCell ref="W23:Y23"/>
    <mergeCell ref="G22:H22"/>
    <mergeCell ref="L22:M22"/>
    <mergeCell ref="N22:O22"/>
    <mergeCell ref="P22:Q22"/>
    <mergeCell ref="R22:S22"/>
    <mergeCell ref="T22:U22"/>
    <mergeCell ref="G21:H21"/>
    <mergeCell ref="L21:M21"/>
    <mergeCell ref="N21:O21"/>
    <mergeCell ref="P21:Q21"/>
    <mergeCell ref="R21:S21"/>
    <mergeCell ref="T21:U21"/>
    <mergeCell ref="W21:Y21"/>
    <mergeCell ref="K19:K20"/>
    <mergeCell ref="L19:M20"/>
    <mergeCell ref="N19:O20"/>
    <mergeCell ref="P19:Q20"/>
    <mergeCell ref="R19:S20"/>
    <mergeCell ref="T19:U20"/>
    <mergeCell ref="V2:W2"/>
    <mergeCell ref="X2:X3"/>
    <mergeCell ref="Y2:Y3"/>
    <mergeCell ref="A16:B16"/>
    <mergeCell ref="A19:A20"/>
    <mergeCell ref="B19:B20"/>
    <mergeCell ref="C19:F19"/>
    <mergeCell ref="G19:H20"/>
    <mergeCell ref="I19:I20"/>
    <mergeCell ref="J19:J20"/>
    <mergeCell ref="A2:A3"/>
    <mergeCell ref="B2:B3"/>
    <mergeCell ref="C2:F2"/>
    <mergeCell ref="G2:G3"/>
    <mergeCell ref="H2:M2"/>
    <mergeCell ref="N2:U2"/>
    <mergeCell ref="V19:V20"/>
    <mergeCell ref="W19:Y20"/>
  </mergeCells>
  <pageMargins left="0.7" right="0.7" top="0.75" bottom="0.75" header="0.3" footer="0.3"/>
  <pageSetup paperSize="8" scale="65" orientation="landscape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4"/>
  <sheetViews>
    <sheetView topLeftCell="H10" workbookViewId="0">
      <selection activeCell="M10" sqref="M10"/>
    </sheetView>
  </sheetViews>
  <sheetFormatPr defaultRowHeight="15" x14ac:dyDescent="0.25"/>
  <cols>
    <col min="2" max="2" width="40.28515625" customWidth="1"/>
    <col min="7" max="7" width="9.42578125" bestFit="1" customWidth="1"/>
    <col min="10" max="10" width="15.28515625" customWidth="1"/>
    <col min="11" max="11" width="17.140625" customWidth="1"/>
    <col min="13" max="13" width="12.28515625" bestFit="1" customWidth="1"/>
    <col min="22" max="22" width="13.42578125" customWidth="1"/>
    <col min="25" max="25" width="11" customWidth="1"/>
  </cols>
  <sheetData>
    <row r="1" spans="1:25" ht="18.75" x14ac:dyDescent="0.3">
      <c r="A1" s="14" t="s">
        <v>80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29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88" t="s">
        <v>65</v>
      </c>
      <c r="D3" s="64" t="s">
        <v>66</v>
      </c>
      <c r="E3" s="64" t="s">
        <v>67</v>
      </c>
      <c r="F3" s="50" t="s">
        <v>68</v>
      </c>
      <c r="G3" s="215"/>
      <c r="H3" s="88" t="s">
        <v>10</v>
      </c>
      <c r="I3" s="88" t="s">
        <v>11</v>
      </c>
      <c r="J3" s="88" t="s">
        <v>12</v>
      </c>
      <c r="K3" s="88" t="s">
        <v>13</v>
      </c>
      <c r="L3" s="88" t="s">
        <v>55</v>
      </c>
      <c r="M3" s="88" t="s">
        <v>14</v>
      </c>
      <c r="N3" s="88" t="s">
        <v>15</v>
      </c>
      <c r="O3" s="88" t="s">
        <v>16</v>
      </c>
      <c r="P3" s="88" t="s">
        <v>56</v>
      </c>
      <c r="Q3" s="88" t="s">
        <v>17</v>
      </c>
      <c r="R3" s="88" t="s">
        <v>18</v>
      </c>
      <c r="S3" s="88" t="s">
        <v>19</v>
      </c>
      <c r="T3" s="88" t="s">
        <v>20</v>
      </c>
      <c r="U3" s="88" t="s">
        <v>21</v>
      </c>
      <c r="V3" s="88" t="s">
        <v>22</v>
      </c>
      <c r="W3" s="88" t="s">
        <v>23</v>
      </c>
      <c r="X3" s="215"/>
      <c r="Y3" s="215"/>
    </row>
    <row r="4" spans="1:25" ht="25.5" customHeight="1" x14ac:dyDescent="0.25">
      <c r="A4" s="2">
        <v>1</v>
      </c>
      <c r="B4" s="3" t="s">
        <v>24</v>
      </c>
      <c r="C4" s="32">
        <v>14</v>
      </c>
      <c r="D4" s="32">
        <v>0</v>
      </c>
      <c r="E4" s="32">
        <v>0</v>
      </c>
      <c r="F4" s="32">
        <f t="shared" ref="F4:F15" si="0">C4+D4-E4</f>
        <v>14</v>
      </c>
      <c r="G4" s="9">
        <v>363</v>
      </c>
      <c r="H4" s="8">
        <v>177493</v>
      </c>
      <c r="I4" s="8"/>
      <c r="J4" s="8">
        <v>85635</v>
      </c>
      <c r="K4" s="8">
        <v>14618</v>
      </c>
      <c r="L4" s="8">
        <v>14618</v>
      </c>
      <c r="M4" s="51">
        <f t="shared" ref="M4:M15" si="1">SUM(H4:L4)</f>
        <v>292364</v>
      </c>
      <c r="N4" s="8">
        <v>21299</v>
      </c>
      <c r="O4" s="8">
        <v>1183</v>
      </c>
      <c r="P4" s="8"/>
      <c r="Q4" s="8"/>
      <c r="R4" s="8">
        <v>0</v>
      </c>
      <c r="S4" s="8">
        <v>23000</v>
      </c>
      <c r="T4" s="8">
        <v>0</v>
      </c>
      <c r="U4" s="51">
        <f>SUM(N4:T4)</f>
        <v>45482</v>
      </c>
      <c r="V4" s="8" t="s">
        <v>25</v>
      </c>
      <c r="W4" s="8" t="s">
        <v>25</v>
      </c>
      <c r="X4" s="8">
        <v>8</v>
      </c>
      <c r="Y4" s="51">
        <f>M4-U4+X4</f>
        <v>246890</v>
      </c>
    </row>
    <row r="5" spans="1:25" ht="24.75" customHeight="1" x14ac:dyDescent="0.25">
      <c r="A5" s="2">
        <v>2</v>
      </c>
      <c r="B5" s="3" t="s">
        <v>26</v>
      </c>
      <c r="C5" s="32">
        <v>5</v>
      </c>
      <c r="D5" s="32">
        <v>0</v>
      </c>
      <c r="E5" s="32">
        <v>0</v>
      </c>
      <c r="F5" s="32">
        <f t="shared" si="0"/>
        <v>5</v>
      </c>
      <c r="G5" s="9">
        <v>131</v>
      </c>
      <c r="H5" s="8">
        <v>46871</v>
      </c>
      <c r="I5" s="8"/>
      <c r="J5" s="8">
        <v>23435</v>
      </c>
      <c r="K5" s="8">
        <v>3906</v>
      </c>
      <c r="L5" s="8">
        <v>3906</v>
      </c>
      <c r="M5" s="51">
        <f t="shared" si="1"/>
        <v>78118</v>
      </c>
      <c r="N5" s="8">
        <v>5624</v>
      </c>
      <c r="O5" s="8">
        <v>416</v>
      </c>
      <c r="P5" s="8"/>
      <c r="Q5" s="8">
        <v>870</v>
      </c>
      <c r="R5" s="8">
        <v>0</v>
      </c>
      <c r="S5" s="8">
        <v>5000</v>
      </c>
      <c r="T5" s="8"/>
      <c r="U5" s="51">
        <f>SUM(N5:T5)</f>
        <v>11910</v>
      </c>
      <c r="V5" s="8" t="s">
        <v>25</v>
      </c>
      <c r="W5" s="8" t="s">
        <v>25</v>
      </c>
      <c r="X5" s="8">
        <v>2</v>
      </c>
      <c r="Y5" s="51">
        <f>M5-U5+X5</f>
        <v>66210</v>
      </c>
    </row>
    <row r="6" spans="1:25" ht="21.2" customHeight="1" x14ac:dyDescent="0.25">
      <c r="A6" s="2">
        <v>3</v>
      </c>
      <c r="B6" s="3" t="s">
        <v>27</v>
      </c>
      <c r="C6" s="32">
        <v>0</v>
      </c>
      <c r="D6" s="32">
        <v>0</v>
      </c>
      <c r="E6" s="32">
        <v>0</v>
      </c>
      <c r="F6" s="32">
        <f t="shared" si="0"/>
        <v>0</v>
      </c>
      <c r="G6" s="9"/>
      <c r="H6" s="8"/>
      <c r="I6" s="8"/>
      <c r="J6" s="8"/>
      <c r="K6" s="8"/>
      <c r="L6" s="8"/>
      <c r="M6" s="51">
        <f t="shared" si="1"/>
        <v>0</v>
      </c>
      <c r="N6" s="8"/>
      <c r="O6" s="8"/>
      <c r="P6" s="8"/>
      <c r="Q6" s="8"/>
      <c r="R6" s="8"/>
      <c r="S6" s="8">
        <v>0</v>
      </c>
      <c r="T6" s="8"/>
      <c r="U6" s="51">
        <f>SUM(N6:T6)</f>
        <v>0</v>
      </c>
      <c r="V6" s="8" t="s">
        <v>25</v>
      </c>
      <c r="W6" s="8" t="s">
        <v>25</v>
      </c>
      <c r="X6" s="8">
        <v>0</v>
      </c>
      <c r="Y6" s="51">
        <f>M6-U6+X6</f>
        <v>0</v>
      </c>
    </row>
    <row r="7" spans="1:25" ht="23.25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179.5</v>
      </c>
      <c r="H7" s="8">
        <v>7180</v>
      </c>
      <c r="I7" s="8">
        <v>74151</v>
      </c>
      <c r="J7" s="8">
        <v>1795</v>
      </c>
      <c r="K7" s="8"/>
      <c r="L7" s="8"/>
      <c r="M7" s="51">
        <f t="shared" si="1"/>
        <v>83126</v>
      </c>
      <c r="N7" s="8">
        <v>9760</v>
      </c>
      <c r="O7" s="8">
        <v>625</v>
      </c>
      <c r="P7" s="8">
        <v>0</v>
      </c>
      <c r="Q7" s="8">
        <v>320</v>
      </c>
      <c r="R7" s="8">
        <v>0</v>
      </c>
      <c r="S7" s="8">
        <v>2000</v>
      </c>
      <c r="T7" s="8">
        <v>0</v>
      </c>
      <c r="U7" s="51">
        <f>SUM(N7:T7)</f>
        <v>12705</v>
      </c>
      <c r="V7" s="8">
        <v>1155</v>
      </c>
      <c r="W7" s="8">
        <v>5777</v>
      </c>
      <c r="X7" s="8">
        <v>-8</v>
      </c>
      <c r="Y7" s="51">
        <f>M7-U7+W7+X7</f>
        <v>76190</v>
      </c>
    </row>
    <row r="8" spans="1:25" ht="28.5" customHeight="1" x14ac:dyDescent="0.25">
      <c r="A8" s="2">
        <v>5</v>
      </c>
      <c r="B8" s="28" t="s">
        <v>29</v>
      </c>
      <c r="C8" s="32">
        <v>77</v>
      </c>
      <c r="D8" s="32"/>
      <c r="E8" s="32">
        <f>4+3</f>
        <v>7</v>
      </c>
      <c r="F8" s="32">
        <f>C8+D8-E8</f>
        <v>70</v>
      </c>
      <c r="G8" s="9">
        <v>1532</v>
      </c>
      <c r="H8" s="8">
        <v>296189</v>
      </c>
      <c r="I8" s="8"/>
      <c r="J8" s="8">
        <v>197459</v>
      </c>
      <c r="K8" s="8"/>
      <c r="L8" s="8"/>
      <c r="M8" s="51">
        <f t="shared" si="1"/>
        <v>493648</v>
      </c>
      <c r="N8" s="8">
        <v>35545</v>
      </c>
      <c r="O8" s="8">
        <v>3735</v>
      </c>
      <c r="P8" s="8">
        <v>0</v>
      </c>
      <c r="Q8" s="8">
        <v>6800</v>
      </c>
      <c r="R8" s="8">
        <v>0</v>
      </c>
      <c r="S8" s="8">
        <v>6850</v>
      </c>
      <c r="T8" s="8">
        <v>0</v>
      </c>
      <c r="U8" s="51">
        <f t="shared" ref="U8:U15" si="2">SUM(N8:T8)</f>
        <v>52930</v>
      </c>
      <c r="V8" s="8">
        <v>21397</v>
      </c>
      <c r="W8" s="8">
        <v>106983</v>
      </c>
      <c r="X8" s="8">
        <v>-41</v>
      </c>
      <c r="Y8" s="51">
        <f t="shared" ref="Y8:Y12" si="3">M8-U8+W8+X8</f>
        <v>547660</v>
      </c>
    </row>
    <row r="9" spans="1:25" ht="30.75" customHeight="1" x14ac:dyDescent="0.25">
      <c r="A9" s="2">
        <v>6</v>
      </c>
      <c r="B9" s="28" t="s">
        <v>30</v>
      </c>
      <c r="C9" s="32">
        <v>7</v>
      </c>
      <c r="D9" s="32">
        <f>3+4</f>
        <v>7</v>
      </c>
      <c r="E9" s="32">
        <v>0</v>
      </c>
      <c r="F9" s="32">
        <f t="shared" si="0"/>
        <v>14</v>
      </c>
      <c r="G9" s="9">
        <v>163.5</v>
      </c>
      <c r="H9" s="8">
        <v>31253</v>
      </c>
      <c r="I9" s="8"/>
      <c r="J9" s="8">
        <v>20835</v>
      </c>
      <c r="K9" s="8"/>
      <c r="L9" s="8"/>
      <c r="M9" s="51">
        <f t="shared" si="1"/>
        <v>52088</v>
      </c>
      <c r="N9" s="8">
        <v>3751</v>
      </c>
      <c r="O9" s="8">
        <v>396</v>
      </c>
      <c r="P9" s="8"/>
      <c r="Q9" s="8">
        <v>1460</v>
      </c>
      <c r="R9" s="8">
        <v>0</v>
      </c>
      <c r="S9" s="8">
        <v>0</v>
      </c>
      <c r="T9" s="8">
        <v>0</v>
      </c>
      <c r="U9" s="51">
        <f t="shared" si="2"/>
        <v>5607</v>
      </c>
      <c r="V9" s="8">
        <v>1912</v>
      </c>
      <c r="W9" s="8">
        <v>9560</v>
      </c>
      <c r="X9" s="8">
        <v>-1</v>
      </c>
      <c r="Y9" s="51">
        <f t="shared" si="3"/>
        <v>56040</v>
      </c>
    </row>
    <row r="10" spans="1:25" ht="35.450000000000003" customHeight="1" x14ac:dyDescent="0.25">
      <c r="A10" s="2">
        <v>7</v>
      </c>
      <c r="B10" s="28" t="s">
        <v>31</v>
      </c>
      <c r="C10" s="32">
        <v>52</v>
      </c>
      <c r="D10" s="32">
        <v>9</v>
      </c>
      <c r="E10" s="32">
        <f>11+1</f>
        <v>12</v>
      </c>
      <c r="F10" s="32">
        <f t="shared" si="0"/>
        <v>49</v>
      </c>
      <c r="G10" s="9">
        <v>810</v>
      </c>
      <c r="H10" s="8">
        <v>152596</v>
      </c>
      <c r="I10" s="8"/>
      <c r="J10" s="8">
        <v>101731</v>
      </c>
      <c r="K10" s="8"/>
      <c r="L10" s="8"/>
      <c r="M10" s="51">
        <f t="shared" si="1"/>
        <v>254327</v>
      </c>
      <c r="N10" s="8">
        <v>18313</v>
      </c>
      <c r="O10" s="8">
        <v>1923</v>
      </c>
      <c r="P10" s="8"/>
      <c r="Q10" s="8">
        <v>2250</v>
      </c>
      <c r="R10" s="8">
        <v>0</v>
      </c>
      <c r="S10" s="8">
        <v>10510</v>
      </c>
      <c r="T10" s="8">
        <v>0</v>
      </c>
      <c r="U10" s="51">
        <f t="shared" si="2"/>
        <v>32996</v>
      </c>
      <c r="V10" s="8">
        <v>11544</v>
      </c>
      <c r="W10" s="8">
        <v>57720</v>
      </c>
      <c r="X10" s="8">
        <v>19</v>
      </c>
      <c r="Y10" s="51">
        <f t="shared" si="3"/>
        <v>279070</v>
      </c>
    </row>
    <row r="11" spans="1:25" ht="38.25" customHeight="1" x14ac:dyDescent="0.25">
      <c r="A11" s="2">
        <v>8</v>
      </c>
      <c r="B11" s="28" t="s">
        <v>32</v>
      </c>
      <c r="C11" s="32">
        <v>0</v>
      </c>
      <c r="D11" s="32"/>
      <c r="E11" s="32">
        <v>0</v>
      </c>
      <c r="F11" s="32">
        <f t="shared" si="0"/>
        <v>0</v>
      </c>
      <c r="G11" s="9"/>
      <c r="H11" s="8"/>
      <c r="I11" s="8"/>
      <c r="J11" s="8"/>
      <c r="K11" s="8"/>
      <c r="L11" s="8"/>
      <c r="M11" s="51">
        <f t="shared" si="1"/>
        <v>0</v>
      </c>
      <c r="N11" s="8"/>
      <c r="O11" s="8"/>
      <c r="P11" s="8">
        <v>0</v>
      </c>
      <c r="Q11" s="8"/>
      <c r="R11" s="8">
        <v>0</v>
      </c>
      <c r="S11" s="8">
        <v>0</v>
      </c>
      <c r="T11" s="8">
        <v>0</v>
      </c>
      <c r="U11" s="51">
        <f>SUM(N11:T11)</f>
        <v>0</v>
      </c>
      <c r="V11" s="8"/>
      <c r="W11" s="8">
        <v>0</v>
      </c>
      <c r="X11" s="8">
        <v>0</v>
      </c>
      <c r="Y11" s="51">
        <f t="shared" si="3"/>
        <v>0</v>
      </c>
    </row>
    <row r="12" spans="1:25" ht="27" customHeight="1" x14ac:dyDescent="0.25">
      <c r="A12" s="2">
        <v>9</v>
      </c>
      <c r="B12" s="28" t="s">
        <v>33</v>
      </c>
      <c r="C12" s="32">
        <v>7</v>
      </c>
      <c r="D12" s="32">
        <v>0</v>
      </c>
      <c r="E12" s="32">
        <v>0</v>
      </c>
      <c r="F12" s="32">
        <f>C12+D12-E12</f>
        <v>7</v>
      </c>
      <c r="G12" s="9">
        <v>180.5</v>
      </c>
      <c r="H12" s="8">
        <v>40463</v>
      </c>
      <c r="I12" s="8"/>
      <c r="J12" s="8">
        <v>26975</v>
      </c>
      <c r="K12" s="8"/>
      <c r="L12" s="8"/>
      <c r="M12" s="51">
        <f t="shared" si="1"/>
        <v>67438</v>
      </c>
      <c r="N12" s="8">
        <v>4855</v>
      </c>
      <c r="O12" s="8">
        <v>509</v>
      </c>
      <c r="P12" s="8">
        <v>0</v>
      </c>
      <c r="Q12" s="8">
        <v>400</v>
      </c>
      <c r="R12" s="8">
        <v>0</v>
      </c>
      <c r="S12" s="8">
        <v>3000</v>
      </c>
      <c r="T12" s="8">
        <v>0</v>
      </c>
      <c r="U12" s="51">
        <f>SUM(N12:T12)</f>
        <v>8764</v>
      </c>
      <c r="V12" s="8"/>
      <c r="W12" s="8">
        <v>4150</v>
      </c>
      <c r="X12" s="8">
        <v>16</v>
      </c>
      <c r="Y12" s="51">
        <f t="shared" si="3"/>
        <v>62840</v>
      </c>
    </row>
    <row r="13" spans="1:25" ht="18.75" x14ac:dyDescent="0.25">
      <c r="A13" s="2">
        <v>10</v>
      </c>
      <c r="B13" s="28" t="s">
        <v>34</v>
      </c>
      <c r="C13" s="32">
        <v>1</v>
      </c>
      <c r="D13" s="32"/>
      <c r="E13" s="32"/>
      <c r="F13" s="32">
        <f t="shared" si="0"/>
        <v>1</v>
      </c>
      <c r="G13" s="9">
        <v>26</v>
      </c>
      <c r="H13" s="8">
        <v>200000</v>
      </c>
      <c r="I13" s="8"/>
      <c r="J13" s="8"/>
      <c r="K13" s="8"/>
      <c r="L13" s="8"/>
      <c r="M13" s="51">
        <f t="shared" si="1"/>
        <v>200000</v>
      </c>
      <c r="N13" s="8">
        <v>24000</v>
      </c>
      <c r="O13" s="8">
        <v>0</v>
      </c>
      <c r="P13" s="8">
        <v>0</v>
      </c>
      <c r="Q13" s="8"/>
      <c r="R13" s="8">
        <v>0</v>
      </c>
      <c r="S13" s="8"/>
      <c r="T13" s="8">
        <v>0</v>
      </c>
      <c r="U13" s="51">
        <f>SUM(N13:T13)</f>
        <v>24000</v>
      </c>
      <c r="V13" s="8"/>
      <c r="W13" s="8"/>
      <c r="X13" s="8">
        <v>0</v>
      </c>
      <c r="Y13" s="51">
        <f>M13-U13+W13+X13</f>
        <v>176000</v>
      </c>
    </row>
    <row r="14" spans="1:25" ht="18.75" x14ac:dyDescent="0.25">
      <c r="A14" s="2">
        <v>10</v>
      </c>
      <c r="B14" s="3" t="s">
        <v>35</v>
      </c>
      <c r="C14" s="32">
        <v>7</v>
      </c>
      <c r="D14" s="32"/>
      <c r="E14" s="32">
        <v>2</v>
      </c>
      <c r="F14" s="32">
        <f t="shared" si="0"/>
        <v>5</v>
      </c>
      <c r="G14" s="9">
        <v>124</v>
      </c>
      <c r="H14" s="8">
        <v>112767</v>
      </c>
      <c r="I14" s="8"/>
      <c r="J14" s="8"/>
      <c r="K14" s="8"/>
      <c r="L14" s="8"/>
      <c r="M14" s="51">
        <f t="shared" si="1"/>
        <v>112767</v>
      </c>
      <c r="N14" s="8"/>
      <c r="O14" s="8"/>
      <c r="P14" s="8">
        <v>0</v>
      </c>
      <c r="Q14" s="8"/>
      <c r="R14" s="8"/>
      <c r="S14" s="8">
        <v>40000</v>
      </c>
      <c r="T14" s="8"/>
      <c r="U14" s="51">
        <f>SUM(N14:T14)</f>
        <v>40000</v>
      </c>
      <c r="V14" s="8">
        <v>0</v>
      </c>
      <c r="W14" s="8"/>
      <c r="X14" s="8">
        <v>3</v>
      </c>
      <c r="Y14" s="51">
        <f>M14-U14+W14+X14</f>
        <v>72770</v>
      </c>
    </row>
    <row r="15" spans="1:25" ht="18.75" x14ac:dyDescent="0.25">
      <c r="A15" s="2">
        <v>11</v>
      </c>
      <c r="B15" s="3" t="s">
        <v>36</v>
      </c>
      <c r="C15" s="32">
        <v>3</v>
      </c>
      <c r="D15" s="32">
        <v>0</v>
      </c>
      <c r="E15" s="32">
        <v>1</v>
      </c>
      <c r="F15" s="32">
        <f t="shared" si="0"/>
        <v>2</v>
      </c>
      <c r="G15" s="9">
        <v>48</v>
      </c>
      <c r="H15" s="8">
        <v>46366</v>
      </c>
      <c r="I15" s="8"/>
      <c r="J15" s="8"/>
      <c r="K15" s="8"/>
      <c r="L15" s="8"/>
      <c r="M15" s="51">
        <f t="shared" si="1"/>
        <v>46366</v>
      </c>
      <c r="N15" s="8"/>
      <c r="O15" s="8"/>
      <c r="P15" s="8">
        <v>0</v>
      </c>
      <c r="Q15" s="8">
        <v>0</v>
      </c>
      <c r="R15" s="8"/>
      <c r="S15" s="8">
        <v>20000</v>
      </c>
      <c r="T15" s="8"/>
      <c r="U15" s="51">
        <f t="shared" si="2"/>
        <v>20000</v>
      </c>
      <c r="V15" s="8"/>
      <c r="W15" s="8"/>
      <c r="X15" s="8">
        <v>-6</v>
      </c>
      <c r="Y15" s="51">
        <f t="shared" ref="Y15" si="4">M15-U15+W15+X15</f>
        <v>26360</v>
      </c>
    </row>
    <row r="16" spans="1:25" ht="18.75" x14ac:dyDescent="0.25">
      <c r="A16" s="171" t="s">
        <v>37</v>
      </c>
      <c r="B16" s="171"/>
      <c r="C16" s="52">
        <f>SUM(C4:C15)</f>
        <v>180</v>
      </c>
      <c r="D16" s="52">
        <f t="shared" ref="D16:W16" si="5">SUM(D4:D15)</f>
        <v>16</v>
      </c>
      <c r="E16" s="52">
        <f t="shared" si="5"/>
        <v>22</v>
      </c>
      <c r="F16" s="52">
        <f t="shared" si="5"/>
        <v>174</v>
      </c>
      <c r="G16" s="53">
        <f t="shared" si="5"/>
        <v>3557.5</v>
      </c>
      <c r="H16" s="53">
        <f t="shared" si="5"/>
        <v>1111178</v>
      </c>
      <c r="I16" s="53">
        <f t="shared" si="5"/>
        <v>74151</v>
      </c>
      <c r="J16" s="53">
        <f t="shared" si="5"/>
        <v>457865</v>
      </c>
      <c r="K16" s="53">
        <f t="shared" si="5"/>
        <v>18524</v>
      </c>
      <c r="L16" s="53">
        <f t="shared" si="5"/>
        <v>18524</v>
      </c>
      <c r="M16" s="53">
        <f>SUM(M4:M15)</f>
        <v>1680242</v>
      </c>
      <c r="N16" s="53">
        <f>SUM(N4:N15)</f>
        <v>123147</v>
      </c>
      <c r="O16" s="53">
        <f>SUM(O4:O15)</f>
        <v>8787</v>
      </c>
      <c r="P16" s="53">
        <f t="shared" si="5"/>
        <v>0</v>
      </c>
      <c r="Q16" s="53">
        <f>SUM(Q4:Q15)</f>
        <v>12100</v>
      </c>
      <c r="R16" s="53">
        <f t="shared" si="5"/>
        <v>0</v>
      </c>
      <c r="S16" s="53">
        <f>SUM(S4:S15)</f>
        <v>110360</v>
      </c>
      <c r="T16" s="53">
        <f t="shared" si="5"/>
        <v>0</v>
      </c>
      <c r="U16" s="53">
        <f>SUM(U4:U15)</f>
        <v>254394</v>
      </c>
      <c r="V16" s="53">
        <f t="shared" si="5"/>
        <v>36008</v>
      </c>
      <c r="W16" s="53">
        <f t="shared" si="5"/>
        <v>184190</v>
      </c>
      <c r="X16" s="53">
        <f>SUM(X4:X15)</f>
        <v>-8</v>
      </c>
      <c r="Y16" s="53">
        <f>SUM(Y4:Y15)</f>
        <v>1610030</v>
      </c>
    </row>
    <row r="17" spans="1:25" ht="18.75" x14ac:dyDescent="0.25"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81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21" x14ac:dyDescent="0.35">
      <c r="A18" s="25" t="s">
        <v>64</v>
      </c>
      <c r="B18" s="25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18.75" x14ac:dyDescent="0.25">
      <c r="A19" s="179" t="s">
        <v>1</v>
      </c>
      <c r="B19" s="179" t="s">
        <v>38</v>
      </c>
      <c r="C19" s="216" t="s">
        <v>39</v>
      </c>
      <c r="D19" s="217"/>
      <c r="E19" s="217"/>
      <c r="F19" s="218"/>
      <c r="G19" s="181" t="s">
        <v>40</v>
      </c>
      <c r="H19" s="182"/>
      <c r="I19" s="213" t="s">
        <v>69</v>
      </c>
      <c r="J19" s="181" t="s">
        <v>41</v>
      </c>
      <c r="K19" s="182" t="s">
        <v>76</v>
      </c>
      <c r="L19" s="181" t="s">
        <v>77</v>
      </c>
      <c r="M19" s="182"/>
      <c r="N19" s="167" t="s">
        <v>50</v>
      </c>
      <c r="O19" s="168"/>
      <c r="P19" s="167" t="s">
        <v>53</v>
      </c>
      <c r="Q19" s="168"/>
      <c r="R19" s="181" t="s">
        <v>54</v>
      </c>
      <c r="S19" s="182"/>
      <c r="T19" s="181" t="s">
        <v>51</v>
      </c>
      <c r="U19" s="182"/>
      <c r="V19" s="213" t="s">
        <v>52</v>
      </c>
      <c r="W19" s="167" t="s">
        <v>43</v>
      </c>
      <c r="X19" s="222"/>
      <c r="Y19" s="223"/>
    </row>
    <row r="20" spans="1:25" ht="18.75" x14ac:dyDescent="0.25">
      <c r="A20" s="180"/>
      <c r="B20" s="180"/>
      <c r="C20" s="44" t="s">
        <v>65</v>
      </c>
      <c r="D20" s="44" t="s">
        <v>66</v>
      </c>
      <c r="E20" s="44" t="s">
        <v>67</v>
      </c>
      <c r="F20" s="85" t="s">
        <v>68</v>
      </c>
      <c r="G20" s="183"/>
      <c r="H20" s="184"/>
      <c r="I20" s="214"/>
      <c r="J20" s="183"/>
      <c r="K20" s="184"/>
      <c r="L20" s="183"/>
      <c r="M20" s="184"/>
      <c r="N20" s="169"/>
      <c r="O20" s="170"/>
      <c r="P20" s="169"/>
      <c r="Q20" s="170"/>
      <c r="R20" s="183"/>
      <c r="S20" s="184"/>
      <c r="T20" s="183"/>
      <c r="U20" s="184"/>
      <c r="V20" s="214"/>
      <c r="W20" s="224"/>
      <c r="X20" s="225"/>
      <c r="Y20" s="226"/>
    </row>
    <row r="21" spans="1:25" ht="18.75" x14ac:dyDescent="0.3">
      <c r="A21" s="18">
        <v>1</v>
      </c>
      <c r="B21" s="19" t="str">
        <f t="shared" ref="B21:B29" si="6">B4</f>
        <v>SALARY -STAFF - BANK</v>
      </c>
      <c r="C21" s="56">
        <v>14</v>
      </c>
      <c r="D21" s="56">
        <v>0</v>
      </c>
      <c r="E21" s="56">
        <v>0</v>
      </c>
      <c r="F21" s="39">
        <f>C21+D21-E21</f>
        <v>14</v>
      </c>
      <c r="G21" s="144">
        <v>14</v>
      </c>
      <c r="H21" s="144"/>
      <c r="I21" s="39">
        <f t="shared" ref="I21:I32" si="7">G21-F21</f>
        <v>0</v>
      </c>
      <c r="J21" s="66">
        <f>M4</f>
        <v>292364</v>
      </c>
      <c r="K21" s="67">
        <v>292367</v>
      </c>
      <c r="L21" s="144">
        <v>177493</v>
      </c>
      <c r="M21" s="144"/>
      <c r="N21" s="158">
        <f t="shared" ref="N21:N27" si="8">+J21*60/100</f>
        <v>175418.4</v>
      </c>
      <c r="O21" s="159"/>
      <c r="P21" s="144">
        <f>+L21-N21</f>
        <v>2074.6000000000058</v>
      </c>
      <c r="Q21" s="144"/>
      <c r="R21" s="203">
        <v>21299</v>
      </c>
      <c r="S21" s="203"/>
      <c r="T21" s="203">
        <v>21299</v>
      </c>
      <c r="U21" s="203"/>
      <c r="V21" s="57">
        <f t="shared" ref="V21:V32" si="9">R21-T21</f>
        <v>0</v>
      </c>
      <c r="W21" s="194" t="s">
        <v>45</v>
      </c>
      <c r="X21" s="195"/>
      <c r="Y21" s="196"/>
    </row>
    <row r="22" spans="1:25" ht="18.75" x14ac:dyDescent="0.3">
      <c r="A22" s="18">
        <v>2</v>
      </c>
      <c r="B22" s="19" t="str">
        <f t="shared" si="6"/>
        <v>SALARY - STAFF -2 CSB</v>
      </c>
      <c r="C22" s="84">
        <v>5</v>
      </c>
      <c r="D22" s="84"/>
      <c r="E22" s="84"/>
      <c r="F22" s="41">
        <f t="shared" ref="F22:F32" si="10">C22+D22-E22</f>
        <v>5</v>
      </c>
      <c r="G22" s="144">
        <v>5</v>
      </c>
      <c r="H22" s="144"/>
      <c r="I22" s="39">
        <f t="shared" si="7"/>
        <v>0</v>
      </c>
      <c r="J22" s="66">
        <f>M5</f>
        <v>78118</v>
      </c>
      <c r="K22" s="67">
        <v>78116</v>
      </c>
      <c r="L22" s="144">
        <v>46871</v>
      </c>
      <c r="M22" s="144"/>
      <c r="N22" s="158">
        <f t="shared" si="8"/>
        <v>46870.8</v>
      </c>
      <c r="O22" s="159"/>
      <c r="P22" s="144">
        <f>+L22-N22</f>
        <v>0.19999999999708962</v>
      </c>
      <c r="Q22" s="144"/>
      <c r="R22" s="203">
        <f t="shared" ref="R22" si="11">N22*12%</f>
        <v>5624.4960000000001</v>
      </c>
      <c r="S22" s="203"/>
      <c r="T22" s="203">
        <v>5624</v>
      </c>
      <c r="U22" s="203"/>
      <c r="V22" s="57">
        <f t="shared" si="9"/>
        <v>0.49600000000009459</v>
      </c>
      <c r="W22" s="197"/>
      <c r="X22" s="195"/>
      <c r="Y22" s="196"/>
    </row>
    <row r="23" spans="1:25" ht="18.75" x14ac:dyDescent="0.3">
      <c r="A23" s="18">
        <v>3</v>
      </c>
      <c r="B23" s="19" t="str">
        <f t="shared" si="6"/>
        <v>SALARY - STAFF-CHEQUE</v>
      </c>
      <c r="C23" s="84">
        <v>0</v>
      </c>
      <c r="D23" s="84"/>
      <c r="E23" s="84"/>
      <c r="F23" s="41">
        <f t="shared" si="10"/>
        <v>0</v>
      </c>
      <c r="G23" s="144">
        <v>0</v>
      </c>
      <c r="H23" s="144"/>
      <c r="I23" s="39">
        <f t="shared" si="7"/>
        <v>0</v>
      </c>
      <c r="J23" s="66">
        <f>M6</f>
        <v>0</v>
      </c>
      <c r="K23" s="67">
        <v>0</v>
      </c>
      <c r="L23" s="144">
        <v>0</v>
      </c>
      <c r="M23" s="144"/>
      <c r="N23" s="158">
        <f t="shared" si="8"/>
        <v>0</v>
      </c>
      <c r="O23" s="159"/>
      <c r="P23" s="144">
        <f t="shared" ref="P23:P32" si="12">+L23-N23</f>
        <v>0</v>
      </c>
      <c r="Q23" s="144"/>
      <c r="R23" s="203">
        <v>0</v>
      </c>
      <c r="S23" s="203"/>
      <c r="T23" s="203">
        <v>0</v>
      </c>
      <c r="U23" s="203"/>
      <c r="V23" s="57">
        <f t="shared" si="9"/>
        <v>0</v>
      </c>
      <c r="W23" s="197"/>
      <c r="X23" s="195"/>
      <c r="Y23" s="196"/>
    </row>
    <row r="24" spans="1:25" ht="18.75" x14ac:dyDescent="0.3">
      <c r="A24" s="18">
        <v>4</v>
      </c>
      <c r="B24" s="19" t="str">
        <f t="shared" si="6"/>
        <v>WAGES-PERMANENT - BANK</v>
      </c>
      <c r="C24" s="84">
        <v>7</v>
      </c>
      <c r="D24" s="84"/>
      <c r="E24" s="84"/>
      <c r="F24" s="41">
        <f t="shared" si="10"/>
        <v>7</v>
      </c>
      <c r="G24" s="144">
        <v>7</v>
      </c>
      <c r="H24" s="144"/>
      <c r="I24" s="39">
        <f t="shared" si="7"/>
        <v>0</v>
      </c>
      <c r="J24" s="66">
        <f>M7</f>
        <v>83126</v>
      </c>
      <c r="K24" s="67">
        <v>83128</v>
      </c>
      <c r="L24" s="144">
        <v>81333</v>
      </c>
      <c r="M24" s="144"/>
      <c r="N24" s="158">
        <f t="shared" si="8"/>
        <v>49875.6</v>
      </c>
      <c r="O24" s="159"/>
      <c r="P24" s="144">
        <f t="shared" si="12"/>
        <v>31457.4</v>
      </c>
      <c r="Q24" s="144"/>
      <c r="R24" s="203">
        <v>9760</v>
      </c>
      <c r="S24" s="203"/>
      <c r="T24" s="203">
        <v>9760</v>
      </c>
      <c r="U24" s="203"/>
      <c r="V24" s="57">
        <f t="shared" si="9"/>
        <v>0</v>
      </c>
      <c r="W24" s="197" t="s">
        <v>48</v>
      </c>
      <c r="X24" s="195"/>
      <c r="Y24" s="196"/>
    </row>
    <row r="25" spans="1:25" ht="37.5" x14ac:dyDescent="0.3">
      <c r="A25" s="18">
        <v>5</v>
      </c>
      <c r="B25" s="83" t="str">
        <f t="shared" si="6"/>
        <v>WAGES - CASUAL - BANK(OUTSIDE)</v>
      </c>
      <c r="C25" s="84">
        <v>77</v>
      </c>
      <c r="D25" s="84"/>
      <c r="E25" s="84">
        <v>7</v>
      </c>
      <c r="F25" s="41">
        <f t="shared" si="10"/>
        <v>70</v>
      </c>
      <c r="G25" s="144">
        <v>70</v>
      </c>
      <c r="H25" s="144"/>
      <c r="I25" s="39">
        <f t="shared" si="7"/>
        <v>0</v>
      </c>
      <c r="J25" s="66">
        <f t="shared" ref="J25:J29" si="13">M8</f>
        <v>493648</v>
      </c>
      <c r="K25" s="67">
        <f>545738-52088</f>
        <v>493650</v>
      </c>
      <c r="L25" s="144">
        <v>296191</v>
      </c>
      <c r="M25" s="144"/>
      <c r="N25" s="158">
        <f t="shared" si="8"/>
        <v>296188.79999999999</v>
      </c>
      <c r="O25" s="159"/>
      <c r="P25" s="144">
        <f t="shared" si="12"/>
        <v>2.2000000000116415</v>
      </c>
      <c r="Q25" s="144"/>
      <c r="R25" s="203">
        <v>35545</v>
      </c>
      <c r="S25" s="203"/>
      <c r="T25" s="203">
        <f>39296-3752</f>
        <v>35544</v>
      </c>
      <c r="U25" s="203"/>
      <c r="V25" s="57">
        <f t="shared" si="9"/>
        <v>1</v>
      </c>
      <c r="W25" s="197"/>
      <c r="X25" s="195"/>
      <c r="Y25" s="196"/>
    </row>
    <row r="26" spans="1:25" ht="37.5" x14ac:dyDescent="0.3">
      <c r="A26" s="18">
        <v>6</v>
      </c>
      <c r="B26" s="83" t="str">
        <f t="shared" si="6"/>
        <v>WAGES - CASUAL - CASH(OUTSIDE)</v>
      </c>
      <c r="C26" s="84">
        <v>7</v>
      </c>
      <c r="D26" s="84">
        <v>7</v>
      </c>
      <c r="E26" s="84">
        <v>0</v>
      </c>
      <c r="F26" s="41">
        <f t="shared" si="10"/>
        <v>14</v>
      </c>
      <c r="G26" s="144">
        <v>14</v>
      </c>
      <c r="H26" s="144"/>
      <c r="I26" s="39">
        <f t="shared" si="7"/>
        <v>0</v>
      </c>
      <c r="J26" s="66">
        <f t="shared" si="13"/>
        <v>52088</v>
      </c>
      <c r="K26" s="67">
        <v>52088</v>
      </c>
      <c r="L26" s="144">
        <v>31253</v>
      </c>
      <c r="M26" s="144"/>
      <c r="N26" s="158">
        <f t="shared" si="8"/>
        <v>31252.799999999999</v>
      </c>
      <c r="O26" s="159"/>
      <c r="P26" s="144">
        <f t="shared" si="12"/>
        <v>0.2000000000007276</v>
      </c>
      <c r="Q26" s="144"/>
      <c r="R26" s="203">
        <v>3751</v>
      </c>
      <c r="S26" s="203"/>
      <c r="T26" s="203">
        <v>3751</v>
      </c>
      <c r="U26" s="203"/>
      <c r="V26" s="57">
        <f t="shared" si="9"/>
        <v>0</v>
      </c>
      <c r="W26" s="197"/>
      <c r="X26" s="195"/>
      <c r="Y26" s="196"/>
    </row>
    <row r="27" spans="1:25" ht="18.75" x14ac:dyDescent="0.3">
      <c r="A27" s="18">
        <v>7</v>
      </c>
      <c r="B27" s="83" t="str">
        <f t="shared" si="6"/>
        <v>WAGES - CASUAL - CASH(INSIDE)</v>
      </c>
      <c r="C27" s="84">
        <v>52</v>
      </c>
      <c r="D27" s="84">
        <v>9</v>
      </c>
      <c r="E27" s="84">
        <v>12</v>
      </c>
      <c r="F27" s="41">
        <f t="shared" si="10"/>
        <v>49</v>
      </c>
      <c r="G27" s="144">
        <v>49</v>
      </c>
      <c r="H27" s="144"/>
      <c r="I27" s="39">
        <f t="shared" si="7"/>
        <v>0</v>
      </c>
      <c r="J27" s="66">
        <f>M10</f>
        <v>254327</v>
      </c>
      <c r="K27" s="67">
        <v>254327</v>
      </c>
      <c r="L27" s="144">
        <v>152596</v>
      </c>
      <c r="M27" s="144"/>
      <c r="N27" s="158">
        <f t="shared" si="8"/>
        <v>152596.20000000001</v>
      </c>
      <c r="O27" s="159"/>
      <c r="P27" s="144">
        <f t="shared" si="12"/>
        <v>-0.20000000001164153</v>
      </c>
      <c r="Q27" s="144"/>
      <c r="R27" s="203">
        <v>18313</v>
      </c>
      <c r="S27" s="203"/>
      <c r="T27" s="203">
        <v>18313</v>
      </c>
      <c r="U27" s="203"/>
      <c r="V27" s="57">
        <f t="shared" si="9"/>
        <v>0</v>
      </c>
      <c r="W27" s="197"/>
      <c r="X27" s="195"/>
      <c r="Y27" s="196"/>
    </row>
    <row r="28" spans="1:25" ht="37.5" x14ac:dyDescent="0.3">
      <c r="A28" s="18">
        <v>8</v>
      </c>
      <c r="B28" s="83" t="str">
        <f t="shared" si="6"/>
        <v>WAGES - SECUR &amp; GARDEN - CHEQUE</v>
      </c>
      <c r="C28" s="84">
        <v>0</v>
      </c>
      <c r="D28" s="84">
        <v>0</v>
      </c>
      <c r="E28" s="84">
        <v>0</v>
      </c>
      <c r="F28" s="41">
        <f t="shared" si="10"/>
        <v>0</v>
      </c>
      <c r="G28" s="144">
        <v>0</v>
      </c>
      <c r="H28" s="144"/>
      <c r="I28" s="39">
        <f>G28-F28</f>
        <v>0</v>
      </c>
      <c r="J28" s="66">
        <v>0</v>
      </c>
      <c r="K28" s="67">
        <v>0</v>
      </c>
      <c r="L28" s="144">
        <v>0</v>
      </c>
      <c r="M28" s="144"/>
      <c r="N28" s="158">
        <v>0</v>
      </c>
      <c r="O28" s="159"/>
      <c r="P28" s="144">
        <f t="shared" si="12"/>
        <v>0</v>
      </c>
      <c r="Q28" s="144"/>
      <c r="R28" s="203">
        <v>0</v>
      </c>
      <c r="S28" s="203"/>
      <c r="T28" s="203">
        <v>0</v>
      </c>
      <c r="U28" s="203"/>
      <c r="V28" s="57">
        <f t="shared" si="9"/>
        <v>0</v>
      </c>
      <c r="W28" s="197"/>
      <c r="X28" s="195"/>
      <c r="Y28" s="196"/>
    </row>
    <row r="29" spans="1:25" ht="18.75" x14ac:dyDescent="0.3">
      <c r="A29" s="18">
        <v>9</v>
      </c>
      <c r="B29" s="83" t="str">
        <f t="shared" si="6"/>
        <v>WAGES - SECUR &amp; GARDEN - CSB</v>
      </c>
      <c r="C29" s="84">
        <v>7</v>
      </c>
      <c r="D29" s="84"/>
      <c r="E29" s="84">
        <v>0</v>
      </c>
      <c r="F29" s="41">
        <f t="shared" si="10"/>
        <v>7</v>
      </c>
      <c r="G29" s="144">
        <v>7</v>
      </c>
      <c r="H29" s="144"/>
      <c r="I29" s="39">
        <f t="shared" si="7"/>
        <v>0</v>
      </c>
      <c r="J29" s="66">
        <f t="shared" si="13"/>
        <v>67438</v>
      </c>
      <c r="K29" s="67">
        <v>67438</v>
      </c>
      <c r="L29" s="144">
        <v>40463</v>
      </c>
      <c r="M29" s="144"/>
      <c r="N29" s="158">
        <f>+J29*60/100</f>
        <v>40462.800000000003</v>
      </c>
      <c r="O29" s="159"/>
      <c r="P29" s="144">
        <f t="shared" si="12"/>
        <v>0.19999999999708962</v>
      </c>
      <c r="Q29" s="144"/>
      <c r="R29" s="203">
        <v>4855</v>
      </c>
      <c r="S29" s="203"/>
      <c r="T29" s="203">
        <v>4855</v>
      </c>
      <c r="U29" s="203"/>
      <c r="V29" s="57">
        <f t="shared" si="9"/>
        <v>0</v>
      </c>
      <c r="W29" s="197"/>
      <c r="X29" s="195"/>
      <c r="Y29" s="196"/>
    </row>
    <row r="30" spans="1:25" ht="18.75" x14ac:dyDescent="0.3">
      <c r="A30" s="18">
        <v>10</v>
      </c>
      <c r="B30" s="83" t="s">
        <v>34</v>
      </c>
      <c r="C30" s="84">
        <v>1</v>
      </c>
      <c r="D30" s="84"/>
      <c r="E30" s="84"/>
      <c r="F30" s="41">
        <v>1</v>
      </c>
      <c r="G30" s="158">
        <v>1</v>
      </c>
      <c r="H30" s="159"/>
      <c r="I30" s="39"/>
      <c r="J30" s="66">
        <v>200000</v>
      </c>
      <c r="K30" s="67">
        <v>200000</v>
      </c>
      <c r="L30" s="158">
        <v>200000</v>
      </c>
      <c r="M30" s="159"/>
      <c r="N30" s="158">
        <f>+J30*60/100</f>
        <v>120000</v>
      </c>
      <c r="O30" s="159"/>
      <c r="P30" s="144">
        <f t="shared" si="12"/>
        <v>80000</v>
      </c>
      <c r="Q30" s="144"/>
      <c r="R30" s="204">
        <v>24000</v>
      </c>
      <c r="S30" s="205"/>
      <c r="T30" s="204">
        <v>24000</v>
      </c>
      <c r="U30" s="205"/>
      <c r="V30" s="57">
        <f t="shared" si="9"/>
        <v>0</v>
      </c>
      <c r="W30" s="189" t="s">
        <v>75</v>
      </c>
      <c r="X30" s="190"/>
      <c r="Y30" s="191"/>
    </row>
    <row r="31" spans="1:25" ht="18.75" x14ac:dyDescent="0.3">
      <c r="A31" s="18">
        <v>11</v>
      </c>
      <c r="B31" s="19" t="str">
        <f t="shared" ref="B31:B32" si="14">B14</f>
        <v>EXEMPTED - BANK</v>
      </c>
      <c r="C31" s="84">
        <v>7</v>
      </c>
      <c r="D31" s="84"/>
      <c r="E31" s="84">
        <v>2</v>
      </c>
      <c r="F31" s="41">
        <f t="shared" si="10"/>
        <v>5</v>
      </c>
      <c r="G31" s="144">
        <v>5</v>
      </c>
      <c r="H31" s="144"/>
      <c r="I31" s="39">
        <f t="shared" si="7"/>
        <v>0</v>
      </c>
      <c r="J31" s="8">
        <v>112767</v>
      </c>
      <c r="K31" s="8">
        <v>112767</v>
      </c>
      <c r="L31" s="144">
        <v>0</v>
      </c>
      <c r="M31" s="144"/>
      <c r="N31" s="158">
        <v>0</v>
      </c>
      <c r="O31" s="159"/>
      <c r="P31" s="144">
        <f t="shared" si="12"/>
        <v>0</v>
      </c>
      <c r="Q31" s="144"/>
      <c r="R31" s="203">
        <v>0</v>
      </c>
      <c r="S31" s="203"/>
      <c r="T31" s="203">
        <v>0</v>
      </c>
      <c r="U31" s="203"/>
      <c r="V31" s="57">
        <f t="shared" si="9"/>
        <v>0</v>
      </c>
      <c r="W31" s="197" t="s">
        <v>49</v>
      </c>
      <c r="X31" s="195"/>
      <c r="Y31" s="196"/>
    </row>
    <row r="32" spans="1:25" ht="18.75" x14ac:dyDescent="0.3">
      <c r="A32" s="18">
        <v>12</v>
      </c>
      <c r="B32" s="19" t="str">
        <f t="shared" si="14"/>
        <v>EXEMPTED - CHEQUE</v>
      </c>
      <c r="C32" s="84">
        <v>3</v>
      </c>
      <c r="D32" s="84"/>
      <c r="E32" s="84">
        <v>1</v>
      </c>
      <c r="F32" s="41">
        <f t="shared" si="10"/>
        <v>2</v>
      </c>
      <c r="G32" s="144">
        <v>2</v>
      </c>
      <c r="H32" s="144"/>
      <c r="I32" s="39">
        <f t="shared" si="7"/>
        <v>0</v>
      </c>
      <c r="J32" s="8">
        <v>46366</v>
      </c>
      <c r="K32" s="8">
        <v>46366</v>
      </c>
      <c r="L32" s="144">
        <v>0</v>
      </c>
      <c r="M32" s="144"/>
      <c r="N32" s="158">
        <v>0</v>
      </c>
      <c r="O32" s="159"/>
      <c r="P32" s="212">
        <f t="shared" si="12"/>
        <v>0</v>
      </c>
      <c r="Q32" s="212"/>
      <c r="R32" s="203">
        <v>0</v>
      </c>
      <c r="S32" s="203"/>
      <c r="T32" s="203">
        <v>0</v>
      </c>
      <c r="U32" s="203"/>
      <c r="V32" s="57">
        <f t="shared" si="9"/>
        <v>0</v>
      </c>
      <c r="W32" s="197" t="s">
        <v>49</v>
      </c>
      <c r="X32" s="195"/>
      <c r="Y32" s="196"/>
    </row>
    <row r="33" spans="1:25" ht="18.75" x14ac:dyDescent="0.25">
      <c r="A33" s="18"/>
      <c r="B33" s="22" t="s">
        <v>47</v>
      </c>
      <c r="C33" s="85">
        <f>SUM(C21:C32)</f>
        <v>180</v>
      </c>
      <c r="D33" s="58">
        <f t="shared" ref="D33:E33" si="15">SUM(D21:D32)</f>
        <v>16</v>
      </c>
      <c r="E33" s="58">
        <f t="shared" si="15"/>
        <v>22</v>
      </c>
      <c r="F33" s="58">
        <f>SUM(F21:F32)</f>
        <v>174</v>
      </c>
      <c r="G33" s="201">
        <f>SUM(G21:H32)</f>
        <v>174</v>
      </c>
      <c r="H33" s="201"/>
      <c r="I33" s="59">
        <f>SUM(I21:I32)</f>
        <v>0</v>
      </c>
      <c r="J33" s="68">
        <f>SUM(J21:J32)</f>
        <v>1680242</v>
      </c>
      <c r="K33" s="68">
        <f>SUM(K21:K32)</f>
        <v>1680247</v>
      </c>
      <c r="L33" s="200">
        <f>SUM(L21:M32)</f>
        <v>1026200</v>
      </c>
      <c r="M33" s="200"/>
      <c r="N33" s="200">
        <f>SUM(N21:O32)</f>
        <v>912665.40000000014</v>
      </c>
      <c r="O33" s="200"/>
      <c r="P33" s="200">
        <f>SUM(P21:Q32)</f>
        <v>113534.6</v>
      </c>
      <c r="Q33" s="200"/>
      <c r="R33" s="200">
        <f>SUM(R21:S32)</f>
        <v>123147.496</v>
      </c>
      <c r="S33" s="200"/>
      <c r="T33" s="200">
        <f>SUM(T21:U32)</f>
        <v>123146</v>
      </c>
      <c r="U33" s="200"/>
      <c r="V33" s="60">
        <f>SUM(V21:V32)</f>
        <v>1.4960000000000946</v>
      </c>
      <c r="W33" s="207"/>
      <c r="X33" s="208"/>
      <c r="Y33" s="209"/>
    </row>
    <row r="34" spans="1:25" x14ac:dyDescent="0.25">
      <c r="C34" s="63"/>
      <c r="D34" s="63"/>
      <c r="E34" s="63"/>
      <c r="F34" s="63"/>
      <c r="G34" s="63"/>
      <c r="H34" s="63"/>
      <c r="I34" s="63"/>
      <c r="J34" s="63"/>
      <c r="K34" s="7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1:25" ht="18.75" x14ac:dyDescent="0.3">
      <c r="A35" s="11"/>
      <c r="B35" s="11"/>
      <c r="C35" s="61"/>
      <c r="D35" s="61"/>
      <c r="E35" s="61"/>
      <c r="F35" s="61"/>
      <c r="G35" s="61"/>
      <c r="H35" s="61"/>
      <c r="I35" s="61"/>
      <c r="J35" s="74"/>
      <c r="K35" s="61"/>
      <c r="L35" s="211"/>
      <c r="M35" s="211"/>
      <c r="N35" s="210"/>
      <c r="O35" s="211"/>
      <c r="P35" s="61"/>
      <c r="Q35" s="61"/>
      <c r="R35" s="61"/>
      <c r="S35" s="61"/>
      <c r="T35" s="61"/>
      <c r="U35" s="61"/>
      <c r="V35" s="61"/>
      <c r="W35" s="61"/>
      <c r="X35" s="61"/>
      <c r="Y35" s="61"/>
    </row>
    <row r="36" spans="1:25" ht="18.75" x14ac:dyDescent="0.3">
      <c r="A36" s="11"/>
      <c r="B36" s="11"/>
      <c r="C36" s="61"/>
      <c r="D36" s="61"/>
      <c r="E36" s="61"/>
      <c r="F36" s="61"/>
      <c r="G36" s="61"/>
      <c r="H36" s="61"/>
      <c r="I36" s="61"/>
      <c r="J36" s="61"/>
      <c r="K36" s="61"/>
      <c r="L36" s="210"/>
      <c r="M36" s="21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</row>
    <row r="37" spans="1:25" ht="18.75" x14ac:dyDescent="0.3">
      <c r="A37" s="11"/>
      <c r="B37" s="11"/>
      <c r="C37" s="61"/>
      <c r="D37" s="61"/>
      <c r="E37" s="61"/>
      <c r="F37" s="61"/>
      <c r="G37" s="61"/>
      <c r="H37" s="61"/>
      <c r="I37" s="61"/>
      <c r="J37" s="61"/>
      <c r="K37" s="61"/>
      <c r="L37" s="86"/>
      <c r="M37" s="87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</row>
    <row r="38" spans="1:25" ht="18.75" x14ac:dyDescent="0.3">
      <c r="A38" s="11"/>
      <c r="B38" s="11"/>
      <c r="C38" s="61"/>
      <c r="D38" s="61"/>
      <c r="E38" s="61"/>
      <c r="F38" s="61"/>
      <c r="G38" s="61"/>
      <c r="H38" s="61"/>
      <c r="I38" s="61"/>
      <c r="J38" s="61"/>
      <c r="K38" s="61"/>
      <c r="L38" s="86"/>
      <c r="M38" s="87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</row>
    <row r="39" spans="1:25" ht="21" x14ac:dyDescent="0.35">
      <c r="A39" s="25" t="s">
        <v>63</v>
      </c>
      <c r="B39" s="25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r="40" spans="1:25" ht="18.75" x14ac:dyDescent="0.25">
      <c r="A40" s="163" t="s">
        <v>1</v>
      </c>
      <c r="B40" s="163" t="s">
        <v>38</v>
      </c>
      <c r="C40" s="166" t="s">
        <v>39</v>
      </c>
      <c r="D40" s="166"/>
      <c r="E40" s="166"/>
      <c r="F40" s="166"/>
      <c r="G40" s="155" t="s">
        <v>61</v>
      </c>
      <c r="H40" s="166" t="s">
        <v>62</v>
      </c>
      <c r="I40" s="155" t="s">
        <v>41</v>
      </c>
      <c r="J40" s="155"/>
      <c r="K40" s="164" t="s">
        <v>60</v>
      </c>
      <c r="L40" s="155" t="s">
        <v>44</v>
      </c>
      <c r="M40" s="155"/>
      <c r="N40" s="166" t="s">
        <v>57</v>
      </c>
      <c r="O40" s="166"/>
      <c r="P40" s="166" t="s">
        <v>53</v>
      </c>
      <c r="Q40" s="166"/>
      <c r="R40" s="155" t="s">
        <v>59</v>
      </c>
      <c r="S40" s="155"/>
      <c r="T40" s="155" t="s">
        <v>58</v>
      </c>
      <c r="U40" s="155"/>
      <c r="V40" s="166" t="s">
        <v>74</v>
      </c>
      <c r="W40" s="166" t="s">
        <v>43</v>
      </c>
      <c r="X40" s="166"/>
      <c r="Y40" s="166"/>
    </row>
    <row r="41" spans="1:25" ht="18.75" x14ac:dyDescent="0.25">
      <c r="A41" s="163"/>
      <c r="B41" s="163"/>
      <c r="C41" s="44" t="s">
        <v>65</v>
      </c>
      <c r="D41" s="44" t="s">
        <v>66</v>
      </c>
      <c r="E41" s="44" t="s">
        <v>67</v>
      </c>
      <c r="F41" s="85" t="s">
        <v>68</v>
      </c>
      <c r="G41" s="155"/>
      <c r="H41" s="166"/>
      <c r="I41" s="155"/>
      <c r="J41" s="155"/>
      <c r="K41" s="165"/>
      <c r="L41" s="155"/>
      <c r="M41" s="155"/>
      <c r="N41" s="166"/>
      <c r="O41" s="166"/>
      <c r="P41" s="166"/>
      <c r="Q41" s="166"/>
      <c r="R41" s="155"/>
      <c r="S41" s="155"/>
      <c r="T41" s="155"/>
      <c r="U41" s="155"/>
      <c r="V41" s="166"/>
      <c r="W41" s="166"/>
      <c r="X41" s="166"/>
      <c r="Y41" s="166"/>
    </row>
    <row r="42" spans="1:25" ht="25.5" customHeight="1" x14ac:dyDescent="0.3">
      <c r="A42" s="18">
        <v>1</v>
      </c>
      <c r="B42" s="83" t="str">
        <f t="shared" ref="B42:B50" si="16">B21</f>
        <v>SALARY -STAFF - BANK</v>
      </c>
      <c r="C42" s="56">
        <v>14</v>
      </c>
      <c r="D42" s="56">
        <v>0</v>
      </c>
      <c r="E42" s="56">
        <v>0</v>
      </c>
      <c r="F42" s="41">
        <f>C42+D42-E42</f>
        <v>14</v>
      </c>
      <c r="G42" s="56">
        <v>10</v>
      </c>
      <c r="H42" s="39">
        <f t="shared" ref="H42:H53" si="17">G42-F42</f>
        <v>-4</v>
      </c>
      <c r="I42" s="203">
        <f>M4</f>
        <v>292364</v>
      </c>
      <c r="J42" s="203"/>
      <c r="K42" s="39">
        <v>0</v>
      </c>
      <c r="L42" s="144">
        <v>157079</v>
      </c>
      <c r="M42" s="144"/>
      <c r="N42" s="144">
        <f>+I42+K42</f>
        <v>292364</v>
      </c>
      <c r="O42" s="144"/>
      <c r="P42" s="144">
        <f>+L42-N42</f>
        <v>-135285</v>
      </c>
      <c r="Q42" s="144"/>
      <c r="R42" s="203">
        <v>1183</v>
      </c>
      <c r="S42" s="203"/>
      <c r="T42" s="203">
        <v>1183</v>
      </c>
      <c r="U42" s="203"/>
      <c r="V42" s="57">
        <f>R42-T42</f>
        <v>0</v>
      </c>
      <c r="W42" s="202" t="s">
        <v>70</v>
      </c>
      <c r="X42" s="202"/>
      <c r="Y42" s="202"/>
    </row>
    <row r="43" spans="1:25" ht="24" customHeight="1" x14ac:dyDescent="0.3">
      <c r="A43" s="18">
        <v>2</v>
      </c>
      <c r="B43" s="83" t="str">
        <f t="shared" si="16"/>
        <v>SALARY - STAFF -2 CSB</v>
      </c>
      <c r="C43" s="89">
        <v>5</v>
      </c>
      <c r="D43" s="84"/>
      <c r="E43" s="84"/>
      <c r="F43" s="41">
        <f t="shared" ref="F43:F53" si="18">C43+D43-E43</f>
        <v>5</v>
      </c>
      <c r="G43" s="56">
        <v>4</v>
      </c>
      <c r="H43" s="39">
        <f t="shared" si="17"/>
        <v>-1</v>
      </c>
      <c r="I43" s="203">
        <f t="shared" ref="I43:I50" si="19">M5</f>
        <v>78118</v>
      </c>
      <c r="J43" s="203"/>
      <c r="K43" s="39">
        <v>0</v>
      </c>
      <c r="L43" s="144">
        <v>55270</v>
      </c>
      <c r="M43" s="144"/>
      <c r="N43" s="144">
        <f>+I43+K43</f>
        <v>78118</v>
      </c>
      <c r="O43" s="144"/>
      <c r="P43" s="144">
        <f>+L43-N43</f>
        <v>-22848</v>
      </c>
      <c r="Q43" s="144"/>
      <c r="R43" s="203">
        <v>416</v>
      </c>
      <c r="S43" s="203"/>
      <c r="T43" s="203">
        <v>416</v>
      </c>
      <c r="U43" s="203"/>
      <c r="V43" s="57">
        <f>R43-T43</f>
        <v>0</v>
      </c>
      <c r="W43" s="202"/>
      <c r="X43" s="202"/>
      <c r="Y43" s="202"/>
    </row>
    <row r="44" spans="1:25" ht="24.75" customHeight="1" x14ac:dyDescent="0.3">
      <c r="A44" s="18">
        <v>3</v>
      </c>
      <c r="B44" s="83" t="str">
        <f t="shared" si="16"/>
        <v>SALARY - STAFF-CHEQUE</v>
      </c>
      <c r="C44" s="89">
        <v>0</v>
      </c>
      <c r="D44" s="84">
        <v>0</v>
      </c>
      <c r="E44" s="84"/>
      <c r="F44" s="41">
        <f t="shared" si="18"/>
        <v>0</v>
      </c>
      <c r="G44" s="56">
        <v>0</v>
      </c>
      <c r="H44" s="39">
        <f t="shared" si="17"/>
        <v>0</v>
      </c>
      <c r="I44" s="203">
        <f t="shared" si="19"/>
        <v>0</v>
      </c>
      <c r="J44" s="203"/>
      <c r="K44" s="39">
        <v>0</v>
      </c>
      <c r="L44" s="144">
        <v>0</v>
      </c>
      <c r="M44" s="144"/>
      <c r="N44" s="144">
        <f t="shared" ref="N44:N53" si="20">+I44+K44</f>
        <v>0</v>
      </c>
      <c r="O44" s="144"/>
      <c r="P44" s="144">
        <f>+L44-N44</f>
        <v>0</v>
      </c>
      <c r="Q44" s="144"/>
      <c r="R44" s="203">
        <v>0</v>
      </c>
      <c r="S44" s="203"/>
      <c r="T44" s="203">
        <v>0</v>
      </c>
      <c r="U44" s="203"/>
      <c r="V44" s="57">
        <f t="shared" ref="V44:V53" si="21">R44-T44</f>
        <v>0</v>
      </c>
      <c r="W44" s="202"/>
      <c r="X44" s="202"/>
      <c r="Y44" s="202"/>
    </row>
    <row r="45" spans="1:25" ht="27.75" customHeight="1" x14ac:dyDescent="0.3">
      <c r="A45" s="18">
        <v>4</v>
      </c>
      <c r="B45" s="83" t="str">
        <f t="shared" si="16"/>
        <v>WAGES-PERMANENT - BANK</v>
      </c>
      <c r="C45" s="89">
        <v>7</v>
      </c>
      <c r="D45" s="84"/>
      <c r="E45" s="84"/>
      <c r="F45" s="41">
        <f t="shared" si="18"/>
        <v>7</v>
      </c>
      <c r="G45" s="56">
        <v>7</v>
      </c>
      <c r="H45" s="39">
        <f t="shared" si="17"/>
        <v>0</v>
      </c>
      <c r="I45" s="203">
        <f t="shared" si="19"/>
        <v>83126</v>
      </c>
      <c r="J45" s="203"/>
      <c r="K45" s="39">
        <v>0</v>
      </c>
      <c r="L45" s="144">
        <v>83128</v>
      </c>
      <c r="M45" s="144"/>
      <c r="N45" s="144">
        <f>+I45+K45</f>
        <v>83126</v>
      </c>
      <c r="O45" s="144"/>
      <c r="P45" s="144">
        <f t="shared" ref="P45:P53" si="22">+L45-N45</f>
        <v>2</v>
      </c>
      <c r="Q45" s="144"/>
      <c r="R45" s="203">
        <v>625</v>
      </c>
      <c r="S45" s="203"/>
      <c r="T45" s="203">
        <v>625</v>
      </c>
      <c r="U45" s="203"/>
      <c r="V45" s="57">
        <f t="shared" si="21"/>
        <v>0</v>
      </c>
      <c r="W45" s="202"/>
      <c r="X45" s="202"/>
      <c r="Y45" s="202"/>
    </row>
    <row r="46" spans="1:25" ht="37.5" x14ac:dyDescent="0.3">
      <c r="A46" s="18">
        <v>5</v>
      </c>
      <c r="B46" s="83" t="str">
        <f t="shared" si="16"/>
        <v>WAGES - CASUAL - BANK(OUTSIDE)</v>
      </c>
      <c r="C46" s="89">
        <v>77</v>
      </c>
      <c r="D46" s="89"/>
      <c r="E46" s="89">
        <v>7</v>
      </c>
      <c r="F46" s="41">
        <f t="shared" si="18"/>
        <v>70</v>
      </c>
      <c r="G46" s="56">
        <v>70</v>
      </c>
      <c r="H46" s="39">
        <f t="shared" si="17"/>
        <v>0</v>
      </c>
      <c r="I46" s="203">
        <f>M8</f>
        <v>493648</v>
      </c>
      <c r="J46" s="203"/>
      <c r="K46" s="39">
        <v>0</v>
      </c>
      <c r="L46" s="144">
        <f>493648+2</f>
        <v>493650</v>
      </c>
      <c r="M46" s="144"/>
      <c r="N46" s="144">
        <f>+I46+K46</f>
        <v>493648</v>
      </c>
      <c r="O46" s="144"/>
      <c r="P46" s="144">
        <f t="shared" si="22"/>
        <v>2</v>
      </c>
      <c r="Q46" s="144"/>
      <c r="R46" s="203">
        <f>3735+40+53+22+14</f>
        <v>3864</v>
      </c>
      <c r="S46" s="203"/>
      <c r="T46" s="203">
        <f>3821+49</f>
        <v>3870</v>
      </c>
      <c r="U46" s="203"/>
      <c r="V46" s="57">
        <f t="shared" si="21"/>
        <v>-6</v>
      </c>
      <c r="W46" s="202"/>
      <c r="X46" s="202"/>
      <c r="Y46" s="202"/>
    </row>
    <row r="47" spans="1:25" ht="37.5" x14ac:dyDescent="0.3">
      <c r="A47" s="18">
        <v>6</v>
      </c>
      <c r="B47" s="83" t="str">
        <f t="shared" si="16"/>
        <v>WAGES - CASUAL - CASH(OUTSIDE)</v>
      </c>
      <c r="C47" s="89">
        <v>7</v>
      </c>
      <c r="D47" s="89">
        <v>7</v>
      </c>
      <c r="E47" s="89">
        <v>0</v>
      </c>
      <c r="F47" s="41">
        <f t="shared" si="18"/>
        <v>14</v>
      </c>
      <c r="G47" s="56">
        <v>14</v>
      </c>
      <c r="H47" s="39">
        <f t="shared" si="17"/>
        <v>0</v>
      </c>
      <c r="I47" s="203">
        <f t="shared" si="19"/>
        <v>52088</v>
      </c>
      <c r="J47" s="203"/>
      <c r="K47" s="39">
        <v>21875</v>
      </c>
      <c r="L47" s="144">
        <f>52088+21875</f>
        <v>73963</v>
      </c>
      <c r="M47" s="144"/>
      <c r="N47" s="144">
        <f>+I47+K47</f>
        <v>73963</v>
      </c>
      <c r="O47" s="144"/>
      <c r="P47" s="144">
        <f t="shared" si="22"/>
        <v>0</v>
      </c>
      <c r="Q47" s="144"/>
      <c r="R47" s="203">
        <v>396</v>
      </c>
      <c r="S47" s="203"/>
      <c r="T47" s="203">
        <v>396</v>
      </c>
      <c r="U47" s="203"/>
      <c r="V47" s="57">
        <f t="shared" si="21"/>
        <v>0</v>
      </c>
      <c r="W47" s="202"/>
      <c r="X47" s="202"/>
      <c r="Y47" s="202"/>
    </row>
    <row r="48" spans="1:25" ht="24.75" customHeight="1" x14ac:dyDescent="0.3">
      <c r="A48" s="18">
        <v>7</v>
      </c>
      <c r="B48" s="83" t="str">
        <f t="shared" si="16"/>
        <v>WAGES - CASUAL - CASH(INSIDE)</v>
      </c>
      <c r="C48" s="89">
        <v>52</v>
      </c>
      <c r="D48" s="89">
        <v>9</v>
      </c>
      <c r="E48" s="89">
        <v>12</v>
      </c>
      <c r="F48" s="41">
        <f t="shared" si="18"/>
        <v>49</v>
      </c>
      <c r="G48" s="56">
        <v>49</v>
      </c>
      <c r="H48" s="39">
        <f t="shared" si="17"/>
        <v>0</v>
      </c>
      <c r="I48" s="203">
        <f t="shared" si="19"/>
        <v>254327</v>
      </c>
      <c r="J48" s="203"/>
      <c r="K48" s="39">
        <v>17135</v>
      </c>
      <c r="L48" s="144">
        <f>254327+17135</f>
        <v>271462</v>
      </c>
      <c r="M48" s="144"/>
      <c r="N48" s="144">
        <f>+I48+K48</f>
        <v>271462</v>
      </c>
      <c r="O48" s="144"/>
      <c r="P48" s="144">
        <f>+L48-N48</f>
        <v>0</v>
      </c>
      <c r="Q48" s="144"/>
      <c r="R48" s="203">
        <f>1923+38+60+37+30</f>
        <v>2088</v>
      </c>
      <c r="S48" s="203"/>
      <c r="T48" s="203">
        <f>2072+16</f>
        <v>2088</v>
      </c>
      <c r="U48" s="203"/>
      <c r="V48" s="57">
        <f t="shared" si="21"/>
        <v>0</v>
      </c>
      <c r="W48" s="202"/>
      <c r="X48" s="202"/>
      <c r="Y48" s="202"/>
    </row>
    <row r="49" spans="1:25" ht="37.5" x14ac:dyDescent="0.3">
      <c r="A49" s="18">
        <v>8</v>
      </c>
      <c r="B49" s="83" t="str">
        <f t="shared" si="16"/>
        <v>WAGES - SECUR &amp; GARDEN - CHEQUE</v>
      </c>
      <c r="C49" s="89">
        <v>0</v>
      </c>
      <c r="D49" s="89">
        <v>0</v>
      </c>
      <c r="E49" s="89">
        <v>0</v>
      </c>
      <c r="F49" s="41">
        <f t="shared" si="18"/>
        <v>0</v>
      </c>
      <c r="G49" s="56">
        <v>0</v>
      </c>
      <c r="H49" s="39">
        <f>G49-F49</f>
        <v>0</v>
      </c>
      <c r="I49" s="203">
        <f t="shared" si="19"/>
        <v>0</v>
      </c>
      <c r="J49" s="203"/>
      <c r="K49" s="39">
        <v>0</v>
      </c>
      <c r="L49" s="144">
        <v>0</v>
      </c>
      <c r="M49" s="144"/>
      <c r="N49" s="144">
        <f t="shared" si="20"/>
        <v>0</v>
      </c>
      <c r="O49" s="144"/>
      <c r="P49" s="144">
        <f t="shared" si="22"/>
        <v>0</v>
      </c>
      <c r="Q49" s="144"/>
      <c r="R49" s="203">
        <v>0</v>
      </c>
      <c r="S49" s="203"/>
      <c r="T49" s="203">
        <v>0</v>
      </c>
      <c r="U49" s="203"/>
      <c r="V49" s="57">
        <f t="shared" si="21"/>
        <v>0</v>
      </c>
      <c r="W49" s="202"/>
      <c r="X49" s="202"/>
      <c r="Y49" s="202"/>
    </row>
    <row r="50" spans="1:25" ht="28.5" customHeight="1" x14ac:dyDescent="0.3">
      <c r="A50" s="18">
        <v>9</v>
      </c>
      <c r="B50" s="83" t="str">
        <f t="shared" si="16"/>
        <v>WAGES - SECUR &amp; GARDEN - CSB</v>
      </c>
      <c r="C50" s="89">
        <v>7</v>
      </c>
      <c r="D50" s="89"/>
      <c r="E50" s="89">
        <v>0</v>
      </c>
      <c r="F50" s="41">
        <f t="shared" si="18"/>
        <v>7</v>
      </c>
      <c r="G50" s="56">
        <v>7</v>
      </c>
      <c r="H50" s="39">
        <f t="shared" si="17"/>
        <v>0</v>
      </c>
      <c r="I50" s="203">
        <f t="shared" si="19"/>
        <v>67438</v>
      </c>
      <c r="J50" s="203"/>
      <c r="K50" s="39">
        <v>0</v>
      </c>
      <c r="L50" s="144">
        <v>67438</v>
      </c>
      <c r="M50" s="144"/>
      <c r="N50" s="144">
        <f>+I50+K50</f>
        <v>67438</v>
      </c>
      <c r="O50" s="144"/>
      <c r="P50" s="144">
        <f t="shared" si="22"/>
        <v>0</v>
      </c>
      <c r="Q50" s="144"/>
      <c r="R50" s="203">
        <v>506</v>
      </c>
      <c r="S50" s="203"/>
      <c r="T50" s="203">
        <v>506</v>
      </c>
      <c r="U50" s="203"/>
      <c r="V50" s="57">
        <f t="shared" si="21"/>
        <v>0</v>
      </c>
      <c r="W50" s="202"/>
      <c r="X50" s="202"/>
      <c r="Y50" s="202"/>
    </row>
    <row r="51" spans="1:25" ht="26.45" customHeight="1" x14ac:dyDescent="0.3">
      <c r="A51" s="18">
        <v>10</v>
      </c>
      <c r="B51" s="83" t="s">
        <v>34</v>
      </c>
      <c r="C51" s="89">
        <v>1</v>
      </c>
      <c r="D51" s="89"/>
      <c r="E51" s="89"/>
      <c r="F51" s="41">
        <v>1</v>
      </c>
      <c r="G51" s="56">
        <v>0</v>
      </c>
      <c r="H51" s="39">
        <f t="shared" si="17"/>
        <v>-1</v>
      </c>
      <c r="I51" s="204">
        <v>200000</v>
      </c>
      <c r="J51" s="205"/>
      <c r="K51" s="39">
        <v>0</v>
      </c>
      <c r="L51" s="158">
        <v>0</v>
      </c>
      <c r="M51" s="159"/>
      <c r="N51" s="144">
        <f t="shared" si="20"/>
        <v>200000</v>
      </c>
      <c r="O51" s="144"/>
      <c r="P51" s="144">
        <f t="shared" si="22"/>
        <v>-200000</v>
      </c>
      <c r="Q51" s="144"/>
      <c r="R51" s="203">
        <v>0</v>
      </c>
      <c r="S51" s="203"/>
      <c r="T51" s="204"/>
      <c r="U51" s="205"/>
      <c r="V51" s="57">
        <f t="shared" si="21"/>
        <v>0</v>
      </c>
      <c r="W51" s="206" t="s">
        <v>71</v>
      </c>
      <c r="X51" s="206"/>
      <c r="Y51" s="206"/>
    </row>
    <row r="52" spans="1:25" ht="27" customHeight="1" x14ac:dyDescent="0.3">
      <c r="A52" s="18">
        <v>11</v>
      </c>
      <c r="B52" s="83" t="str">
        <f t="shared" ref="B52:B53" si="23">B31</f>
        <v>EXEMPTED - BANK</v>
      </c>
      <c r="C52" s="89">
        <v>7</v>
      </c>
      <c r="D52" s="89"/>
      <c r="E52" s="89">
        <v>2</v>
      </c>
      <c r="F52" s="41">
        <f t="shared" si="18"/>
        <v>5</v>
      </c>
      <c r="G52" s="56">
        <v>0</v>
      </c>
      <c r="H52" s="39">
        <f t="shared" si="17"/>
        <v>-5</v>
      </c>
      <c r="I52" s="227">
        <f>+M14</f>
        <v>112767</v>
      </c>
      <c r="J52" s="228"/>
      <c r="K52" s="39">
        <v>0</v>
      </c>
      <c r="L52" s="144">
        <v>0</v>
      </c>
      <c r="M52" s="144"/>
      <c r="N52" s="144">
        <f t="shared" si="20"/>
        <v>112767</v>
      </c>
      <c r="O52" s="144"/>
      <c r="P52" s="144">
        <f t="shared" si="22"/>
        <v>-112767</v>
      </c>
      <c r="Q52" s="144"/>
      <c r="R52" s="203">
        <v>0</v>
      </c>
      <c r="S52" s="203"/>
      <c r="T52" s="203">
        <v>0</v>
      </c>
      <c r="U52" s="203"/>
      <c r="V52" s="57">
        <f t="shared" si="21"/>
        <v>0</v>
      </c>
      <c r="W52" s="202"/>
      <c r="X52" s="202"/>
      <c r="Y52" s="202"/>
    </row>
    <row r="53" spans="1:25" ht="30.2" customHeight="1" x14ac:dyDescent="0.3">
      <c r="A53" s="18">
        <v>12</v>
      </c>
      <c r="B53" s="83" t="str">
        <f t="shared" si="23"/>
        <v>EXEMPTED - CHEQUE</v>
      </c>
      <c r="C53" s="89">
        <v>3</v>
      </c>
      <c r="D53" s="89"/>
      <c r="E53" s="89">
        <v>1</v>
      </c>
      <c r="F53" s="41">
        <f t="shared" si="18"/>
        <v>2</v>
      </c>
      <c r="G53" s="56">
        <v>0</v>
      </c>
      <c r="H53" s="39">
        <f t="shared" si="17"/>
        <v>-2</v>
      </c>
      <c r="I53" s="227">
        <f>+M15</f>
        <v>46366</v>
      </c>
      <c r="J53" s="228"/>
      <c r="K53" s="39">
        <v>0</v>
      </c>
      <c r="L53" s="144">
        <v>0</v>
      </c>
      <c r="M53" s="144"/>
      <c r="N53" s="144">
        <f t="shared" si="20"/>
        <v>46366</v>
      </c>
      <c r="O53" s="144"/>
      <c r="P53" s="144">
        <f t="shared" si="22"/>
        <v>-46366</v>
      </c>
      <c r="Q53" s="144"/>
      <c r="R53" s="203">
        <v>0</v>
      </c>
      <c r="S53" s="203"/>
      <c r="T53" s="203">
        <v>0</v>
      </c>
      <c r="U53" s="203"/>
      <c r="V53" s="57">
        <f t="shared" si="21"/>
        <v>0</v>
      </c>
      <c r="W53" s="202"/>
      <c r="X53" s="202"/>
      <c r="Y53" s="202"/>
    </row>
    <row r="54" spans="1:25" ht="18.75" x14ac:dyDescent="0.25">
      <c r="A54" s="18"/>
      <c r="B54" s="22" t="s">
        <v>47</v>
      </c>
      <c r="C54" s="58">
        <f t="shared" ref="C54:H54" si="24">SUM(C42:C53)</f>
        <v>180</v>
      </c>
      <c r="D54" s="58">
        <f t="shared" si="24"/>
        <v>16</v>
      </c>
      <c r="E54" s="58">
        <f t="shared" si="24"/>
        <v>22</v>
      </c>
      <c r="F54" s="58">
        <f>SUM(F42:F53)</f>
        <v>174</v>
      </c>
      <c r="G54" s="58">
        <f>SUM(G42:G53)</f>
        <v>161</v>
      </c>
      <c r="H54" s="58">
        <f t="shared" si="24"/>
        <v>-13</v>
      </c>
      <c r="I54" s="199">
        <f>SUM(I42:K53)</f>
        <v>1719252</v>
      </c>
      <c r="J54" s="199"/>
      <c r="K54" s="62">
        <f>SUM(K42:K53)</f>
        <v>39010</v>
      </c>
      <c r="L54" s="200">
        <f>SUM(L42:M53)</f>
        <v>1201990</v>
      </c>
      <c r="M54" s="200"/>
      <c r="N54" s="201">
        <f>SUM(N42:O53)</f>
        <v>1719252</v>
      </c>
      <c r="O54" s="201"/>
      <c r="P54" s="201">
        <f>SUM(P42:Q53)</f>
        <v>-517262</v>
      </c>
      <c r="Q54" s="201"/>
      <c r="R54" s="201">
        <f>SUM(R42:S53)</f>
        <v>9078</v>
      </c>
      <c r="S54" s="201"/>
      <c r="T54" s="201">
        <f>SUM(T42:U53)</f>
        <v>9084</v>
      </c>
      <c r="U54" s="201"/>
      <c r="V54" s="60">
        <f>SUM(V42:V53)</f>
        <v>-6</v>
      </c>
      <c r="W54" s="198"/>
      <c r="X54" s="198"/>
      <c r="Y54" s="198"/>
    </row>
  </sheetData>
  <mergeCells count="223">
    <mergeCell ref="V2:W2"/>
    <mergeCell ref="X2:X3"/>
    <mergeCell ref="Y2:Y3"/>
    <mergeCell ref="A16:B16"/>
    <mergeCell ref="A19:A20"/>
    <mergeCell ref="B19:B20"/>
    <mergeCell ref="C19:F19"/>
    <mergeCell ref="G19:H20"/>
    <mergeCell ref="I19:I20"/>
    <mergeCell ref="J19:J20"/>
    <mergeCell ref="A2:A3"/>
    <mergeCell ref="B2:B3"/>
    <mergeCell ref="C2:F2"/>
    <mergeCell ref="G2:G3"/>
    <mergeCell ref="H2:M2"/>
    <mergeCell ref="N2:U2"/>
    <mergeCell ref="V19:V20"/>
    <mergeCell ref="W19:Y20"/>
    <mergeCell ref="G21:H21"/>
    <mergeCell ref="L21:M21"/>
    <mergeCell ref="N21:O21"/>
    <mergeCell ref="P21:Q21"/>
    <mergeCell ref="R21:S21"/>
    <mergeCell ref="T21:U21"/>
    <mergeCell ref="W21:Y21"/>
    <mergeCell ref="K19:K20"/>
    <mergeCell ref="L19:M20"/>
    <mergeCell ref="N19:O20"/>
    <mergeCell ref="P19:Q20"/>
    <mergeCell ref="R19:S20"/>
    <mergeCell ref="T19:U20"/>
    <mergeCell ref="W22:Y22"/>
    <mergeCell ref="G23:H23"/>
    <mergeCell ref="L23:M23"/>
    <mergeCell ref="N23:O23"/>
    <mergeCell ref="P23:Q23"/>
    <mergeCell ref="R23:S23"/>
    <mergeCell ref="T23:U23"/>
    <mergeCell ref="W23:Y23"/>
    <mergeCell ref="G22:H22"/>
    <mergeCell ref="L22:M22"/>
    <mergeCell ref="N22:O22"/>
    <mergeCell ref="P22:Q22"/>
    <mergeCell ref="R22:S22"/>
    <mergeCell ref="T22:U22"/>
    <mergeCell ref="W24:Y24"/>
    <mergeCell ref="G25:H25"/>
    <mergeCell ref="L25:M25"/>
    <mergeCell ref="N25:O25"/>
    <mergeCell ref="P25:Q25"/>
    <mergeCell ref="R25:S25"/>
    <mergeCell ref="T25:U25"/>
    <mergeCell ref="W25:Y25"/>
    <mergeCell ref="G24:H24"/>
    <mergeCell ref="L24:M24"/>
    <mergeCell ref="N24:O24"/>
    <mergeCell ref="P24:Q24"/>
    <mergeCell ref="R24:S24"/>
    <mergeCell ref="T24:U24"/>
    <mergeCell ref="W26:Y26"/>
    <mergeCell ref="G27:H27"/>
    <mergeCell ref="L27:M27"/>
    <mergeCell ref="N27:O27"/>
    <mergeCell ref="P27:Q27"/>
    <mergeCell ref="R27:S27"/>
    <mergeCell ref="T27:U27"/>
    <mergeCell ref="W27:Y27"/>
    <mergeCell ref="G26:H26"/>
    <mergeCell ref="L26:M26"/>
    <mergeCell ref="N26:O26"/>
    <mergeCell ref="P26:Q26"/>
    <mergeCell ref="R26:S26"/>
    <mergeCell ref="T26:U26"/>
    <mergeCell ref="W28:Y28"/>
    <mergeCell ref="G29:H29"/>
    <mergeCell ref="L29:M29"/>
    <mergeCell ref="N29:O29"/>
    <mergeCell ref="P29:Q29"/>
    <mergeCell ref="R29:S29"/>
    <mergeCell ref="T29:U29"/>
    <mergeCell ref="W29:Y29"/>
    <mergeCell ref="G28:H28"/>
    <mergeCell ref="L28:M28"/>
    <mergeCell ref="N28:O28"/>
    <mergeCell ref="P28:Q28"/>
    <mergeCell ref="R28:S28"/>
    <mergeCell ref="T28:U28"/>
    <mergeCell ref="W30:Y30"/>
    <mergeCell ref="G31:H31"/>
    <mergeCell ref="L31:M31"/>
    <mergeCell ref="N31:O31"/>
    <mergeCell ref="P31:Q31"/>
    <mergeCell ref="R31:S31"/>
    <mergeCell ref="T31:U31"/>
    <mergeCell ref="W31:Y31"/>
    <mergeCell ref="G30:H30"/>
    <mergeCell ref="L30:M30"/>
    <mergeCell ref="N30:O30"/>
    <mergeCell ref="P30:Q30"/>
    <mergeCell ref="R30:S30"/>
    <mergeCell ref="T30:U30"/>
    <mergeCell ref="W32:Y32"/>
    <mergeCell ref="G33:H33"/>
    <mergeCell ref="L33:M33"/>
    <mergeCell ref="N33:O33"/>
    <mergeCell ref="P33:Q33"/>
    <mergeCell ref="R33:S33"/>
    <mergeCell ref="T33:U33"/>
    <mergeCell ref="W33:Y33"/>
    <mergeCell ref="G32:H32"/>
    <mergeCell ref="L32:M32"/>
    <mergeCell ref="N32:O32"/>
    <mergeCell ref="P32:Q32"/>
    <mergeCell ref="R32:S32"/>
    <mergeCell ref="T32:U32"/>
    <mergeCell ref="L35:M35"/>
    <mergeCell ref="N35:O35"/>
    <mergeCell ref="L36:M36"/>
    <mergeCell ref="A40:A41"/>
    <mergeCell ref="B40:B41"/>
    <mergeCell ref="C40:F40"/>
    <mergeCell ref="G40:G41"/>
    <mergeCell ref="H40:H41"/>
    <mergeCell ref="I40:J41"/>
    <mergeCell ref="K40:K41"/>
    <mergeCell ref="W40:Y41"/>
    <mergeCell ref="I42:J42"/>
    <mergeCell ref="L42:M42"/>
    <mergeCell ref="N42:O42"/>
    <mergeCell ref="P42:Q42"/>
    <mergeCell ref="R42:S42"/>
    <mergeCell ref="T42:U42"/>
    <mergeCell ref="W42:Y42"/>
    <mergeCell ref="L40:M41"/>
    <mergeCell ref="N40:O41"/>
    <mergeCell ref="P40:Q41"/>
    <mergeCell ref="R40:S41"/>
    <mergeCell ref="T40:U41"/>
    <mergeCell ref="V40:V41"/>
    <mergeCell ref="W43:Y43"/>
    <mergeCell ref="I44:J44"/>
    <mergeCell ref="L44:M44"/>
    <mergeCell ref="N44:O44"/>
    <mergeCell ref="P44:Q44"/>
    <mergeCell ref="R44:S44"/>
    <mergeCell ref="T44:U44"/>
    <mergeCell ref="W44:Y44"/>
    <mergeCell ref="I43:J43"/>
    <mergeCell ref="L43:M43"/>
    <mergeCell ref="N43:O43"/>
    <mergeCell ref="P43:Q43"/>
    <mergeCell ref="R43:S43"/>
    <mergeCell ref="T43:U43"/>
    <mergeCell ref="W45:Y45"/>
    <mergeCell ref="I46:J46"/>
    <mergeCell ref="L46:M46"/>
    <mergeCell ref="N46:O46"/>
    <mergeCell ref="P46:Q46"/>
    <mergeCell ref="R46:S46"/>
    <mergeCell ref="T46:U46"/>
    <mergeCell ref="W46:Y46"/>
    <mergeCell ref="I45:J45"/>
    <mergeCell ref="L45:M45"/>
    <mergeCell ref="N45:O45"/>
    <mergeCell ref="P45:Q45"/>
    <mergeCell ref="R45:S45"/>
    <mergeCell ref="T45:U45"/>
    <mergeCell ref="W47:Y47"/>
    <mergeCell ref="I48:J48"/>
    <mergeCell ref="L48:M48"/>
    <mergeCell ref="N48:O48"/>
    <mergeCell ref="P48:Q48"/>
    <mergeCell ref="R48:S48"/>
    <mergeCell ref="T48:U48"/>
    <mergeCell ref="W48:Y48"/>
    <mergeCell ref="I47:J47"/>
    <mergeCell ref="L47:M47"/>
    <mergeCell ref="N47:O47"/>
    <mergeCell ref="P47:Q47"/>
    <mergeCell ref="R47:S47"/>
    <mergeCell ref="T47:U47"/>
    <mergeCell ref="W49:Y49"/>
    <mergeCell ref="I50:J50"/>
    <mergeCell ref="L50:M50"/>
    <mergeCell ref="N50:O50"/>
    <mergeCell ref="P50:Q50"/>
    <mergeCell ref="R50:S50"/>
    <mergeCell ref="T50:U50"/>
    <mergeCell ref="W50:Y50"/>
    <mergeCell ref="I49:J49"/>
    <mergeCell ref="L49:M49"/>
    <mergeCell ref="N49:O49"/>
    <mergeCell ref="P49:Q49"/>
    <mergeCell ref="R49:S49"/>
    <mergeCell ref="T49:U49"/>
    <mergeCell ref="W51:Y51"/>
    <mergeCell ref="I52:J52"/>
    <mergeCell ref="L52:M52"/>
    <mergeCell ref="N52:O52"/>
    <mergeCell ref="P52:Q52"/>
    <mergeCell ref="R52:S52"/>
    <mergeCell ref="T52:U52"/>
    <mergeCell ref="W52:Y52"/>
    <mergeCell ref="I51:J51"/>
    <mergeCell ref="L51:M51"/>
    <mergeCell ref="N51:O51"/>
    <mergeCell ref="P51:Q51"/>
    <mergeCell ref="R51:S51"/>
    <mergeCell ref="T51:U51"/>
    <mergeCell ref="W53:Y53"/>
    <mergeCell ref="I54:J54"/>
    <mergeCell ref="L54:M54"/>
    <mergeCell ref="N54:O54"/>
    <mergeCell ref="P54:Q54"/>
    <mergeCell ref="R54:S54"/>
    <mergeCell ref="T54:U54"/>
    <mergeCell ref="W54:Y54"/>
    <mergeCell ref="I53:J53"/>
    <mergeCell ref="L53:M53"/>
    <mergeCell ref="N53:O53"/>
    <mergeCell ref="P53:Q53"/>
    <mergeCell ref="R53:S53"/>
    <mergeCell ref="T53:U53"/>
  </mergeCells>
  <pageMargins left="0.7" right="0.7" top="0.75" bottom="0.75" header="0.3" footer="0.3"/>
  <pageSetup paperSize="8" scale="68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9"/>
  <sheetViews>
    <sheetView topLeftCell="K10" workbookViewId="0">
      <selection activeCell="F44" sqref="F44:F56"/>
    </sheetView>
  </sheetViews>
  <sheetFormatPr defaultRowHeight="15" x14ac:dyDescent="0.25"/>
  <cols>
    <col min="2" max="2" width="42.5703125" customWidth="1"/>
    <col min="3" max="6" width="9.140625" customWidth="1"/>
    <col min="7" max="7" width="9.42578125" customWidth="1"/>
    <col min="8" max="8" width="14.140625" customWidth="1"/>
    <col min="9" max="9" width="10.85546875" customWidth="1"/>
    <col min="10" max="10" width="15.85546875" customWidth="1"/>
    <col min="11" max="11" width="14.42578125" customWidth="1"/>
    <col min="12" max="17" width="9.140625" customWidth="1"/>
    <col min="22" max="22" width="13.140625" customWidth="1"/>
  </cols>
  <sheetData>
    <row r="1" spans="1:25" ht="18.75" x14ac:dyDescent="0.3">
      <c r="A1" s="14" t="s">
        <v>81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27.2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94" t="s">
        <v>65</v>
      </c>
      <c r="D3" s="64" t="s">
        <v>66</v>
      </c>
      <c r="E3" s="64" t="s">
        <v>67</v>
      </c>
      <c r="F3" s="50" t="s">
        <v>68</v>
      </c>
      <c r="G3" s="215"/>
      <c r="H3" s="94" t="s">
        <v>10</v>
      </c>
      <c r="I3" s="94" t="s">
        <v>11</v>
      </c>
      <c r="J3" s="94" t="s">
        <v>12</v>
      </c>
      <c r="K3" s="94" t="s">
        <v>13</v>
      </c>
      <c r="L3" s="94" t="s">
        <v>55</v>
      </c>
      <c r="M3" s="94" t="s">
        <v>14</v>
      </c>
      <c r="N3" s="94" t="s">
        <v>15</v>
      </c>
      <c r="O3" s="94" t="s">
        <v>16</v>
      </c>
      <c r="P3" s="94" t="s">
        <v>56</v>
      </c>
      <c r="Q3" s="94" t="s">
        <v>17</v>
      </c>
      <c r="R3" s="94" t="s">
        <v>18</v>
      </c>
      <c r="S3" s="94" t="s">
        <v>19</v>
      </c>
      <c r="T3" s="94" t="s">
        <v>20</v>
      </c>
      <c r="U3" s="94" t="s">
        <v>21</v>
      </c>
      <c r="V3" s="94" t="s">
        <v>22</v>
      </c>
      <c r="W3" s="94" t="s">
        <v>23</v>
      </c>
      <c r="X3" s="215"/>
      <c r="Y3" s="215"/>
    </row>
    <row r="4" spans="1:25" ht="28.5" customHeight="1" x14ac:dyDescent="0.25">
      <c r="A4" s="2">
        <v>1</v>
      </c>
      <c r="B4" s="3" t="s">
        <v>24</v>
      </c>
      <c r="C4" s="32">
        <v>14</v>
      </c>
      <c r="D4" s="32">
        <v>0</v>
      </c>
      <c r="E4" s="32">
        <v>0</v>
      </c>
      <c r="F4" s="32">
        <f t="shared" ref="F4:F16" si="0">C4+D4-E4</f>
        <v>14</v>
      </c>
      <c r="G4" s="9">
        <v>331</v>
      </c>
      <c r="H4" s="8">
        <v>164531</v>
      </c>
      <c r="I4" s="8"/>
      <c r="J4" s="8">
        <v>79153</v>
      </c>
      <c r="K4" s="8">
        <v>13538</v>
      </c>
      <c r="L4" s="8">
        <v>13538</v>
      </c>
      <c r="M4" s="51">
        <f t="shared" ref="M4:M16" si="1">SUM(H4:L4)</f>
        <v>270760</v>
      </c>
      <c r="N4" s="8">
        <v>19743</v>
      </c>
      <c r="O4" s="8">
        <v>1047</v>
      </c>
      <c r="P4" s="8"/>
      <c r="Q4" s="8"/>
      <c r="R4" s="8">
        <v>0</v>
      </c>
      <c r="S4" s="8">
        <v>24890</v>
      </c>
      <c r="T4" s="8">
        <v>0</v>
      </c>
      <c r="U4" s="51">
        <f>SUM(N4:T4)</f>
        <v>45680</v>
      </c>
      <c r="V4" s="8" t="s">
        <v>25</v>
      </c>
      <c r="W4" s="8" t="s">
        <v>25</v>
      </c>
      <c r="X4" s="8">
        <v>10</v>
      </c>
      <c r="Y4" s="51">
        <f>M4-U4+X4</f>
        <v>225090</v>
      </c>
    </row>
    <row r="5" spans="1:25" ht="28.5" customHeight="1" x14ac:dyDescent="0.25">
      <c r="A5" s="2">
        <v>2</v>
      </c>
      <c r="B5" s="3" t="s">
        <v>26</v>
      </c>
      <c r="C5" s="32">
        <v>5</v>
      </c>
      <c r="D5" s="32">
        <v>0</v>
      </c>
      <c r="E5" s="32">
        <v>0</v>
      </c>
      <c r="F5" s="32">
        <f t="shared" si="0"/>
        <v>5</v>
      </c>
      <c r="G5" s="9">
        <v>125</v>
      </c>
      <c r="H5" s="8">
        <v>44850</v>
      </c>
      <c r="I5" s="8"/>
      <c r="J5" s="8">
        <v>22425</v>
      </c>
      <c r="K5" s="8">
        <v>3738</v>
      </c>
      <c r="L5" s="8">
        <v>3738</v>
      </c>
      <c r="M5" s="51">
        <f t="shared" si="1"/>
        <v>74751</v>
      </c>
      <c r="N5" s="8">
        <v>5382</v>
      </c>
      <c r="O5" s="8">
        <v>398</v>
      </c>
      <c r="P5" s="8"/>
      <c r="Q5" s="8">
        <v>790</v>
      </c>
      <c r="R5" s="8">
        <v>0</v>
      </c>
      <c r="S5" s="8">
        <v>6000</v>
      </c>
      <c r="T5" s="8"/>
      <c r="U5" s="51">
        <f>SUM(N5:T5)</f>
        <v>12570</v>
      </c>
      <c r="V5" s="8" t="s">
        <v>25</v>
      </c>
      <c r="W5" s="8" t="s">
        <v>25</v>
      </c>
      <c r="X5" s="8">
        <v>9</v>
      </c>
      <c r="Y5" s="51">
        <f>M5-U5+X5</f>
        <v>62190</v>
      </c>
    </row>
    <row r="6" spans="1:25" ht="30.2" customHeight="1" x14ac:dyDescent="0.25">
      <c r="A6" s="2">
        <v>3</v>
      </c>
      <c r="B6" s="3" t="s">
        <v>27</v>
      </c>
      <c r="C6" s="32">
        <v>0</v>
      </c>
      <c r="D6" s="32">
        <v>0</v>
      </c>
      <c r="E6" s="32">
        <v>0</v>
      </c>
      <c r="F6" s="32">
        <f t="shared" si="0"/>
        <v>0</v>
      </c>
      <c r="G6" s="9"/>
      <c r="H6" s="8"/>
      <c r="I6" s="8"/>
      <c r="J6" s="8"/>
      <c r="K6" s="8"/>
      <c r="L6" s="8"/>
      <c r="M6" s="51">
        <f t="shared" si="1"/>
        <v>0</v>
      </c>
      <c r="N6" s="8"/>
      <c r="O6" s="8"/>
      <c r="P6" s="8"/>
      <c r="Q6" s="8"/>
      <c r="R6" s="8"/>
      <c r="S6" s="8">
        <v>0</v>
      </c>
      <c r="T6" s="8"/>
      <c r="U6" s="51">
        <f>SUM(N6:T6)</f>
        <v>0</v>
      </c>
      <c r="V6" s="8" t="s">
        <v>25</v>
      </c>
      <c r="W6" s="8" t="s">
        <v>25</v>
      </c>
      <c r="X6" s="8">
        <v>0</v>
      </c>
      <c r="Y6" s="51">
        <f>M6-U6+X6</f>
        <v>0</v>
      </c>
    </row>
    <row r="7" spans="1:25" ht="30.2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179.5</v>
      </c>
      <c r="H7" s="8">
        <v>7200</v>
      </c>
      <c r="I7" s="8">
        <v>74065</v>
      </c>
      <c r="J7" s="8">
        <v>1800</v>
      </c>
      <c r="K7" s="8"/>
      <c r="L7" s="8"/>
      <c r="M7" s="51">
        <f t="shared" si="1"/>
        <v>83065</v>
      </c>
      <c r="N7" s="8">
        <v>9754</v>
      </c>
      <c r="O7" s="8">
        <v>624</v>
      </c>
      <c r="P7" s="8">
        <v>0</v>
      </c>
      <c r="Q7" s="8">
        <v>320</v>
      </c>
      <c r="R7" s="8">
        <v>0</v>
      </c>
      <c r="S7" s="8">
        <v>2000</v>
      </c>
      <c r="T7" s="8">
        <v>0</v>
      </c>
      <c r="U7" s="51">
        <f>SUM(N7:T7)</f>
        <v>12698</v>
      </c>
      <c r="V7" s="8">
        <f>+W7/5</f>
        <v>1278</v>
      </c>
      <c r="W7" s="8">
        <v>6390</v>
      </c>
      <c r="X7" s="8">
        <v>3</v>
      </c>
      <c r="Y7" s="51">
        <f>M7-U7+W7+X7</f>
        <v>76760</v>
      </c>
    </row>
    <row r="8" spans="1:25" ht="34.5" customHeight="1" x14ac:dyDescent="0.25">
      <c r="A8" s="2">
        <v>5</v>
      </c>
      <c r="B8" s="28" t="s">
        <v>29</v>
      </c>
      <c r="C8" s="32">
        <v>70</v>
      </c>
      <c r="D8" s="32">
        <f>2+1</f>
        <v>3</v>
      </c>
      <c r="E8" s="32"/>
      <c r="F8" s="32">
        <f>C8+D8-E8</f>
        <v>73</v>
      </c>
      <c r="G8" s="9">
        <v>1477</v>
      </c>
      <c r="H8" s="8">
        <v>285989</v>
      </c>
      <c r="I8" s="8"/>
      <c r="J8" s="8">
        <v>190659</v>
      </c>
      <c r="K8" s="8"/>
      <c r="L8" s="8"/>
      <c r="M8" s="51">
        <f t="shared" si="1"/>
        <v>476648</v>
      </c>
      <c r="N8" s="8">
        <v>34321</v>
      </c>
      <c r="O8" s="8">
        <v>3607</v>
      </c>
      <c r="P8" s="8">
        <v>0</v>
      </c>
      <c r="Q8" s="8">
        <v>6090</v>
      </c>
      <c r="R8" s="8">
        <v>0</v>
      </c>
      <c r="S8" s="8">
        <v>8500</v>
      </c>
      <c r="T8" s="8">
        <v>0</v>
      </c>
      <c r="U8" s="51">
        <f t="shared" ref="U8:U16" si="2">SUM(N8:T8)</f>
        <v>52518</v>
      </c>
      <c r="V8" s="8">
        <f>+W8/5</f>
        <v>20535.599999999999</v>
      </c>
      <c r="W8" s="8">
        <v>102678</v>
      </c>
      <c r="X8" s="8">
        <v>-18</v>
      </c>
      <c r="Y8" s="51">
        <f t="shared" ref="Y8:Y13" si="3">M8-U8+W8+X8</f>
        <v>526790</v>
      </c>
    </row>
    <row r="9" spans="1:25" ht="39.75" customHeight="1" x14ac:dyDescent="0.25">
      <c r="A9" s="2">
        <v>6</v>
      </c>
      <c r="B9" s="28" t="s">
        <v>30</v>
      </c>
      <c r="C9" s="32">
        <v>14</v>
      </c>
      <c r="D9" s="32">
        <v>1</v>
      </c>
      <c r="E9" s="32">
        <f>3+1</f>
        <v>4</v>
      </c>
      <c r="F9" s="32">
        <f t="shared" si="0"/>
        <v>11</v>
      </c>
      <c r="G9" s="9">
        <v>103.5</v>
      </c>
      <c r="H9" s="8">
        <v>19660</v>
      </c>
      <c r="I9" s="8"/>
      <c r="J9" s="8">
        <v>13107</v>
      </c>
      <c r="K9" s="8"/>
      <c r="L9" s="8"/>
      <c r="M9" s="51">
        <f t="shared" si="1"/>
        <v>32767</v>
      </c>
      <c r="N9" s="8">
        <v>2360</v>
      </c>
      <c r="O9" s="8">
        <v>249</v>
      </c>
      <c r="P9" s="8"/>
      <c r="Q9" s="8">
        <v>470</v>
      </c>
      <c r="R9" s="8">
        <v>0</v>
      </c>
      <c r="S9" s="8">
        <v>0</v>
      </c>
      <c r="T9" s="8">
        <v>0</v>
      </c>
      <c r="U9" s="51">
        <f t="shared" si="2"/>
        <v>3079</v>
      </c>
      <c r="V9" s="8">
        <v>1246</v>
      </c>
      <c r="W9" s="8">
        <v>6228</v>
      </c>
      <c r="X9" s="8">
        <v>4</v>
      </c>
      <c r="Y9" s="51">
        <f t="shared" si="3"/>
        <v>35920</v>
      </c>
    </row>
    <row r="10" spans="1:25" ht="39.200000000000003" customHeight="1" x14ac:dyDescent="0.25">
      <c r="A10" s="2">
        <v>7</v>
      </c>
      <c r="B10" s="28" t="s">
        <v>31</v>
      </c>
      <c r="C10" s="32">
        <v>42</v>
      </c>
      <c r="D10" s="32">
        <v>10</v>
      </c>
      <c r="E10" s="32">
        <v>9</v>
      </c>
      <c r="F10" s="32">
        <f t="shared" si="0"/>
        <v>43</v>
      </c>
      <c r="G10" s="9">
        <v>664</v>
      </c>
      <c r="H10" s="8">
        <v>123373</v>
      </c>
      <c r="I10" s="8"/>
      <c r="J10" s="8">
        <v>82249</v>
      </c>
      <c r="K10" s="8"/>
      <c r="L10" s="8"/>
      <c r="M10" s="51">
        <f t="shared" si="1"/>
        <v>205622</v>
      </c>
      <c r="N10" s="8">
        <v>14804</v>
      </c>
      <c r="O10" s="8">
        <v>1558</v>
      </c>
      <c r="P10" s="8"/>
      <c r="Q10" s="8">
        <v>2060</v>
      </c>
      <c r="R10" s="8">
        <v>0</v>
      </c>
      <c r="S10" s="8">
        <v>4000</v>
      </c>
      <c r="T10" s="8">
        <v>0</v>
      </c>
      <c r="U10" s="51">
        <f t="shared" si="2"/>
        <v>22422</v>
      </c>
      <c r="V10" s="8">
        <v>6218</v>
      </c>
      <c r="W10" s="8">
        <v>31090</v>
      </c>
      <c r="X10" s="8">
        <v>50</v>
      </c>
      <c r="Y10" s="51">
        <f t="shared" si="3"/>
        <v>214340</v>
      </c>
    </row>
    <row r="11" spans="1:25" ht="39.200000000000003" customHeight="1" x14ac:dyDescent="0.25">
      <c r="A11" s="2">
        <v>8</v>
      </c>
      <c r="B11" s="28" t="s">
        <v>82</v>
      </c>
      <c r="C11" s="32">
        <v>7</v>
      </c>
      <c r="D11" s="32"/>
      <c r="E11" s="32"/>
      <c r="F11" s="32">
        <f t="shared" ref="F11" si="4">C11+D11-E11</f>
        <v>7</v>
      </c>
      <c r="G11" s="9">
        <v>156</v>
      </c>
      <c r="H11" s="8">
        <v>28941</v>
      </c>
      <c r="I11" s="8"/>
      <c r="J11" s="8">
        <v>19294</v>
      </c>
      <c r="K11" s="8"/>
      <c r="L11" s="8"/>
      <c r="M11" s="51">
        <f t="shared" ref="M11" si="5">SUM(H11:L11)</f>
        <v>48235</v>
      </c>
      <c r="N11" s="8">
        <v>3472</v>
      </c>
      <c r="O11" s="8">
        <v>364</v>
      </c>
      <c r="P11" s="8"/>
      <c r="Q11" s="8">
        <v>650</v>
      </c>
      <c r="R11" s="8">
        <v>0</v>
      </c>
      <c r="S11" s="8">
        <v>1000</v>
      </c>
      <c r="T11" s="8">
        <v>0</v>
      </c>
      <c r="U11" s="51">
        <f t="shared" ref="U11" si="6">SUM(N11:T11)</f>
        <v>5486</v>
      </c>
      <c r="V11" s="8">
        <v>800</v>
      </c>
      <c r="W11" s="8">
        <v>4000</v>
      </c>
      <c r="X11" s="8">
        <v>21</v>
      </c>
      <c r="Y11" s="51">
        <f t="shared" ref="Y11" si="7">M11-U11+W11+X11</f>
        <v>46770</v>
      </c>
    </row>
    <row r="12" spans="1:25" ht="34.5" customHeight="1" x14ac:dyDescent="0.25">
      <c r="A12" s="2">
        <v>9</v>
      </c>
      <c r="B12" s="28" t="s">
        <v>32</v>
      </c>
      <c r="C12" s="32">
        <v>0</v>
      </c>
      <c r="D12" s="32"/>
      <c r="E12" s="32">
        <v>0</v>
      </c>
      <c r="F12" s="32">
        <f t="shared" si="0"/>
        <v>0</v>
      </c>
      <c r="G12" s="9"/>
      <c r="H12" s="8"/>
      <c r="I12" s="8"/>
      <c r="J12" s="8"/>
      <c r="K12" s="8"/>
      <c r="L12" s="8"/>
      <c r="M12" s="51">
        <f t="shared" si="1"/>
        <v>0</v>
      </c>
      <c r="N12" s="8"/>
      <c r="O12" s="8"/>
      <c r="P12" s="8">
        <v>0</v>
      </c>
      <c r="Q12" s="8"/>
      <c r="R12" s="8">
        <v>0</v>
      </c>
      <c r="S12" s="8">
        <v>0</v>
      </c>
      <c r="T12" s="8">
        <v>0</v>
      </c>
      <c r="U12" s="51">
        <f>SUM(N12:T12)</f>
        <v>0</v>
      </c>
      <c r="V12" s="8"/>
      <c r="W12" s="8">
        <v>0</v>
      </c>
      <c r="X12" s="8">
        <v>0</v>
      </c>
      <c r="Y12" s="51">
        <f t="shared" si="3"/>
        <v>0</v>
      </c>
    </row>
    <row r="13" spans="1:25" ht="42" customHeight="1" x14ac:dyDescent="0.25">
      <c r="A13" s="2">
        <v>10</v>
      </c>
      <c r="B13" s="28" t="s">
        <v>33</v>
      </c>
      <c r="C13" s="32">
        <v>7</v>
      </c>
      <c r="D13" s="32">
        <v>0</v>
      </c>
      <c r="E13" s="32">
        <v>0</v>
      </c>
      <c r="F13" s="32">
        <f>C13+D13-E13</f>
        <v>7</v>
      </c>
      <c r="G13" s="9">
        <v>166</v>
      </c>
      <c r="H13" s="8">
        <v>37631</v>
      </c>
      <c r="I13" s="8"/>
      <c r="J13" s="8">
        <v>25087</v>
      </c>
      <c r="K13" s="8"/>
      <c r="L13" s="8"/>
      <c r="M13" s="51">
        <f t="shared" si="1"/>
        <v>62718</v>
      </c>
      <c r="N13" s="8">
        <v>4517</v>
      </c>
      <c r="O13" s="8">
        <v>473</v>
      </c>
      <c r="P13" s="8">
        <v>0</v>
      </c>
      <c r="Q13" s="8">
        <v>550</v>
      </c>
      <c r="R13" s="8">
        <v>0</v>
      </c>
      <c r="S13" s="8">
        <v>4000</v>
      </c>
      <c r="T13" s="8">
        <v>0</v>
      </c>
      <c r="U13" s="51">
        <f>SUM(N13:T13)</f>
        <v>9540</v>
      </c>
      <c r="V13" s="8"/>
      <c r="W13" s="8">
        <v>2600</v>
      </c>
      <c r="X13" s="8">
        <v>2</v>
      </c>
      <c r="Y13" s="51">
        <f t="shared" si="3"/>
        <v>55780</v>
      </c>
    </row>
    <row r="14" spans="1:25" ht="35.450000000000003" customHeight="1" x14ac:dyDescent="0.25">
      <c r="A14" s="2">
        <v>11</v>
      </c>
      <c r="B14" s="28" t="s">
        <v>34</v>
      </c>
      <c r="C14" s="32">
        <v>1</v>
      </c>
      <c r="D14" s="32"/>
      <c r="E14" s="32"/>
      <c r="F14" s="32">
        <f t="shared" si="0"/>
        <v>1</v>
      </c>
      <c r="G14" s="9">
        <v>26</v>
      </c>
      <c r="H14" s="8">
        <v>200000</v>
      </c>
      <c r="I14" s="8"/>
      <c r="J14" s="8"/>
      <c r="K14" s="8"/>
      <c r="L14" s="8"/>
      <c r="M14" s="51">
        <f t="shared" si="1"/>
        <v>200000</v>
      </c>
      <c r="N14" s="8">
        <v>24000</v>
      </c>
      <c r="O14" s="8">
        <v>0</v>
      </c>
      <c r="P14" s="8">
        <v>0</v>
      </c>
      <c r="Q14" s="8"/>
      <c r="R14" s="8">
        <v>0</v>
      </c>
      <c r="S14" s="8"/>
      <c r="T14" s="8">
        <v>0</v>
      </c>
      <c r="U14" s="51">
        <f>SUM(N14:T14)</f>
        <v>24000</v>
      </c>
      <c r="V14" s="8"/>
      <c r="W14" s="8"/>
      <c r="X14" s="8">
        <v>0</v>
      </c>
      <c r="Y14" s="51">
        <f>M14-U14+W14+X14</f>
        <v>176000</v>
      </c>
    </row>
    <row r="15" spans="1:25" ht="34.5" customHeight="1" x14ac:dyDescent="0.25">
      <c r="A15" s="2">
        <v>12</v>
      </c>
      <c r="B15" s="3" t="s">
        <v>35</v>
      </c>
      <c r="C15" s="32">
        <v>5</v>
      </c>
      <c r="D15" s="32"/>
      <c r="E15" s="32">
        <v>0</v>
      </c>
      <c r="F15" s="32">
        <f t="shared" si="0"/>
        <v>5</v>
      </c>
      <c r="G15" s="9">
        <v>121</v>
      </c>
      <c r="H15" s="8">
        <v>110417</v>
      </c>
      <c r="I15" s="8"/>
      <c r="J15" s="8"/>
      <c r="K15" s="8"/>
      <c r="L15" s="8"/>
      <c r="M15" s="51">
        <f t="shared" si="1"/>
        <v>110417</v>
      </c>
      <c r="N15" s="8"/>
      <c r="O15" s="8"/>
      <c r="P15" s="8">
        <v>0</v>
      </c>
      <c r="Q15" s="8"/>
      <c r="R15" s="8"/>
      <c r="S15" s="8">
        <v>43000</v>
      </c>
      <c r="T15" s="8"/>
      <c r="U15" s="51">
        <f>SUM(N15:T15)</f>
        <v>43000</v>
      </c>
      <c r="V15" s="8">
        <v>0</v>
      </c>
      <c r="W15" s="8"/>
      <c r="X15" s="8">
        <v>-7</v>
      </c>
      <c r="Y15" s="51">
        <f>M15-U15+W15+X15</f>
        <v>67410</v>
      </c>
    </row>
    <row r="16" spans="1:25" ht="27.75" customHeight="1" x14ac:dyDescent="0.25">
      <c r="A16" s="2">
        <v>13</v>
      </c>
      <c r="B16" s="3" t="s">
        <v>36</v>
      </c>
      <c r="C16" s="32">
        <v>2</v>
      </c>
      <c r="D16" s="32">
        <v>1</v>
      </c>
      <c r="E16" s="32">
        <v>0</v>
      </c>
      <c r="F16" s="32">
        <f t="shared" si="0"/>
        <v>3</v>
      </c>
      <c r="G16" s="9">
        <v>62.5</v>
      </c>
      <c r="H16" s="8">
        <v>60065</v>
      </c>
      <c r="I16" s="8"/>
      <c r="J16" s="8"/>
      <c r="K16" s="8"/>
      <c r="L16" s="8"/>
      <c r="M16" s="51">
        <f t="shared" si="1"/>
        <v>60065</v>
      </c>
      <c r="N16" s="8"/>
      <c r="O16" s="8"/>
      <c r="P16" s="8">
        <v>0</v>
      </c>
      <c r="Q16" s="8">
        <v>0</v>
      </c>
      <c r="R16" s="8"/>
      <c r="S16" s="8">
        <v>26000</v>
      </c>
      <c r="T16" s="8"/>
      <c r="U16" s="51">
        <f t="shared" si="2"/>
        <v>26000</v>
      </c>
      <c r="V16" s="8"/>
      <c r="W16" s="8"/>
      <c r="X16" s="8">
        <v>5</v>
      </c>
      <c r="Y16" s="51">
        <f t="shared" ref="Y16" si="8">M16-U16+W16+X16</f>
        <v>34070</v>
      </c>
    </row>
    <row r="17" spans="1:25" ht="18.75" x14ac:dyDescent="0.25">
      <c r="A17" s="171" t="s">
        <v>37</v>
      </c>
      <c r="B17" s="171"/>
      <c r="C17" s="52">
        <f>SUM(C4:C16)</f>
        <v>174</v>
      </c>
      <c r="D17" s="52">
        <f t="shared" ref="D17:W17" si="9">SUM(D4:D16)</f>
        <v>15</v>
      </c>
      <c r="E17" s="52">
        <f t="shared" si="9"/>
        <v>13</v>
      </c>
      <c r="F17" s="52">
        <f>SUM(F4:F16)</f>
        <v>176</v>
      </c>
      <c r="G17" s="53">
        <f t="shared" si="9"/>
        <v>3411.5</v>
      </c>
      <c r="H17" s="53">
        <f t="shared" si="9"/>
        <v>1082657</v>
      </c>
      <c r="I17" s="53">
        <f t="shared" si="9"/>
        <v>74065</v>
      </c>
      <c r="J17" s="53">
        <f t="shared" si="9"/>
        <v>433774</v>
      </c>
      <c r="K17" s="53">
        <f t="shared" si="9"/>
        <v>17276</v>
      </c>
      <c r="L17" s="53">
        <f t="shared" si="9"/>
        <v>17276</v>
      </c>
      <c r="M17" s="53">
        <f>SUM(M4:M16)</f>
        <v>1625048</v>
      </c>
      <c r="N17" s="53">
        <f>SUM(N4:N16)</f>
        <v>118353</v>
      </c>
      <c r="O17" s="53">
        <f>SUM(O4:O16)</f>
        <v>8320</v>
      </c>
      <c r="P17" s="53">
        <f t="shared" si="9"/>
        <v>0</v>
      </c>
      <c r="Q17" s="53">
        <f>SUM(Q4:Q16)</f>
        <v>10930</v>
      </c>
      <c r="R17" s="53">
        <f t="shared" si="9"/>
        <v>0</v>
      </c>
      <c r="S17" s="53">
        <f>SUM(S4:S16)</f>
        <v>119390</v>
      </c>
      <c r="T17" s="53">
        <f t="shared" si="9"/>
        <v>0</v>
      </c>
      <c r="U17" s="53">
        <f>SUM(U4:U16)</f>
        <v>256993</v>
      </c>
      <c r="V17" s="53">
        <f t="shared" si="9"/>
        <v>30077.599999999999</v>
      </c>
      <c r="W17" s="53">
        <f t="shared" si="9"/>
        <v>152986</v>
      </c>
      <c r="X17" s="53">
        <f>SUM(X4:X16)</f>
        <v>79</v>
      </c>
      <c r="Y17" s="53">
        <f>SUM(Y4:Y16)</f>
        <v>1521120</v>
      </c>
    </row>
    <row r="18" spans="1:25" ht="18.75" x14ac:dyDescent="0.25">
      <c r="C18" s="63"/>
      <c r="D18" s="63"/>
      <c r="E18" s="63"/>
      <c r="F18" s="63"/>
      <c r="G18" s="63"/>
      <c r="H18" s="81">
        <v>170482</v>
      </c>
      <c r="I18" s="63"/>
      <c r="J18" s="63"/>
      <c r="K18" s="63"/>
      <c r="L18" s="63"/>
      <c r="M18" s="63"/>
      <c r="N18" s="63"/>
      <c r="O18" s="81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21" x14ac:dyDescent="0.35">
      <c r="A19" s="25" t="s">
        <v>64</v>
      </c>
      <c r="B19" s="25"/>
      <c r="C19" s="54"/>
      <c r="D19" s="54"/>
      <c r="E19" s="54"/>
      <c r="F19" s="54"/>
      <c r="G19" s="54"/>
      <c r="H19" s="95">
        <f>+H17-H18+74065</f>
        <v>986240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18.75" x14ac:dyDescent="0.25">
      <c r="A20" s="179" t="s">
        <v>1</v>
      </c>
      <c r="B20" s="179" t="s">
        <v>38</v>
      </c>
      <c r="C20" s="216" t="s">
        <v>39</v>
      </c>
      <c r="D20" s="217"/>
      <c r="E20" s="217"/>
      <c r="F20" s="218"/>
      <c r="G20" s="181" t="s">
        <v>40</v>
      </c>
      <c r="H20" s="182"/>
      <c r="I20" s="213" t="s">
        <v>69</v>
      </c>
      <c r="J20" s="181" t="s">
        <v>41</v>
      </c>
      <c r="K20" s="182" t="s">
        <v>76</v>
      </c>
      <c r="L20" s="181" t="s">
        <v>77</v>
      </c>
      <c r="M20" s="182"/>
      <c r="N20" s="167" t="s">
        <v>50</v>
      </c>
      <c r="O20" s="168"/>
      <c r="P20" s="167" t="s">
        <v>53</v>
      </c>
      <c r="Q20" s="168"/>
      <c r="R20" s="181" t="s">
        <v>54</v>
      </c>
      <c r="S20" s="182"/>
      <c r="T20" s="181" t="s">
        <v>51</v>
      </c>
      <c r="U20" s="182"/>
      <c r="V20" s="213" t="s">
        <v>52</v>
      </c>
      <c r="W20" s="167" t="s">
        <v>43</v>
      </c>
      <c r="X20" s="222"/>
      <c r="Y20" s="223"/>
    </row>
    <row r="21" spans="1:25" ht="18.75" x14ac:dyDescent="0.25">
      <c r="A21" s="180"/>
      <c r="B21" s="180"/>
      <c r="C21" s="44" t="s">
        <v>65</v>
      </c>
      <c r="D21" s="44" t="s">
        <v>66</v>
      </c>
      <c r="E21" s="44" t="s">
        <v>67</v>
      </c>
      <c r="F21" s="91" t="s">
        <v>68</v>
      </c>
      <c r="G21" s="183"/>
      <c r="H21" s="184"/>
      <c r="I21" s="214"/>
      <c r="J21" s="183"/>
      <c r="K21" s="184"/>
      <c r="L21" s="183"/>
      <c r="M21" s="184"/>
      <c r="N21" s="169"/>
      <c r="O21" s="170"/>
      <c r="P21" s="169"/>
      <c r="Q21" s="170"/>
      <c r="R21" s="183"/>
      <c r="S21" s="184"/>
      <c r="T21" s="183"/>
      <c r="U21" s="184"/>
      <c r="V21" s="214"/>
      <c r="W21" s="224"/>
      <c r="X21" s="225"/>
      <c r="Y21" s="226"/>
    </row>
    <row r="22" spans="1:25" ht="45.75" customHeight="1" x14ac:dyDescent="0.3">
      <c r="A22" s="18">
        <v>1</v>
      </c>
      <c r="B22" s="19" t="str">
        <f t="shared" ref="B22:B29" si="10">B4</f>
        <v>SALARY -STAFF - BANK</v>
      </c>
      <c r="C22" s="32">
        <v>14</v>
      </c>
      <c r="D22" s="32">
        <v>0</v>
      </c>
      <c r="E22" s="32">
        <v>0</v>
      </c>
      <c r="F22" s="32">
        <f t="shared" ref="F22:F25" si="11">C22+D22-E22</f>
        <v>14</v>
      </c>
      <c r="G22" s="144">
        <v>14</v>
      </c>
      <c r="H22" s="144"/>
      <c r="I22" s="39">
        <f t="shared" ref="I22:I34" si="12">G22-F22</f>
        <v>0</v>
      </c>
      <c r="J22" s="66">
        <f>M4</f>
        <v>270760</v>
      </c>
      <c r="K22" s="67">
        <v>270761</v>
      </c>
      <c r="L22" s="144">
        <v>164531</v>
      </c>
      <c r="M22" s="144"/>
      <c r="N22" s="158">
        <f t="shared" ref="N22:N28" si="13">+J22*60/100</f>
        <v>162456</v>
      </c>
      <c r="O22" s="159"/>
      <c r="P22" s="144">
        <f>+L22-N22</f>
        <v>2075</v>
      </c>
      <c r="Q22" s="144"/>
      <c r="R22" s="203">
        <v>19743</v>
      </c>
      <c r="S22" s="203"/>
      <c r="T22" s="203">
        <v>19743</v>
      </c>
      <c r="U22" s="203"/>
      <c r="V22" s="57">
        <f t="shared" ref="V22:V34" si="14">R22-T22</f>
        <v>0</v>
      </c>
      <c r="W22" s="194" t="s">
        <v>45</v>
      </c>
      <c r="X22" s="195"/>
      <c r="Y22" s="196"/>
    </row>
    <row r="23" spans="1:25" ht="45.75" customHeight="1" x14ac:dyDescent="0.3">
      <c r="A23" s="18">
        <v>2</v>
      </c>
      <c r="B23" s="19" t="str">
        <f t="shared" si="10"/>
        <v>SALARY - STAFF -2 CSB</v>
      </c>
      <c r="C23" s="32">
        <v>5</v>
      </c>
      <c r="D23" s="32">
        <v>0</v>
      </c>
      <c r="E23" s="32">
        <v>0</v>
      </c>
      <c r="F23" s="32">
        <f t="shared" si="11"/>
        <v>5</v>
      </c>
      <c r="G23" s="144">
        <v>5</v>
      </c>
      <c r="H23" s="144"/>
      <c r="I23" s="39">
        <f t="shared" si="12"/>
        <v>0</v>
      </c>
      <c r="J23" s="66">
        <f t="shared" ref="J23:J28" si="15">M5</f>
        <v>74751</v>
      </c>
      <c r="K23" s="67">
        <v>74750</v>
      </c>
      <c r="L23" s="144">
        <v>44850</v>
      </c>
      <c r="M23" s="144"/>
      <c r="N23" s="158">
        <f t="shared" si="13"/>
        <v>44850.6</v>
      </c>
      <c r="O23" s="159"/>
      <c r="P23" s="144">
        <f>+L23-N23</f>
        <v>-0.59999999999854481</v>
      </c>
      <c r="Q23" s="144"/>
      <c r="R23" s="203">
        <v>5382</v>
      </c>
      <c r="S23" s="203"/>
      <c r="T23" s="203">
        <v>5382</v>
      </c>
      <c r="U23" s="203"/>
      <c r="V23" s="57">
        <f t="shared" si="14"/>
        <v>0</v>
      </c>
      <c r="W23" s="197"/>
      <c r="X23" s="195"/>
      <c r="Y23" s="196"/>
    </row>
    <row r="24" spans="1:25" ht="45.75" customHeight="1" x14ac:dyDescent="0.3">
      <c r="A24" s="18">
        <v>3</v>
      </c>
      <c r="B24" s="19" t="str">
        <f t="shared" si="10"/>
        <v>SALARY - STAFF-CHEQUE</v>
      </c>
      <c r="C24" s="32">
        <v>0</v>
      </c>
      <c r="D24" s="32">
        <v>0</v>
      </c>
      <c r="E24" s="32">
        <v>0</v>
      </c>
      <c r="F24" s="32">
        <f t="shared" si="11"/>
        <v>0</v>
      </c>
      <c r="G24" s="144">
        <v>0</v>
      </c>
      <c r="H24" s="144"/>
      <c r="I24" s="39">
        <f t="shared" si="12"/>
        <v>0</v>
      </c>
      <c r="J24" s="66">
        <f t="shared" si="15"/>
        <v>0</v>
      </c>
      <c r="K24" s="67">
        <v>0</v>
      </c>
      <c r="L24" s="144">
        <v>0</v>
      </c>
      <c r="M24" s="144"/>
      <c r="N24" s="158">
        <f t="shared" si="13"/>
        <v>0</v>
      </c>
      <c r="O24" s="159"/>
      <c r="P24" s="144">
        <f t="shared" ref="P24:P34" si="16">+L24-N24</f>
        <v>0</v>
      </c>
      <c r="Q24" s="144"/>
      <c r="R24" s="203">
        <v>0</v>
      </c>
      <c r="S24" s="203"/>
      <c r="T24" s="203">
        <v>0</v>
      </c>
      <c r="U24" s="203"/>
      <c r="V24" s="57">
        <f t="shared" si="14"/>
        <v>0</v>
      </c>
      <c r="W24" s="197"/>
      <c r="X24" s="195"/>
      <c r="Y24" s="196"/>
    </row>
    <row r="25" spans="1:25" ht="45.75" customHeight="1" x14ac:dyDescent="0.3">
      <c r="A25" s="18">
        <v>4</v>
      </c>
      <c r="B25" s="19" t="str">
        <f t="shared" si="10"/>
        <v>WAGES-PERMANENT - BANK</v>
      </c>
      <c r="C25" s="32">
        <v>7</v>
      </c>
      <c r="D25" s="32">
        <v>0</v>
      </c>
      <c r="E25" s="32">
        <v>0</v>
      </c>
      <c r="F25" s="32">
        <f t="shared" si="11"/>
        <v>7</v>
      </c>
      <c r="G25" s="144">
        <v>7</v>
      </c>
      <c r="H25" s="144"/>
      <c r="I25" s="39">
        <f t="shared" si="12"/>
        <v>0</v>
      </c>
      <c r="J25" s="66">
        <f t="shared" si="15"/>
        <v>83065</v>
      </c>
      <c r="K25" s="67">
        <v>83064</v>
      </c>
      <c r="L25" s="144">
        <v>81265</v>
      </c>
      <c r="M25" s="144"/>
      <c r="N25" s="158">
        <f t="shared" si="13"/>
        <v>49839</v>
      </c>
      <c r="O25" s="159"/>
      <c r="P25" s="144">
        <f t="shared" si="16"/>
        <v>31426</v>
      </c>
      <c r="Q25" s="144"/>
      <c r="R25" s="203">
        <v>9754</v>
      </c>
      <c r="S25" s="203"/>
      <c r="T25" s="203">
        <v>9754</v>
      </c>
      <c r="U25" s="203"/>
      <c r="V25" s="57">
        <f t="shared" si="14"/>
        <v>0</v>
      </c>
      <c r="W25" s="197" t="s">
        <v>48</v>
      </c>
      <c r="X25" s="195"/>
      <c r="Y25" s="196"/>
    </row>
    <row r="26" spans="1:25" ht="38.25" customHeight="1" x14ac:dyDescent="0.3">
      <c r="A26" s="18">
        <v>5</v>
      </c>
      <c r="B26" s="90" t="str">
        <f t="shared" si="10"/>
        <v>WAGES - CASUAL - BANK(OUTSIDE)</v>
      </c>
      <c r="C26" s="32">
        <v>70</v>
      </c>
      <c r="D26" s="32">
        <f>2+1</f>
        <v>3</v>
      </c>
      <c r="E26" s="32"/>
      <c r="F26" s="32">
        <f>C26+D26-E26</f>
        <v>73</v>
      </c>
      <c r="G26" s="144">
        <v>73</v>
      </c>
      <c r="H26" s="144"/>
      <c r="I26" s="39">
        <f t="shared" si="12"/>
        <v>0</v>
      </c>
      <c r="J26" s="66">
        <f t="shared" si="15"/>
        <v>476648</v>
      </c>
      <c r="K26" s="67">
        <v>476648</v>
      </c>
      <c r="L26" s="144">
        <v>285988</v>
      </c>
      <c r="M26" s="144"/>
      <c r="N26" s="158">
        <f t="shared" si="13"/>
        <v>285988.8</v>
      </c>
      <c r="O26" s="159"/>
      <c r="P26" s="144">
        <f t="shared" si="16"/>
        <v>-0.79999999998835847</v>
      </c>
      <c r="Q26" s="144"/>
      <c r="R26" s="203">
        <v>34321</v>
      </c>
      <c r="S26" s="203"/>
      <c r="T26" s="203">
        <f>36681-2360</f>
        <v>34321</v>
      </c>
      <c r="U26" s="203"/>
      <c r="V26" s="57">
        <f t="shared" si="14"/>
        <v>0</v>
      </c>
      <c r="W26" s="197"/>
      <c r="X26" s="195"/>
      <c r="Y26" s="196"/>
    </row>
    <row r="27" spans="1:25" ht="49.7" customHeight="1" x14ac:dyDescent="0.3">
      <c r="A27" s="18">
        <v>6</v>
      </c>
      <c r="B27" s="90" t="str">
        <f t="shared" si="10"/>
        <v>WAGES - CASUAL - CASH(OUTSIDE)</v>
      </c>
      <c r="C27" s="32">
        <v>14</v>
      </c>
      <c r="D27" s="32">
        <v>1</v>
      </c>
      <c r="E27" s="32">
        <f>3+1</f>
        <v>4</v>
      </c>
      <c r="F27" s="32">
        <f t="shared" ref="F27:F30" si="17">C27+D27-E27</f>
        <v>11</v>
      </c>
      <c r="G27" s="144">
        <v>11</v>
      </c>
      <c r="H27" s="144"/>
      <c r="I27" s="39">
        <f t="shared" si="12"/>
        <v>0</v>
      </c>
      <c r="J27" s="66">
        <f t="shared" si="15"/>
        <v>32767</v>
      </c>
      <c r="K27" s="67">
        <v>32767</v>
      </c>
      <c r="L27" s="144">
        <v>19660</v>
      </c>
      <c r="M27" s="144"/>
      <c r="N27" s="158">
        <f t="shared" si="13"/>
        <v>19660.2</v>
      </c>
      <c r="O27" s="159"/>
      <c r="P27" s="144">
        <f t="shared" si="16"/>
        <v>-0.2000000000007276</v>
      </c>
      <c r="Q27" s="144"/>
      <c r="R27" s="203">
        <v>2360</v>
      </c>
      <c r="S27" s="203"/>
      <c r="T27" s="203">
        <v>2360</v>
      </c>
      <c r="U27" s="203"/>
      <c r="V27" s="57">
        <f t="shared" si="14"/>
        <v>0</v>
      </c>
      <c r="W27" s="197"/>
      <c r="X27" s="195"/>
      <c r="Y27" s="196"/>
    </row>
    <row r="28" spans="1:25" ht="39.200000000000003" customHeight="1" x14ac:dyDescent="0.3">
      <c r="A28" s="18">
        <v>7</v>
      </c>
      <c r="B28" s="90" t="str">
        <f t="shared" si="10"/>
        <v>WAGES - CASUAL - CASH(INSIDE)</v>
      </c>
      <c r="C28" s="32">
        <v>42</v>
      </c>
      <c r="D28" s="32">
        <v>10</v>
      </c>
      <c r="E28" s="32">
        <v>9</v>
      </c>
      <c r="F28" s="32">
        <f t="shared" si="17"/>
        <v>43</v>
      </c>
      <c r="G28" s="144">
        <v>43</v>
      </c>
      <c r="H28" s="144"/>
      <c r="I28" s="39">
        <f t="shared" si="12"/>
        <v>0</v>
      </c>
      <c r="J28" s="66">
        <f t="shared" si="15"/>
        <v>205622</v>
      </c>
      <c r="K28" s="67">
        <v>205622</v>
      </c>
      <c r="L28" s="144">
        <v>123373</v>
      </c>
      <c r="M28" s="144"/>
      <c r="N28" s="158">
        <f t="shared" si="13"/>
        <v>123373.2</v>
      </c>
      <c r="O28" s="159"/>
      <c r="P28" s="144">
        <f t="shared" si="16"/>
        <v>-0.19999999999708962</v>
      </c>
      <c r="Q28" s="144"/>
      <c r="R28" s="203">
        <v>14804</v>
      </c>
      <c r="S28" s="203"/>
      <c r="T28" s="203">
        <f>18276-3472</f>
        <v>14804</v>
      </c>
      <c r="U28" s="203"/>
      <c r="V28" s="57">
        <f t="shared" si="14"/>
        <v>0</v>
      </c>
      <c r="W28" s="197"/>
      <c r="X28" s="195"/>
      <c r="Y28" s="196"/>
    </row>
    <row r="29" spans="1:25" ht="39.200000000000003" customHeight="1" x14ac:dyDescent="0.3">
      <c r="A29" s="18">
        <v>8</v>
      </c>
      <c r="B29" s="96" t="str">
        <f t="shared" si="10"/>
        <v>WAGES - CASUAL - BANK(INSIDE)</v>
      </c>
      <c r="C29" s="32">
        <v>7</v>
      </c>
      <c r="D29" s="32"/>
      <c r="E29" s="32"/>
      <c r="F29" s="32">
        <f t="shared" si="17"/>
        <v>7</v>
      </c>
      <c r="G29" s="144">
        <v>7</v>
      </c>
      <c r="H29" s="144"/>
      <c r="I29" s="39">
        <f t="shared" ref="I29" si="18">G29-F29</f>
        <v>0</v>
      </c>
      <c r="J29" s="66">
        <f t="shared" ref="J29" si="19">M11</f>
        <v>48235</v>
      </c>
      <c r="K29" s="67">
        <v>48235</v>
      </c>
      <c r="L29" s="144">
        <v>28941</v>
      </c>
      <c r="M29" s="144"/>
      <c r="N29" s="158">
        <f t="shared" ref="N29" si="20">+J29*60/100</f>
        <v>28941</v>
      </c>
      <c r="O29" s="159"/>
      <c r="P29" s="144">
        <f t="shared" ref="P29" si="21">+L29-N29</f>
        <v>0</v>
      </c>
      <c r="Q29" s="144"/>
      <c r="R29" s="203">
        <v>3472</v>
      </c>
      <c r="S29" s="203"/>
      <c r="T29" s="203">
        <v>3472</v>
      </c>
      <c r="U29" s="203"/>
      <c r="V29" s="57">
        <f t="shared" ref="V29" si="22">R29-T29</f>
        <v>0</v>
      </c>
      <c r="W29" s="197"/>
      <c r="X29" s="195"/>
      <c r="Y29" s="196"/>
    </row>
    <row r="30" spans="1:25" ht="28.5" customHeight="1" x14ac:dyDescent="0.3">
      <c r="A30" s="18">
        <v>9</v>
      </c>
      <c r="B30" s="90" t="str">
        <f t="shared" ref="B30:B31" si="23">B12</f>
        <v>WAGES - SECUR &amp; GARDEN - CHEQUE</v>
      </c>
      <c r="C30" s="32">
        <v>0</v>
      </c>
      <c r="D30" s="32"/>
      <c r="E30" s="32">
        <v>0</v>
      </c>
      <c r="F30" s="32">
        <f t="shared" si="17"/>
        <v>0</v>
      </c>
      <c r="G30" s="144">
        <v>0</v>
      </c>
      <c r="H30" s="144"/>
      <c r="I30" s="39">
        <f>G30-F30</f>
        <v>0</v>
      </c>
      <c r="J30" s="66">
        <v>0</v>
      </c>
      <c r="K30" s="67">
        <v>0</v>
      </c>
      <c r="L30" s="144">
        <v>0</v>
      </c>
      <c r="M30" s="144"/>
      <c r="N30" s="158">
        <v>0</v>
      </c>
      <c r="O30" s="159"/>
      <c r="P30" s="144">
        <f t="shared" si="16"/>
        <v>0</v>
      </c>
      <c r="Q30" s="144"/>
      <c r="R30" s="203">
        <v>0</v>
      </c>
      <c r="S30" s="203"/>
      <c r="T30" s="203">
        <v>0</v>
      </c>
      <c r="U30" s="203"/>
      <c r="V30" s="57">
        <f t="shared" si="14"/>
        <v>0</v>
      </c>
      <c r="W30" s="197"/>
      <c r="X30" s="195"/>
      <c r="Y30" s="196"/>
    </row>
    <row r="31" spans="1:25" ht="24.75" customHeight="1" x14ac:dyDescent="0.3">
      <c r="A31" s="18">
        <v>10</v>
      </c>
      <c r="B31" s="90" t="str">
        <f t="shared" si="23"/>
        <v>WAGES - SECUR &amp; GARDEN - CSB</v>
      </c>
      <c r="C31" s="32">
        <v>7</v>
      </c>
      <c r="D31" s="32">
        <v>0</v>
      </c>
      <c r="E31" s="32">
        <v>0</v>
      </c>
      <c r="F31" s="32">
        <f>C31+D31-E31</f>
        <v>7</v>
      </c>
      <c r="G31" s="144">
        <v>7</v>
      </c>
      <c r="H31" s="144"/>
      <c r="I31" s="39">
        <f t="shared" si="12"/>
        <v>0</v>
      </c>
      <c r="J31" s="66">
        <f t="shared" ref="J31" si="24">M13</f>
        <v>62718</v>
      </c>
      <c r="K31" s="67">
        <v>62718</v>
      </c>
      <c r="L31" s="144">
        <v>37631</v>
      </c>
      <c r="M31" s="144"/>
      <c r="N31" s="158">
        <f>+J31*60/100</f>
        <v>37630.800000000003</v>
      </c>
      <c r="O31" s="159"/>
      <c r="P31" s="144">
        <f t="shared" si="16"/>
        <v>0.19999999999708962</v>
      </c>
      <c r="Q31" s="144"/>
      <c r="R31" s="203">
        <v>4517</v>
      </c>
      <c r="S31" s="203"/>
      <c r="T31" s="203">
        <v>4517</v>
      </c>
      <c r="U31" s="203"/>
      <c r="V31" s="57">
        <f t="shared" si="14"/>
        <v>0</v>
      </c>
      <c r="W31" s="197"/>
      <c r="X31" s="195"/>
      <c r="Y31" s="196"/>
    </row>
    <row r="32" spans="1:25" ht="18.75" x14ac:dyDescent="0.3">
      <c r="A32" s="18">
        <v>11</v>
      </c>
      <c r="B32" s="90" t="s">
        <v>34</v>
      </c>
      <c r="C32" s="32">
        <v>1</v>
      </c>
      <c r="D32" s="32"/>
      <c r="E32" s="32"/>
      <c r="F32" s="32">
        <f t="shared" ref="F32:F34" si="25">C32+D32-E32</f>
        <v>1</v>
      </c>
      <c r="G32" s="158">
        <v>1</v>
      </c>
      <c r="H32" s="159"/>
      <c r="I32" s="39"/>
      <c r="J32" s="66">
        <v>200000</v>
      </c>
      <c r="K32" s="67">
        <v>200000</v>
      </c>
      <c r="L32" s="158">
        <v>200000</v>
      </c>
      <c r="M32" s="159"/>
      <c r="N32" s="158">
        <f>+J32*60/100</f>
        <v>120000</v>
      </c>
      <c r="O32" s="159"/>
      <c r="P32" s="144">
        <f t="shared" si="16"/>
        <v>80000</v>
      </c>
      <c r="Q32" s="144"/>
      <c r="R32" s="204">
        <v>24000</v>
      </c>
      <c r="S32" s="205"/>
      <c r="T32" s="204">
        <v>24000</v>
      </c>
      <c r="U32" s="205"/>
      <c r="V32" s="57">
        <f t="shared" si="14"/>
        <v>0</v>
      </c>
      <c r="W32" s="189" t="s">
        <v>75</v>
      </c>
      <c r="X32" s="190"/>
      <c r="Y32" s="191"/>
    </row>
    <row r="33" spans="1:25" ht="18.75" x14ac:dyDescent="0.3">
      <c r="A33" s="18">
        <v>12</v>
      </c>
      <c r="B33" s="19" t="str">
        <f t="shared" ref="B33:B34" si="26">B15</f>
        <v>EXEMPTED - BANK</v>
      </c>
      <c r="C33" s="32">
        <v>5</v>
      </c>
      <c r="D33" s="32"/>
      <c r="E33" s="32">
        <v>0</v>
      </c>
      <c r="F33" s="32">
        <f t="shared" si="25"/>
        <v>5</v>
      </c>
      <c r="G33" s="144">
        <v>0</v>
      </c>
      <c r="H33" s="144"/>
      <c r="I33" s="39">
        <f t="shared" si="12"/>
        <v>-5</v>
      </c>
      <c r="J33" s="8">
        <v>112767</v>
      </c>
      <c r="K33" s="8">
        <v>112767</v>
      </c>
      <c r="L33" s="144">
        <v>0</v>
      </c>
      <c r="M33" s="144"/>
      <c r="N33" s="158">
        <v>0</v>
      </c>
      <c r="O33" s="159"/>
      <c r="P33" s="144">
        <f t="shared" si="16"/>
        <v>0</v>
      </c>
      <c r="Q33" s="144"/>
      <c r="R33" s="203">
        <v>0</v>
      </c>
      <c r="S33" s="203"/>
      <c r="T33" s="203">
        <v>0</v>
      </c>
      <c r="U33" s="203"/>
      <c r="V33" s="57">
        <f t="shared" si="14"/>
        <v>0</v>
      </c>
      <c r="W33" s="197" t="s">
        <v>49</v>
      </c>
      <c r="X33" s="195"/>
      <c r="Y33" s="196"/>
    </row>
    <row r="34" spans="1:25" ht="18.75" x14ac:dyDescent="0.3">
      <c r="A34" s="18">
        <v>13</v>
      </c>
      <c r="B34" s="19" t="str">
        <f t="shared" si="26"/>
        <v>EXEMPTED - CHEQUE</v>
      </c>
      <c r="C34" s="32">
        <v>2</v>
      </c>
      <c r="D34" s="32">
        <v>1</v>
      </c>
      <c r="E34" s="32">
        <v>0</v>
      </c>
      <c r="F34" s="32">
        <f t="shared" si="25"/>
        <v>3</v>
      </c>
      <c r="G34" s="144">
        <v>0</v>
      </c>
      <c r="H34" s="144"/>
      <c r="I34" s="39">
        <f t="shared" si="12"/>
        <v>-3</v>
      </c>
      <c r="J34" s="8">
        <v>46366</v>
      </c>
      <c r="K34" s="8">
        <v>46366</v>
      </c>
      <c r="L34" s="144">
        <v>0</v>
      </c>
      <c r="M34" s="144"/>
      <c r="N34" s="158">
        <v>0</v>
      </c>
      <c r="O34" s="159"/>
      <c r="P34" s="212">
        <f t="shared" si="16"/>
        <v>0</v>
      </c>
      <c r="Q34" s="212"/>
      <c r="R34" s="203">
        <v>0</v>
      </c>
      <c r="S34" s="203"/>
      <c r="T34" s="203">
        <v>0</v>
      </c>
      <c r="U34" s="203"/>
      <c r="V34" s="57">
        <f t="shared" si="14"/>
        <v>0</v>
      </c>
      <c r="W34" s="197" t="s">
        <v>49</v>
      </c>
      <c r="X34" s="195"/>
      <c r="Y34" s="196"/>
    </row>
    <row r="35" spans="1:25" ht="18.75" x14ac:dyDescent="0.25">
      <c r="A35" s="18"/>
      <c r="B35" s="22" t="s">
        <v>47</v>
      </c>
      <c r="C35" s="91">
        <f>SUM(C22:C34)</f>
        <v>174</v>
      </c>
      <c r="D35" s="58">
        <f t="shared" ref="D35:E35" si="27">SUM(D22:D34)</f>
        <v>15</v>
      </c>
      <c r="E35" s="58">
        <f t="shared" si="27"/>
        <v>13</v>
      </c>
      <c r="F35" s="58">
        <f>SUM(F22:F34)</f>
        <v>176</v>
      </c>
      <c r="G35" s="201">
        <f>SUM(G22:H34)</f>
        <v>168</v>
      </c>
      <c r="H35" s="201"/>
      <c r="I35" s="59">
        <f>SUM(I22:I34)</f>
        <v>-8</v>
      </c>
      <c r="J35" s="68">
        <f>SUM(J22:J34)</f>
        <v>1613699</v>
      </c>
      <c r="K35" s="68">
        <f>SUM(K22:K34)</f>
        <v>1613698</v>
      </c>
      <c r="L35" s="200">
        <f>SUM(L22:M34)</f>
        <v>986239</v>
      </c>
      <c r="M35" s="200"/>
      <c r="N35" s="200">
        <f>SUM(N22:O34)</f>
        <v>872739.6</v>
      </c>
      <c r="O35" s="200"/>
      <c r="P35" s="200">
        <f>SUM(P22:Q34)</f>
        <v>113499.40000000001</v>
      </c>
      <c r="Q35" s="200"/>
      <c r="R35" s="200">
        <f>SUM(R22:S34)</f>
        <v>118353</v>
      </c>
      <c r="S35" s="200"/>
      <c r="T35" s="200">
        <f>SUM(T22:U34)</f>
        <v>118353</v>
      </c>
      <c r="U35" s="200"/>
      <c r="V35" s="60">
        <f>SUM(V22:V34)</f>
        <v>0</v>
      </c>
      <c r="W35" s="207"/>
      <c r="X35" s="208"/>
      <c r="Y35" s="209"/>
    </row>
    <row r="36" spans="1:25" x14ac:dyDescent="0.25">
      <c r="C36" s="63"/>
      <c r="D36" s="63"/>
      <c r="E36" s="63"/>
      <c r="F36" s="63"/>
      <c r="G36" s="63"/>
      <c r="H36" s="63"/>
      <c r="I36" s="63"/>
      <c r="J36" s="63"/>
      <c r="K36" s="73"/>
      <c r="L36" s="229"/>
      <c r="M36" s="229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</row>
    <row r="37" spans="1:25" ht="18.75" x14ac:dyDescent="0.3">
      <c r="A37" s="11"/>
      <c r="B37" s="11"/>
      <c r="C37" s="61"/>
      <c r="D37" s="61"/>
      <c r="E37" s="61"/>
      <c r="F37" s="61"/>
      <c r="G37" s="61"/>
      <c r="H37" s="61"/>
      <c r="I37" s="61"/>
      <c r="J37" s="74"/>
      <c r="K37" s="61"/>
      <c r="L37" s="210"/>
      <c r="M37" s="211"/>
      <c r="N37" s="210"/>
      <c r="O37" s="211"/>
      <c r="P37" s="61"/>
      <c r="Q37" s="61"/>
      <c r="R37" s="61"/>
      <c r="S37" s="61"/>
      <c r="T37" s="61"/>
      <c r="U37" s="61"/>
      <c r="V37" s="61"/>
      <c r="W37" s="61"/>
      <c r="X37" s="61"/>
      <c r="Y37" s="61"/>
    </row>
    <row r="38" spans="1:25" ht="18.75" x14ac:dyDescent="0.3">
      <c r="A38" s="11"/>
      <c r="B38" s="11"/>
      <c r="C38" s="61"/>
      <c r="D38" s="61"/>
      <c r="E38" s="61"/>
      <c r="F38" s="61"/>
      <c r="G38" s="61"/>
      <c r="H38" s="61"/>
      <c r="I38" s="61"/>
      <c r="J38" s="61"/>
      <c r="K38" s="61"/>
      <c r="L38" s="210"/>
      <c r="M38" s="21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</row>
    <row r="39" spans="1:25" ht="18.75" x14ac:dyDescent="0.3">
      <c r="A39" s="11"/>
      <c r="B39" s="11"/>
      <c r="C39" s="61"/>
      <c r="D39" s="61"/>
      <c r="E39" s="61"/>
      <c r="F39" s="61"/>
      <c r="G39" s="61"/>
      <c r="H39" s="61"/>
      <c r="I39" s="61"/>
      <c r="J39" s="61"/>
      <c r="K39" s="61"/>
      <c r="L39" s="92"/>
      <c r="M39" s="93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</row>
    <row r="40" spans="1:25" ht="18.75" x14ac:dyDescent="0.3">
      <c r="A40" s="11"/>
      <c r="B40" s="11"/>
      <c r="C40" s="61"/>
      <c r="D40" s="61"/>
      <c r="E40" s="61"/>
      <c r="F40" s="61"/>
      <c r="G40" s="61"/>
      <c r="H40" s="61"/>
      <c r="I40" s="61"/>
      <c r="J40" s="61"/>
      <c r="K40" s="61"/>
      <c r="L40" s="92"/>
      <c r="M40" s="93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</row>
    <row r="41" spans="1:25" ht="21" x14ac:dyDescent="0.35">
      <c r="A41" s="25" t="s">
        <v>63</v>
      </c>
      <c r="B41" s="25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r="42" spans="1:25" ht="18.75" x14ac:dyDescent="0.25">
      <c r="A42" s="163" t="s">
        <v>1</v>
      </c>
      <c r="B42" s="163" t="s">
        <v>38</v>
      </c>
      <c r="C42" s="166" t="s">
        <v>39</v>
      </c>
      <c r="D42" s="166"/>
      <c r="E42" s="166"/>
      <c r="F42" s="166"/>
      <c r="G42" s="155" t="s">
        <v>61</v>
      </c>
      <c r="H42" s="166" t="s">
        <v>62</v>
      </c>
      <c r="I42" s="155" t="s">
        <v>41</v>
      </c>
      <c r="J42" s="155"/>
      <c r="K42" s="164" t="s">
        <v>60</v>
      </c>
      <c r="L42" s="155" t="s">
        <v>44</v>
      </c>
      <c r="M42" s="155"/>
      <c r="N42" s="166" t="s">
        <v>57</v>
      </c>
      <c r="O42" s="166"/>
      <c r="P42" s="166" t="s">
        <v>53</v>
      </c>
      <c r="Q42" s="166"/>
      <c r="R42" s="155" t="s">
        <v>59</v>
      </c>
      <c r="S42" s="155"/>
      <c r="T42" s="155" t="s">
        <v>58</v>
      </c>
      <c r="U42" s="155"/>
      <c r="V42" s="166" t="s">
        <v>74</v>
      </c>
      <c r="W42" s="166" t="s">
        <v>43</v>
      </c>
      <c r="X42" s="166"/>
      <c r="Y42" s="166"/>
    </row>
    <row r="43" spans="1:25" ht="18.75" x14ac:dyDescent="0.25">
      <c r="A43" s="163"/>
      <c r="B43" s="163"/>
      <c r="C43" s="44" t="s">
        <v>65</v>
      </c>
      <c r="D43" s="44" t="s">
        <v>66</v>
      </c>
      <c r="E43" s="44" t="s">
        <v>67</v>
      </c>
      <c r="F43" s="91" t="s">
        <v>68</v>
      </c>
      <c r="G43" s="155"/>
      <c r="H43" s="166"/>
      <c r="I43" s="155"/>
      <c r="J43" s="155"/>
      <c r="K43" s="165"/>
      <c r="L43" s="155"/>
      <c r="M43" s="155"/>
      <c r="N43" s="166"/>
      <c r="O43" s="166"/>
      <c r="P43" s="166"/>
      <c r="Q43" s="166"/>
      <c r="R43" s="155"/>
      <c r="S43" s="155"/>
      <c r="T43" s="155"/>
      <c r="U43" s="155"/>
      <c r="V43" s="166"/>
      <c r="W43" s="166"/>
      <c r="X43" s="166"/>
      <c r="Y43" s="166"/>
    </row>
    <row r="44" spans="1:25" ht="24.95" customHeight="1" x14ac:dyDescent="0.3">
      <c r="A44" s="18">
        <v>1</v>
      </c>
      <c r="B44" s="90" t="str">
        <f t="shared" ref="B44:B50" si="28">B22</f>
        <v>SALARY -STAFF - BANK</v>
      </c>
      <c r="C44" s="32">
        <v>14</v>
      </c>
      <c r="D44" s="32">
        <v>0</v>
      </c>
      <c r="E44" s="32">
        <v>0</v>
      </c>
      <c r="F44" s="32">
        <f t="shared" ref="F44:F47" si="29">C44+D44-E44</f>
        <v>14</v>
      </c>
      <c r="G44" s="56">
        <v>10</v>
      </c>
      <c r="H44" s="39">
        <f t="shared" ref="H44:H56" si="30">G44-F44</f>
        <v>-4</v>
      </c>
      <c r="I44" s="203">
        <f>M4</f>
        <v>270760</v>
      </c>
      <c r="J44" s="203"/>
      <c r="K44" s="39">
        <v>0</v>
      </c>
      <c r="L44" s="144">
        <v>139107</v>
      </c>
      <c r="M44" s="144"/>
      <c r="N44" s="144">
        <f>+I44+K44</f>
        <v>270760</v>
      </c>
      <c r="O44" s="144"/>
      <c r="P44" s="144">
        <f>+L44-N44</f>
        <v>-131653</v>
      </c>
      <c r="Q44" s="144"/>
      <c r="R44" s="204">
        <v>1047</v>
      </c>
      <c r="S44" s="205"/>
      <c r="T44" s="203">
        <f>1043+4</f>
        <v>1047</v>
      </c>
      <c r="U44" s="203"/>
      <c r="V44" s="57">
        <f>R44-T44</f>
        <v>0</v>
      </c>
      <c r="W44" s="202" t="s">
        <v>83</v>
      </c>
      <c r="X44" s="202"/>
      <c r="Y44" s="202"/>
    </row>
    <row r="45" spans="1:25" ht="24.95" customHeight="1" x14ac:dyDescent="0.3">
      <c r="A45" s="18">
        <v>2</v>
      </c>
      <c r="B45" s="90" t="str">
        <f t="shared" si="28"/>
        <v>SALARY - STAFF -2 CSB</v>
      </c>
      <c r="C45" s="32">
        <v>5</v>
      </c>
      <c r="D45" s="32">
        <v>0</v>
      </c>
      <c r="E45" s="32">
        <v>0</v>
      </c>
      <c r="F45" s="32">
        <f t="shared" si="29"/>
        <v>5</v>
      </c>
      <c r="G45" s="56">
        <v>4</v>
      </c>
      <c r="H45" s="39">
        <f t="shared" si="30"/>
        <v>-1</v>
      </c>
      <c r="I45" s="203">
        <f>M5</f>
        <v>74751</v>
      </c>
      <c r="J45" s="203"/>
      <c r="K45" s="39">
        <v>0</v>
      </c>
      <c r="L45" s="144">
        <f>52750-1</f>
        <v>52749</v>
      </c>
      <c r="M45" s="144"/>
      <c r="N45" s="144">
        <f>+I45+K45</f>
        <v>74751</v>
      </c>
      <c r="O45" s="144"/>
      <c r="P45" s="144">
        <f>+L45-N45</f>
        <v>-22002</v>
      </c>
      <c r="Q45" s="144"/>
      <c r="R45" s="204">
        <v>398</v>
      </c>
      <c r="S45" s="205"/>
      <c r="T45" s="203">
        <f>396+2</f>
        <v>398</v>
      </c>
      <c r="U45" s="203"/>
      <c r="V45" s="57">
        <f>R45-T45</f>
        <v>0</v>
      </c>
      <c r="W45" s="202" t="s">
        <v>71</v>
      </c>
      <c r="X45" s="202"/>
      <c r="Y45" s="202"/>
    </row>
    <row r="46" spans="1:25" ht="24.95" customHeight="1" x14ac:dyDescent="0.3">
      <c r="A46" s="18">
        <v>3</v>
      </c>
      <c r="B46" s="90" t="str">
        <f t="shared" si="28"/>
        <v>SALARY - STAFF-CHEQUE</v>
      </c>
      <c r="C46" s="32">
        <v>0</v>
      </c>
      <c r="D46" s="32">
        <v>0</v>
      </c>
      <c r="E46" s="32">
        <v>0</v>
      </c>
      <c r="F46" s="32">
        <f t="shared" si="29"/>
        <v>0</v>
      </c>
      <c r="G46" s="56">
        <v>0</v>
      </c>
      <c r="H46" s="39">
        <f t="shared" si="30"/>
        <v>0</v>
      </c>
      <c r="I46" s="203">
        <f t="shared" ref="I46:I49" si="31">M6</f>
        <v>0</v>
      </c>
      <c r="J46" s="203"/>
      <c r="K46" s="39">
        <v>0</v>
      </c>
      <c r="L46" s="144">
        <v>0</v>
      </c>
      <c r="M46" s="144"/>
      <c r="N46" s="144">
        <f t="shared" ref="N46:N56" si="32">+I46+K46</f>
        <v>0</v>
      </c>
      <c r="O46" s="144"/>
      <c r="P46" s="144">
        <f>+L46-N46</f>
        <v>0</v>
      </c>
      <c r="Q46" s="144"/>
      <c r="R46" s="204">
        <v>0</v>
      </c>
      <c r="S46" s="205"/>
      <c r="T46" s="203">
        <v>0</v>
      </c>
      <c r="U46" s="203"/>
      <c r="V46" s="57">
        <f t="shared" ref="V46:V56" si="33">R46-T46</f>
        <v>0</v>
      </c>
      <c r="W46" s="202"/>
      <c r="X46" s="202"/>
      <c r="Y46" s="202"/>
    </row>
    <row r="47" spans="1:25" ht="24.95" customHeight="1" x14ac:dyDescent="0.3">
      <c r="A47" s="18">
        <v>4</v>
      </c>
      <c r="B47" s="90" t="str">
        <f t="shared" si="28"/>
        <v>WAGES-PERMANENT - BANK</v>
      </c>
      <c r="C47" s="32">
        <v>7</v>
      </c>
      <c r="D47" s="32">
        <v>0</v>
      </c>
      <c r="E47" s="32">
        <v>0</v>
      </c>
      <c r="F47" s="32">
        <f t="shared" si="29"/>
        <v>7</v>
      </c>
      <c r="G47" s="56">
        <v>7</v>
      </c>
      <c r="H47" s="39">
        <f t="shared" si="30"/>
        <v>0</v>
      </c>
      <c r="I47" s="203">
        <f>M7</f>
        <v>83065</v>
      </c>
      <c r="J47" s="203"/>
      <c r="K47" s="39">
        <v>694</v>
      </c>
      <c r="L47" s="144">
        <v>83759</v>
      </c>
      <c r="M47" s="144"/>
      <c r="N47" s="144">
        <f>+I47+K47</f>
        <v>83759</v>
      </c>
      <c r="O47" s="144"/>
      <c r="P47" s="144">
        <f t="shared" ref="P47:P56" si="34">+L47-N47</f>
        <v>0</v>
      </c>
      <c r="Q47" s="144"/>
      <c r="R47" s="204">
        <v>624</v>
      </c>
      <c r="S47" s="205"/>
      <c r="T47" s="203">
        <v>624</v>
      </c>
      <c r="U47" s="203"/>
      <c r="V47" s="57">
        <f t="shared" si="33"/>
        <v>0</v>
      </c>
      <c r="W47" s="202"/>
      <c r="X47" s="202"/>
      <c r="Y47" s="202"/>
    </row>
    <row r="48" spans="1:25" ht="24.95" customHeight="1" x14ac:dyDescent="0.3">
      <c r="A48" s="18">
        <v>5</v>
      </c>
      <c r="B48" s="90" t="str">
        <f t="shared" si="28"/>
        <v>WAGES - CASUAL - BANK(OUTSIDE)</v>
      </c>
      <c r="C48" s="32">
        <v>70</v>
      </c>
      <c r="D48" s="32">
        <f>2+1</f>
        <v>3</v>
      </c>
      <c r="E48" s="32"/>
      <c r="F48" s="32">
        <f>C48+D48-E48</f>
        <v>73</v>
      </c>
      <c r="G48" s="56">
        <v>73</v>
      </c>
      <c r="H48" s="39">
        <f t="shared" si="30"/>
        <v>0</v>
      </c>
      <c r="I48" s="203">
        <f t="shared" si="31"/>
        <v>476648</v>
      </c>
      <c r="J48" s="203"/>
      <c r="K48" s="39">
        <v>0</v>
      </c>
      <c r="L48" s="144">
        <f>476648</f>
        <v>476648</v>
      </c>
      <c r="M48" s="144"/>
      <c r="N48" s="158">
        <f>+I48+K48</f>
        <v>476648</v>
      </c>
      <c r="O48" s="159"/>
      <c r="P48" s="144">
        <f t="shared" si="34"/>
        <v>0</v>
      </c>
      <c r="Q48" s="144"/>
      <c r="R48" s="204">
        <f>3607+81</f>
        <v>3688</v>
      </c>
      <c r="S48" s="205"/>
      <c r="T48" s="203">
        <f>3647+41+7</f>
        <v>3695</v>
      </c>
      <c r="U48" s="203"/>
      <c r="V48" s="57">
        <f t="shared" si="33"/>
        <v>-7</v>
      </c>
      <c r="W48" s="202"/>
      <c r="X48" s="202"/>
      <c r="Y48" s="202"/>
    </row>
    <row r="49" spans="1:29" ht="24.95" customHeight="1" x14ac:dyDescent="0.3">
      <c r="A49" s="18">
        <v>6</v>
      </c>
      <c r="B49" s="90" t="str">
        <f t="shared" si="28"/>
        <v>WAGES - CASUAL - CASH(OUTSIDE)</v>
      </c>
      <c r="C49" s="32">
        <v>14</v>
      </c>
      <c r="D49" s="32">
        <v>1</v>
      </c>
      <c r="E49" s="32">
        <f>3+1</f>
        <v>4</v>
      </c>
      <c r="F49" s="32">
        <f t="shared" ref="F49:F52" si="35">C49+D49-E49</f>
        <v>11</v>
      </c>
      <c r="G49" s="56">
        <v>11</v>
      </c>
      <c r="H49" s="39">
        <f t="shared" si="30"/>
        <v>0</v>
      </c>
      <c r="I49" s="203">
        <f t="shared" si="31"/>
        <v>32767</v>
      </c>
      <c r="J49" s="203"/>
      <c r="K49" s="39">
        <f>10799-694</f>
        <v>10105</v>
      </c>
      <c r="L49" s="144">
        <v>42872</v>
      </c>
      <c r="M49" s="144"/>
      <c r="N49" s="158">
        <f>+I49+K49</f>
        <v>42872</v>
      </c>
      <c r="O49" s="159"/>
      <c r="P49" s="144">
        <f t="shared" si="34"/>
        <v>0</v>
      </c>
      <c r="Q49" s="144"/>
      <c r="R49" s="204">
        <v>249</v>
      </c>
      <c r="S49" s="205"/>
      <c r="T49" s="203">
        <v>249</v>
      </c>
      <c r="U49" s="203"/>
      <c r="V49" s="57">
        <f t="shared" si="33"/>
        <v>0</v>
      </c>
      <c r="W49" s="202"/>
      <c r="X49" s="202"/>
      <c r="Y49" s="202"/>
      <c r="AA49">
        <f>3896-249</f>
        <v>3647</v>
      </c>
      <c r="AC49">
        <f>3896-249</f>
        <v>3647</v>
      </c>
    </row>
    <row r="50" spans="1:29" ht="24.95" customHeight="1" x14ac:dyDescent="0.3">
      <c r="A50" s="18">
        <v>7</v>
      </c>
      <c r="B50" s="90" t="str">
        <f t="shared" si="28"/>
        <v>WAGES - CASUAL - CASH(INSIDE)</v>
      </c>
      <c r="C50" s="32">
        <v>42</v>
      </c>
      <c r="D50" s="32">
        <v>10</v>
      </c>
      <c r="E50" s="32">
        <v>9</v>
      </c>
      <c r="F50" s="32">
        <f t="shared" si="35"/>
        <v>43</v>
      </c>
      <c r="G50" s="56">
        <v>43</v>
      </c>
      <c r="H50" s="39">
        <f t="shared" si="30"/>
        <v>0</v>
      </c>
      <c r="I50" s="203">
        <f>M10</f>
        <v>205622</v>
      </c>
      <c r="J50" s="203"/>
      <c r="K50" s="39">
        <v>24532</v>
      </c>
      <c r="L50" s="203">
        <f>205622+24532</f>
        <v>230154</v>
      </c>
      <c r="M50" s="203"/>
      <c r="N50" s="144">
        <f>+I50+K50</f>
        <v>230154</v>
      </c>
      <c r="O50" s="144"/>
      <c r="P50" s="144">
        <f>+L50-N50</f>
        <v>0</v>
      </c>
      <c r="Q50" s="144"/>
      <c r="R50" s="204">
        <f>1558+183</f>
        <v>1741</v>
      </c>
      <c r="S50" s="205"/>
      <c r="T50" s="203">
        <f>1558+183</f>
        <v>1741</v>
      </c>
      <c r="U50" s="203"/>
      <c r="V50" s="57">
        <f t="shared" si="33"/>
        <v>0</v>
      </c>
      <c r="W50" s="202"/>
      <c r="X50" s="202"/>
      <c r="Y50" s="202"/>
    </row>
    <row r="51" spans="1:29" ht="24.95" customHeight="1" x14ac:dyDescent="0.3">
      <c r="A51" s="18">
        <v>8</v>
      </c>
      <c r="B51" s="96" t="s">
        <v>82</v>
      </c>
      <c r="C51" s="32">
        <v>7</v>
      </c>
      <c r="D51" s="32"/>
      <c r="E51" s="32"/>
      <c r="F51" s="32">
        <f t="shared" si="35"/>
        <v>7</v>
      </c>
      <c r="G51" s="56">
        <v>7</v>
      </c>
      <c r="H51" s="39"/>
      <c r="I51" s="203">
        <f t="shared" ref="I51" si="36">M11</f>
        <v>48235</v>
      </c>
      <c r="J51" s="203"/>
      <c r="K51" s="39"/>
      <c r="L51" s="203">
        <v>48235</v>
      </c>
      <c r="M51" s="203"/>
      <c r="N51" s="144">
        <f>+I51+K51</f>
        <v>48235</v>
      </c>
      <c r="O51" s="144"/>
      <c r="P51" s="144">
        <f>+L51-N51</f>
        <v>0</v>
      </c>
      <c r="Q51" s="144"/>
      <c r="R51" s="204">
        <v>364</v>
      </c>
      <c r="S51" s="205"/>
      <c r="T51" s="203">
        <v>364</v>
      </c>
      <c r="U51" s="203"/>
      <c r="V51" s="57">
        <v>0</v>
      </c>
      <c r="W51" s="230"/>
      <c r="X51" s="231"/>
      <c r="Y51" s="232"/>
      <c r="AA51">
        <v>1922</v>
      </c>
      <c r="AC51">
        <f>2088-2105</f>
        <v>-17</v>
      </c>
    </row>
    <row r="52" spans="1:29" ht="24.95" customHeight="1" x14ac:dyDescent="0.3">
      <c r="A52" s="18">
        <v>8</v>
      </c>
      <c r="B52" s="90" t="str">
        <f t="shared" ref="B52:B53" si="37">B30</f>
        <v>WAGES - SECUR &amp; GARDEN - CHEQUE</v>
      </c>
      <c r="C52" s="32">
        <v>0</v>
      </c>
      <c r="D52" s="32"/>
      <c r="E52" s="32">
        <v>0</v>
      </c>
      <c r="F52" s="32">
        <f t="shared" si="35"/>
        <v>0</v>
      </c>
      <c r="G52" s="56">
        <v>0</v>
      </c>
      <c r="H52" s="39">
        <f>G52-F52</f>
        <v>0</v>
      </c>
      <c r="I52" s="203">
        <f t="shared" ref="I52:I53" si="38">M12</f>
        <v>0</v>
      </c>
      <c r="J52" s="203"/>
      <c r="K52" s="39">
        <v>0</v>
      </c>
      <c r="L52" s="144">
        <v>0</v>
      </c>
      <c r="M52" s="144"/>
      <c r="N52" s="144">
        <f t="shared" si="32"/>
        <v>0</v>
      </c>
      <c r="O52" s="144"/>
      <c r="P52" s="144">
        <f t="shared" si="34"/>
        <v>0</v>
      </c>
      <c r="Q52" s="144"/>
      <c r="R52" s="204">
        <v>0</v>
      </c>
      <c r="S52" s="205"/>
      <c r="T52" s="203">
        <v>0</v>
      </c>
      <c r="U52" s="203"/>
      <c r="V52" s="57">
        <f t="shared" si="33"/>
        <v>0</v>
      </c>
      <c r="W52" s="202"/>
      <c r="X52" s="202"/>
      <c r="Y52" s="202"/>
      <c r="AA52">
        <v>364</v>
      </c>
    </row>
    <row r="53" spans="1:29" ht="24.95" customHeight="1" x14ac:dyDescent="0.3">
      <c r="A53" s="18">
        <v>9</v>
      </c>
      <c r="B53" s="90" t="str">
        <f t="shared" si="37"/>
        <v>WAGES - SECUR &amp; GARDEN - CSB</v>
      </c>
      <c r="C53" s="32">
        <v>7</v>
      </c>
      <c r="D53" s="32">
        <v>0</v>
      </c>
      <c r="E53" s="32">
        <v>0</v>
      </c>
      <c r="F53" s="32">
        <f>C53+D53-E53</f>
        <v>7</v>
      </c>
      <c r="G53" s="56">
        <v>7</v>
      </c>
      <c r="H53" s="39">
        <f t="shared" si="30"/>
        <v>0</v>
      </c>
      <c r="I53" s="203">
        <f t="shared" si="38"/>
        <v>62718</v>
      </c>
      <c r="J53" s="203"/>
      <c r="K53" s="39">
        <v>0</v>
      </c>
      <c r="L53" s="144">
        <v>62718</v>
      </c>
      <c r="M53" s="144"/>
      <c r="N53" s="144">
        <f>+I53+K53</f>
        <v>62718</v>
      </c>
      <c r="O53" s="144"/>
      <c r="P53" s="144">
        <f t="shared" si="34"/>
        <v>0</v>
      </c>
      <c r="Q53" s="144"/>
      <c r="R53" s="204">
        <v>473</v>
      </c>
      <c r="S53" s="205"/>
      <c r="T53" s="203">
        <v>473</v>
      </c>
      <c r="U53" s="203"/>
      <c r="V53" s="57">
        <f t="shared" si="33"/>
        <v>0</v>
      </c>
      <c r="W53" s="202"/>
      <c r="X53" s="202"/>
      <c r="Y53" s="202"/>
      <c r="AA53">
        <f>+AA51-AA52</f>
        <v>1558</v>
      </c>
    </row>
    <row r="54" spans="1:29" ht="24.95" customHeight="1" x14ac:dyDescent="0.3">
      <c r="A54" s="18">
        <v>10</v>
      </c>
      <c r="B54" s="90" t="s">
        <v>34</v>
      </c>
      <c r="C54" s="32">
        <v>1</v>
      </c>
      <c r="D54" s="32"/>
      <c r="E54" s="32"/>
      <c r="F54" s="32">
        <f t="shared" ref="F54:F56" si="39">C54+D54-E54</f>
        <v>1</v>
      </c>
      <c r="G54" s="56">
        <v>0</v>
      </c>
      <c r="H54" s="39">
        <f t="shared" si="30"/>
        <v>-1</v>
      </c>
      <c r="I54" s="204">
        <v>200000</v>
      </c>
      <c r="J54" s="205"/>
      <c r="K54" s="39">
        <v>0</v>
      </c>
      <c r="L54" s="158">
        <v>0</v>
      </c>
      <c r="M54" s="159"/>
      <c r="N54" s="144">
        <f t="shared" si="32"/>
        <v>200000</v>
      </c>
      <c r="O54" s="144"/>
      <c r="P54" s="144">
        <f t="shared" si="34"/>
        <v>-200000</v>
      </c>
      <c r="Q54" s="144"/>
      <c r="R54" s="204">
        <v>0</v>
      </c>
      <c r="S54" s="205"/>
      <c r="T54" s="204"/>
      <c r="U54" s="205"/>
      <c r="V54" s="57">
        <f t="shared" si="33"/>
        <v>0</v>
      </c>
      <c r="W54" s="206" t="s">
        <v>71</v>
      </c>
      <c r="X54" s="206"/>
      <c r="Y54" s="206"/>
    </row>
    <row r="55" spans="1:29" ht="24.95" customHeight="1" x14ac:dyDescent="0.3">
      <c r="A55" s="18">
        <v>11</v>
      </c>
      <c r="B55" s="90" t="str">
        <f t="shared" ref="B55:B56" si="40">B33</f>
        <v>EXEMPTED - BANK</v>
      </c>
      <c r="C55" s="32">
        <v>5</v>
      </c>
      <c r="D55" s="32"/>
      <c r="E55" s="32">
        <v>0</v>
      </c>
      <c r="F55" s="32">
        <f t="shared" si="39"/>
        <v>5</v>
      </c>
      <c r="G55" s="56">
        <v>0</v>
      </c>
      <c r="H55" s="39">
        <f t="shared" si="30"/>
        <v>-5</v>
      </c>
      <c r="I55" s="227">
        <f>+M15</f>
        <v>110417</v>
      </c>
      <c r="J55" s="228"/>
      <c r="K55" s="39">
        <v>0</v>
      </c>
      <c r="L55" s="144">
        <v>0</v>
      </c>
      <c r="M55" s="144"/>
      <c r="N55" s="144">
        <f t="shared" si="32"/>
        <v>110417</v>
      </c>
      <c r="O55" s="144"/>
      <c r="P55" s="144">
        <f t="shared" si="34"/>
        <v>-110417</v>
      </c>
      <c r="Q55" s="144"/>
      <c r="R55" s="204">
        <v>0</v>
      </c>
      <c r="S55" s="205"/>
      <c r="T55" s="203">
        <v>0</v>
      </c>
      <c r="U55" s="203"/>
      <c r="V55" s="57">
        <f t="shared" si="33"/>
        <v>0</v>
      </c>
      <c r="W55" s="202"/>
      <c r="X55" s="202"/>
      <c r="Y55" s="202"/>
    </row>
    <row r="56" spans="1:29" ht="24.95" customHeight="1" x14ac:dyDescent="0.3">
      <c r="A56" s="18">
        <v>12</v>
      </c>
      <c r="B56" s="90" t="str">
        <f t="shared" si="40"/>
        <v>EXEMPTED - CHEQUE</v>
      </c>
      <c r="C56" s="32">
        <v>2</v>
      </c>
      <c r="D56" s="32">
        <v>1</v>
      </c>
      <c r="E56" s="32">
        <v>0</v>
      </c>
      <c r="F56" s="32">
        <f t="shared" si="39"/>
        <v>3</v>
      </c>
      <c r="G56" s="56">
        <v>0</v>
      </c>
      <c r="H56" s="39">
        <f t="shared" si="30"/>
        <v>-3</v>
      </c>
      <c r="I56" s="227">
        <f>+M16</f>
        <v>60065</v>
      </c>
      <c r="J56" s="228"/>
      <c r="K56" s="39">
        <v>0</v>
      </c>
      <c r="L56" s="144">
        <v>0</v>
      </c>
      <c r="M56" s="144"/>
      <c r="N56" s="144">
        <f t="shared" si="32"/>
        <v>60065</v>
      </c>
      <c r="O56" s="144"/>
      <c r="P56" s="144">
        <f t="shared" si="34"/>
        <v>-60065</v>
      </c>
      <c r="Q56" s="144"/>
      <c r="R56" s="204">
        <v>0</v>
      </c>
      <c r="S56" s="205"/>
      <c r="T56" s="203">
        <v>0</v>
      </c>
      <c r="U56" s="203"/>
      <c r="V56" s="57">
        <f t="shared" si="33"/>
        <v>0</v>
      </c>
      <c r="W56" s="202"/>
      <c r="X56" s="202"/>
      <c r="Y56" s="202"/>
    </row>
    <row r="57" spans="1:29" ht="24.95" customHeight="1" x14ac:dyDescent="0.25">
      <c r="A57" s="18"/>
      <c r="B57" s="22" t="s">
        <v>47</v>
      </c>
      <c r="C57" s="58">
        <f t="shared" ref="C57:H57" si="41">SUM(C44:C56)</f>
        <v>174</v>
      </c>
      <c r="D57" s="58">
        <f t="shared" si="41"/>
        <v>15</v>
      </c>
      <c r="E57" s="58">
        <f t="shared" si="41"/>
        <v>13</v>
      </c>
      <c r="F57" s="58">
        <f>SUM(F44:F56)</f>
        <v>176</v>
      </c>
      <c r="G57" s="58">
        <f>SUM(G44:G56)</f>
        <v>162</v>
      </c>
      <c r="H57" s="58">
        <f t="shared" si="41"/>
        <v>-14</v>
      </c>
      <c r="I57" s="199">
        <f>SUM(I44:K56)</f>
        <v>1660379</v>
      </c>
      <c r="J57" s="199"/>
      <c r="K57" s="62">
        <f>SUM(K44:K56)</f>
        <v>35331</v>
      </c>
      <c r="L57" s="200">
        <f>SUM(L44:M56)</f>
        <v>1136242</v>
      </c>
      <c r="M57" s="200"/>
      <c r="N57" s="201">
        <f>SUM(N44:O56)</f>
        <v>1660379</v>
      </c>
      <c r="O57" s="201"/>
      <c r="P57" s="201">
        <f>SUM(P44:Q56)</f>
        <v>-524137</v>
      </c>
      <c r="Q57" s="201"/>
      <c r="R57" s="201">
        <f>SUM(R44:S56)</f>
        <v>8584</v>
      </c>
      <c r="S57" s="201"/>
      <c r="T57" s="201">
        <f>SUM(T44:U56)</f>
        <v>8591</v>
      </c>
      <c r="U57" s="201"/>
      <c r="V57" s="60">
        <f>SUM(V44:V56)</f>
        <v>-7</v>
      </c>
      <c r="W57" s="198"/>
      <c r="X57" s="198"/>
      <c r="Y57" s="198"/>
    </row>
    <row r="58" spans="1:29" x14ac:dyDescent="0.25">
      <c r="S58">
        <f>8522-8320</f>
        <v>202</v>
      </c>
      <c r="U58">
        <v>8591</v>
      </c>
    </row>
    <row r="59" spans="1:29" x14ac:dyDescent="0.25">
      <c r="U59" s="100">
        <f>+T57-U58</f>
        <v>0</v>
      </c>
    </row>
  </sheetData>
  <mergeCells count="238">
    <mergeCell ref="G29:H29"/>
    <mergeCell ref="L29:M29"/>
    <mergeCell ref="N29:O29"/>
    <mergeCell ref="P29:Q29"/>
    <mergeCell ref="R29:S29"/>
    <mergeCell ref="T29:U29"/>
    <mergeCell ref="W29:Y29"/>
    <mergeCell ref="L36:M36"/>
    <mergeCell ref="L51:M51"/>
    <mergeCell ref="N51:O51"/>
    <mergeCell ref="P51:Q51"/>
    <mergeCell ref="R51:S51"/>
    <mergeCell ref="T51:U51"/>
    <mergeCell ref="W51:Y51"/>
    <mergeCell ref="I51:J51"/>
    <mergeCell ref="W30:Y30"/>
    <mergeCell ref="G31:H31"/>
    <mergeCell ref="L31:M31"/>
    <mergeCell ref="N31:O31"/>
    <mergeCell ref="P31:Q31"/>
    <mergeCell ref="R31:S31"/>
    <mergeCell ref="T31:U31"/>
    <mergeCell ref="W31:Y31"/>
    <mergeCell ref="G30:H30"/>
    <mergeCell ref="V2:W2"/>
    <mergeCell ref="X2:X3"/>
    <mergeCell ref="Y2:Y3"/>
    <mergeCell ref="A17:B17"/>
    <mergeCell ref="A20:A21"/>
    <mergeCell ref="B20:B21"/>
    <mergeCell ref="C20:F20"/>
    <mergeCell ref="G20:H21"/>
    <mergeCell ref="I20:I21"/>
    <mergeCell ref="J20:J21"/>
    <mergeCell ref="A2:A3"/>
    <mergeCell ref="B2:B3"/>
    <mergeCell ref="C2:F2"/>
    <mergeCell ref="G2:G3"/>
    <mergeCell ref="H2:M2"/>
    <mergeCell ref="N2:U2"/>
    <mergeCell ref="V20:V21"/>
    <mergeCell ref="W20:Y21"/>
    <mergeCell ref="G22:H22"/>
    <mergeCell ref="L22:M22"/>
    <mergeCell ref="N22:O22"/>
    <mergeCell ref="P22:Q22"/>
    <mergeCell ref="R22:S22"/>
    <mergeCell ref="T22:U22"/>
    <mergeCell ref="W22:Y22"/>
    <mergeCell ref="K20:K21"/>
    <mergeCell ref="L20:M21"/>
    <mergeCell ref="N20:O21"/>
    <mergeCell ref="P20:Q21"/>
    <mergeCell ref="R20:S21"/>
    <mergeCell ref="T20:U21"/>
    <mergeCell ref="W23:Y23"/>
    <mergeCell ref="G24:H24"/>
    <mergeCell ref="L24:M24"/>
    <mergeCell ref="N24:O24"/>
    <mergeCell ref="P24:Q24"/>
    <mergeCell ref="R24:S24"/>
    <mergeCell ref="T24:U24"/>
    <mergeCell ref="W24:Y24"/>
    <mergeCell ref="G23:H23"/>
    <mergeCell ref="L23:M23"/>
    <mergeCell ref="N23:O23"/>
    <mergeCell ref="P23:Q23"/>
    <mergeCell ref="R23:S23"/>
    <mergeCell ref="T23:U23"/>
    <mergeCell ref="W25:Y25"/>
    <mergeCell ref="G26:H26"/>
    <mergeCell ref="L26:M26"/>
    <mergeCell ref="N26:O26"/>
    <mergeCell ref="P26:Q26"/>
    <mergeCell ref="R26:S26"/>
    <mergeCell ref="T26:U26"/>
    <mergeCell ref="W26:Y26"/>
    <mergeCell ref="G25:H25"/>
    <mergeCell ref="L25:M25"/>
    <mergeCell ref="N25:O25"/>
    <mergeCell ref="P25:Q25"/>
    <mergeCell ref="R25:S25"/>
    <mergeCell ref="T25:U25"/>
    <mergeCell ref="W27:Y27"/>
    <mergeCell ref="G28:H28"/>
    <mergeCell ref="L28:M28"/>
    <mergeCell ref="N28:O28"/>
    <mergeCell ref="P28:Q28"/>
    <mergeCell ref="R28:S28"/>
    <mergeCell ref="T28:U28"/>
    <mergeCell ref="W28:Y28"/>
    <mergeCell ref="G27:H27"/>
    <mergeCell ref="L27:M27"/>
    <mergeCell ref="N27:O27"/>
    <mergeCell ref="P27:Q27"/>
    <mergeCell ref="R27:S27"/>
    <mergeCell ref="T27:U27"/>
    <mergeCell ref="L30:M30"/>
    <mergeCell ref="N30:O30"/>
    <mergeCell ref="P30:Q30"/>
    <mergeCell ref="R30:S30"/>
    <mergeCell ref="T30:U30"/>
    <mergeCell ref="W32:Y32"/>
    <mergeCell ref="G33:H33"/>
    <mergeCell ref="L33:M33"/>
    <mergeCell ref="N33:O33"/>
    <mergeCell ref="P33:Q33"/>
    <mergeCell ref="R33:S33"/>
    <mergeCell ref="T33:U33"/>
    <mergeCell ref="W33:Y33"/>
    <mergeCell ref="G32:H32"/>
    <mergeCell ref="L32:M32"/>
    <mergeCell ref="N32:O32"/>
    <mergeCell ref="P32:Q32"/>
    <mergeCell ref="R32:S32"/>
    <mergeCell ref="T32:U32"/>
    <mergeCell ref="W34:Y34"/>
    <mergeCell ref="G35:H35"/>
    <mergeCell ref="L35:M35"/>
    <mergeCell ref="N35:O35"/>
    <mergeCell ref="P35:Q35"/>
    <mergeCell ref="R35:S35"/>
    <mergeCell ref="T35:U35"/>
    <mergeCell ref="W35:Y35"/>
    <mergeCell ref="G34:H34"/>
    <mergeCell ref="L34:M34"/>
    <mergeCell ref="N34:O34"/>
    <mergeCell ref="P34:Q34"/>
    <mergeCell ref="R34:S34"/>
    <mergeCell ref="T34:U34"/>
    <mergeCell ref="L37:M37"/>
    <mergeCell ref="N37:O37"/>
    <mergeCell ref="L38:M38"/>
    <mergeCell ref="A42:A43"/>
    <mergeCell ref="B42:B43"/>
    <mergeCell ref="C42:F42"/>
    <mergeCell ref="G42:G43"/>
    <mergeCell ref="H42:H43"/>
    <mergeCell ref="I42:J43"/>
    <mergeCell ref="K42:K43"/>
    <mergeCell ref="W42:Y43"/>
    <mergeCell ref="I44:J44"/>
    <mergeCell ref="L44:M44"/>
    <mergeCell ref="N44:O44"/>
    <mergeCell ref="P44:Q44"/>
    <mergeCell ref="R44:S44"/>
    <mergeCell ref="T44:U44"/>
    <mergeCell ref="W44:Y44"/>
    <mergeCell ref="L42:M43"/>
    <mergeCell ref="N42:O43"/>
    <mergeCell ref="P42:Q43"/>
    <mergeCell ref="R42:S43"/>
    <mergeCell ref="T42:U43"/>
    <mergeCell ref="V42:V43"/>
    <mergeCell ref="W45:Y45"/>
    <mergeCell ref="I46:J46"/>
    <mergeCell ref="L46:M46"/>
    <mergeCell ref="N46:O46"/>
    <mergeCell ref="P46:Q46"/>
    <mergeCell ref="R46:S46"/>
    <mergeCell ref="T46:U46"/>
    <mergeCell ref="W46:Y46"/>
    <mergeCell ref="I45:J45"/>
    <mergeCell ref="L45:M45"/>
    <mergeCell ref="N45:O45"/>
    <mergeCell ref="P45:Q45"/>
    <mergeCell ref="R45:S45"/>
    <mergeCell ref="T45:U45"/>
    <mergeCell ref="W47:Y47"/>
    <mergeCell ref="I48:J48"/>
    <mergeCell ref="L48:M48"/>
    <mergeCell ref="N48:O48"/>
    <mergeCell ref="P48:Q48"/>
    <mergeCell ref="R48:S48"/>
    <mergeCell ref="T48:U48"/>
    <mergeCell ref="W48:Y48"/>
    <mergeCell ref="I47:J47"/>
    <mergeCell ref="L47:M47"/>
    <mergeCell ref="N47:O47"/>
    <mergeCell ref="P47:Q47"/>
    <mergeCell ref="R47:S47"/>
    <mergeCell ref="T47:U47"/>
    <mergeCell ref="W49:Y49"/>
    <mergeCell ref="I50:J50"/>
    <mergeCell ref="L50:M50"/>
    <mergeCell ref="N50:O50"/>
    <mergeCell ref="P50:Q50"/>
    <mergeCell ref="R50:S50"/>
    <mergeCell ref="T50:U50"/>
    <mergeCell ref="W50:Y50"/>
    <mergeCell ref="I49:J49"/>
    <mergeCell ref="L49:M49"/>
    <mergeCell ref="N49:O49"/>
    <mergeCell ref="P49:Q49"/>
    <mergeCell ref="R49:S49"/>
    <mergeCell ref="T49:U49"/>
    <mergeCell ref="W52:Y52"/>
    <mergeCell ref="I53:J53"/>
    <mergeCell ref="L53:M53"/>
    <mergeCell ref="N53:O53"/>
    <mergeCell ref="P53:Q53"/>
    <mergeCell ref="R53:S53"/>
    <mergeCell ref="T53:U53"/>
    <mergeCell ref="W53:Y53"/>
    <mergeCell ref="I52:J52"/>
    <mergeCell ref="L52:M52"/>
    <mergeCell ref="N52:O52"/>
    <mergeCell ref="P52:Q52"/>
    <mergeCell ref="R52:S52"/>
    <mergeCell ref="T52:U52"/>
    <mergeCell ref="W54:Y54"/>
    <mergeCell ref="I55:J55"/>
    <mergeCell ref="L55:M55"/>
    <mergeCell ref="N55:O55"/>
    <mergeCell ref="P55:Q55"/>
    <mergeCell ref="R55:S55"/>
    <mergeCell ref="T55:U55"/>
    <mergeCell ref="W55:Y55"/>
    <mergeCell ref="I54:J54"/>
    <mergeCell ref="L54:M54"/>
    <mergeCell ref="N54:O54"/>
    <mergeCell ref="P54:Q54"/>
    <mergeCell ref="R54:S54"/>
    <mergeCell ref="T54:U54"/>
    <mergeCell ref="W56:Y56"/>
    <mergeCell ref="I57:J57"/>
    <mergeCell ref="L57:M57"/>
    <mergeCell ref="N57:O57"/>
    <mergeCell ref="P57:Q57"/>
    <mergeCell ref="R57:S57"/>
    <mergeCell ref="T57:U57"/>
    <mergeCell ref="W57:Y57"/>
    <mergeCell ref="I56:J56"/>
    <mergeCell ref="L56:M56"/>
    <mergeCell ref="N56:O56"/>
    <mergeCell ref="P56:Q56"/>
    <mergeCell ref="R56:S56"/>
    <mergeCell ref="T56:U56"/>
  </mergeCells>
  <pageMargins left="0.7" right="0.7" top="0.75" bottom="0.75" header="0.3" footer="0.3"/>
  <pageSetup paperSize="8" scale="67" orientation="landscape" verticalDpi="0" r:id="rId1"/>
  <colBreaks count="1" manualBreakCount="1">
    <brk id="25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topLeftCell="A45" workbookViewId="0">
      <selection activeCell="A41" sqref="A41:Y57"/>
    </sheetView>
  </sheetViews>
  <sheetFormatPr defaultRowHeight="15" x14ac:dyDescent="0.25"/>
  <cols>
    <col min="1" max="1" width="7" customWidth="1"/>
    <col min="2" max="2" width="44.28515625" customWidth="1"/>
    <col min="7" max="7" width="9.42578125" bestFit="1" customWidth="1"/>
    <col min="8" max="8" width="12.7109375" customWidth="1"/>
    <col min="10" max="10" width="14.28515625" customWidth="1"/>
    <col min="11" max="11" width="14.140625" customWidth="1"/>
  </cols>
  <sheetData>
    <row r="1" spans="1:25" ht="18.75" x14ac:dyDescent="0.3">
      <c r="A1" s="14" t="s">
        <v>84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24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99" t="s">
        <v>65</v>
      </c>
      <c r="D3" s="64" t="s">
        <v>66</v>
      </c>
      <c r="E3" s="64" t="s">
        <v>67</v>
      </c>
      <c r="F3" s="50" t="s">
        <v>68</v>
      </c>
      <c r="G3" s="215"/>
      <c r="H3" s="99" t="s">
        <v>10</v>
      </c>
      <c r="I3" s="99" t="s">
        <v>11</v>
      </c>
      <c r="J3" s="99" t="s">
        <v>12</v>
      </c>
      <c r="K3" s="99" t="s">
        <v>13</v>
      </c>
      <c r="L3" s="99" t="s">
        <v>55</v>
      </c>
      <c r="M3" s="99" t="s">
        <v>14</v>
      </c>
      <c r="N3" s="99" t="s">
        <v>15</v>
      </c>
      <c r="O3" s="99" t="s">
        <v>16</v>
      </c>
      <c r="P3" s="99" t="s">
        <v>56</v>
      </c>
      <c r="Q3" s="99" t="s">
        <v>17</v>
      </c>
      <c r="R3" s="99" t="s">
        <v>18</v>
      </c>
      <c r="S3" s="99" t="s">
        <v>19</v>
      </c>
      <c r="T3" s="99" t="s">
        <v>20</v>
      </c>
      <c r="U3" s="99" t="s">
        <v>21</v>
      </c>
      <c r="V3" s="99" t="s">
        <v>22</v>
      </c>
      <c r="W3" s="99" t="s">
        <v>23</v>
      </c>
      <c r="X3" s="215"/>
      <c r="Y3" s="215"/>
    </row>
    <row r="4" spans="1:25" ht="35.1" customHeight="1" x14ac:dyDescent="0.25">
      <c r="A4" s="2">
        <v>1</v>
      </c>
      <c r="B4" s="3" t="s">
        <v>24</v>
      </c>
      <c r="C4" s="32">
        <v>14</v>
      </c>
      <c r="D4" s="32">
        <v>0</v>
      </c>
      <c r="E4" s="32">
        <v>0</v>
      </c>
      <c r="F4" s="32">
        <f t="shared" ref="F4:F16" si="0">C4+D4-E4</f>
        <v>14</v>
      </c>
      <c r="G4" s="9">
        <v>342</v>
      </c>
      <c r="H4" s="8">
        <v>170881</v>
      </c>
      <c r="I4" s="8"/>
      <c r="J4" s="8">
        <v>82329</v>
      </c>
      <c r="K4" s="8">
        <v>14067</v>
      </c>
      <c r="L4" s="8">
        <v>14066.57</v>
      </c>
      <c r="M4" s="51">
        <f>SUM(H4:L4)+1</f>
        <v>281344.57</v>
      </c>
      <c r="N4" s="8">
        <v>20505</v>
      </c>
      <c r="O4" s="8">
        <v>1075</v>
      </c>
      <c r="P4" s="8"/>
      <c r="Q4" s="8"/>
      <c r="R4" s="8">
        <v>0</v>
      </c>
      <c r="S4" s="8">
        <v>21760</v>
      </c>
      <c r="T4" s="8">
        <v>0</v>
      </c>
      <c r="U4" s="51">
        <f>SUM(N4:T4)</f>
        <v>43340</v>
      </c>
      <c r="V4" s="8" t="s">
        <v>25</v>
      </c>
      <c r="W4" s="8" t="s">
        <v>25</v>
      </c>
      <c r="X4" s="8">
        <v>5</v>
      </c>
      <c r="Y4" s="51">
        <f>M4-U4+X4</f>
        <v>238009.57</v>
      </c>
    </row>
    <row r="5" spans="1:25" ht="35.1" customHeight="1" x14ac:dyDescent="0.25">
      <c r="A5" s="2">
        <v>2</v>
      </c>
      <c r="B5" s="3" t="s">
        <v>26</v>
      </c>
      <c r="C5" s="32">
        <v>5</v>
      </c>
      <c r="D5" s="32">
        <v>3</v>
      </c>
      <c r="E5" s="32">
        <v>0</v>
      </c>
      <c r="F5" s="32">
        <f t="shared" si="0"/>
        <v>8</v>
      </c>
      <c r="G5" s="9">
        <v>189</v>
      </c>
      <c r="H5" s="8">
        <v>57598</v>
      </c>
      <c r="I5" s="8"/>
      <c r="J5" s="8">
        <v>28799</v>
      </c>
      <c r="K5" s="8">
        <v>4800</v>
      </c>
      <c r="L5" s="8">
        <v>4800</v>
      </c>
      <c r="M5" s="51">
        <f t="shared" ref="M5:M16" si="1">SUM(H5:L5)</f>
        <v>95997</v>
      </c>
      <c r="N5" s="8">
        <v>6912</v>
      </c>
      <c r="O5" s="8">
        <v>551</v>
      </c>
      <c r="P5" s="8"/>
      <c r="Q5" s="8">
        <v>860</v>
      </c>
      <c r="R5" s="8">
        <v>0</v>
      </c>
      <c r="S5" s="8">
        <v>6000</v>
      </c>
      <c r="T5" s="8"/>
      <c r="U5" s="51">
        <f>SUM(N5:T5)</f>
        <v>14323</v>
      </c>
      <c r="V5" s="8" t="s">
        <v>25</v>
      </c>
      <c r="W5" s="8" t="s">
        <v>25</v>
      </c>
      <c r="X5" s="8">
        <v>6</v>
      </c>
      <c r="Y5" s="51">
        <f>M5-U5+X5</f>
        <v>81680</v>
      </c>
    </row>
    <row r="6" spans="1:25" ht="35.1" customHeight="1" x14ac:dyDescent="0.25">
      <c r="A6" s="2">
        <v>3</v>
      </c>
      <c r="B6" s="3" t="s">
        <v>27</v>
      </c>
      <c r="C6" s="32"/>
      <c r="D6" s="32">
        <f>1+2</f>
        <v>3</v>
      </c>
      <c r="E6" s="32">
        <v>0</v>
      </c>
      <c r="F6" s="32">
        <f t="shared" si="0"/>
        <v>3</v>
      </c>
      <c r="G6" s="9">
        <v>51</v>
      </c>
      <c r="H6" s="8">
        <v>14181</v>
      </c>
      <c r="I6" s="8"/>
      <c r="J6" s="8">
        <v>7090</v>
      </c>
      <c r="K6" s="8">
        <v>1182</v>
      </c>
      <c r="L6" s="8">
        <v>1182</v>
      </c>
      <c r="M6" s="51">
        <f t="shared" si="1"/>
        <v>23635</v>
      </c>
      <c r="N6" s="8">
        <v>1701</v>
      </c>
      <c r="O6" s="8">
        <v>179</v>
      </c>
      <c r="P6" s="8"/>
      <c r="Q6" s="8"/>
      <c r="R6" s="8"/>
      <c r="S6" s="8">
        <v>0</v>
      </c>
      <c r="T6" s="8"/>
      <c r="U6" s="51">
        <f>SUM(N6:T6)</f>
        <v>1880</v>
      </c>
      <c r="V6" s="8" t="s">
        <v>25</v>
      </c>
      <c r="W6" s="8" t="s">
        <v>25</v>
      </c>
      <c r="X6" s="8">
        <v>5</v>
      </c>
      <c r="Y6" s="51">
        <f>M6-U6+X6</f>
        <v>21760</v>
      </c>
    </row>
    <row r="7" spans="1:25" ht="35.1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187</v>
      </c>
      <c r="H7" s="8">
        <v>7480</v>
      </c>
      <c r="I7" s="8">
        <v>76945</v>
      </c>
      <c r="J7" s="8">
        <v>1870</v>
      </c>
      <c r="K7" s="8"/>
      <c r="L7" s="8"/>
      <c r="M7" s="51">
        <f t="shared" si="1"/>
        <v>86295</v>
      </c>
      <c r="N7" s="8">
        <v>10132</v>
      </c>
      <c r="O7" s="8">
        <v>651</v>
      </c>
      <c r="P7" s="8">
        <v>0</v>
      </c>
      <c r="Q7" s="8">
        <v>340</v>
      </c>
      <c r="R7" s="8">
        <v>0</v>
      </c>
      <c r="S7" s="8">
        <v>2000</v>
      </c>
      <c r="T7" s="8">
        <v>0</v>
      </c>
      <c r="U7" s="51">
        <f>SUM(N7:T7)</f>
        <v>13123</v>
      </c>
      <c r="V7" s="8">
        <f>+W7/5</f>
        <v>736</v>
      </c>
      <c r="W7" s="8">
        <v>3680</v>
      </c>
      <c r="X7" s="8">
        <v>8</v>
      </c>
      <c r="Y7" s="51">
        <f>M7-U7+W7+X7</f>
        <v>76860</v>
      </c>
    </row>
    <row r="8" spans="1:25" ht="35.1" customHeight="1" x14ac:dyDescent="0.25">
      <c r="A8" s="2">
        <v>5</v>
      </c>
      <c r="B8" s="28" t="s">
        <v>29</v>
      </c>
      <c r="C8" s="32">
        <v>73</v>
      </c>
      <c r="D8" s="32">
        <v>0</v>
      </c>
      <c r="E8" s="32">
        <f>3+1</f>
        <v>4</v>
      </c>
      <c r="F8" s="32">
        <f>C8+D8-E8</f>
        <v>69</v>
      </c>
      <c r="G8" s="9">
        <v>1438.5</v>
      </c>
      <c r="H8" s="8">
        <v>278180</v>
      </c>
      <c r="I8" s="8"/>
      <c r="J8" s="8">
        <v>185453</v>
      </c>
      <c r="K8" s="8"/>
      <c r="L8" s="8"/>
      <c r="M8" s="51">
        <f t="shared" si="1"/>
        <v>463633</v>
      </c>
      <c r="N8" s="8">
        <v>33383</v>
      </c>
      <c r="O8" s="8">
        <v>3510</v>
      </c>
      <c r="P8" s="8">
        <v>0</v>
      </c>
      <c r="Q8" s="8">
        <v>6170</v>
      </c>
      <c r="R8" s="8">
        <v>0</v>
      </c>
      <c r="S8" s="8">
        <v>8500</v>
      </c>
      <c r="T8" s="8">
        <v>0</v>
      </c>
      <c r="U8" s="51">
        <f t="shared" ref="U8:U16" si="2">SUM(N8:T8)</f>
        <v>51563</v>
      </c>
      <c r="V8" s="8">
        <f>+W8/5</f>
        <v>17094</v>
      </c>
      <c r="W8" s="8">
        <v>85470</v>
      </c>
      <c r="X8" s="8">
        <v>-30</v>
      </c>
      <c r="Y8" s="51">
        <f t="shared" ref="Y8:Y13" si="3">M8-U8+W8+X8</f>
        <v>497510</v>
      </c>
    </row>
    <row r="9" spans="1:25" ht="35.1" customHeight="1" x14ac:dyDescent="0.25">
      <c r="A9" s="2">
        <v>6</v>
      </c>
      <c r="B9" s="28" t="s">
        <v>30</v>
      </c>
      <c r="C9" s="32">
        <v>11</v>
      </c>
      <c r="D9" s="32">
        <v>4</v>
      </c>
      <c r="E9" s="32">
        <f>3+1</f>
        <v>4</v>
      </c>
      <c r="F9" s="32">
        <f t="shared" si="0"/>
        <v>11</v>
      </c>
      <c r="G9" s="9">
        <v>112</v>
      </c>
      <c r="H9" s="8">
        <v>21276</v>
      </c>
      <c r="I9" s="8"/>
      <c r="J9" s="8">
        <v>14184</v>
      </c>
      <c r="K9" s="8"/>
      <c r="L9" s="8"/>
      <c r="M9" s="51">
        <f t="shared" si="1"/>
        <v>35460</v>
      </c>
      <c r="N9" s="8">
        <v>2553</v>
      </c>
      <c r="O9" s="8">
        <v>270</v>
      </c>
      <c r="P9" s="8"/>
      <c r="Q9" s="8">
        <v>260</v>
      </c>
      <c r="R9" s="8">
        <v>0</v>
      </c>
      <c r="S9" s="8">
        <v>0</v>
      </c>
      <c r="T9" s="8">
        <v>0</v>
      </c>
      <c r="U9" s="51">
        <f t="shared" si="2"/>
        <v>3083</v>
      </c>
      <c r="V9" s="8">
        <f>+W9/5</f>
        <v>1209</v>
      </c>
      <c r="W9" s="8">
        <v>6045</v>
      </c>
      <c r="X9" s="8">
        <v>-2</v>
      </c>
      <c r="Y9" s="51">
        <f t="shared" si="3"/>
        <v>38420</v>
      </c>
    </row>
    <row r="10" spans="1:25" ht="35.1" customHeight="1" x14ac:dyDescent="0.25">
      <c r="A10" s="2">
        <v>7</v>
      </c>
      <c r="B10" s="28" t="s">
        <v>31</v>
      </c>
      <c r="C10" s="32">
        <v>43</v>
      </c>
      <c r="D10" s="32">
        <f>3+1</f>
        <v>4</v>
      </c>
      <c r="E10" s="32">
        <f>6+1</f>
        <v>7</v>
      </c>
      <c r="F10" s="32">
        <f t="shared" si="0"/>
        <v>40</v>
      </c>
      <c r="G10" s="9">
        <v>646</v>
      </c>
      <c r="H10" s="8">
        <v>116280</v>
      </c>
      <c r="I10" s="8"/>
      <c r="J10" s="8">
        <v>77520</v>
      </c>
      <c r="K10" s="8"/>
      <c r="L10" s="8"/>
      <c r="M10" s="51">
        <f t="shared" si="1"/>
        <v>193800</v>
      </c>
      <c r="N10" s="8">
        <v>13955</v>
      </c>
      <c r="O10" s="8">
        <v>1468</v>
      </c>
      <c r="P10" s="8"/>
      <c r="Q10" s="8">
        <v>490</v>
      </c>
      <c r="R10" s="8">
        <v>0</v>
      </c>
      <c r="S10" s="8">
        <v>500</v>
      </c>
      <c r="T10" s="8">
        <v>0</v>
      </c>
      <c r="U10" s="51">
        <f t="shared" si="2"/>
        <v>16413</v>
      </c>
      <c r="V10" s="8">
        <f>+W10/5</f>
        <v>1344</v>
      </c>
      <c r="W10" s="8">
        <v>6720</v>
      </c>
      <c r="X10" s="8">
        <v>13</v>
      </c>
      <c r="Y10" s="51">
        <f t="shared" si="3"/>
        <v>184120</v>
      </c>
    </row>
    <row r="11" spans="1:25" ht="35.1" customHeight="1" x14ac:dyDescent="0.25">
      <c r="A11" s="2">
        <v>8</v>
      </c>
      <c r="B11" s="28" t="s">
        <v>82</v>
      </c>
      <c r="C11" s="32">
        <v>7</v>
      </c>
      <c r="D11" s="32"/>
      <c r="E11" s="32">
        <v>1</v>
      </c>
      <c r="F11" s="32">
        <f t="shared" si="0"/>
        <v>6</v>
      </c>
      <c r="G11" s="9">
        <v>146</v>
      </c>
      <c r="H11" s="8">
        <v>27288</v>
      </c>
      <c r="I11" s="8"/>
      <c r="J11" s="8">
        <v>18192</v>
      </c>
      <c r="K11" s="8"/>
      <c r="L11" s="8"/>
      <c r="M11" s="51">
        <f t="shared" si="1"/>
        <v>45480</v>
      </c>
      <c r="N11" s="8">
        <v>3274</v>
      </c>
      <c r="O11" s="8">
        <v>344</v>
      </c>
      <c r="P11" s="8"/>
      <c r="Q11" s="8">
        <v>310</v>
      </c>
      <c r="R11" s="8">
        <v>0</v>
      </c>
      <c r="S11" s="8">
        <v>0</v>
      </c>
      <c r="T11" s="8">
        <v>0</v>
      </c>
      <c r="U11" s="51">
        <f t="shared" ref="U11" si="4">SUM(N11:T11)</f>
        <v>3928</v>
      </c>
      <c r="V11" s="8">
        <f>+W11/5</f>
        <v>548</v>
      </c>
      <c r="W11" s="8">
        <v>2740</v>
      </c>
      <c r="X11" s="8">
        <v>-2</v>
      </c>
      <c r="Y11" s="51">
        <f t="shared" si="3"/>
        <v>44290</v>
      </c>
    </row>
    <row r="12" spans="1:25" ht="35.1" customHeight="1" x14ac:dyDescent="0.25">
      <c r="A12" s="2">
        <v>9</v>
      </c>
      <c r="B12" s="28" t="s">
        <v>32</v>
      </c>
      <c r="C12" s="32">
        <v>0</v>
      </c>
      <c r="D12" s="32"/>
      <c r="E12" s="32">
        <v>0</v>
      </c>
      <c r="F12" s="32">
        <f t="shared" si="0"/>
        <v>0</v>
      </c>
      <c r="G12" s="9"/>
      <c r="H12" s="8"/>
      <c r="I12" s="8"/>
      <c r="J12" s="8"/>
      <c r="K12" s="8"/>
      <c r="L12" s="8"/>
      <c r="M12" s="51">
        <f t="shared" si="1"/>
        <v>0</v>
      </c>
      <c r="N12" s="8"/>
      <c r="O12" s="8"/>
      <c r="P12" s="8">
        <v>0</v>
      </c>
      <c r="Q12" s="8"/>
      <c r="R12" s="8">
        <v>0</v>
      </c>
      <c r="S12" s="8">
        <v>0</v>
      </c>
      <c r="T12" s="8">
        <v>0</v>
      </c>
      <c r="U12" s="51">
        <f>SUM(N12:T12)</f>
        <v>0</v>
      </c>
      <c r="V12" s="8"/>
      <c r="W12" s="8">
        <v>0</v>
      </c>
      <c r="X12" s="8">
        <v>0</v>
      </c>
      <c r="Y12" s="51">
        <f t="shared" si="3"/>
        <v>0</v>
      </c>
    </row>
    <row r="13" spans="1:25" ht="35.1" customHeight="1" x14ac:dyDescent="0.25">
      <c r="A13" s="2">
        <v>10</v>
      </c>
      <c r="B13" s="28" t="s">
        <v>33</v>
      </c>
      <c r="C13" s="32">
        <v>7</v>
      </c>
      <c r="D13" s="32">
        <v>0</v>
      </c>
      <c r="E13" s="32">
        <v>0</v>
      </c>
      <c r="F13" s="32">
        <f>C13+D13-E13</f>
        <v>7</v>
      </c>
      <c r="G13" s="9">
        <v>175.5</v>
      </c>
      <c r="H13" s="8">
        <v>40189</v>
      </c>
      <c r="I13" s="8"/>
      <c r="J13" s="8">
        <v>26793</v>
      </c>
      <c r="K13" s="8"/>
      <c r="L13" s="8"/>
      <c r="M13" s="51">
        <f t="shared" si="1"/>
        <v>66982</v>
      </c>
      <c r="N13" s="8">
        <v>4822</v>
      </c>
      <c r="O13" s="8">
        <v>506</v>
      </c>
      <c r="P13" s="8"/>
      <c r="Q13" s="8">
        <v>700</v>
      </c>
      <c r="R13" s="8">
        <v>0</v>
      </c>
      <c r="S13" s="8">
        <v>3000</v>
      </c>
      <c r="T13" s="8">
        <v>0</v>
      </c>
      <c r="U13" s="51">
        <f>SUM(N13:T13)</f>
        <v>9028</v>
      </c>
      <c r="V13" s="8"/>
      <c r="W13" s="8">
        <v>5500</v>
      </c>
      <c r="X13" s="8">
        <v>16</v>
      </c>
      <c r="Y13" s="51">
        <f t="shared" si="3"/>
        <v>63470</v>
      </c>
    </row>
    <row r="14" spans="1:25" ht="35.1" customHeight="1" x14ac:dyDescent="0.25">
      <c r="A14" s="2">
        <v>11</v>
      </c>
      <c r="B14" s="28" t="s">
        <v>34</v>
      </c>
      <c r="C14" s="32">
        <v>1</v>
      </c>
      <c r="D14" s="32"/>
      <c r="E14" s="32"/>
      <c r="F14" s="32">
        <f t="shared" si="0"/>
        <v>1</v>
      </c>
      <c r="G14" s="9">
        <v>26</v>
      </c>
      <c r="H14" s="8">
        <v>200000</v>
      </c>
      <c r="I14" s="8"/>
      <c r="J14" s="8"/>
      <c r="K14" s="8"/>
      <c r="L14" s="8"/>
      <c r="M14" s="51">
        <f t="shared" si="1"/>
        <v>200000</v>
      </c>
      <c r="N14" s="8">
        <v>24000</v>
      </c>
      <c r="O14" s="8">
        <v>0</v>
      </c>
      <c r="P14" s="8">
        <v>0</v>
      </c>
      <c r="Q14" s="8"/>
      <c r="R14" s="8">
        <v>0</v>
      </c>
      <c r="S14" s="8"/>
      <c r="T14" s="8">
        <v>0</v>
      </c>
      <c r="U14" s="51">
        <f>SUM(N14:T14)</f>
        <v>24000</v>
      </c>
      <c r="V14" s="8"/>
      <c r="W14" s="8"/>
      <c r="X14" s="8">
        <v>0</v>
      </c>
      <c r="Y14" s="51">
        <f>M14-U14+W14+X14</f>
        <v>176000</v>
      </c>
    </row>
    <row r="15" spans="1:25" ht="35.1" customHeight="1" x14ac:dyDescent="0.25">
      <c r="A15" s="2">
        <v>12</v>
      </c>
      <c r="B15" s="3" t="s">
        <v>35</v>
      </c>
      <c r="C15" s="32">
        <v>5</v>
      </c>
      <c r="D15" s="32">
        <v>0</v>
      </c>
      <c r="E15" s="32">
        <v>0</v>
      </c>
      <c r="F15" s="32">
        <f t="shared" si="0"/>
        <v>5</v>
      </c>
      <c r="G15" s="9">
        <v>128</v>
      </c>
      <c r="H15" s="8">
        <v>116883</v>
      </c>
      <c r="I15" s="8"/>
      <c r="J15" s="8"/>
      <c r="K15" s="8"/>
      <c r="L15" s="8"/>
      <c r="M15" s="51">
        <f t="shared" si="1"/>
        <v>116883</v>
      </c>
      <c r="N15" s="8"/>
      <c r="O15" s="8"/>
      <c r="P15" s="8">
        <v>0</v>
      </c>
      <c r="Q15" s="8"/>
      <c r="R15" s="8"/>
      <c r="S15" s="8">
        <v>42000</v>
      </c>
      <c r="T15" s="8"/>
      <c r="U15" s="51">
        <f>SUM(N15:T15)</f>
        <v>42000</v>
      </c>
      <c r="V15" s="8">
        <v>0</v>
      </c>
      <c r="W15" s="8"/>
      <c r="X15" s="8">
        <v>-3</v>
      </c>
      <c r="Y15" s="51">
        <f>M15-U15+W15+X15</f>
        <v>74880</v>
      </c>
    </row>
    <row r="16" spans="1:25" ht="35.1" customHeight="1" x14ac:dyDescent="0.25">
      <c r="A16" s="2">
        <v>13</v>
      </c>
      <c r="B16" s="3" t="s">
        <v>36</v>
      </c>
      <c r="C16" s="32">
        <v>3</v>
      </c>
      <c r="D16" s="32">
        <v>1</v>
      </c>
      <c r="E16" s="32">
        <v>1</v>
      </c>
      <c r="F16" s="32">
        <f t="shared" si="0"/>
        <v>3</v>
      </c>
      <c r="G16" s="9">
        <v>56</v>
      </c>
      <c r="H16" s="8">
        <v>53837</v>
      </c>
      <c r="I16" s="8"/>
      <c r="J16" s="8"/>
      <c r="K16" s="8"/>
      <c r="L16" s="8"/>
      <c r="M16" s="51">
        <f t="shared" si="1"/>
        <v>53837</v>
      </c>
      <c r="N16" s="8"/>
      <c r="O16" s="8"/>
      <c r="P16" s="8">
        <v>0</v>
      </c>
      <c r="Q16" s="8">
        <v>0</v>
      </c>
      <c r="R16" s="8"/>
      <c r="S16" s="8">
        <v>13500</v>
      </c>
      <c r="T16" s="8"/>
      <c r="U16" s="51">
        <f t="shared" si="2"/>
        <v>13500</v>
      </c>
      <c r="V16" s="8"/>
      <c r="W16" s="8"/>
      <c r="X16" s="8">
        <v>-7</v>
      </c>
      <c r="Y16" s="51">
        <f t="shared" ref="Y16" si="5">M16-U16+W16+X16</f>
        <v>40330</v>
      </c>
    </row>
    <row r="17" spans="1:25" ht="18.75" x14ac:dyDescent="0.25">
      <c r="A17" s="171" t="s">
        <v>37</v>
      </c>
      <c r="B17" s="171"/>
      <c r="C17" s="52">
        <f>SUM(C4:C16)</f>
        <v>176</v>
      </c>
      <c r="D17" s="52">
        <f t="shared" ref="D17:W17" si="6">SUM(D4:D16)</f>
        <v>15</v>
      </c>
      <c r="E17" s="52">
        <f t="shared" si="6"/>
        <v>17</v>
      </c>
      <c r="F17" s="52">
        <f>SUM(F4:F16)</f>
        <v>174</v>
      </c>
      <c r="G17" s="53">
        <f t="shared" si="6"/>
        <v>3497</v>
      </c>
      <c r="H17" s="53">
        <f t="shared" si="6"/>
        <v>1104073</v>
      </c>
      <c r="I17" s="53">
        <f t="shared" si="6"/>
        <v>76945</v>
      </c>
      <c r="J17" s="53">
        <f t="shared" si="6"/>
        <v>442230</v>
      </c>
      <c r="K17" s="53">
        <f t="shared" si="6"/>
        <v>20049</v>
      </c>
      <c r="L17" s="53">
        <f t="shared" si="6"/>
        <v>20048.57</v>
      </c>
      <c r="M17" s="53">
        <f>SUM(M4:M16)</f>
        <v>1663346.57</v>
      </c>
      <c r="N17" s="53">
        <f>SUM(N4:N16)</f>
        <v>121237</v>
      </c>
      <c r="O17" s="53">
        <f>SUM(O4:O16)</f>
        <v>8554</v>
      </c>
      <c r="P17" s="53">
        <f t="shared" si="6"/>
        <v>0</v>
      </c>
      <c r="Q17" s="53">
        <f>SUM(Q4:Q16)</f>
        <v>9130</v>
      </c>
      <c r="R17" s="53">
        <f t="shared" si="6"/>
        <v>0</v>
      </c>
      <c r="S17" s="53">
        <f>SUM(S4:S16)</f>
        <v>97260</v>
      </c>
      <c r="T17" s="53">
        <f t="shared" si="6"/>
        <v>0</v>
      </c>
      <c r="U17" s="53">
        <f>SUM(U4:U16)</f>
        <v>236181</v>
      </c>
      <c r="V17" s="53">
        <f t="shared" si="6"/>
        <v>20931</v>
      </c>
      <c r="W17" s="53">
        <f t="shared" si="6"/>
        <v>110155</v>
      </c>
      <c r="X17" s="53">
        <f>SUM(X4:X16)</f>
        <v>9</v>
      </c>
      <c r="Y17" s="53">
        <f>SUM(Y4:Y16)</f>
        <v>1537329.57</v>
      </c>
    </row>
    <row r="18" spans="1:25" ht="18.75" x14ac:dyDescent="0.25">
      <c r="C18" s="63"/>
      <c r="D18" s="63"/>
      <c r="E18" s="63"/>
      <c r="F18" s="101">
        <f>158+8</f>
        <v>166</v>
      </c>
      <c r="G18" s="63"/>
      <c r="H18" s="81"/>
      <c r="I18" s="63"/>
      <c r="J18" s="63"/>
      <c r="K18" s="63"/>
      <c r="L18" s="63"/>
      <c r="M18" s="63"/>
      <c r="N18" s="63"/>
      <c r="O18" s="81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21" x14ac:dyDescent="0.35">
      <c r="A19" s="25" t="s">
        <v>64</v>
      </c>
      <c r="B19" s="25"/>
      <c r="C19" s="54"/>
      <c r="D19" s="54"/>
      <c r="E19" s="54"/>
      <c r="F19" s="54">
        <f>166+8</f>
        <v>174</v>
      </c>
      <c r="G19" s="54"/>
      <c r="H19" s="95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18.75" x14ac:dyDescent="0.25">
      <c r="A20" s="179" t="s">
        <v>1</v>
      </c>
      <c r="B20" s="179" t="s">
        <v>38</v>
      </c>
      <c r="C20" s="216" t="s">
        <v>39</v>
      </c>
      <c r="D20" s="217"/>
      <c r="E20" s="217"/>
      <c r="F20" s="218"/>
      <c r="G20" s="181" t="s">
        <v>40</v>
      </c>
      <c r="H20" s="182"/>
      <c r="I20" s="213" t="s">
        <v>69</v>
      </c>
      <c r="J20" s="181" t="s">
        <v>41</v>
      </c>
      <c r="K20" s="182" t="s">
        <v>76</v>
      </c>
      <c r="L20" s="181" t="s">
        <v>77</v>
      </c>
      <c r="M20" s="182"/>
      <c r="N20" s="167" t="s">
        <v>50</v>
      </c>
      <c r="O20" s="168"/>
      <c r="P20" s="167" t="s">
        <v>53</v>
      </c>
      <c r="Q20" s="168"/>
      <c r="R20" s="181" t="s">
        <v>54</v>
      </c>
      <c r="S20" s="182"/>
      <c r="T20" s="181" t="s">
        <v>51</v>
      </c>
      <c r="U20" s="182"/>
      <c r="V20" s="213" t="s">
        <v>52</v>
      </c>
      <c r="W20" s="167" t="s">
        <v>43</v>
      </c>
      <c r="X20" s="222"/>
      <c r="Y20" s="223"/>
    </row>
    <row r="21" spans="1:25" ht="18.75" x14ac:dyDescent="0.25">
      <c r="A21" s="180"/>
      <c r="B21" s="180"/>
      <c r="C21" s="44" t="s">
        <v>65</v>
      </c>
      <c r="D21" s="44" t="s">
        <v>66</v>
      </c>
      <c r="E21" s="44" t="s">
        <v>67</v>
      </c>
      <c r="F21" s="98" t="s">
        <v>68</v>
      </c>
      <c r="G21" s="183"/>
      <c r="H21" s="184"/>
      <c r="I21" s="214"/>
      <c r="J21" s="183"/>
      <c r="K21" s="184"/>
      <c r="L21" s="183"/>
      <c r="M21" s="184"/>
      <c r="N21" s="169"/>
      <c r="O21" s="170"/>
      <c r="P21" s="169"/>
      <c r="Q21" s="170"/>
      <c r="R21" s="183"/>
      <c r="S21" s="184"/>
      <c r="T21" s="183"/>
      <c r="U21" s="184"/>
      <c r="V21" s="214"/>
      <c r="W21" s="224"/>
      <c r="X21" s="225"/>
      <c r="Y21" s="226"/>
    </row>
    <row r="22" spans="1:25" ht="35.1" customHeight="1" x14ac:dyDescent="0.3">
      <c r="A22" s="18">
        <v>1</v>
      </c>
      <c r="B22" s="19" t="str">
        <f t="shared" ref="B22:B31" si="7">B4</f>
        <v>SALARY -STAFF - BANK</v>
      </c>
      <c r="C22" s="32">
        <v>14</v>
      </c>
      <c r="D22" s="32">
        <v>0</v>
      </c>
      <c r="E22" s="32">
        <v>0</v>
      </c>
      <c r="F22" s="32">
        <f t="shared" ref="F22:F25" si="8">C22+D22-E22</f>
        <v>14</v>
      </c>
      <c r="G22" s="144">
        <v>14</v>
      </c>
      <c r="H22" s="144"/>
      <c r="I22" s="39">
        <f t="shared" ref="I22:I34" si="9">G22-F22</f>
        <v>0</v>
      </c>
      <c r="J22" s="66">
        <f>M4</f>
        <v>281344.57</v>
      </c>
      <c r="K22" s="67">
        <v>281346</v>
      </c>
      <c r="L22" s="144">
        <v>170881</v>
      </c>
      <c r="M22" s="144"/>
      <c r="N22" s="158">
        <f t="shared" ref="N22:N29" si="10">+J22*60/100</f>
        <v>168806.742</v>
      </c>
      <c r="O22" s="159"/>
      <c r="P22" s="144">
        <f>+L22-N22</f>
        <v>2074.2580000000016</v>
      </c>
      <c r="Q22" s="144"/>
      <c r="R22" s="203">
        <v>20505</v>
      </c>
      <c r="S22" s="203"/>
      <c r="T22" s="203">
        <v>20505</v>
      </c>
      <c r="U22" s="203"/>
      <c r="V22" s="57">
        <f t="shared" ref="V22:V34" si="11">R22-T22</f>
        <v>0</v>
      </c>
      <c r="W22" s="233" t="s">
        <v>45</v>
      </c>
      <c r="X22" s="195"/>
      <c r="Y22" s="196"/>
    </row>
    <row r="23" spans="1:25" ht="35.1" customHeight="1" x14ac:dyDescent="0.3">
      <c r="A23" s="18">
        <v>2</v>
      </c>
      <c r="B23" s="19" t="str">
        <f t="shared" si="7"/>
        <v>SALARY - STAFF -2 CSB</v>
      </c>
      <c r="C23" s="32">
        <v>5</v>
      </c>
      <c r="D23" s="32">
        <v>3</v>
      </c>
      <c r="E23" s="32">
        <v>0</v>
      </c>
      <c r="F23" s="32">
        <f t="shared" si="8"/>
        <v>8</v>
      </c>
      <c r="G23" s="144">
        <v>8</v>
      </c>
      <c r="H23" s="144"/>
      <c r="I23" s="39">
        <f t="shared" si="9"/>
        <v>0</v>
      </c>
      <c r="J23" s="66">
        <f>M5</f>
        <v>95997</v>
      </c>
      <c r="K23" s="67">
        <v>95996</v>
      </c>
      <c r="L23" s="144">
        <v>57598</v>
      </c>
      <c r="M23" s="144"/>
      <c r="N23" s="158">
        <f t="shared" si="10"/>
        <v>57598.2</v>
      </c>
      <c r="O23" s="159"/>
      <c r="P23" s="144">
        <f>+L23-N23</f>
        <v>-0.19999999999708962</v>
      </c>
      <c r="Q23" s="144"/>
      <c r="R23" s="203">
        <v>6912</v>
      </c>
      <c r="S23" s="203"/>
      <c r="T23" s="203">
        <v>6912</v>
      </c>
      <c r="U23" s="203"/>
      <c r="V23" s="57">
        <f t="shared" si="11"/>
        <v>0</v>
      </c>
      <c r="W23" s="197"/>
      <c r="X23" s="195"/>
      <c r="Y23" s="196"/>
    </row>
    <row r="24" spans="1:25" ht="35.1" customHeight="1" x14ac:dyDescent="0.3">
      <c r="A24" s="18">
        <v>3</v>
      </c>
      <c r="B24" s="19" t="str">
        <f t="shared" si="7"/>
        <v>SALARY - STAFF-CHEQUE</v>
      </c>
      <c r="C24" s="32">
        <v>0</v>
      </c>
      <c r="D24" s="32">
        <v>3</v>
      </c>
      <c r="E24" s="32">
        <v>0</v>
      </c>
      <c r="F24" s="32">
        <f t="shared" si="8"/>
        <v>3</v>
      </c>
      <c r="G24" s="144">
        <v>3</v>
      </c>
      <c r="H24" s="144"/>
      <c r="I24" s="39">
        <f t="shared" si="9"/>
        <v>0</v>
      </c>
      <c r="J24" s="66">
        <f t="shared" ref="J24:J29" si="12">M6</f>
        <v>23635</v>
      </c>
      <c r="K24" s="67">
        <v>23635</v>
      </c>
      <c r="L24" s="144">
        <v>14181</v>
      </c>
      <c r="M24" s="144"/>
      <c r="N24" s="158">
        <f t="shared" si="10"/>
        <v>14181</v>
      </c>
      <c r="O24" s="159"/>
      <c r="P24" s="144">
        <f t="shared" ref="P24:P34" si="13">+L24-N24</f>
        <v>0</v>
      </c>
      <c r="Q24" s="144"/>
      <c r="R24" s="203">
        <v>1701</v>
      </c>
      <c r="S24" s="203"/>
      <c r="T24" s="203">
        <v>1701</v>
      </c>
      <c r="U24" s="203"/>
      <c r="V24" s="57">
        <f t="shared" si="11"/>
        <v>0</v>
      </c>
      <c r="W24" s="197"/>
      <c r="X24" s="195"/>
      <c r="Y24" s="196"/>
    </row>
    <row r="25" spans="1:25" ht="35.1" customHeight="1" x14ac:dyDescent="0.3">
      <c r="A25" s="18">
        <v>4</v>
      </c>
      <c r="B25" s="19" t="str">
        <f t="shared" si="7"/>
        <v>WAGES-PERMANENT - BANK</v>
      </c>
      <c r="C25" s="32">
        <v>7</v>
      </c>
      <c r="D25" s="32">
        <v>0</v>
      </c>
      <c r="E25" s="32">
        <v>0</v>
      </c>
      <c r="F25" s="32">
        <f t="shared" si="8"/>
        <v>7</v>
      </c>
      <c r="G25" s="144">
        <v>7</v>
      </c>
      <c r="H25" s="144"/>
      <c r="I25" s="39">
        <f t="shared" si="9"/>
        <v>0</v>
      </c>
      <c r="J25" s="66">
        <f>M7</f>
        <v>86295</v>
      </c>
      <c r="K25" s="67">
        <v>86295</v>
      </c>
      <c r="L25" s="144">
        <v>84427</v>
      </c>
      <c r="M25" s="144"/>
      <c r="N25" s="158">
        <f t="shared" si="10"/>
        <v>51777</v>
      </c>
      <c r="O25" s="159"/>
      <c r="P25" s="144">
        <f t="shared" si="13"/>
        <v>32650</v>
      </c>
      <c r="Q25" s="144"/>
      <c r="R25" s="203">
        <v>10132</v>
      </c>
      <c r="S25" s="203"/>
      <c r="T25" s="203">
        <v>10132</v>
      </c>
      <c r="U25" s="203"/>
      <c r="V25" s="57">
        <f t="shared" si="11"/>
        <v>0</v>
      </c>
      <c r="W25" s="197" t="s">
        <v>48</v>
      </c>
      <c r="X25" s="195"/>
      <c r="Y25" s="196"/>
    </row>
    <row r="26" spans="1:25" ht="35.1" customHeight="1" x14ac:dyDescent="0.3">
      <c r="A26" s="18">
        <v>5</v>
      </c>
      <c r="B26" s="97" t="str">
        <f t="shared" si="7"/>
        <v>WAGES - CASUAL - BANK(OUTSIDE)</v>
      </c>
      <c r="C26" s="32">
        <v>73</v>
      </c>
      <c r="D26" s="32"/>
      <c r="E26" s="32">
        <v>4</v>
      </c>
      <c r="F26" s="32">
        <f>C26+D26-E26</f>
        <v>69</v>
      </c>
      <c r="G26" s="144">
        <v>69</v>
      </c>
      <c r="H26" s="144"/>
      <c r="I26" s="39">
        <f t="shared" si="9"/>
        <v>0</v>
      </c>
      <c r="J26" s="66">
        <f t="shared" si="12"/>
        <v>463633</v>
      </c>
      <c r="K26" s="67">
        <v>463633</v>
      </c>
      <c r="L26" s="144">
        <v>278180</v>
      </c>
      <c r="M26" s="144"/>
      <c r="N26" s="158">
        <f t="shared" si="10"/>
        <v>278179.8</v>
      </c>
      <c r="O26" s="159"/>
      <c r="P26" s="144">
        <f t="shared" si="13"/>
        <v>0.20000000001164153</v>
      </c>
      <c r="Q26" s="144"/>
      <c r="R26" s="203">
        <v>33383</v>
      </c>
      <c r="S26" s="203"/>
      <c r="T26" s="203">
        <v>33383</v>
      </c>
      <c r="U26" s="203"/>
      <c r="V26" s="57">
        <f t="shared" si="11"/>
        <v>0</v>
      </c>
      <c r="W26" s="197"/>
      <c r="X26" s="195"/>
      <c r="Y26" s="196"/>
    </row>
    <row r="27" spans="1:25" ht="35.1" customHeight="1" x14ac:dyDescent="0.3">
      <c r="A27" s="18">
        <v>6</v>
      </c>
      <c r="B27" s="97" t="str">
        <f t="shared" si="7"/>
        <v>WAGES - CASUAL - CASH(OUTSIDE)</v>
      </c>
      <c r="C27" s="32">
        <v>11</v>
      </c>
      <c r="D27" s="32">
        <v>4</v>
      </c>
      <c r="E27" s="32">
        <f>3+1</f>
        <v>4</v>
      </c>
      <c r="F27" s="32">
        <f t="shared" ref="F27:F30" si="14">C27+D27-E27</f>
        <v>11</v>
      </c>
      <c r="G27" s="144">
        <v>11</v>
      </c>
      <c r="H27" s="144"/>
      <c r="I27" s="39">
        <f t="shared" si="9"/>
        <v>0</v>
      </c>
      <c r="J27" s="66">
        <f t="shared" si="12"/>
        <v>35460</v>
      </c>
      <c r="K27" s="67">
        <v>35460</v>
      </c>
      <c r="L27" s="144">
        <v>21276</v>
      </c>
      <c r="M27" s="144"/>
      <c r="N27" s="158">
        <f t="shared" si="10"/>
        <v>21276</v>
      </c>
      <c r="O27" s="159"/>
      <c r="P27" s="144">
        <f t="shared" si="13"/>
        <v>0</v>
      </c>
      <c r="Q27" s="144"/>
      <c r="R27" s="203">
        <v>2553</v>
      </c>
      <c r="S27" s="203"/>
      <c r="T27" s="203">
        <v>2553</v>
      </c>
      <c r="U27" s="203"/>
      <c r="V27" s="57">
        <f t="shared" si="11"/>
        <v>0</v>
      </c>
      <c r="W27" s="197"/>
      <c r="X27" s="195"/>
      <c r="Y27" s="196"/>
    </row>
    <row r="28" spans="1:25" ht="35.1" customHeight="1" x14ac:dyDescent="0.3">
      <c r="A28" s="18">
        <v>7</v>
      </c>
      <c r="B28" s="97" t="str">
        <f t="shared" si="7"/>
        <v>WAGES - CASUAL - CASH(INSIDE)</v>
      </c>
      <c r="C28" s="32">
        <v>43</v>
      </c>
      <c r="D28" s="32">
        <v>4</v>
      </c>
      <c r="E28" s="32">
        <v>7</v>
      </c>
      <c r="F28" s="32">
        <f t="shared" si="14"/>
        <v>40</v>
      </c>
      <c r="G28" s="144">
        <v>40</v>
      </c>
      <c r="H28" s="144"/>
      <c r="I28" s="39">
        <f t="shared" si="9"/>
        <v>0</v>
      </c>
      <c r="J28" s="66">
        <f t="shared" si="12"/>
        <v>193800</v>
      </c>
      <c r="K28" s="67">
        <v>193800</v>
      </c>
      <c r="L28" s="144">
        <v>116280</v>
      </c>
      <c r="M28" s="144"/>
      <c r="N28" s="158">
        <f t="shared" si="10"/>
        <v>116280</v>
      </c>
      <c r="O28" s="159"/>
      <c r="P28" s="144">
        <f t="shared" si="13"/>
        <v>0</v>
      </c>
      <c r="Q28" s="144"/>
      <c r="R28" s="203">
        <v>13955</v>
      </c>
      <c r="S28" s="203"/>
      <c r="T28" s="203">
        <v>13955</v>
      </c>
      <c r="U28" s="203"/>
      <c r="V28" s="57">
        <f t="shared" si="11"/>
        <v>0</v>
      </c>
      <c r="W28" s="197"/>
      <c r="X28" s="195"/>
      <c r="Y28" s="196"/>
    </row>
    <row r="29" spans="1:25" ht="35.1" customHeight="1" x14ac:dyDescent="0.3">
      <c r="A29" s="18">
        <v>8</v>
      </c>
      <c r="B29" s="97" t="str">
        <f t="shared" si="7"/>
        <v>WAGES - CASUAL - BANK(INSIDE)</v>
      </c>
      <c r="C29" s="32">
        <v>7</v>
      </c>
      <c r="D29" s="32"/>
      <c r="E29" s="32">
        <v>1</v>
      </c>
      <c r="F29" s="32">
        <f t="shared" si="14"/>
        <v>6</v>
      </c>
      <c r="G29" s="144">
        <v>6</v>
      </c>
      <c r="H29" s="144"/>
      <c r="I29" s="39">
        <f t="shared" si="9"/>
        <v>0</v>
      </c>
      <c r="J29" s="66">
        <f t="shared" si="12"/>
        <v>45480</v>
      </c>
      <c r="K29" s="67">
        <v>45480</v>
      </c>
      <c r="L29" s="144">
        <v>27288</v>
      </c>
      <c r="M29" s="144"/>
      <c r="N29" s="158">
        <f t="shared" si="10"/>
        <v>27288</v>
      </c>
      <c r="O29" s="159"/>
      <c r="P29" s="144">
        <f t="shared" si="13"/>
        <v>0</v>
      </c>
      <c r="Q29" s="144"/>
      <c r="R29" s="203">
        <v>3274</v>
      </c>
      <c r="S29" s="203"/>
      <c r="T29" s="203">
        <v>3274</v>
      </c>
      <c r="U29" s="203"/>
      <c r="V29" s="57">
        <f t="shared" si="11"/>
        <v>0</v>
      </c>
      <c r="W29" s="197"/>
      <c r="X29" s="195"/>
      <c r="Y29" s="196"/>
    </row>
    <row r="30" spans="1:25" ht="35.1" customHeight="1" x14ac:dyDescent="0.3">
      <c r="A30" s="18">
        <v>9</v>
      </c>
      <c r="B30" s="97" t="str">
        <f t="shared" si="7"/>
        <v>WAGES - SECUR &amp; GARDEN - CHEQUE</v>
      </c>
      <c r="C30" s="32">
        <v>0</v>
      </c>
      <c r="D30" s="32"/>
      <c r="E30" s="32">
        <v>0</v>
      </c>
      <c r="F30" s="32">
        <f t="shared" si="14"/>
        <v>0</v>
      </c>
      <c r="G30" s="144">
        <v>0</v>
      </c>
      <c r="H30" s="144"/>
      <c r="I30" s="39">
        <f>G30-F30</f>
        <v>0</v>
      </c>
      <c r="J30" s="66">
        <v>0</v>
      </c>
      <c r="K30" s="67">
        <v>0</v>
      </c>
      <c r="L30" s="144">
        <v>0</v>
      </c>
      <c r="M30" s="144"/>
      <c r="N30" s="158">
        <v>0</v>
      </c>
      <c r="O30" s="159"/>
      <c r="P30" s="144">
        <f t="shared" si="13"/>
        <v>0</v>
      </c>
      <c r="Q30" s="144"/>
      <c r="R30" s="203">
        <v>0</v>
      </c>
      <c r="S30" s="203"/>
      <c r="T30" s="203">
        <v>0</v>
      </c>
      <c r="U30" s="203"/>
      <c r="V30" s="57">
        <f t="shared" si="11"/>
        <v>0</v>
      </c>
      <c r="W30" s="197"/>
      <c r="X30" s="195"/>
      <c r="Y30" s="196"/>
    </row>
    <row r="31" spans="1:25" ht="35.1" customHeight="1" x14ac:dyDescent="0.3">
      <c r="A31" s="18">
        <v>10</v>
      </c>
      <c r="B31" s="97" t="str">
        <f t="shared" si="7"/>
        <v>WAGES - SECUR &amp; GARDEN - CSB</v>
      </c>
      <c r="C31" s="32">
        <v>7</v>
      </c>
      <c r="D31" s="32">
        <v>0</v>
      </c>
      <c r="E31" s="32">
        <v>0</v>
      </c>
      <c r="F31" s="32">
        <f>C31+D31-E31</f>
        <v>7</v>
      </c>
      <c r="G31" s="144">
        <v>7</v>
      </c>
      <c r="H31" s="144"/>
      <c r="I31" s="39">
        <f t="shared" si="9"/>
        <v>0</v>
      </c>
      <c r="J31" s="66">
        <f t="shared" ref="J31" si="15">M13</f>
        <v>66982</v>
      </c>
      <c r="K31" s="67">
        <v>66982</v>
      </c>
      <c r="L31" s="144">
        <v>40189</v>
      </c>
      <c r="M31" s="144"/>
      <c r="N31" s="158">
        <f>+J31*60/100</f>
        <v>40189.199999999997</v>
      </c>
      <c r="O31" s="159"/>
      <c r="P31" s="144">
        <f t="shared" si="13"/>
        <v>-0.19999999999708962</v>
      </c>
      <c r="Q31" s="144"/>
      <c r="R31" s="203">
        <v>4822</v>
      </c>
      <c r="S31" s="203"/>
      <c r="T31" s="203">
        <v>4822</v>
      </c>
      <c r="U31" s="203"/>
      <c r="V31" s="57">
        <f t="shared" si="11"/>
        <v>0</v>
      </c>
      <c r="W31" s="197"/>
      <c r="X31" s="195"/>
      <c r="Y31" s="196"/>
    </row>
    <row r="32" spans="1:25" ht="35.1" customHeight="1" x14ac:dyDescent="0.3">
      <c r="A32" s="18">
        <v>11</v>
      </c>
      <c r="B32" s="97" t="s">
        <v>34</v>
      </c>
      <c r="C32" s="32">
        <v>1</v>
      </c>
      <c r="D32" s="32"/>
      <c r="E32" s="32"/>
      <c r="F32" s="32">
        <f t="shared" ref="F32:F34" si="16">C32+D32-E32</f>
        <v>1</v>
      </c>
      <c r="G32" s="158">
        <v>1</v>
      </c>
      <c r="H32" s="159"/>
      <c r="I32" s="39"/>
      <c r="J32" s="66">
        <v>200000</v>
      </c>
      <c r="K32" s="67">
        <v>200000</v>
      </c>
      <c r="L32" s="158">
        <v>200000</v>
      </c>
      <c r="M32" s="159"/>
      <c r="N32" s="158">
        <f>+J32*60/100</f>
        <v>120000</v>
      </c>
      <c r="O32" s="159"/>
      <c r="P32" s="144">
        <f t="shared" si="13"/>
        <v>80000</v>
      </c>
      <c r="Q32" s="144"/>
      <c r="R32" s="204">
        <v>24000</v>
      </c>
      <c r="S32" s="205"/>
      <c r="T32" s="204">
        <v>24000</v>
      </c>
      <c r="U32" s="205"/>
      <c r="V32" s="57">
        <f t="shared" si="11"/>
        <v>0</v>
      </c>
      <c r="W32" s="189" t="s">
        <v>75</v>
      </c>
      <c r="X32" s="190"/>
      <c r="Y32" s="191"/>
    </row>
    <row r="33" spans="1:25" ht="35.1" customHeight="1" x14ac:dyDescent="0.3">
      <c r="A33" s="18">
        <v>12</v>
      </c>
      <c r="B33" s="19" t="str">
        <f t="shared" ref="B33:B34" si="17">B15</f>
        <v>EXEMPTED - BANK</v>
      </c>
      <c r="C33" s="32">
        <v>5</v>
      </c>
      <c r="D33" s="32"/>
      <c r="E33" s="32">
        <v>0</v>
      </c>
      <c r="F33" s="32">
        <f t="shared" si="16"/>
        <v>5</v>
      </c>
      <c r="G33" s="144">
        <v>0</v>
      </c>
      <c r="H33" s="144"/>
      <c r="I33" s="39">
        <f t="shared" si="9"/>
        <v>-5</v>
      </c>
      <c r="J33" s="8">
        <v>116883</v>
      </c>
      <c r="K33" s="8">
        <v>116883</v>
      </c>
      <c r="L33" s="144">
        <v>0</v>
      </c>
      <c r="M33" s="144"/>
      <c r="N33" s="158">
        <v>0</v>
      </c>
      <c r="O33" s="159"/>
      <c r="P33" s="144">
        <f t="shared" si="13"/>
        <v>0</v>
      </c>
      <c r="Q33" s="144"/>
      <c r="R33" s="203">
        <v>0</v>
      </c>
      <c r="S33" s="203"/>
      <c r="T33" s="203">
        <v>0</v>
      </c>
      <c r="U33" s="203"/>
      <c r="V33" s="57">
        <f t="shared" si="11"/>
        <v>0</v>
      </c>
      <c r="W33" s="197" t="s">
        <v>49</v>
      </c>
      <c r="X33" s="195"/>
      <c r="Y33" s="196"/>
    </row>
    <row r="34" spans="1:25" ht="35.1" customHeight="1" x14ac:dyDescent="0.3">
      <c r="A34" s="18">
        <v>13</v>
      </c>
      <c r="B34" s="19" t="str">
        <f t="shared" si="17"/>
        <v>EXEMPTED - CHEQUE</v>
      </c>
      <c r="C34" s="32">
        <v>3</v>
      </c>
      <c r="D34" s="32">
        <v>1</v>
      </c>
      <c r="E34" s="32">
        <v>1</v>
      </c>
      <c r="F34" s="32">
        <f t="shared" si="16"/>
        <v>3</v>
      </c>
      <c r="G34" s="144">
        <v>0</v>
      </c>
      <c r="H34" s="144"/>
      <c r="I34" s="39">
        <f t="shared" si="9"/>
        <v>-3</v>
      </c>
      <c r="J34" s="8">
        <v>53837</v>
      </c>
      <c r="K34" s="8">
        <v>53837</v>
      </c>
      <c r="L34" s="144">
        <v>0</v>
      </c>
      <c r="M34" s="144"/>
      <c r="N34" s="158">
        <v>0</v>
      </c>
      <c r="O34" s="159"/>
      <c r="P34" s="212">
        <f t="shared" si="13"/>
        <v>0</v>
      </c>
      <c r="Q34" s="212"/>
      <c r="R34" s="203">
        <v>0</v>
      </c>
      <c r="S34" s="203"/>
      <c r="T34" s="203">
        <v>0</v>
      </c>
      <c r="U34" s="203"/>
      <c r="V34" s="57">
        <f t="shared" si="11"/>
        <v>0</v>
      </c>
      <c r="W34" s="197" t="s">
        <v>49</v>
      </c>
      <c r="X34" s="195"/>
      <c r="Y34" s="196"/>
    </row>
    <row r="35" spans="1:25" ht="35.1" customHeight="1" x14ac:dyDescent="0.25">
      <c r="A35" s="18"/>
      <c r="B35" s="22" t="s">
        <v>47</v>
      </c>
      <c r="C35" s="98">
        <f>SUM(C22:C34)</f>
        <v>176</v>
      </c>
      <c r="D35" s="58">
        <f t="shared" ref="D35:E35" si="18">SUM(D22:D34)</f>
        <v>15</v>
      </c>
      <c r="E35" s="58">
        <f t="shared" si="18"/>
        <v>17</v>
      </c>
      <c r="F35" s="58">
        <f>SUM(F22:F34)</f>
        <v>174</v>
      </c>
      <c r="G35" s="201">
        <f>SUM(G22:H34)</f>
        <v>166</v>
      </c>
      <c r="H35" s="201"/>
      <c r="I35" s="59">
        <f>SUM(I22:I34)</f>
        <v>-8</v>
      </c>
      <c r="J35" s="68">
        <f>SUM(J22:J34)</f>
        <v>1663346.57</v>
      </c>
      <c r="K35" s="68">
        <f>SUM(K22:K34)</f>
        <v>1663347</v>
      </c>
      <c r="L35" s="200">
        <f>SUM(L22:M34)</f>
        <v>1010300</v>
      </c>
      <c r="M35" s="200"/>
      <c r="N35" s="200">
        <f>SUM(N22:O34)</f>
        <v>895575.94199999992</v>
      </c>
      <c r="O35" s="200"/>
      <c r="P35" s="200">
        <f>SUM(P22:Q34)</f>
        <v>114724.05800000002</v>
      </c>
      <c r="Q35" s="200"/>
      <c r="R35" s="200">
        <f>SUM(R22:S34)</f>
        <v>121237</v>
      </c>
      <c r="S35" s="200"/>
      <c r="T35" s="200">
        <f>SUM(T22:U34)</f>
        <v>121237</v>
      </c>
      <c r="U35" s="200"/>
      <c r="V35" s="60">
        <f>SUM(V22:V34)</f>
        <v>0</v>
      </c>
      <c r="W35" s="207"/>
      <c r="X35" s="208"/>
      <c r="Y35" s="209"/>
    </row>
    <row r="41" spans="1:25" ht="21" x14ac:dyDescent="0.35">
      <c r="A41" s="25" t="s">
        <v>63</v>
      </c>
      <c r="B41" s="25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r="42" spans="1:25" ht="18.75" customHeight="1" x14ac:dyDescent="0.25">
      <c r="A42" s="163" t="s">
        <v>1</v>
      </c>
      <c r="B42" s="163" t="s">
        <v>38</v>
      </c>
      <c r="C42" s="166" t="s">
        <v>39</v>
      </c>
      <c r="D42" s="166"/>
      <c r="E42" s="166"/>
      <c r="F42" s="166"/>
      <c r="G42" s="155" t="s">
        <v>61</v>
      </c>
      <c r="H42" s="166" t="s">
        <v>62</v>
      </c>
      <c r="I42" s="155" t="s">
        <v>41</v>
      </c>
      <c r="J42" s="155"/>
      <c r="K42" s="164" t="s">
        <v>60</v>
      </c>
      <c r="L42" s="155" t="s">
        <v>44</v>
      </c>
      <c r="M42" s="155"/>
      <c r="N42" s="166" t="s">
        <v>57</v>
      </c>
      <c r="O42" s="166"/>
      <c r="P42" s="166" t="s">
        <v>53</v>
      </c>
      <c r="Q42" s="166"/>
      <c r="R42" s="155" t="s">
        <v>59</v>
      </c>
      <c r="S42" s="155"/>
      <c r="T42" s="155" t="s">
        <v>58</v>
      </c>
      <c r="U42" s="155"/>
      <c r="V42" s="166" t="s">
        <v>74</v>
      </c>
      <c r="W42" s="166" t="s">
        <v>43</v>
      </c>
      <c r="X42" s="166"/>
      <c r="Y42" s="166"/>
    </row>
    <row r="43" spans="1:25" ht="18.75" x14ac:dyDescent="0.25">
      <c r="A43" s="163"/>
      <c r="B43" s="163"/>
      <c r="C43" s="44" t="s">
        <v>65</v>
      </c>
      <c r="D43" s="44" t="s">
        <v>66</v>
      </c>
      <c r="E43" s="44" t="s">
        <v>67</v>
      </c>
      <c r="F43" s="98" t="s">
        <v>68</v>
      </c>
      <c r="G43" s="155"/>
      <c r="H43" s="166"/>
      <c r="I43" s="155"/>
      <c r="J43" s="155"/>
      <c r="K43" s="165"/>
      <c r="L43" s="155"/>
      <c r="M43" s="155"/>
      <c r="N43" s="166"/>
      <c r="O43" s="166"/>
      <c r="P43" s="166"/>
      <c r="Q43" s="166"/>
      <c r="R43" s="155"/>
      <c r="S43" s="155"/>
      <c r="T43" s="155"/>
      <c r="U43" s="155"/>
      <c r="V43" s="166"/>
      <c r="W43" s="166"/>
      <c r="X43" s="166"/>
      <c r="Y43" s="166"/>
    </row>
    <row r="44" spans="1:25" ht="35.1" customHeight="1" x14ac:dyDescent="0.3">
      <c r="A44" s="18">
        <v>1</v>
      </c>
      <c r="B44" s="97" t="str">
        <f t="shared" ref="B44:B50" si="19">B22</f>
        <v>SALARY -STAFF - BANK</v>
      </c>
      <c r="C44" s="41">
        <v>14</v>
      </c>
      <c r="D44" s="41">
        <v>0</v>
      </c>
      <c r="E44" s="41">
        <v>0</v>
      </c>
      <c r="F44" s="41">
        <f t="shared" ref="F44:F47" si="20">C44+D44-E44</f>
        <v>14</v>
      </c>
      <c r="G44" s="56">
        <v>10</v>
      </c>
      <c r="H44" s="39">
        <f t="shared" ref="H44:H56" si="21">G44-F44</f>
        <v>-4</v>
      </c>
      <c r="I44" s="203">
        <f>M4</f>
        <v>281344.57</v>
      </c>
      <c r="J44" s="203"/>
      <c r="K44" s="39">
        <v>0</v>
      </c>
      <c r="L44" s="144">
        <v>142824</v>
      </c>
      <c r="M44" s="144"/>
      <c r="N44" s="144">
        <f>+I44+K44</f>
        <v>281344.57</v>
      </c>
      <c r="O44" s="144"/>
      <c r="P44" s="144">
        <f>+L44-N44</f>
        <v>-138520.57</v>
      </c>
      <c r="Q44" s="144"/>
      <c r="R44" s="204">
        <v>1075</v>
      </c>
      <c r="S44" s="205"/>
      <c r="T44" s="203">
        <v>1075</v>
      </c>
      <c r="U44" s="203"/>
      <c r="V44" s="57">
        <f>R44-T44</f>
        <v>0</v>
      </c>
      <c r="W44" s="202" t="s">
        <v>83</v>
      </c>
      <c r="X44" s="202"/>
      <c r="Y44" s="202"/>
    </row>
    <row r="45" spans="1:25" ht="35.1" customHeight="1" x14ac:dyDescent="0.3">
      <c r="A45" s="18">
        <v>2</v>
      </c>
      <c r="B45" s="97" t="str">
        <f t="shared" si="19"/>
        <v>SALARY - STAFF -2 CSB</v>
      </c>
      <c r="C45" s="32">
        <v>5</v>
      </c>
      <c r="D45" s="32">
        <v>3</v>
      </c>
      <c r="E45" s="32">
        <v>0</v>
      </c>
      <c r="F45" s="32">
        <f t="shared" si="20"/>
        <v>8</v>
      </c>
      <c r="G45" s="56">
        <v>7</v>
      </c>
      <c r="H45" s="39">
        <f t="shared" si="21"/>
        <v>-1</v>
      </c>
      <c r="I45" s="203">
        <f>M5</f>
        <v>95997</v>
      </c>
      <c r="J45" s="203"/>
      <c r="K45" s="39">
        <v>0</v>
      </c>
      <c r="L45" s="144">
        <v>73150</v>
      </c>
      <c r="M45" s="144"/>
      <c r="N45" s="144">
        <f>+I45+K45</f>
        <v>95997</v>
      </c>
      <c r="O45" s="144"/>
      <c r="P45" s="144">
        <f>+L45-N45</f>
        <v>-22847</v>
      </c>
      <c r="Q45" s="144"/>
      <c r="R45" s="204">
        <v>551</v>
      </c>
      <c r="S45" s="205"/>
      <c r="T45" s="203">
        <v>551</v>
      </c>
      <c r="U45" s="203"/>
      <c r="V45" s="57">
        <f>R45-T45</f>
        <v>0</v>
      </c>
      <c r="W45" s="202" t="s">
        <v>71</v>
      </c>
      <c r="X45" s="202"/>
      <c r="Y45" s="202"/>
    </row>
    <row r="46" spans="1:25" ht="35.1" customHeight="1" x14ac:dyDescent="0.3">
      <c r="A46" s="18">
        <v>3</v>
      </c>
      <c r="B46" s="97" t="str">
        <f t="shared" si="19"/>
        <v>SALARY - STAFF-CHEQUE</v>
      </c>
      <c r="C46" s="32">
        <v>0</v>
      </c>
      <c r="D46" s="32">
        <v>3</v>
      </c>
      <c r="E46" s="32">
        <v>0</v>
      </c>
      <c r="F46" s="32">
        <f t="shared" si="20"/>
        <v>3</v>
      </c>
      <c r="G46" s="56">
        <v>3</v>
      </c>
      <c r="H46" s="39">
        <f t="shared" si="21"/>
        <v>0</v>
      </c>
      <c r="I46" s="203">
        <f t="shared" ref="I46:I49" si="22">M6</f>
        <v>23635</v>
      </c>
      <c r="J46" s="203"/>
      <c r="K46" s="39">
        <v>0</v>
      </c>
      <c r="L46" s="144">
        <v>23635</v>
      </c>
      <c r="M46" s="144"/>
      <c r="N46" s="144">
        <f t="shared" ref="N46:N56" si="23">+I46+K46</f>
        <v>23635</v>
      </c>
      <c r="O46" s="144"/>
      <c r="P46" s="144">
        <f>+L46-N46</f>
        <v>0</v>
      </c>
      <c r="Q46" s="144"/>
      <c r="R46" s="204">
        <v>179</v>
      </c>
      <c r="S46" s="205"/>
      <c r="T46" s="203">
        <v>179</v>
      </c>
      <c r="U46" s="203"/>
      <c r="V46" s="57">
        <f t="shared" ref="V46:V56" si="24">R46-T46</f>
        <v>0</v>
      </c>
      <c r="W46" s="202"/>
      <c r="X46" s="202"/>
      <c r="Y46" s="202"/>
    </row>
    <row r="47" spans="1:25" ht="35.1" customHeight="1" x14ac:dyDescent="0.3">
      <c r="A47" s="18">
        <v>4</v>
      </c>
      <c r="B47" s="97" t="str">
        <f t="shared" si="19"/>
        <v>WAGES-PERMANENT - BANK</v>
      </c>
      <c r="C47" s="32">
        <v>7</v>
      </c>
      <c r="D47" s="32">
        <v>0</v>
      </c>
      <c r="E47" s="32">
        <v>0</v>
      </c>
      <c r="F47" s="32">
        <f t="shared" si="20"/>
        <v>7</v>
      </c>
      <c r="G47" s="56">
        <v>7</v>
      </c>
      <c r="H47" s="39">
        <f t="shared" si="21"/>
        <v>0</v>
      </c>
      <c r="I47" s="203">
        <f>M7</f>
        <v>86295</v>
      </c>
      <c r="J47" s="203"/>
      <c r="K47" s="39"/>
      <c r="L47" s="144">
        <v>86297</v>
      </c>
      <c r="M47" s="144"/>
      <c r="N47" s="144">
        <f>+I47+K47</f>
        <v>86295</v>
      </c>
      <c r="O47" s="144"/>
      <c r="P47" s="144">
        <f t="shared" ref="P47:P56" si="25">+L47-N47</f>
        <v>2</v>
      </c>
      <c r="Q47" s="144"/>
      <c r="R47" s="204">
        <v>651</v>
      </c>
      <c r="S47" s="205"/>
      <c r="T47" s="203">
        <v>651</v>
      </c>
      <c r="U47" s="203"/>
      <c r="V47" s="57">
        <f t="shared" si="24"/>
        <v>0</v>
      </c>
      <c r="W47" s="202"/>
      <c r="X47" s="202"/>
      <c r="Y47" s="202"/>
    </row>
    <row r="48" spans="1:25" ht="35.1" customHeight="1" x14ac:dyDescent="0.3">
      <c r="A48" s="18">
        <v>5</v>
      </c>
      <c r="B48" s="97" t="str">
        <f t="shared" si="19"/>
        <v>WAGES - CASUAL - BANK(OUTSIDE)</v>
      </c>
      <c r="C48" s="32">
        <v>73</v>
      </c>
      <c r="D48" s="32"/>
      <c r="E48" s="32">
        <v>4</v>
      </c>
      <c r="F48" s="32">
        <f>C48+D48-E48</f>
        <v>69</v>
      </c>
      <c r="G48" s="56">
        <v>70</v>
      </c>
      <c r="H48" s="39">
        <f t="shared" si="21"/>
        <v>1</v>
      </c>
      <c r="I48" s="203">
        <f t="shared" si="22"/>
        <v>463633</v>
      </c>
      <c r="J48" s="203"/>
      <c r="K48" s="39">
        <v>0</v>
      </c>
      <c r="L48" s="144">
        <v>463633</v>
      </c>
      <c r="M48" s="144"/>
      <c r="N48" s="158">
        <f>+I48+K48</f>
        <v>463633</v>
      </c>
      <c r="O48" s="159"/>
      <c r="P48" s="144">
        <f t="shared" si="25"/>
        <v>0</v>
      </c>
      <c r="Q48" s="144"/>
      <c r="R48" s="204">
        <v>3510</v>
      </c>
      <c r="S48" s="205"/>
      <c r="T48" s="203">
        <f>3510+2</f>
        <v>3512</v>
      </c>
      <c r="U48" s="203"/>
      <c r="V48" s="57">
        <f t="shared" si="24"/>
        <v>-2</v>
      </c>
      <c r="W48" s="202" t="s">
        <v>85</v>
      </c>
      <c r="X48" s="202"/>
      <c r="Y48" s="202"/>
    </row>
    <row r="49" spans="1:25" ht="35.1" customHeight="1" x14ac:dyDescent="0.3">
      <c r="A49" s="18">
        <v>6</v>
      </c>
      <c r="B49" s="97" t="str">
        <f t="shared" si="19"/>
        <v>WAGES - CASUAL - CASH(OUTSIDE)</v>
      </c>
      <c r="C49" s="32">
        <v>11</v>
      </c>
      <c r="D49" s="32">
        <v>4</v>
      </c>
      <c r="E49" s="32">
        <v>4</v>
      </c>
      <c r="F49" s="32">
        <f t="shared" ref="F49:F52" si="26">C49+D49-E49</f>
        <v>11</v>
      </c>
      <c r="G49" s="56">
        <v>11</v>
      </c>
      <c r="H49" s="39">
        <f t="shared" si="21"/>
        <v>0</v>
      </c>
      <c r="I49" s="203">
        <f t="shared" si="22"/>
        <v>35460</v>
      </c>
      <c r="J49" s="203"/>
      <c r="K49" s="39">
        <v>3643</v>
      </c>
      <c r="L49" s="144">
        <f>35460+3643</f>
        <v>39103</v>
      </c>
      <c r="M49" s="144"/>
      <c r="N49" s="158">
        <f>+I49+K49</f>
        <v>39103</v>
      </c>
      <c r="O49" s="159"/>
      <c r="P49" s="144">
        <f t="shared" si="25"/>
        <v>0</v>
      </c>
      <c r="Q49" s="144"/>
      <c r="R49" s="204">
        <f>270+27</f>
        <v>297</v>
      </c>
      <c r="S49" s="205"/>
      <c r="T49" s="203">
        <f>270+27</f>
        <v>297</v>
      </c>
      <c r="U49" s="203"/>
      <c r="V49" s="57">
        <f t="shared" si="24"/>
        <v>0</v>
      </c>
      <c r="W49" s="202"/>
      <c r="X49" s="202"/>
      <c r="Y49" s="202"/>
    </row>
    <row r="50" spans="1:25" ht="35.1" customHeight="1" x14ac:dyDescent="0.3">
      <c r="A50" s="18">
        <v>7</v>
      </c>
      <c r="B50" s="97" t="str">
        <f t="shared" si="19"/>
        <v>WAGES - CASUAL - CASH(INSIDE)</v>
      </c>
      <c r="C50" s="32">
        <v>43</v>
      </c>
      <c r="D50" s="32">
        <v>4</v>
      </c>
      <c r="E50" s="32">
        <v>7</v>
      </c>
      <c r="F50" s="32">
        <f t="shared" si="26"/>
        <v>40</v>
      </c>
      <c r="G50" s="56">
        <v>40</v>
      </c>
      <c r="H50" s="39">
        <f t="shared" si="21"/>
        <v>0</v>
      </c>
      <c r="I50" s="203">
        <f>M10</f>
        <v>193800</v>
      </c>
      <c r="J50" s="203"/>
      <c r="K50" s="39">
        <v>14844</v>
      </c>
      <c r="L50" s="203">
        <f>193800+14844</f>
        <v>208644</v>
      </c>
      <c r="M50" s="203"/>
      <c r="N50" s="158">
        <f>+I50+K50</f>
        <v>208644</v>
      </c>
      <c r="O50" s="159"/>
      <c r="P50" s="144">
        <f>+L50-N50</f>
        <v>0</v>
      </c>
      <c r="Q50" s="144"/>
      <c r="R50" s="204">
        <f>1468+112</f>
        <v>1580</v>
      </c>
      <c r="S50" s="205"/>
      <c r="T50" s="203">
        <f>1580+1</f>
        <v>1581</v>
      </c>
      <c r="U50" s="203"/>
      <c r="V50" s="57">
        <f t="shared" si="24"/>
        <v>-1</v>
      </c>
      <c r="W50" s="202"/>
      <c r="X50" s="202"/>
      <c r="Y50" s="202"/>
    </row>
    <row r="51" spans="1:25" ht="35.1" customHeight="1" x14ac:dyDescent="0.3">
      <c r="A51" s="18">
        <v>8</v>
      </c>
      <c r="B51" s="97" t="s">
        <v>82</v>
      </c>
      <c r="C51" s="32">
        <v>7</v>
      </c>
      <c r="D51" s="32"/>
      <c r="E51" s="32">
        <v>1</v>
      </c>
      <c r="F51" s="32">
        <f t="shared" si="26"/>
        <v>6</v>
      </c>
      <c r="G51" s="56">
        <v>6</v>
      </c>
      <c r="H51" s="39">
        <f t="shared" si="21"/>
        <v>0</v>
      </c>
      <c r="I51" s="203">
        <f t="shared" ref="I51:I53" si="27">M11</f>
        <v>45480</v>
      </c>
      <c r="J51" s="203"/>
      <c r="K51" s="39"/>
      <c r="L51" s="203">
        <v>45480</v>
      </c>
      <c r="M51" s="203"/>
      <c r="N51" s="144">
        <f>+I51+K51</f>
        <v>45480</v>
      </c>
      <c r="O51" s="144"/>
      <c r="P51" s="144">
        <f>+L51-N51</f>
        <v>0</v>
      </c>
      <c r="Q51" s="144"/>
      <c r="R51" s="204">
        <v>344</v>
      </c>
      <c r="S51" s="205"/>
      <c r="T51" s="203">
        <v>344</v>
      </c>
      <c r="U51" s="203"/>
      <c r="V51" s="57">
        <v>0</v>
      </c>
      <c r="W51" s="230"/>
      <c r="X51" s="231"/>
      <c r="Y51" s="232"/>
    </row>
    <row r="52" spans="1:25" ht="35.1" customHeight="1" x14ac:dyDescent="0.3">
      <c r="A52" s="18">
        <v>8</v>
      </c>
      <c r="B52" s="97" t="str">
        <f t="shared" ref="B52:B53" si="28">B30</f>
        <v>WAGES - SECUR &amp; GARDEN - CHEQUE</v>
      </c>
      <c r="C52" s="32">
        <v>0</v>
      </c>
      <c r="D52" s="32"/>
      <c r="E52" s="32">
        <v>0</v>
      </c>
      <c r="F52" s="32">
        <f t="shared" si="26"/>
        <v>0</v>
      </c>
      <c r="G52" s="56">
        <v>0</v>
      </c>
      <c r="H52" s="39">
        <f>G52-F52</f>
        <v>0</v>
      </c>
      <c r="I52" s="203">
        <f t="shared" si="27"/>
        <v>0</v>
      </c>
      <c r="J52" s="203"/>
      <c r="K52" s="39">
        <v>0</v>
      </c>
      <c r="L52" s="144">
        <v>0</v>
      </c>
      <c r="M52" s="144"/>
      <c r="N52" s="144">
        <f t="shared" si="23"/>
        <v>0</v>
      </c>
      <c r="O52" s="144"/>
      <c r="P52" s="144">
        <f t="shared" si="25"/>
        <v>0</v>
      </c>
      <c r="Q52" s="144"/>
      <c r="R52" s="204">
        <v>0</v>
      </c>
      <c r="S52" s="205"/>
      <c r="T52" s="203">
        <v>0</v>
      </c>
      <c r="U52" s="203"/>
      <c r="V52" s="57">
        <f t="shared" si="24"/>
        <v>0</v>
      </c>
      <c r="W52" s="202"/>
      <c r="X52" s="202"/>
      <c r="Y52" s="202"/>
    </row>
    <row r="53" spans="1:25" ht="35.1" customHeight="1" x14ac:dyDescent="0.3">
      <c r="A53" s="18">
        <v>9</v>
      </c>
      <c r="B53" s="97" t="str">
        <f t="shared" si="28"/>
        <v>WAGES - SECUR &amp; GARDEN - CSB</v>
      </c>
      <c r="C53" s="32">
        <v>7</v>
      </c>
      <c r="D53" s="32">
        <v>0</v>
      </c>
      <c r="E53" s="32">
        <v>0</v>
      </c>
      <c r="F53" s="32">
        <f>C53+D53-E53</f>
        <v>7</v>
      </c>
      <c r="G53" s="56">
        <v>7</v>
      </c>
      <c r="H53" s="39">
        <f t="shared" si="21"/>
        <v>0</v>
      </c>
      <c r="I53" s="203">
        <f t="shared" si="27"/>
        <v>66982</v>
      </c>
      <c r="J53" s="203"/>
      <c r="K53" s="39">
        <v>0</v>
      </c>
      <c r="L53" s="144">
        <v>66982</v>
      </c>
      <c r="M53" s="144"/>
      <c r="N53" s="144">
        <f>+I53+K53</f>
        <v>66982</v>
      </c>
      <c r="O53" s="144"/>
      <c r="P53" s="144">
        <f t="shared" si="25"/>
        <v>0</v>
      </c>
      <c r="Q53" s="144"/>
      <c r="R53" s="204">
        <v>506</v>
      </c>
      <c r="S53" s="205"/>
      <c r="T53" s="203">
        <v>506</v>
      </c>
      <c r="U53" s="203"/>
      <c r="V53" s="57">
        <f t="shared" si="24"/>
        <v>0</v>
      </c>
      <c r="W53" s="202"/>
      <c r="X53" s="202"/>
      <c r="Y53" s="202"/>
    </row>
    <row r="54" spans="1:25" ht="35.1" customHeight="1" x14ac:dyDescent="0.3">
      <c r="A54" s="18">
        <v>10</v>
      </c>
      <c r="B54" s="97" t="s">
        <v>34</v>
      </c>
      <c r="C54" s="32">
        <v>1</v>
      </c>
      <c r="D54" s="32"/>
      <c r="E54" s="32"/>
      <c r="F54" s="32">
        <f t="shared" ref="F54:F56" si="29">C54+D54-E54</f>
        <v>1</v>
      </c>
      <c r="G54" s="56">
        <v>0</v>
      </c>
      <c r="H54" s="39">
        <f t="shared" si="21"/>
        <v>-1</v>
      </c>
      <c r="I54" s="204">
        <v>200000</v>
      </c>
      <c r="J54" s="205"/>
      <c r="K54" s="39">
        <v>0</v>
      </c>
      <c r="L54" s="158">
        <v>0</v>
      </c>
      <c r="M54" s="159"/>
      <c r="N54" s="144">
        <f t="shared" si="23"/>
        <v>200000</v>
      </c>
      <c r="O54" s="144"/>
      <c r="P54" s="144">
        <f t="shared" si="25"/>
        <v>-200000</v>
      </c>
      <c r="Q54" s="144"/>
      <c r="R54" s="204">
        <v>0</v>
      </c>
      <c r="S54" s="205"/>
      <c r="T54" s="204"/>
      <c r="U54" s="205"/>
      <c r="V54" s="57">
        <f t="shared" si="24"/>
        <v>0</v>
      </c>
      <c r="W54" s="206" t="s">
        <v>71</v>
      </c>
      <c r="X54" s="206"/>
      <c r="Y54" s="206"/>
    </row>
    <row r="55" spans="1:25" ht="35.1" customHeight="1" x14ac:dyDescent="0.3">
      <c r="A55" s="18">
        <v>11</v>
      </c>
      <c r="B55" s="97" t="str">
        <f t="shared" ref="B55:B56" si="30">B33</f>
        <v>EXEMPTED - BANK</v>
      </c>
      <c r="C55" s="32">
        <v>5</v>
      </c>
      <c r="D55" s="32"/>
      <c r="E55" s="32">
        <v>0</v>
      </c>
      <c r="F55" s="32">
        <f t="shared" si="29"/>
        <v>5</v>
      </c>
      <c r="G55" s="56">
        <v>0</v>
      </c>
      <c r="H55" s="39">
        <f t="shared" si="21"/>
        <v>-5</v>
      </c>
      <c r="I55" s="227">
        <f>+M15</f>
        <v>116883</v>
      </c>
      <c r="J55" s="228"/>
      <c r="K55" s="39">
        <v>0</v>
      </c>
      <c r="L55" s="144">
        <v>0</v>
      </c>
      <c r="M55" s="144"/>
      <c r="N55" s="144">
        <f t="shared" si="23"/>
        <v>116883</v>
      </c>
      <c r="O55" s="144"/>
      <c r="P55" s="144">
        <f t="shared" si="25"/>
        <v>-116883</v>
      </c>
      <c r="Q55" s="144"/>
      <c r="R55" s="204">
        <v>0</v>
      </c>
      <c r="S55" s="205"/>
      <c r="T55" s="203">
        <v>0</v>
      </c>
      <c r="U55" s="203"/>
      <c r="V55" s="57">
        <f t="shared" si="24"/>
        <v>0</v>
      </c>
      <c r="W55" s="202"/>
      <c r="X55" s="202"/>
      <c r="Y55" s="202"/>
    </row>
    <row r="56" spans="1:25" ht="35.1" customHeight="1" x14ac:dyDescent="0.3">
      <c r="A56" s="18">
        <v>12</v>
      </c>
      <c r="B56" s="97" t="str">
        <f t="shared" si="30"/>
        <v>EXEMPTED - CHEQUE</v>
      </c>
      <c r="C56" s="32">
        <v>3</v>
      </c>
      <c r="D56" s="32">
        <v>1</v>
      </c>
      <c r="E56" s="32">
        <v>1</v>
      </c>
      <c r="F56" s="32">
        <f t="shared" si="29"/>
        <v>3</v>
      </c>
      <c r="G56" s="56">
        <v>0</v>
      </c>
      <c r="H56" s="39">
        <f t="shared" si="21"/>
        <v>-3</v>
      </c>
      <c r="I56" s="227">
        <f>+M16</f>
        <v>53837</v>
      </c>
      <c r="J56" s="228"/>
      <c r="K56" s="39">
        <v>0</v>
      </c>
      <c r="L56" s="144">
        <v>0</v>
      </c>
      <c r="M56" s="144"/>
      <c r="N56" s="144">
        <f t="shared" si="23"/>
        <v>53837</v>
      </c>
      <c r="O56" s="144"/>
      <c r="P56" s="144">
        <f t="shared" si="25"/>
        <v>-53837</v>
      </c>
      <c r="Q56" s="144"/>
      <c r="R56" s="204">
        <v>0</v>
      </c>
      <c r="S56" s="205"/>
      <c r="T56" s="203">
        <v>0</v>
      </c>
      <c r="U56" s="203"/>
      <c r="V56" s="57">
        <f t="shared" si="24"/>
        <v>0</v>
      </c>
      <c r="W56" s="202"/>
      <c r="X56" s="202"/>
      <c r="Y56" s="202"/>
    </row>
    <row r="57" spans="1:25" ht="35.1" customHeight="1" x14ac:dyDescent="0.25">
      <c r="A57" s="18"/>
      <c r="B57" s="22" t="s">
        <v>47</v>
      </c>
      <c r="C57" s="58">
        <f t="shared" ref="C57:H57" si="31">SUM(C44:C56)</f>
        <v>176</v>
      </c>
      <c r="D57" s="58">
        <f t="shared" si="31"/>
        <v>15</v>
      </c>
      <c r="E57" s="58">
        <f t="shared" si="31"/>
        <v>17</v>
      </c>
      <c r="F57" s="58">
        <f>SUM(F44:F56)</f>
        <v>174</v>
      </c>
      <c r="G57" s="58">
        <f>SUM(G44:G56)</f>
        <v>161</v>
      </c>
      <c r="H57" s="58">
        <f t="shared" si="31"/>
        <v>-13</v>
      </c>
      <c r="I57" s="199">
        <f>SUM(I44:K56)</f>
        <v>1681833.57</v>
      </c>
      <c r="J57" s="199"/>
      <c r="K57" s="62">
        <f>SUM(K44:K56)</f>
        <v>18487</v>
      </c>
      <c r="L57" s="200">
        <f>SUM(L44:M56)</f>
        <v>1149748</v>
      </c>
      <c r="M57" s="200"/>
      <c r="N57" s="201">
        <f>SUM(N44:O56)</f>
        <v>1681833.57</v>
      </c>
      <c r="O57" s="201"/>
      <c r="P57" s="201">
        <f>SUM(P44:Q56)</f>
        <v>-532085.57000000007</v>
      </c>
      <c r="Q57" s="201"/>
      <c r="R57" s="201">
        <f>SUM(R44:S56)</f>
        <v>8693</v>
      </c>
      <c r="S57" s="201"/>
      <c r="T57" s="201">
        <f>SUM(T44:U56)</f>
        <v>8696</v>
      </c>
      <c r="U57" s="201"/>
      <c r="V57" s="60">
        <f>SUM(V44:V56)</f>
        <v>-3</v>
      </c>
      <c r="W57" s="198"/>
      <c r="X57" s="198"/>
      <c r="Y57" s="198"/>
    </row>
  </sheetData>
  <mergeCells count="234">
    <mergeCell ref="V2:W2"/>
    <mergeCell ref="X2:X3"/>
    <mergeCell ref="Y2:Y3"/>
    <mergeCell ref="A17:B17"/>
    <mergeCell ref="A20:A21"/>
    <mergeCell ref="B20:B21"/>
    <mergeCell ref="C20:F20"/>
    <mergeCell ref="G20:H21"/>
    <mergeCell ref="I20:I21"/>
    <mergeCell ref="J20:J21"/>
    <mergeCell ref="A2:A3"/>
    <mergeCell ref="B2:B3"/>
    <mergeCell ref="C2:F2"/>
    <mergeCell ref="G2:G3"/>
    <mergeCell ref="H2:M2"/>
    <mergeCell ref="N2:U2"/>
    <mergeCell ref="V20:V21"/>
    <mergeCell ref="W20:Y21"/>
    <mergeCell ref="G22:H22"/>
    <mergeCell ref="L22:M22"/>
    <mergeCell ref="N22:O22"/>
    <mergeCell ref="P22:Q22"/>
    <mergeCell ref="R22:S22"/>
    <mergeCell ref="T22:U22"/>
    <mergeCell ref="W22:Y22"/>
    <mergeCell ref="K20:K21"/>
    <mergeCell ref="L20:M21"/>
    <mergeCell ref="N20:O21"/>
    <mergeCell ref="P20:Q21"/>
    <mergeCell ref="R20:S21"/>
    <mergeCell ref="T20:U21"/>
    <mergeCell ref="W23:Y23"/>
    <mergeCell ref="G24:H24"/>
    <mergeCell ref="L24:M24"/>
    <mergeCell ref="N24:O24"/>
    <mergeCell ref="P24:Q24"/>
    <mergeCell ref="R24:S24"/>
    <mergeCell ref="T24:U24"/>
    <mergeCell ref="W24:Y24"/>
    <mergeCell ref="G23:H23"/>
    <mergeCell ref="L23:M23"/>
    <mergeCell ref="N23:O23"/>
    <mergeCell ref="P23:Q23"/>
    <mergeCell ref="R23:S23"/>
    <mergeCell ref="T23:U23"/>
    <mergeCell ref="W25:Y25"/>
    <mergeCell ref="G26:H26"/>
    <mergeCell ref="L26:M26"/>
    <mergeCell ref="N26:O26"/>
    <mergeCell ref="P26:Q26"/>
    <mergeCell ref="R26:S26"/>
    <mergeCell ref="T26:U26"/>
    <mergeCell ref="W26:Y26"/>
    <mergeCell ref="G25:H25"/>
    <mergeCell ref="L25:M25"/>
    <mergeCell ref="N25:O25"/>
    <mergeCell ref="P25:Q25"/>
    <mergeCell ref="R25:S25"/>
    <mergeCell ref="T25:U25"/>
    <mergeCell ref="W27:Y27"/>
    <mergeCell ref="G28:H28"/>
    <mergeCell ref="L28:M28"/>
    <mergeCell ref="N28:O28"/>
    <mergeCell ref="P28:Q28"/>
    <mergeCell ref="R28:S28"/>
    <mergeCell ref="T28:U28"/>
    <mergeCell ref="W28:Y28"/>
    <mergeCell ref="G27:H27"/>
    <mergeCell ref="L27:M27"/>
    <mergeCell ref="N27:O27"/>
    <mergeCell ref="P27:Q27"/>
    <mergeCell ref="R27:S27"/>
    <mergeCell ref="T27:U27"/>
    <mergeCell ref="W29:Y29"/>
    <mergeCell ref="G30:H30"/>
    <mergeCell ref="L30:M30"/>
    <mergeCell ref="N30:O30"/>
    <mergeCell ref="P30:Q30"/>
    <mergeCell ref="R30:S30"/>
    <mergeCell ref="T30:U30"/>
    <mergeCell ref="W30:Y30"/>
    <mergeCell ref="G29:H29"/>
    <mergeCell ref="L29:M29"/>
    <mergeCell ref="N29:O29"/>
    <mergeCell ref="P29:Q29"/>
    <mergeCell ref="R29:S29"/>
    <mergeCell ref="T29:U29"/>
    <mergeCell ref="W31:Y31"/>
    <mergeCell ref="G32:H32"/>
    <mergeCell ref="L32:M32"/>
    <mergeCell ref="N32:O32"/>
    <mergeCell ref="P32:Q32"/>
    <mergeCell ref="R32:S32"/>
    <mergeCell ref="T32:U32"/>
    <mergeCell ref="W32:Y32"/>
    <mergeCell ref="G31:H31"/>
    <mergeCell ref="L31:M31"/>
    <mergeCell ref="N31:O31"/>
    <mergeCell ref="P31:Q31"/>
    <mergeCell ref="R31:S31"/>
    <mergeCell ref="T31:U31"/>
    <mergeCell ref="W33:Y33"/>
    <mergeCell ref="G34:H34"/>
    <mergeCell ref="L34:M34"/>
    <mergeCell ref="N34:O34"/>
    <mergeCell ref="P34:Q34"/>
    <mergeCell ref="R34:S34"/>
    <mergeCell ref="T34:U34"/>
    <mergeCell ref="W34:Y34"/>
    <mergeCell ref="G33:H33"/>
    <mergeCell ref="L33:M33"/>
    <mergeCell ref="N33:O33"/>
    <mergeCell ref="P33:Q33"/>
    <mergeCell ref="R33:S33"/>
    <mergeCell ref="T33:U33"/>
    <mergeCell ref="W35:Y35"/>
    <mergeCell ref="A42:A43"/>
    <mergeCell ref="B42:B43"/>
    <mergeCell ref="C42:F42"/>
    <mergeCell ref="G42:G43"/>
    <mergeCell ref="H42:H43"/>
    <mergeCell ref="I42:J43"/>
    <mergeCell ref="K42:K43"/>
    <mergeCell ref="L42:M43"/>
    <mergeCell ref="N42:O43"/>
    <mergeCell ref="G35:H35"/>
    <mergeCell ref="L35:M35"/>
    <mergeCell ref="N35:O35"/>
    <mergeCell ref="P35:Q35"/>
    <mergeCell ref="R35:S35"/>
    <mergeCell ref="T35:U35"/>
    <mergeCell ref="P42:Q43"/>
    <mergeCell ref="R42:S43"/>
    <mergeCell ref="T42:U43"/>
    <mergeCell ref="V42:V43"/>
    <mergeCell ref="W42:Y43"/>
    <mergeCell ref="I44:J44"/>
    <mergeCell ref="L44:M44"/>
    <mergeCell ref="N44:O44"/>
    <mergeCell ref="P44:Q44"/>
    <mergeCell ref="R44:S44"/>
    <mergeCell ref="T44:U44"/>
    <mergeCell ref="W44:Y44"/>
    <mergeCell ref="I45:J45"/>
    <mergeCell ref="L45:M45"/>
    <mergeCell ref="N45:O45"/>
    <mergeCell ref="P45:Q45"/>
    <mergeCell ref="R45:S45"/>
    <mergeCell ref="T45:U45"/>
    <mergeCell ref="W45:Y45"/>
    <mergeCell ref="W46:Y46"/>
    <mergeCell ref="I47:J47"/>
    <mergeCell ref="L47:M47"/>
    <mergeCell ref="N47:O47"/>
    <mergeCell ref="P47:Q47"/>
    <mergeCell ref="R47:S47"/>
    <mergeCell ref="T47:U47"/>
    <mergeCell ref="W47:Y47"/>
    <mergeCell ref="I46:J46"/>
    <mergeCell ref="L46:M46"/>
    <mergeCell ref="N46:O46"/>
    <mergeCell ref="P46:Q46"/>
    <mergeCell ref="R46:S46"/>
    <mergeCell ref="T46:U46"/>
    <mergeCell ref="W48:Y48"/>
    <mergeCell ref="I49:J49"/>
    <mergeCell ref="L49:M49"/>
    <mergeCell ref="N49:O49"/>
    <mergeCell ref="P49:Q49"/>
    <mergeCell ref="R49:S49"/>
    <mergeCell ref="T49:U49"/>
    <mergeCell ref="W49:Y49"/>
    <mergeCell ref="I48:J48"/>
    <mergeCell ref="L48:M48"/>
    <mergeCell ref="N48:O48"/>
    <mergeCell ref="P48:Q48"/>
    <mergeCell ref="R48:S48"/>
    <mergeCell ref="T48:U48"/>
    <mergeCell ref="W50:Y50"/>
    <mergeCell ref="I51:J51"/>
    <mergeCell ref="L51:M51"/>
    <mergeCell ref="N51:O51"/>
    <mergeCell ref="P51:Q51"/>
    <mergeCell ref="R51:S51"/>
    <mergeCell ref="T51:U51"/>
    <mergeCell ref="W51:Y51"/>
    <mergeCell ref="I50:J50"/>
    <mergeCell ref="L50:M50"/>
    <mergeCell ref="N50:O50"/>
    <mergeCell ref="P50:Q50"/>
    <mergeCell ref="R50:S50"/>
    <mergeCell ref="T50:U50"/>
    <mergeCell ref="W52:Y52"/>
    <mergeCell ref="I53:J53"/>
    <mergeCell ref="L53:M53"/>
    <mergeCell ref="N53:O53"/>
    <mergeCell ref="P53:Q53"/>
    <mergeCell ref="R53:S53"/>
    <mergeCell ref="T53:U53"/>
    <mergeCell ref="W53:Y53"/>
    <mergeCell ref="I52:J52"/>
    <mergeCell ref="L52:M52"/>
    <mergeCell ref="N52:O52"/>
    <mergeCell ref="P52:Q52"/>
    <mergeCell ref="R52:S52"/>
    <mergeCell ref="T52:U52"/>
    <mergeCell ref="W54:Y54"/>
    <mergeCell ref="I55:J55"/>
    <mergeCell ref="L55:M55"/>
    <mergeCell ref="N55:O55"/>
    <mergeCell ref="P55:Q55"/>
    <mergeCell ref="R55:S55"/>
    <mergeCell ref="T55:U55"/>
    <mergeCell ref="W55:Y55"/>
    <mergeCell ref="I54:J54"/>
    <mergeCell ref="L54:M54"/>
    <mergeCell ref="N54:O54"/>
    <mergeCell ref="P54:Q54"/>
    <mergeCell ref="R54:S54"/>
    <mergeCell ref="T54:U54"/>
    <mergeCell ref="W56:Y56"/>
    <mergeCell ref="I57:J57"/>
    <mergeCell ref="L57:M57"/>
    <mergeCell ref="N57:O57"/>
    <mergeCell ref="P57:Q57"/>
    <mergeCell ref="R57:S57"/>
    <mergeCell ref="T57:U57"/>
    <mergeCell ref="W57:Y57"/>
    <mergeCell ref="I56:J56"/>
    <mergeCell ref="L56:M56"/>
    <mergeCell ref="N56:O56"/>
    <mergeCell ref="P56:Q56"/>
    <mergeCell ref="R56:S56"/>
    <mergeCell ref="T56:U56"/>
  </mergeCells>
  <pageMargins left="0.7" right="0.7" top="0.75" bottom="0.75" header="0.3" footer="0.3"/>
  <pageSetup paperSize="8" scale="67" orientation="landscape" verticalDpi="0" r:id="rId1"/>
  <rowBreaks count="1" manualBreakCount="1">
    <brk id="35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4"/>
  <sheetViews>
    <sheetView topLeftCell="G10" workbookViewId="0">
      <selection activeCell="D11" sqref="D11"/>
    </sheetView>
  </sheetViews>
  <sheetFormatPr defaultRowHeight="15" x14ac:dyDescent="0.25"/>
  <cols>
    <col min="2" max="2" width="42" customWidth="1"/>
    <col min="3" max="6" width="9.140625" customWidth="1"/>
    <col min="7" max="7" width="9.42578125" customWidth="1"/>
    <col min="8" max="9" width="9.140625" customWidth="1"/>
    <col min="10" max="10" width="14.140625" customWidth="1"/>
    <col min="11" max="11" width="15" customWidth="1"/>
    <col min="12" max="20" width="9.140625" customWidth="1"/>
    <col min="22" max="22" width="12.140625" customWidth="1"/>
  </cols>
  <sheetData>
    <row r="1" spans="1:25" ht="18.75" x14ac:dyDescent="0.3">
      <c r="A1" s="14" t="s">
        <v>86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29.5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104" t="s">
        <v>65</v>
      </c>
      <c r="D3" s="64" t="s">
        <v>66</v>
      </c>
      <c r="E3" s="64" t="s">
        <v>67</v>
      </c>
      <c r="F3" s="50" t="s">
        <v>68</v>
      </c>
      <c r="G3" s="215"/>
      <c r="H3" s="104" t="s">
        <v>10</v>
      </c>
      <c r="I3" s="104" t="s">
        <v>11</v>
      </c>
      <c r="J3" s="104" t="s">
        <v>12</v>
      </c>
      <c r="K3" s="104" t="s">
        <v>13</v>
      </c>
      <c r="L3" s="104" t="s">
        <v>55</v>
      </c>
      <c r="M3" s="104" t="s">
        <v>14</v>
      </c>
      <c r="N3" s="104" t="s">
        <v>15</v>
      </c>
      <c r="O3" s="104" t="s">
        <v>16</v>
      </c>
      <c r="P3" s="104" t="s">
        <v>56</v>
      </c>
      <c r="Q3" s="104" t="s">
        <v>17</v>
      </c>
      <c r="R3" s="104" t="s">
        <v>18</v>
      </c>
      <c r="S3" s="104" t="s">
        <v>19</v>
      </c>
      <c r="T3" s="104" t="s">
        <v>20</v>
      </c>
      <c r="U3" s="104" t="s">
        <v>21</v>
      </c>
      <c r="V3" s="104" t="s">
        <v>22</v>
      </c>
      <c r="W3" s="104" t="s">
        <v>23</v>
      </c>
      <c r="X3" s="215"/>
      <c r="Y3" s="215"/>
    </row>
    <row r="4" spans="1:25" ht="21.95" customHeight="1" x14ac:dyDescent="0.25">
      <c r="A4" s="2">
        <v>1</v>
      </c>
      <c r="B4" s="3" t="s">
        <v>24</v>
      </c>
      <c r="C4" s="32">
        <v>14</v>
      </c>
      <c r="D4" s="32">
        <v>0</v>
      </c>
      <c r="E4" s="32">
        <v>1</v>
      </c>
      <c r="F4" s="32">
        <f t="shared" ref="F4:F16" si="0">C4+D4-E4</f>
        <v>13</v>
      </c>
      <c r="G4" s="9">
        <v>337</v>
      </c>
      <c r="H4" s="8">
        <v>168146</v>
      </c>
      <c r="I4" s="8"/>
      <c r="J4" s="8">
        <v>80960</v>
      </c>
      <c r="K4" s="8">
        <v>13839</v>
      </c>
      <c r="L4" s="8">
        <v>13839</v>
      </c>
      <c r="M4" s="51">
        <f t="shared" ref="M4:M16" si="1">SUM(H4:L4)</f>
        <v>276784</v>
      </c>
      <c r="N4" s="8">
        <v>20177</v>
      </c>
      <c r="O4" s="8">
        <v>1056</v>
      </c>
      <c r="P4" s="8"/>
      <c r="Q4" s="8"/>
      <c r="R4" s="8">
        <v>0</v>
      </c>
      <c r="S4" s="8">
        <v>21000</v>
      </c>
      <c r="T4" s="8">
        <v>0</v>
      </c>
      <c r="U4" s="51">
        <f>SUM(N4:T4)</f>
        <v>42233</v>
      </c>
      <c r="V4" s="8" t="s">
        <v>25</v>
      </c>
      <c r="W4" s="8" t="s">
        <v>25</v>
      </c>
      <c r="X4" s="8">
        <v>-1</v>
      </c>
      <c r="Y4" s="51">
        <f>M4-U4+X4</f>
        <v>234550</v>
      </c>
    </row>
    <row r="5" spans="1:25" ht="21.95" customHeight="1" x14ac:dyDescent="0.25">
      <c r="A5" s="2">
        <v>2</v>
      </c>
      <c r="B5" s="3" t="s">
        <v>26</v>
      </c>
      <c r="C5" s="32">
        <v>8</v>
      </c>
      <c r="D5" s="32">
        <v>2</v>
      </c>
      <c r="E5" s="32">
        <v>1</v>
      </c>
      <c r="F5" s="32">
        <f t="shared" si="0"/>
        <v>9</v>
      </c>
      <c r="G5" s="9">
        <v>227</v>
      </c>
      <c r="H5" s="8">
        <v>68980</v>
      </c>
      <c r="I5" s="8"/>
      <c r="J5" s="8">
        <v>34490</v>
      </c>
      <c r="K5" s="8">
        <v>5748</v>
      </c>
      <c r="L5" s="8">
        <v>5748</v>
      </c>
      <c r="M5" s="51">
        <f t="shared" si="1"/>
        <v>114966</v>
      </c>
      <c r="N5" s="8">
        <v>8278</v>
      </c>
      <c r="O5" s="8">
        <v>702</v>
      </c>
      <c r="P5" s="8"/>
      <c r="Q5" s="8">
        <v>740</v>
      </c>
      <c r="R5" s="8">
        <v>0</v>
      </c>
      <c r="S5" s="8">
        <v>5000</v>
      </c>
      <c r="T5" s="8"/>
      <c r="U5" s="51">
        <f>SUM(N5:T5)</f>
        <v>14720</v>
      </c>
      <c r="V5" s="8" t="s">
        <v>25</v>
      </c>
      <c r="W5" s="8" t="s">
        <v>25</v>
      </c>
      <c r="X5" s="8">
        <v>14</v>
      </c>
      <c r="Y5" s="51">
        <f>M5-U5+X5</f>
        <v>100260</v>
      </c>
    </row>
    <row r="6" spans="1:25" ht="21.95" customHeight="1" x14ac:dyDescent="0.25">
      <c r="A6" s="2">
        <v>3</v>
      </c>
      <c r="B6" s="3" t="s">
        <v>27</v>
      </c>
      <c r="C6" s="32">
        <v>3</v>
      </c>
      <c r="D6" s="32">
        <v>2</v>
      </c>
      <c r="E6" s="32">
        <v>2</v>
      </c>
      <c r="F6" s="32">
        <f t="shared" si="0"/>
        <v>3</v>
      </c>
      <c r="G6" s="9">
        <v>26</v>
      </c>
      <c r="H6" s="8">
        <v>5308</v>
      </c>
      <c r="I6" s="8"/>
      <c r="J6" s="8">
        <v>2654</v>
      </c>
      <c r="K6" s="8">
        <v>442</v>
      </c>
      <c r="L6" s="8">
        <v>442</v>
      </c>
      <c r="M6" s="51">
        <f t="shared" si="1"/>
        <v>8846</v>
      </c>
      <c r="N6" s="8">
        <v>637</v>
      </c>
      <c r="O6" s="8">
        <v>67</v>
      </c>
      <c r="P6" s="8"/>
      <c r="Q6" s="8"/>
      <c r="R6" s="8"/>
      <c r="S6" s="8">
        <v>2000</v>
      </c>
      <c r="T6" s="8"/>
      <c r="U6" s="51">
        <f>SUM(N6:T6)</f>
        <v>2704</v>
      </c>
      <c r="V6" s="8" t="s">
        <v>25</v>
      </c>
      <c r="W6" s="8" t="s">
        <v>25</v>
      </c>
      <c r="X6" s="8">
        <v>-2</v>
      </c>
      <c r="Y6" s="51">
        <f>M6-U6+X6</f>
        <v>6140</v>
      </c>
    </row>
    <row r="7" spans="1:25" ht="21.95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179</v>
      </c>
      <c r="H7" s="8">
        <v>7160</v>
      </c>
      <c r="I7" s="8">
        <v>72792</v>
      </c>
      <c r="J7" s="8">
        <v>1790</v>
      </c>
      <c r="K7" s="8"/>
      <c r="L7" s="8"/>
      <c r="M7" s="51">
        <f t="shared" si="1"/>
        <v>81742</v>
      </c>
      <c r="N7" s="8">
        <v>9597</v>
      </c>
      <c r="O7" s="8">
        <v>619</v>
      </c>
      <c r="P7" s="8">
        <v>0</v>
      </c>
      <c r="Q7" s="8">
        <v>300</v>
      </c>
      <c r="R7" s="8">
        <v>0</v>
      </c>
      <c r="S7" s="8">
        <v>2000</v>
      </c>
      <c r="T7" s="8">
        <v>0</v>
      </c>
      <c r="U7" s="51">
        <f>SUM(N7:T7)</f>
        <v>12516</v>
      </c>
      <c r="V7" s="8">
        <f>+W7/5</f>
        <v>2251.1999999999998</v>
      </c>
      <c r="W7" s="8">
        <v>11256</v>
      </c>
      <c r="X7" s="8">
        <v>-12</v>
      </c>
      <c r="Y7" s="51">
        <f>M7-U7+W7+X7</f>
        <v>80470</v>
      </c>
    </row>
    <row r="8" spans="1:25" ht="24.75" customHeight="1" x14ac:dyDescent="0.25">
      <c r="A8" s="2">
        <v>5</v>
      </c>
      <c r="B8" s="28" t="s">
        <v>29</v>
      </c>
      <c r="C8" s="32">
        <v>69</v>
      </c>
      <c r="D8" s="32">
        <f>3+1</f>
        <v>4</v>
      </c>
      <c r="E8" s="32"/>
      <c r="F8" s="32">
        <f>C8+D8-E8</f>
        <v>73</v>
      </c>
      <c r="G8" s="9">
        <v>1443</v>
      </c>
      <c r="H8" s="8">
        <v>278747</v>
      </c>
      <c r="I8" s="8"/>
      <c r="J8" s="8">
        <v>185831</v>
      </c>
      <c r="K8" s="8"/>
      <c r="L8" s="8"/>
      <c r="M8" s="51">
        <f t="shared" si="1"/>
        <v>464578</v>
      </c>
      <c r="N8" s="8">
        <v>32885</v>
      </c>
      <c r="O8" s="8">
        <v>3514</v>
      </c>
      <c r="P8" s="8">
        <v>0</v>
      </c>
      <c r="Q8" s="8">
        <v>4890</v>
      </c>
      <c r="R8" s="8">
        <v>0</v>
      </c>
      <c r="S8" s="8">
        <v>9650</v>
      </c>
      <c r="T8" s="8">
        <v>0</v>
      </c>
      <c r="U8" s="51">
        <f t="shared" ref="U8:U16" si="2">SUM(N8:T8)</f>
        <v>50939</v>
      </c>
      <c r="V8" s="8">
        <f>+W8/5</f>
        <v>24845.200000000001</v>
      </c>
      <c r="W8" s="8">
        <v>124226</v>
      </c>
      <c r="X8" s="8">
        <v>-5</v>
      </c>
      <c r="Y8" s="51">
        <f t="shared" ref="Y8:Y13" si="3">M8-U8+W8+X8</f>
        <v>537860</v>
      </c>
    </row>
    <row r="9" spans="1:25" ht="30.2" customHeight="1" x14ac:dyDescent="0.25">
      <c r="A9" s="2">
        <v>6</v>
      </c>
      <c r="B9" s="28" t="s">
        <v>30</v>
      </c>
      <c r="C9" s="32">
        <v>11</v>
      </c>
      <c r="D9" s="32">
        <v>8</v>
      </c>
      <c r="E9" s="32">
        <v>2</v>
      </c>
      <c r="F9" s="32">
        <f t="shared" si="0"/>
        <v>17</v>
      </c>
      <c r="G9" s="9">
        <v>253</v>
      </c>
      <c r="H9" s="8">
        <v>47892</v>
      </c>
      <c r="I9" s="8"/>
      <c r="J9" s="8">
        <v>31928</v>
      </c>
      <c r="K9" s="8"/>
      <c r="L9" s="8"/>
      <c r="M9" s="51">
        <f t="shared" si="1"/>
        <v>79820</v>
      </c>
      <c r="N9" s="8">
        <v>5746</v>
      </c>
      <c r="O9" s="8">
        <v>606</v>
      </c>
      <c r="P9" s="8"/>
      <c r="Q9" s="8">
        <v>240</v>
      </c>
      <c r="R9" s="8">
        <v>0</v>
      </c>
      <c r="S9" s="8">
        <v>0</v>
      </c>
      <c r="T9" s="8">
        <v>0</v>
      </c>
      <c r="U9" s="51">
        <f t="shared" si="2"/>
        <v>6592</v>
      </c>
      <c r="V9" s="8">
        <f>+W9/5</f>
        <v>2951</v>
      </c>
      <c r="W9" s="8">
        <v>14755</v>
      </c>
      <c r="X9" s="8">
        <v>7</v>
      </c>
      <c r="Y9" s="51">
        <f t="shared" si="3"/>
        <v>87990</v>
      </c>
    </row>
    <row r="10" spans="1:25" ht="26.45" customHeight="1" x14ac:dyDescent="0.25">
      <c r="A10" s="2">
        <v>7</v>
      </c>
      <c r="B10" s="28" t="s">
        <v>31</v>
      </c>
      <c r="C10" s="32">
        <v>40</v>
      </c>
      <c r="D10" s="32">
        <v>4</v>
      </c>
      <c r="E10" s="32">
        <v>18</v>
      </c>
      <c r="F10" s="32">
        <f t="shared" si="0"/>
        <v>26</v>
      </c>
      <c r="G10" s="9">
        <v>146</v>
      </c>
      <c r="H10" s="8">
        <v>26280</v>
      </c>
      <c r="I10" s="8"/>
      <c r="J10" s="8">
        <v>17520</v>
      </c>
      <c r="K10" s="8"/>
      <c r="L10" s="8"/>
      <c r="M10" s="51">
        <f t="shared" si="1"/>
        <v>43800</v>
      </c>
      <c r="N10" s="8">
        <v>3153</v>
      </c>
      <c r="O10" s="8">
        <v>333</v>
      </c>
      <c r="P10" s="8"/>
      <c r="Q10" s="8">
        <v>180</v>
      </c>
      <c r="R10" s="8">
        <v>0</v>
      </c>
      <c r="S10" s="8">
        <v>0</v>
      </c>
      <c r="T10" s="8">
        <v>0</v>
      </c>
      <c r="U10" s="51">
        <f t="shared" si="2"/>
        <v>3666</v>
      </c>
      <c r="V10" s="8">
        <f>+W10/5</f>
        <v>680</v>
      </c>
      <c r="W10" s="8">
        <v>3400</v>
      </c>
      <c r="X10" s="8">
        <v>16</v>
      </c>
      <c r="Y10" s="51">
        <f t="shared" si="3"/>
        <v>43550</v>
      </c>
    </row>
    <row r="11" spans="1:25" ht="28.5" customHeight="1" x14ac:dyDescent="0.25">
      <c r="A11" s="2">
        <v>8</v>
      </c>
      <c r="B11" s="28" t="s">
        <v>82</v>
      </c>
      <c r="C11" s="32">
        <v>6</v>
      </c>
      <c r="D11" s="32">
        <v>22</v>
      </c>
      <c r="E11" s="32">
        <v>5</v>
      </c>
      <c r="F11" s="32">
        <f t="shared" si="0"/>
        <v>23</v>
      </c>
      <c r="G11" s="9">
        <v>543</v>
      </c>
      <c r="H11" s="8">
        <v>98790</v>
      </c>
      <c r="I11" s="8"/>
      <c r="J11" s="8">
        <v>65860</v>
      </c>
      <c r="K11" s="8"/>
      <c r="L11" s="8"/>
      <c r="M11" s="51">
        <f t="shared" si="1"/>
        <v>164650</v>
      </c>
      <c r="N11" s="8">
        <v>11856</v>
      </c>
      <c r="O11" s="8">
        <v>1242</v>
      </c>
      <c r="P11" s="8"/>
      <c r="Q11" s="8">
        <v>570</v>
      </c>
      <c r="R11" s="8">
        <v>0</v>
      </c>
      <c r="S11" s="8">
        <v>0</v>
      </c>
      <c r="T11" s="8">
        <v>0</v>
      </c>
      <c r="U11" s="51">
        <f t="shared" ref="U11" si="4">SUM(N11:T11)</f>
        <v>13668</v>
      </c>
      <c r="V11" s="8">
        <f>+W11/5</f>
        <v>3410</v>
      </c>
      <c r="W11" s="8">
        <v>17050</v>
      </c>
      <c r="X11" s="8">
        <v>-2</v>
      </c>
      <c r="Y11" s="51">
        <f t="shared" si="3"/>
        <v>168030</v>
      </c>
    </row>
    <row r="12" spans="1:25" ht="37.5" customHeight="1" x14ac:dyDescent="0.25">
      <c r="A12" s="2">
        <v>9</v>
      </c>
      <c r="B12" s="28" t="s">
        <v>91</v>
      </c>
      <c r="C12" s="32">
        <v>0</v>
      </c>
      <c r="D12" s="32">
        <v>1</v>
      </c>
      <c r="E12" s="32">
        <v>0</v>
      </c>
      <c r="F12" s="32">
        <f t="shared" si="0"/>
        <v>1</v>
      </c>
      <c r="G12" s="9">
        <v>8</v>
      </c>
      <c r="H12" s="8">
        <v>1939</v>
      </c>
      <c r="I12" s="8"/>
      <c r="J12" s="8">
        <v>1293</v>
      </c>
      <c r="K12" s="8"/>
      <c r="L12" s="8"/>
      <c r="M12" s="51">
        <f t="shared" si="1"/>
        <v>3232</v>
      </c>
      <c r="N12" s="8">
        <v>0</v>
      </c>
      <c r="O12" s="8">
        <v>25</v>
      </c>
      <c r="P12" s="8">
        <v>0</v>
      </c>
      <c r="Q12" s="8"/>
      <c r="R12" s="8">
        <v>0</v>
      </c>
      <c r="S12" s="8">
        <v>0</v>
      </c>
      <c r="T12" s="8">
        <v>0</v>
      </c>
      <c r="U12" s="51">
        <f>SUM(N12:T12)</f>
        <v>25</v>
      </c>
      <c r="V12" s="8"/>
      <c r="W12" s="8">
        <v>0</v>
      </c>
      <c r="X12" s="8">
        <v>3</v>
      </c>
      <c r="Y12" s="51">
        <f t="shared" si="3"/>
        <v>3210</v>
      </c>
    </row>
    <row r="13" spans="1:25" ht="35.450000000000003" customHeight="1" x14ac:dyDescent="0.25">
      <c r="A13" s="2">
        <v>10</v>
      </c>
      <c r="B13" s="28" t="s">
        <v>90</v>
      </c>
      <c r="C13" s="32">
        <v>7</v>
      </c>
      <c r="D13" s="32">
        <v>0</v>
      </c>
      <c r="E13" s="32">
        <v>0</v>
      </c>
      <c r="F13" s="32">
        <f>C13+D13-E13</f>
        <v>7</v>
      </c>
      <c r="G13" s="9">
        <v>166.5</v>
      </c>
      <c r="H13" s="8">
        <v>37412</v>
      </c>
      <c r="I13" s="8"/>
      <c r="J13" s="8">
        <v>24941</v>
      </c>
      <c r="K13" s="8"/>
      <c r="L13" s="8"/>
      <c r="M13" s="51">
        <f t="shared" si="1"/>
        <v>62353</v>
      </c>
      <c r="N13" s="8">
        <v>4062</v>
      </c>
      <c r="O13" s="8">
        <v>469</v>
      </c>
      <c r="P13" s="8"/>
      <c r="Q13" s="8">
        <v>900</v>
      </c>
      <c r="R13" s="8">
        <v>0</v>
      </c>
      <c r="S13" s="8">
        <v>2000</v>
      </c>
      <c r="T13" s="8">
        <v>0</v>
      </c>
      <c r="U13" s="51">
        <f>SUM(N13:T13)</f>
        <v>7431</v>
      </c>
      <c r="V13" s="8"/>
      <c r="W13" s="8">
        <v>2600</v>
      </c>
      <c r="X13" s="8">
        <v>-2</v>
      </c>
      <c r="Y13" s="51">
        <f t="shared" si="3"/>
        <v>57520</v>
      </c>
    </row>
    <row r="14" spans="1:25" ht="21.95" customHeight="1" x14ac:dyDescent="0.25">
      <c r="A14" s="2">
        <v>11</v>
      </c>
      <c r="B14" s="28" t="s">
        <v>34</v>
      </c>
      <c r="C14" s="32">
        <v>1</v>
      </c>
      <c r="D14" s="32"/>
      <c r="E14" s="32"/>
      <c r="F14" s="32">
        <f t="shared" si="0"/>
        <v>1</v>
      </c>
      <c r="G14" s="9">
        <v>26</v>
      </c>
      <c r="H14" s="8">
        <v>200000</v>
      </c>
      <c r="I14" s="8"/>
      <c r="J14" s="8"/>
      <c r="K14" s="8"/>
      <c r="L14" s="8"/>
      <c r="M14" s="51">
        <f t="shared" si="1"/>
        <v>200000</v>
      </c>
      <c r="N14" s="8">
        <v>24000</v>
      </c>
      <c r="O14" s="8">
        <v>0</v>
      </c>
      <c r="P14" s="8">
        <v>0</v>
      </c>
      <c r="Q14" s="8"/>
      <c r="R14" s="8">
        <v>0</v>
      </c>
      <c r="S14" s="8"/>
      <c r="T14" s="8">
        <v>0</v>
      </c>
      <c r="U14" s="51">
        <f>SUM(N14:T14)</f>
        <v>24000</v>
      </c>
      <c r="V14" s="8"/>
      <c r="W14" s="8"/>
      <c r="X14" s="8">
        <v>0</v>
      </c>
      <c r="Y14" s="51">
        <f>M14-U14+W14+X14</f>
        <v>176000</v>
      </c>
    </row>
    <row r="15" spans="1:25" ht="21.95" customHeight="1" x14ac:dyDescent="0.25">
      <c r="A15" s="2">
        <v>12</v>
      </c>
      <c r="B15" s="3" t="s">
        <v>35</v>
      </c>
      <c r="C15" s="32">
        <v>5</v>
      </c>
      <c r="D15" s="32">
        <v>1</v>
      </c>
      <c r="E15" s="32">
        <v>0</v>
      </c>
      <c r="F15" s="32">
        <f t="shared" si="0"/>
        <v>6</v>
      </c>
      <c r="G15" s="9">
        <v>138</v>
      </c>
      <c r="H15" s="8">
        <v>124670</v>
      </c>
      <c r="I15" s="8"/>
      <c r="J15" s="8"/>
      <c r="K15" s="8"/>
      <c r="L15" s="8"/>
      <c r="M15" s="51">
        <f t="shared" si="1"/>
        <v>124670</v>
      </c>
      <c r="N15" s="8"/>
      <c r="O15" s="8"/>
      <c r="P15" s="8">
        <v>0</v>
      </c>
      <c r="Q15" s="8"/>
      <c r="R15" s="8"/>
      <c r="S15" s="8">
        <v>48000</v>
      </c>
      <c r="T15" s="8"/>
      <c r="U15" s="51">
        <f>SUM(N15:T15)</f>
        <v>48000</v>
      </c>
      <c r="V15" s="8">
        <v>0</v>
      </c>
      <c r="W15" s="8"/>
      <c r="X15" s="8"/>
      <c r="Y15" s="51">
        <f>M15-U15+W15+X15</f>
        <v>76670</v>
      </c>
    </row>
    <row r="16" spans="1:25" ht="21.95" customHeight="1" x14ac:dyDescent="0.25">
      <c r="A16" s="2">
        <v>13</v>
      </c>
      <c r="B16" s="3" t="s">
        <v>36</v>
      </c>
      <c r="C16" s="32">
        <v>3</v>
      </c>
      <c r="D16" s="32">
        <v>1</v>
      </c>
      <c r="E16" s="32">
        <v>0</v>
      </c>
      <c r="F16" s="32">
        <f t="shared" si="0"/>
        <v>4</v>
      </c>
      <c r="G16" s="9">
        <v>86</v>
      </c>
      <c r="H16" s="8">
        <v>82761</v>
      </c>
      <c r="I16" s="8"/>
      <c r="J16" s="8"/>
      <c r="K16" s="8"/>
      <c r="L16" s="8"/>
      <c r="M16" s="51">
        <f t="shared" si="1"/>
        <v>82761</v>
      </c>
      <c r="N16" s="8"/>
      <c r="O16" s="8"/>
      <c r="P16" s="8">
        <v>0</v>
      </c>
      <c r="Q16" s="8">
        <v>0</v>
      </c>
      <c r="R16" s="8"/>
      <c r="S16" s="8">
        <v>42400</v>
      </c>
      <c r="T16" s="8"/>
      <c r="U16" s="51">
        <f t="shared" si="2"/>
        <v>42400</v>
      </c>
      <c r="V16" s="8"/>
      <c r="W16" s="8"/>
      <c r="X16" s="8">
        <v>-1</v>
      </c>
      <c r="Y16" s="51">
        <f t="shared" ref="Y16" si="5">M16-U16+W16+X16</f>
        <v>40360</v>
      </c>
    </row>
    <row r="17" spans="1:25" ht="18.75" x14ac:dyDescent="0.25">
      <c r="A17" s="171" t="s">
        <v>37</v>
      </c>
      <c r="B17" s="171"/>
      <c r="C17" s="52">
        <f>SUM(C4:C16)</f>
        <v>174</v>
      </c>
      <c r="D17" s="52">
        <f t="shared" ref="D17:W17" si="6">SUM(D4:D16)</f>
        <v>45</v>
      </c>
      <c r="E17" s="52">
        <f t="shared" si="6"/>
        <v>29</v>
      </c>
      <c r="F17" s="52">
        <f>SUM(F4:F16)</f>
        <v>190</v>
      </c>
      <c r="G17" s="53">
        <f t="shared" si="6"/>
        <v>3578.5</v>
      </c>
      <c r="H17" s="53">
        <f t="shared" si="6"/>
        <v>1148085</v>
      </c>
      <c r="I17" s="53">
        <f t="shared" si="6"/>
        <v>72792</v>
      </c>
      <c r="J17" s="53">
        <f t="shared" si="6"/>
        <v>447267</v>
      </c>
      <c r="K17" s="53">
        <f t="shared" si="6"/>
        <v>20029</v>
      </c>
      <c r="L17" s="53">
        <f t="shared" si="6"/>
        <v>20029</v>
      </c>
      <c r="M17" s="53">
        <f>SUM(M4:M16)</f>
        <v>1708202</v>
      </c>
      <c r="N17" s="53">
        <f>SUM(N4:N16)</f>
        <v>120391</v>
      </c>
      <c r="O17" s="53">
        <f>SUM(O4:O16)</f>
        <v>8633</v>
      </c>
      <c r="P17" s="53">
        <f t="shared" si="6"/>
        <v>0</v>
      </c>
      <c r="Q17" s="53">
        <f>SUM(Q4:Q16)</f>
        <v>7820</v>
      </c>
      <c r="R17" s="53">
        <f t="shared" si="6"/>
        <v>0</v>
      </c>
      <c r="S17" s="53">
        <f>SUM(S4:S16)</f>
        <v>132050</v>
      </c>
      <c r="T17" s="53">
        <f t="shared" si="6"/>
        <v>0</v>
      </c>
      <c r="U17" s="53">
        <f>SUM(U4:U16)</f>
        <v>268894</v>
      </c>
      <c r="V17" s="53">
        <f t="shared" si="6"/>
        <v>34137.4</v>
      </c>
      <c r="W17" s="53">
        <f t="shared" si="6"/>
        <v>173287</v>
      </c>
      <c r="X17" s="53">
        <f>SUM(X4:X16)</f>
        <v>15</v>
      </c>
      <c r="Y17" s="53">
        <f>SUM(Y4:Y16)</f>
        <v>1612610</v>
      </c>
    </row>
    <row r="18" spans="1:25" ht="18.75" x14ac:dyDescent="0.25">
      <c r="C18" s="63"/>
      <c r="D18" s="63"/>
      <c r="E18" s="108"/>
      <c r="F18" s="109"/>
      <c r="G18" s="106"/>
      <c r="H18" s="110"/>
      <c r="I18" s="106"/>
      <c r="J18" s="106"/>
      <c r="K18" s="106"/>
      <c r="L18" s="106"/>
      <c r="M18" s="106"/>
      <c r="N18" s="106"/>
      <c r="O18" s="110"/>
      <c r="P18" s="106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21" x14ac:dyDescent="0.35">
      <c r="A19" s="25" t="s">
        <v>64</v>
      </c>
      <c r="B19" s="25"/>
      <c r="C19" s="54"/>
      <c r="D19" s="54"/>
      <c r="E19" s="54"/>
      <c r="F19" s="54"/>
      <c r="G19" s="54"/>
      <c r="H19" s="95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18.75" x14ac:dyDescent="0.25">
      <c r="A20" s="179" t="s">
        <v>1</v>
      </c>
      <c r="B20" s="179" t="s">
        <v>38</v>
      </c>
      <c r="C20" s="216" t="s">
        <v>39</v>
      </c>
      <c r="D20" s="217"/>
      <c r="E20" s="217"/>
      <c r="F20" s="218"/>
      <c r="G20" s="181" t="s">
        <v>40</v>
      </c>
      <c r="H20" s="182"/>
      <c r="I20" s="213" t="s">
        <v>69</v>
      </c>
      <c r="J20" s="181" t="s">
        <v>41</v>
      </c>
      <c r="K20" s="182" t="s">
        <v>76</v>
      </c>
      <c r="L20" s="181" t="s">
        <v>77</v>
      </c>
      <c r="M20" s="182"/>
      <c r="N20" s="167" t="s">
        <v>50</v>
      </c>
      <c r="O20" s="168"/>
      <c r="P20" s="167" t="s">
        <v>53</v>
      </c>
      <c r="Q20" s="168"/>
      <c r="R20" s="181" t="s">
        <v>54</v>
      </c>
      <c r="S20" s="182"/>
      <c r="T20" s="181" t="s">
        <v>51</v>
      </c>
      <c r="U20" s="182"/>
      <c r="V20" s="213" t="s">
        <v>52</v>
      </c>
      <c r="W20" s="167" t="s">
        <v>43</v>
      </c>
      <c r="X20" s="222"/>
      <c r="Y20" s="223"/>
    </row>
    <row r="21" spans="1:25" ht="18.75" x14ac:dyDescent="0.25">
      <c r="A21" s="180"/>
      <c r="B21" s="180"/>
      <c r="C21" s="44" t="s">
        <v>65</v>
      </c>
      <c r="D21" s="44" t="s">
        <v>66</v>
      </c>
      <c r="E21" s="44" t="s">
        <v>67</v>
      </c>
      <c r="F21" s="103" t="s">
        <v>68</v>
      </c>
      <c r="G21" s="183"/>
      <c r="H21" s="184"/>
      <c r="I21" s="214"/>
      <c r="J21" s="183"/>
      <c r="K21" s="184"/>
      <c r="L21" s="183"/>
      <c r="M21" s="184"/>
      <c r="N21" s="169"/>
      <c r="O21" s="170"/>
      <c r="P21" s="169"/>
      <c r="Q21" s="170"/>
      <c r="R21" s="183"/>
      <c r="S21" s="184"/>
      <c r="T21" s="183"/>
      <c r="U21" s="184"/>
      <c r="V21" s="214"/>
      <c r="W21" s="224"/>
      <c r="X21" s="225"/>
      <c r="Y21" s="226"/>
    </row>
    <row r="22" spans="1:25" ht="21.95" customHeight="1" x14ac:dyDescent="0.3">
      <c r="A22" s="18">
        <v>1</v>
      </c>
      <c r="B22" s="19" t="str">
        <f t="shared" ref="B22:B30" si="7">B4</f>
        <v>SALARY -STAFF - BANK</v>
      </c>
      <c r="C22" s="32">
        <v>14</v>
      </c>
      <c r="D22" s="32">
        <v>0</v>
      </c>
      <c r="E22" s="32">
        <v>1</v>
      </c>
      <c r="F22" s="32">
        <f t="shared" ref="F22:F25" si="8">C22+D22-E22</f>
        <v>13</v>
      </c>
      <c r="G22" s="144">
        <v>13</v>
      </c>
      <c r="H22" s="144"/>
      <c r="I22" s="39">
        <f t="shared" ref="I22:I34" si="9">G22-F22</f>
        <v>0</v>
      </c>
      <c r="J22" s="66">
        <f>M4</f>
        <v>276784</v>
      </c>
      <c r="K22" s="67">
        <v>276784</v>
      </c>
      <c r="L22" s="144">
        <v>168146</v>
      </c>
      <c r="M22" s="144"/>
      <c r="N22" s="158">
        <f>+J22*60/100</f>
        <v>166070.39999999999</v>
      </c>
      <c r="O22" s="159"/>
      <c r="P22" s="144">
        <f>+L22-N22</f>
        <v>2075.6000000000058</v>
      </c>
      <c r="Q22" s="144"/>
      <c r="R22" s="203">
        <v>20177</v>
      </c>
      <c r="S22" s="203"/>
      <c r="T22" s="203">
        <v>20177</v>
      </c>
      <c r="U22" s="203"/>
      <c r="V22" s="57">
        <f t="shared" ref="V22:V34" si="10">R22-T22</f>
        <v>0</v>
      </c>
      <c r="W22" s="233" t="s">
        <v>45</v>
      </c>
      <c r="X22" s="195"/>
      <c r="Y22" s="196"/>
    </row>
    <row r="23" spans="1:25" ht="21.95" customHeight="1" x14ac:dyDescent="0.3">
      <c r="A23" s="18">
        <v>2</v>
      </c>
      <c r="B23" s="19" t="str">
        <f t="shared" si="7"/>
        <v>SALARY - STAFF -2 CSB</v>
      </c>
      <c r="C23" s="32">
        <v>8</v>
      </c>
      <c r="D23" s="32">
        <v>2</v>
      </c>
      <c r="E23" s="32">
        <v>1</v>
      </c>
      <c r="F23" s="32">
        <f t="shared" si="8"/>
        <v>9</v>
      </c>
      <c r="G23" s="144">
        <v>9</v>
      </c>
      <c r="H23" s="144"/>
      <c r="I23" s="39">
        <f t="shared" si="9"/>
        <v>0</v>
      </c>
      <c r="J23" s="66">
        <f>M5</f>
        <v>114966</v>
      </c>
      <c r="K23" s="67">
        <v>114967</v>
      </c>
      <c r="L23" s="144">
        <v>68980</v>
      </c>
      <c r="M23" s="144"/>
      <c r="N23" s="158">
        <f t="shared" ref="N23:N29" si="11">+J23*60/100</f>
        <v>68979.600000000006</v>
      </c>
      <c r="O23" s="159"/>
      <c r="P23" s="144">
        <f>+L23-N23</f>
        <v>0.39999999999417923</v>
      </c>
      <c r="Q23" s="144"/>
      <c r="R23" s="203">
        <v>8278</v>
      </c>
      <c r="S23" s="203"/>
      <c r="T23" s="203">
        <v>8278</v>
      </c>
      <c r="U23" s="203"/>
      <c r="V23" s="57">
        <f t="shared" si="10"/>
        <v>0</v>
      </c>
      <c r="W23" s="197"/>
      <c r="X23" s="195"/>
      <c r="Y23" s="196"/>
    </row>
    <row r="24" spans="1:25" ht="21.95" customHeight="1" x14ac:dyDescent="0.3">
      <c r="A24" s="18">
        <v>3</v>
      </c>
      <c r="B24" s="19" t="str">
        <f t="shared" si="7"/>
        <v>SALARY - STAFF-CHEQUE</v>
      </c>
      <c r="C24" s="32">
        <v>3</v>
      </c>
      <c r="D24" s="32">
        <v>2</v>
      </c>
      <c r="E24" s="32">
        <v>2</v>
      </c>
      <c r="F24" s="32">
        <f t="shared" si="8"/>
        <v>3</v>
      </c>
      <c r="G24" s="144">
        <v>3</v>
      </c>
      <c r="H24" s="144"/>
      <c r="I24" s="39">
        <f t="shared" si="9"/>
        <v>0</v>
      </c>
      <c r="J24" s="66">
        <f t="shared" ref="J24:J29" si="12">M6</f>
        <v>8846</v>
      </c>
      <c r="K24" s="67">
        <v>8846</v>
      </c>
      <c r="L24" s="144">
        <v>5308</v>
      </c>
      <c r="M24" s="144"/>
      <c r="N24" s="158">
        <f t="shared" si="11"/>
        <v>5307.6</v>
      </c>
      <c r="O24" s="159"/>
      <c r="P24" s="144">
        <f t="shared" ref="P24:P34" si="13">+L24-N24</f>
        <v>0.3999999999996362</v>
      </c>
      <c r="Q24" s="144"/>
      <c r="R24" s="203">
        <v>637</v>
      </c>
      <c r="S24" s="203"/>
      <c r="T24" s="203">
        <v>637</v>
      </c>
      <c r="U24" s="203"/>
      <c r="V24" s="57">
        <f t="shared" si="10"/>
        <v>0</v>
      </c>
      <c r="W24" s="197"/>
      <c r="X24" s="195"/>
      <c r="Y24" s="196"/>
    </row>
    <row r="25" spans="1:25" ht="21.95" customHeight="1" x14ac:dyDescent="0.3">
      <c r="A25" s="18">
        <v>4</v>
      </c>
      <c r="B25" s="19" t="str">
        <f t="shared" si="7"/>
        <v>WAGES-PERMANENT - BANK</v>
      </c>
      <c r="C25" s="32">
        <v>7</v>
      </c>
      <c r="D25" s="32">
        <v>0</v>
      </c>
      <c r="E25" s="32">
        <v>0</v>
      </c>
      <c r="F25" s="32">
        <f t="shared" si="8"/>
        <v>7</v>
      </c>
      <c r="G25" s="144">
        <v>7</v>
      </c>
      <c r="H25" s="144"/>
      <c r="I25" s="39">
        <f t="shared" si="9"/>
        <v>0</v>
      </c>
      <c r="J25" s="66">
        <f>M7</f>
        <v>81742</v>
      </c>
      <c r="K25" s="67">
        <v>81741</v>
      </c>
      <c r="L25" s="144">
        <v>79951</v>
      </c>
      <c r="M25" s="144"/>
      <c r="N25" s="158">
        <f t="shared" si="11"/>
        <v>49045.2</v>
      </c>
      <c r="O25" s="159"/>
      <c r="P25" s="144">
        <f t="shared" si="13"/>
        <v>30905.800000000003</v>
      </c>
      <c r="Q25" s="144"/>
      <c r="R25" s="203">
        <v>9597</v>
      </c>
      <c r="S25" s="203"/>
      <c r="T25" s="203">
        <v>9597</v>
      </c>
      <c r="U25" s="203"/>
      <c r="V25" s="57">
        <f t="shared" si="10"/>
        <v>0</v>
      </c>
      <c r="W25" s="197" t="s">
        <v>48</v>
      </c>
      <c r="X25" s="195"/>
      <c r="Y25" s="196"/>
    </row>
    <row r="26" spans="1:25" ht="18.75" x14ac:dyDescent="0.3">
      <c r="A26" s="18">
        <v>5</v>
      </c>
      <c r="B26" s="102" t="str">
        <f t="shared" si="7"/>
        <v>WAGES - CASUAL - BANK(OUTSIDE)</v>
      </c>
      <c r="C26" s="32">
        <v>69</v>
      </c>
      <c r="D26" s="32">
        <v>4</v>
      </c>
      <c r="E26" s="32">
        <v>0</v>
      </c>
      <c r="F26" s="32">
        <f>C26+D26-E26</f>
        <v>73</v>
      </c>
      <c r="G26" s="144">
        <v>72</v>
      </c>
      <c r="H26" s="144"/>
      <c r="I26" s="39">
        <f t="shared" si="9"/>
        <v>-1</v>
      </c>
      <c r="J26" s="66">
        <f t="shared" si="12"/>
        <v>464578</v>
      </c>
      <c r="K26" s="67">
        <f>464578-7820</f>
        <v>456758</v>
      </c>
      <c r="L26" s="144">
        <f>278747-4692</f>
        <v>274055</v>
      </c>
      <c r="M26" s="144"/>
      <c r="N26" s="158">
        <f t="shared" si="11"/>
        <v>278746.8</v>
      </c>
      <c r="O26" s="159"/>
      <c r="P26" s="144">
        <f t="shared" si="13"/>
        <v>-4691.7999999999884</v>
      </c>
      <c r="Q26" s="144"/>
      <c r="R26" s="203">
        <v>32885</v>
      </c>
      <c r="S26" s="203"/>
      <c r="T26" s="203">
        <v>32885</v>
      </c>
      <c r="U26" s="203"/>
      <c r="V26" s="57">
        <f t="shared" si="10"/>
        <v>0</v>
      </c>
      <c r="W26" s="197" t="s">
        <v>87</v>
      </c>
      <c r="X26" s="195"/>
      <c r="Y26" s="196"/>
    </row>
    <row r="27" spans="1:25" ht="18.75" x14ac:dyDescent="0.3">
      <c r="A27" s="18">
        <v>6</v>
      </c>
      <c r="B27" s="102" t="str">
        <f t="shared" si="7"/>
        <v>WAGES - CASUAL - CASH(OUTSIDE)</v>
      </c>
      <c r="C27" s="32">
        <v>11</v>
      </c>
      <c r="D27" s="32">
        <v>8</v>
      </c>
      <c r="E27" s="32">
        <v>2</v>
      </c>
      <c r="F27" s="32">
        <f t="shared" ref="F27:F30" si="14">C27+D27-E27</f>
        <v>17</v>
      </c>
      <c r="G27" s="144">
        <v>17</v>
      </c>
      <c r="H27" s="144"/>
      <c r="I27" s="39">
        <f t="shared" si="9"/>
        <v>0</v>
      </c>
      <c r="J27" s="66">
        <f>M9</f>
        <v>79820</v>
      </c>
      <c r="K27" s="67">
        <v>79820</v>
      </c>
      <c r="L27" s="144">
        <v>47892</v>
      </c>
      <c r="M27" s="144"/>
      <c r="N27" s="158">
        <f t="shared" si="11"/>
        <v>47892</v>
      </c>
      <c r="O27" s="159"/>
      <c r="P27" s="144">
        <f t="shared" si="13"/>
        <v>0</v>
      </c>
      <c r="Q27" s="144"/>
      <c r="R27" s="203">
        <v>5746</v>
      </c>
      <c r="S27" s="203"/>
      <c r="T27" s="203">
        <v>5746</v>
      </c>
      <c r="U27" s="203"/>
      <c r="V27" s="57">
        <f t="shared" si="10"/>
        <v>0</v>
      </c>
      <c r="W27" s="197"/>
      <c r="X27" s="195"/>
      <c r="Y27" s="196"/>
    </row>
    <row r="28" spans="1:25" ht="18.75" x14ac:dyDescent="0.3">
      <c r="A28" s="18">
        <v>7</v>
      </c>
      <c r="B28" s="102" t="str">
        <f t="shared" si="7"/>
        <v>WAGES - CASUAL - CASH(INSIDE)</v>
      </c>
      <c r="C28" s="32">
        <v>40</v>
      </c>
      <c r="D28" s="32">
        <v>4</v>
      </c>
      <c r="E28" s="32">
        <v>18</v>
      </c>
      <c r="F28" s="32">
        <f t="shared" si="14"/>
        <v>26</v>
      </c>
      <c r="G28" s="144">
        <v>26</v>
      </c>
      <c r="H28" s="144"/>
      <c r="I28" s="39">
        <f t="shared" si="9"/>
        <v>0</v>
      </c>
      <c r="J28" s="66">
        <f t="shared" si="12"/>
        <v>43800</v>
      </c>
      <c r="K28" s="67">
        <v>43800</v>
      </c>
      <c r="L28" s="144">
        <v>26280</v>
      </c>
      <c r="M28" s="144"/>
      <c r="N28" s="158">
        <f t="shared" si="11"/>
        <v>26280</v>
      </c>
      <c r="O28" s="159"/>
      <c r="P28" s="144">
        <f t="shared" si="13"/>
        <v>0</v>
      </c>
      <c r="Q28" s="144"/>
      <c r="R28" s="203">
        <v>3153</v>
      </c>
      <c r="S28" s="203"/>
      <c r="T28" s="203">
        <v>3153</v>
      </c>
      <c r="U28" s="203"/>
      <c r="V28" s="57">
        <f t="shared" si="10"/>
        <v>0</v>
      </c>
      <c r="W28" s="197"/>
      <c r="X28" s="195"/>
      <c r="Y28" s="196"/>
    </row>
    <row r="29" spans="1:25" ht="18.75" x14ac:dyDescent="0.3">
      <c r="A29" s="18">
        <v>8</v>
      </c>
      <c r="B29" s="102" t="str">
        <f t="shared" si="7"/>
        <v>WAGES - CASUAL - BANK(INSIDE)</v>
      </c>
      <c r="C29" s="32">
        <v>6</v>
      </c>
      <c r="D29" s="32">
        <f>4+18</f>
        <v>22</v>
      </c>
      <c r="E29" s="32">
        <v>5</v>
      </c>
      <c r="F29" s="32">
        <f t="shared" si="14"/>
        <v>23</v>
      </c>
      <c r="G29" s="144">
        <v>23</v>
      </c>
      <c r="H29" s="144"/>
      <c r="I29" s="39">
        <f t="shared" si="9"/>
        <v>0</v>
      </c>
      <c r="J29" s="66">
        <f t="shared" si="12"/>
        <v>164650</v>
      </c>
      <c r="K29" s="67">
        <v>164650</v>
      </c>
      <c r="L29" s="144">
        <v>98790</v>
      </c>
      <c r="M29" s="144"/>
      <c r="N29" s="158">
        <f t="shared" si="11"/>
        <v>98790</v>
      </c>
      <c r="O29" s="159"/>
      <c r="P29" s="144">
        <f t="shared" si="13"/>
        <v>0</v>
      </c>
      <c r="Q29" s="144"/>
      <c r="R29" s="203">
        <v>11856</v>
      </c>
      <c r="S29" s="203"/>
      <c r="T29" s="203">
        <v>11856</v>
      </c>
      <c r="U29" s="203"/>
      <c r="V29" s="57">
        <f t="shared" si="10"/>
        <v>0</v>
      </c>
      <c r="W29" s="197"/>
      <c r="X29" s="195"/>
      <c r="Y29" s="196"/>
    </row>
    <row r="30" spans="1:25" ht="18.75" x14ac:dyDescent="0.3">
      <c r="A30" s="18">
        <v>9</v>
      </c>
      <c r="B30" s="102" t="str">
        <f t="shared" si="7"/>
        <v>WAGES - SECUR &amp; GARDEN - CHQ</v>
      </c>
      <c r="C30" s="32">
        <v>0</v>
      </c>
      <c r="D30" s="32">
        <v>1</v>
      </c>
      <c r="E30" s="32">
        <v>0</v>
      </c>
      <c r="F30" s="32">
        <f t="shared" si="14"/>
        <v>1</v>
      </c>
      <c r="G30" s="144">
        <v>0</v>
      </c>
      <c r="H30" s="144"/>
      <c r="I30" s="39">
        <f>G30-F30</f>
        <v>-1</v>
      </c>
      <c r="J30" s="66">
        <v>3232</v>
      </c>
      <c r="K30" s="67">
        <v>0</v>
      </c>
      <c r="L30" s="144">
        <v>0</v>
      </c>
      <c r="M30" s="144"/>
      <c r="N30" s="158">
        <f t="shared" ref="N30" si="15">+J30*60/100</f>
        <v>1939.2</v>
      </c>
      <c r="O30" s="159"/>
      <c r="P30" s="144">
        <f t="shared" si="13"/>
        <v>-1939.2</v>
      </c>
      <c r="Q30" s="144"/>
      <c r="R30" s="203">
        <v>0</v>
      </c>
      <c r="S30" s="203"/>
      <c r="T30" s="203">
        <v>0</v>
      </c>
      <c r="U30" s="203"/>
      <c r="V30" s="57">
        <f t="shared" si="10"/>
        <v>0</v>
      </c>
      <c r="W30" s="197" t="s">
        <v>88</v>
      </c>
      <c r="X30" s="195"/>
      <c r="Y30" s="196"/>
    </row>
    <row r="31" spans="1:25" ht="18.75" x14ac:dyDescent="0.3">
      <c r="A31" s="18">
        <v>10</v>
      </c>
      <c r="B31" s="102" t="str">
        <f>B13</f>
        <v>WAGES - SECUR &amp; GARDEN - BANK</v>
      </c>
      <c r="C31" s="32">
        <v>7</v>
      </c>
      <c r="D31" s="32">
        <v>0</v>
      </c>
      <c r="E31" s="32">
        <v>0</v>
      </c>
      <c r="F31" s="32">
        <f>C31+D31-E31</f>
        <v>7</v>
      </c>
      <c r="G31" s="144">
        <v>6</v>
      </c>
      <c r="H31" s="144"/>
      <c r="I31" s="39">
        <f t="shared" si="9"/>
        <v>-1</v>
      </c>
      <c r="J31" s="66">
        <f>M13</f>
        <v>62353</v>
      </c>
      <c r="K31" s="67">
        <v>56435</v>
      </c>
      <c r="L31" s="144">
        <f>37412-3551</f>
        <v>33861</v>
      </c>
      <c r="M31" s="144"/>
      <c r="N31" s="158">
        <f>+J31*60/100</f>
        <v>37411.800000000003</v>
      </c>
      <c r="O31" s="159"/>
      <c r="P31" s="144">
        <f t="shared" si="13"/>
        <v>-3550.8000000000029</v>
      </c>
      <c r="Q31" s="144"/>
      <c r="R31" s="203">
        <v>4062</v>
      </c>
      <c r="S31" s="203"/>
      <c r="T31" s="203">
        <v>4062</v>
      </c>
      <c r="U31" s="203"/>
      <c r="V31" s="57">
        <f t="shared" si="10"/>
        <v>0</v>
      </c>
      <c r="W31" s="197" t="s">
        <v>89</v>
      </c>
      <c r="X31" s="195"/>
      <c r="Y31" s="196"/>
    </row>
    <row r="32" spans="1:25" ht="21.95" customHeight="1" x14ac:dyDescent="0.3">
      <c r="A32" s="18">
        <v>11</v>
      </c>
      <c r="B32" s="102" t="s">
        <v>34</v>
      </c>
      <c r="C32" s="32">
        <v>1</v>
      </c>
      <c r="D32" s="32">
        <v>0</v>
      </c>
      <c r="E32" s="32"/>
      <c r="F32" s="32">
        <f t="shared" ref="F32:F34" si="16">C32+D32-E32</f>
        <v>1</v>
      </c>
      <c r="G32" s="158">
        <v>1</v>
      </c>
      <c r="H32" s="159"/>
      <c r="I32" s="39"/>
      <c r="J32" s="66">
        <v>200000</v>
      </c>
      <c r="K32" s="67">
        <v>200000</v>
      </c>
      <c r="L32" s="158">
        <v>200000</v>
      </c>
      <c r="M32" s="159"/>
      <c r="N32" s="158">
        <f>+J32*60/100</f>
        <v>120000</v>
      </c>
      <c r="O32" s="159"/>
      <c r="P32" s="144">
        <f t="shared" si="13"/>
        <v>80000</v>
      </c>
      <c r="Q32" s="144"/>
      <c r="R32" s="204">
        <v>24000</v>
      </c>
      <c r="S32" s="205"/>
      <c r="T32" s="204">
        <v>24000</v>
      </c>
      <c r="U32" s="205"/>
      <c r="V32" s="57">
        <f t="shared" si="10"/>
        <v>0</v>
      </c>
      <c r="W32" s="189" t="s">
        <v>75</v>
      </c>
      <c r="X32" s="190"/>
      <c r="Y32" s="191"/>
    </row>
    <row r="33" spans="1:25" ht="21.95" customHeight="1" x14ac:dyDescent="0.3">
      <c r="A33" s="18">
        <v>12</v>
      </c>
      <c r="B33" s="19" t="str">
        <f t="shared" ref="B33:B34" si="17">B15</f>
        <v>EXEMPTED - BANK</v>
      </c>
      <c r="C33" s="32">
        <v>5</v>
      </c>
      <c r="D33" s="32">
        <v>1</v>
      </c>
      <c r="E33" s="32">
        <v>0</v>
      </c>
      <c r="F33" s="32">
        <f t="shared" si="16"/>
        <v>6</v>
      </c>
      <c r="G33" s="144">
        <v>0</v>
      </c>
      <c r="H33" s="144"/>
      <c r="I33" s="39">
        <f t="shared" si="9"/>
        <v>-6</v>
      </c>
      <c r="J33" s="8">
        <v>124670</v>
      </c>
      <c r="K33" s="8">
        <v>0</v>
      </c>
      <c r="L33" s="144">
        <v>0</v>
      </c>
      <c r="M33" s="144"/>
      <c r="N33" s="158">
        <v>0</v>
      </c>
      <c r="O33" s="159"/>
      <c r="P33" s="144">
        <f t="shared" si="13"/>
        <v>0</v>
      </c>
      <c r="Q33" s="144"/>
      <c r="R33" s="203">
        <v>0</v>
      </c>
      <c r="S33" s="203"/>
      <c r="T33" s="203">
        <v>0</v>
      </c>
      <c r="U33" s="203"/>
      <c r="V33" s="57">
        <f t="shared" si="10"/>
        <v>0</v>
      </c>
      <c r="W33" s="197" t="s">
        <v>49</v>
      </c>
      <c r="X33" s="195"/>
      <c r="Y33" s="196"/>
    </row>
    <row r="34" spans="1:25" ht="21.95" customHeight="1" x14ac:dyDescent="0.3">
      <c r="A34" s="18">
        <v>13</v>
      </c>
      <c r="B34" s="19" t="str">
        <f t="shared" si="17"/>
        <v>EXEMPTED - CHEQUE</v>
      </c>
      <c r="C34" s="32">
        <v>3</v>
      </c>
      <c r="D34" s="32">
        <v>1</v>
      </c>
      <c r="E34" s="32">
        <v>0</v>
      </c>
      <c r="F34" s="32">
        <f t="shared" si="16"/>
        <v>4</v>
      </c>
      <c r="G34" s="144">
        <v>0</v>
      </c>
      <c r="H34" s="144"/>
      <c r="I34" s="39">
        <f t="shared" si="9"/>
        <v>-4</v>
      </c>
      <c r="J34" s="8">
        <v>82761</v>
      </c>
      <c r="K34" s="8">
        <v>0</v>
      </c>
      <c r="L34" s="144">
        <v>0</v>
      </c>
      <c r="M34" s="144"/>
      <c r="N34" s="158">
        <v>0</v>
      </c>
      <c r="O34" s="159"/>
      <c r="P34" s="212">
        <f t="shared" si="13"/>
        <v>0</v>
      </c>
      <c r="Q34" s="212"/>
      <c r="R34" s="203">
        <v>0</v>
      </c>
      <c r="S34" s="203"/>
      <c r="T34" s="203">
        <v>0</v>
      </c>
      <c r="U34" s="203"/>
      <c r="V34" s="57">
        <f t="shared" si="10"/>
        <v>0</v>
      </c>
      <c r="W34" s="197" t="s">
        <v>49</v>
      </c>
      <c r="X34" s="195"/>
      <c r="Y34" s="196"/>
    </row>
    <row r="35" spans="1:25" ht="18.75" x14ac:dyDescent="0.25">
      <c r="A35" s="18"/>
      <c r="B35" s="22" t="s">
        <v>47</v>
      </c>
      <c r="C35" s="103">
        <f>SUM(C22:C34)</f>
        <v>174</v>
      </c>
      <c r="D35" s="111">
        <f t="shared" ref="D35:E35" si="18">SUM(D22:D34)</f>
        <v>45</v>
      </c>
      <c r="E35" s="58">
        <f t="shared" si="18"/>
        <v>29</v>
      </c>
      <c r="F35" s="58">
        <f>SUM(F22:F34)</f>
        <v>190</v>
      </c>
      <c r="G35" s="201">
        <f>SUM(G22:H34)</f>
        <v>177</v>
      </c>
      <c r="H35" s="201"/>
      <c r="I35" s="59">
        <f>SUM(I22:I34)</f>
        <v>-13</v>
      </c>
      <c r="J35" s="68">
        <f>SUM(J22:J34)</f>
        <v>1708202</v>
      </c>
      <c r="K35" s="68">
        <f>SUM(K22:K34)</f>
        <v>1483801</v>
      </c>
      <c r="L35" s="200">
        <f>SUM(L22:M34)</f>
        <v>1003263</v>
      </c>
      <c r="M35" s="200"/>
      <c r="N35" s="200">
        <f>SUM(N22:O34)</f>
        <v>900462.6</v>
      </c>
      <c r="O35" s="200"/>
      <c r="P35" s="200">
        <f>SUM(P22:Q34)</f>
        <v>102800.40000000001</v>
      </c>
      <c r="Q35" s="200"/>
      <c r="R35" s="200">
        <f>SUM(R22:S34)</f>
        <v>120391</v>
      </c>
      <c r="S35" s="200"/>
      <c r="T35" s="200">
        <f>SUM(T22:U34)</f>
        <v>120391</v>
      </c>
      <c r="U35" s="200"/>
      <c r="V35" s="60">
        <f>SUM(V22:V34)</f>
        <v>0</v>
      </c>
      <c r="W35" s="207"/>
      <c r="X35" s="208"/>
      <c r="Y35" s="209"/>
    </row>
    <row r="38" spans="1:25" ht="21" x14ac:dyDescent="0.35">
      <c r="A38" s="25" t="s">
        <v>63</v>
      </c>
      <c r="B38" s="25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ht="18.75" x14ac:dyDescent="0.25">
      <c r="A39" s="163" t="s">
        <v>1</v>
      </c>
      <c r="B39" s="163" t="s">
        <v>38</v>
      </c>
      <c r="C39" s="166" t="s">
        <v>39</v>
      </c>
      <c r="D39" s="166"/>
      <c r="E39" s="166"/>
      <c r="F39" s="166"/>
      <c r="G39" s="155" t="s">
        <v>61</v>
      </c>
      <c r="H39" s="166" t="s">
        <v>62</v>
      </c>
      <c r="I39" s="155" t="s">
        <v>41</v>
      </c>
      <c r="J39" s="155"/>
      <c r="K39" s="164" t="s">
        <v>60</v>
      </c>
      <c r="L39" s="155" t="s">
        <v>44</v>
      </c>
      <c r="M39" s="155"/>
      <c r="N39" s="166" t="s">
        <v>57</v>
      </c>
      <c r="O39" s="166"/>
      <c r="P39" s="166" t="s">
        <v>53</v>
      </c>
      <c r="Q39" s="166"/>
      <c r="R39" s="155" t="s">
        <v>59</v>
      </c>
      <c r="S39" s="155"/>
      <c r="T39" s="155" t="s">
        <v>58</v>
      </c>
      <c r="U39" s="155"/>
      <c r="V39" s="166" t="s">
        <v>74</v>
      </c>
      <c r="W39" s="166" t="s">
        <v>43</v>
      </c>
      <c r="X39" s="166"/>
      <c r="Y39" s="166"/>
    </row>
    <row r="40" spans="1:25" ht="18.75" x14ac:dyDescent="0.25">
      <c r="A40" s="163"/>
      <c r="B40" s="163"/>
      <c r="C40" s="44" t="s">
        <v>65</v>
      </c>
      <c r="D40" s="44" t="s">
        <v>66</v>
      </c>
      <c r="E40" s="44" t="s">
        <v>67</v>
      </c>
      <c r="F40" s="107" t="s">
        <v>68</v>
      </c>
      <c r="G40" s="155"/>
      <c r="H40" s="166"/>
      <c r="I40" s="155"/>
      <c r="J40" s="155"/>
      <c r="K40" s="165"/>
      <c r="L40" s="155"/>
      <c r="M40" s="155"/>
      <c r="N40" s="166"/>
      <c r="O40" s="166"/>
      <c r="P40" s="166"/>
      <c r="Q40" s="166"/>
      <c r="R40" s="155"/>
      <c r="S40" s="155"/>
      <c r="T40" s="155"/>
      <c r="U40" s="155"/>
      <c r="V40" s="166"/>
      <c r="W40" s="166"/>
      <c r="X40" s="166"/>
      <c r="Y40" s="166"/>
    </row>
    <row r="41" spans="1:25" ht="18.75" x14ac:dyDescent="0.3">
      <c r="A41" s="18">
        <v>1</v>
      </c>
      <c r="B41" s="105" t="str">
        <f>B22</f>
        <v>SALARY -STAFF - BANK</v>
      </c>
      <c r="C41" s="32">
        <v>14</v>
      </c>
      <c r="D41" s="32">
        <v>0</v>
      </c>
      <c r="E41" s="32">
        <v>1</v>
      </c>
      <c r="F41" s="32">
        <f t="shared" ref="F41:F44" si="19">C41+D41-E41</f>
        <v>13</v>
      </c>
      <c r="G41" s="56">
        <v>10</v>
      </c>
      <c r="H41" s="39">
        <f t="shared" ref="H41:H53" si="20">G41-F41</f>
        <v>-3</v>
      </c>
      <c r="I41" s="203">
        <f>M4</f>
        <v>276784</v>
      </c>
      <c r="J41" s="203"/>
      <c r="K41" s="39">
        <v>0</v>
      </c>
      <c r="L41" s="144">
        <v>140284</v>
      </c>
      <c r="M41" s="144"/>
      <c r="N41" s="144">
        <f>+I41+K41</f>
        <v>276784</v>
      </c>
      <c r="O41" s="144"/>
      <c r="P41" s="144">
        <f>+L41-N41</f>
        <v>-136500</v>
      </c>
      <c r="Q41" s="144"/>
      <c r="R41" s="204">
        <v>1056</v>
      </c>
      <c r="S41" s="205"/>
      <c r="T41" s="203">
        <v>1056</v>
      </c>
      <c r="U41" s="203"/>
      <c r="V41" s="57">
        <f>R41-T41</f>
        <v>0</v>
      </c>
      <c r="W41" s="202" t="s">
        <v>83</v>
      </c>
      <c r="X41" s="202"/>
      <c r="Y41" s="202"/>
    </row>
    <row r="42" spans="1:25" ht="18.75" x14ac:dyDescent="0.3">
      <c r="A42" s="18">
        <v>2</v>
      </c>
      <c r="B42" s="105" t="str">
        <f t="shared" ref="B42:B53" si="21">B23</f>
        <v>SALARY - STAFF -2 CSB</v>
      </c>
      <c r="C42" s="32">
        <v>8</v>
      </c>
      <c r="D42" s="32">
        <v>2</v>
      </c>
      <c r="E42" s="32">
        <v>1</v>
      </c>
      <c r="F42" s="32">
        <f t="shared" si="19"/>
        <v>9</v>
      </c>
      <c r="G42" s="56">
        <v>7</v>
      </c>
      <c r="H42" s="39">
        <f t="shared" si="20"/>
        <v>-2</v>
      </c>
      <c r="I42" s="203">
        <f>M5</f>
        <v>114966</v>
      </c>
      <c r="J42" s="203"/>
      <c r="K42" s="39">
        <v>0</v>
      </c>
      <c r="L42" s="144">
        <v>92967</v>
      </c>
      <c r="M42" s="144"/>
      <c r="N42" s="144">
        <f>+I42+K42</f>
        <v>114966</v>
      </c>
      <c r="O42" s="144"/>
      <c r="P42" s="144">
        <f>+L42-N42</f>
        <v>-21999</v>
      </c>
      <c r="Q42" s="144"/>
      <c r="R42" s="204">
        <v>702</v>
      </c>
      <c r="S42" s="205"/>
      <c r="T42" s="203">
        <v>702</v>
      </c>
      <c r="U42" s="203"/>
      <c r="V42" s="57">
        <f>R42-T42</f>
        <v>0</v>
      </c>
      <c r="W42" s="202" t="s">
        <v>71</v>
      </c>
      <c r="X42" s="202"/>
      <c r="Y42" s="202"/>
    </row>
    <row r="43" spans="1:25" ht="18.75" x14ac:dyDescent="0.3">
      <c r="A43" s="18">
        <v>3</v>
      </c>
      <c r="B43" s="105" t="str">
        <f t="shared" si="21"/>
        <v>SALARY - STAFF-CHEQUE</v>
      </c>
      <c r="C43" s="32">
        <v>3</v>
      </c>
      <c r="D43" s="32">
        <v>2</v>
      </c>
      <c r="E43" s="32">
        <v>2</v>
      </c>
      <c r="F43" s="32">
        <f t="shared" si="19"/>
        <v>3</v>
      </c>
      <c r="G43" s="56">
        <v>3</v>
      </c>
      <c r="H43" s="39">
        <f t="shared" si="20"/>
        <v>0</v>
      </c>
      <c r="I43" s="203">
        <f t="shared" ref="I43:I53" si="22">M6</f>
        <v>8846</v>
      </c>
      <c r="J43" s="203"/>
      <c r="K43" s="39">
        <v>0</v>
      </c>
      <c r="L43" s="144">
        <v>8846</v>
      </c>
      <c r="M43" s="144"/>
      <c r="N43" s="144">
        <f t="shared" ref="N43:N53" si="23">+I43+K43</f>
        <v>8846</v>
      </c>
      <c r="O43" s="144"/>
      <c r="P43" s="144">
        <f>+L43-N43</f>
        <v>0</v>
      </c>
      <c r="Q43" s="144"/>
      <c r="R43" s="204">
        <v>67</v>
      </c>
      <c r="S43" s="205"/>
      <c r="T43" s="203">
        <v>67</v>
      </c>
      <c r="U43" s="203"/>
      <c r="V43" s="57">
        <f t="shared" ref="V43:V53" si="24">R43-T43</f>
        <v>0</v>
      </c>
      <c r="W43" s="202"/>
      <c r="X43" s="202"/>
      <c r="Y43" s="202"/>
    </row>
    <row r="44" spans="1:25" ht="18.75" x14ac:dyDescent="0.3">
      <c r="A44" s="18">
        <v>4</v>
      </c>
      <c r="B44" s="105" t="str">
        <f t="shared" si="21"/>
        <v>WAGES-PERMANENT - BANK</v>
      </c>
      <c r="C44" s="32">
        <v>7</v>
      </c>
      <c r="D44" s="32">
        <v>0</v>
      </c>
      <c r="E44" s="32">
        <v>0</v>
      </c>
      <c r="F44" s="32">
        <f t="shared" si="19"/>
        <v>7</v>
      </c>
      <c r="G44" s="56">
        <v>7</v>
      </c>
      <c r="H44" s="39">
        <f t="shared" si="20"/>
        <v>0</v>
      </c>
      <c r="I44" s="203">
        <f t="shared" si="22"/>
        <v>81742</v>
      </c>
      <c r="J44" s="203"/>
      <c r="K44" s="39"/>
      <c r="L44" s="144">
        <v>81742</v>
      </c>
      <c r="M44" s="144"/>
      <c r="N44" s="144">
        <f>+I44+K44</f>
        <v>81742</v>
      </c>
      <c r="O44" s="144"/>
      <c r="P44" s="144">
        <f t="shared" ref="P44:P53" si="25">+L44-N44</f>
        <v>0</v>
      </c>
      <c r="Q44" s="144"/>
      <c r="R44" s="204">
        <v>619</v>
      </c>
      <c r="S44" s="205"/>
      <c r="T44" s="203">
        <v>619</v>
      </c>
      <c r="U44" s="203"/>
      <c r="V44" s="57">
        <f t="shared" si="24"/>
        <v>0</v>
      </c>
      <c r="W44" s="202"/>
      <c r="X44" s="202"/>
      <c r="Y44" s="202"/>
    </row>
    <row r="45" spans="1:25" ht="36" customHeight="1" x14ac:dyDescent="0.3">
      <c r="A45" s="18">
        <v>5</v>
      </c>
      <c r="B45" s="105" t="str">
        <f>B26</f>
        <v>WAGES - CASUAL - BANK(OUTSIDE)</v>
      </c>
      <c r="C45" s="32">
        <v>69</v>
      </c>
      <c r="D45" s="32">
        <v>4</v>
      </c>
      <c r="E45" s="32">
        <v>0</v>
      </c>
      <c r="F45" s="32">
        <f>C45+D45-E45</f>
        <v>73</v>
      </c>
      <c r="G45" s="56">
        <v>73</v>
      </c>
      <c r="H45" s="39">
        <f t="shared" si="20"/>
        <v>0</v>
      </c>
      <c r="I45" s="203">
        <f t="shared" si="22"/>
        <v>464578</v>
      </c>
      <c r="J45" s="203"/>
      <c r="K45" s="39">
        <v>0</v>
      </c>
      <c r="L45" s="144">
        <v>464578</v>
      </c>
      <c r="M45" s="144"/>
      <c r="N45" s="158">
        <f>+I45+K45</f>
        <v>464578</v>
      </c>
      <c r="O45" s="159"/>
      <c r="P45" s="144">
        <f t="shared" si="25"/>
        <v>0</v>
      </c>
      <c r="Q45" s="144"/>
      <c r="R45" s="204">
        <v>3514</v>
      </c>
      <c r="S45" s="205"/>
      <c r="T45" s="203">
        <v>3514</v>
      </c>
      <c r="U45" s="203"/>
      <c r="V45" s="57">
        <f t="shared" si="24"/>
        <v>0</v>
      </c>
      <c r="W45" s="202"/>
      <c r="X45" s="202"/>
      <c r="Y45" s="202"/>
    </row>
    <row r="46" spans="1:25" ht="48.2" customHeight="1" x14ac:dyDescent="0.3">
      <c r="A46" s="18">
        <v>6</v>
      </c>
      <c r="B46" s="105" t="str">
        <f t="shared" si="21"/>
        <v>WAGES - CASUAL - CASH(OUTSIDE)</v>
      </c>
      <c r="C46" s="32">
        <v>11</v>
      </c>
      <c r="D46" s="32">
        <v>8</v>
      </c>
      <c r="E46" s="32">
        <v>2</v>
      </c>
      <c r="F46" s="32">
        <f t="shared" ref="F46:F49" si="26">C46+D46-E46</f>
        <v>17</v>
      </c>
      <c r="G46" s="56">
        <v>17</v>
      </c>
      <c r="H46" s="39">
        <f t="shared" si="20"/>
        <v>0</v>
      </c>
      <c r="I46" s="203">
        <f t="shared" si="22"/>
        <v>79820</v>
      </c>
      <c r="J46" s="203"/>
      <c r="K46" s="39">
        <v>16603</v>
      </c>
      <c r="L46" s="144">
        <v>96423</v>
      </c>
      <c r="M46" s="144"/>
      <c r="N46" s="158">
        <f>+I46+K46</f>
        <v>96423</v>
      </c>
      <c r="O46" s="159"/>
      <c r="P46" s="144">
        <f t="shared" si="25"/>
        <v>0</v>
      </c>
      <c r="Q46" s="144"/>
      <c r="R46" s="204">
        <f>606+28+52+21+32</f>
        <v>739</v>
      </c>
      <c r="S46" s="205"/>
      <c r="T46" s="203">
        <v>739</v>
      </c>
      <c r="U46" s="203"/>
      <c r="V46" s="57">
        <f t="shared" si="24"/>
        <v>0</v>
      </c>
      <c r="W46" s="202"/>
      <c r="X46" s="202"/>
      <c r="Y46" s="202"/>
    </row>
    <row r="47" spans="1:25" ht="34.5" customHeight="1" x14ac:dyDescent="0.3">
      <c r="A47" s="18">
        <v>7</v>
      </c>
      <c r="B47" s="105" t="str">
        <f>B28</f>
        <v>WAGES - CASUAL - CASH(INSIDE)</v>
      </c>
      <c r="C47" s="32">
        <v>40</v>
      </c>
      <c r="D47" s="32">
        <v>4</v>
      </c>
      <c r="E47" s="32">
        <v>18</v>
      </c>
      <c r="F47" s="32">
        <f t="shared" si="26"/>
        <v>26</v>
      </c>
      <c r="G47" s="56">
        <v>26</v>
      </c>
      <c r="H47" s="39">
        <f t="shared" si="20"/>
        <v>0</v>
      </c>
      <c r="I47" s="203">
        <f t="shared" si="22"/>
        <v>43800</v>
      </c>
      <c r="J47" s="203"/>
      <c r="K47" s="39">
        <v>19884</v>
      </c>
      <c r="L47" s="203">
        <v>63684</v>
      </c>
      <c r="M47" s="203"/>
      <c r="N47" s="158">
        <f>+I47+K47</f>
        <v>63684</v>
      </c>
      <c r="O47" s="159"/>
      <c r="P47" s="144">
        <f>+L47-N47</f>
        <v>0</v>
      </c>
      <c r="Q47" s="144"/>
      <c r="R47" s="204">
        <f>333+9+38+36+38+21</f>
        <v>475</v>
      </c>
      <c r="S47" s="205"/>
      <c r="T47" s="203">
        <v>475</v>
      </c>
      <c r="U47" s="203"/>
      <c r="V47" s="57">
        <f t="shared" si="24"/>
        <v>0</v>
      </c>
      <c r="W47" s="202"/>
      <c r="X47" s="202"/>
      <c r="Y47" s="202"/>
    </row>
    <row r="48" spans="1:25" ht="42.75" customHeight="1" x14ac:dyDescent="0.3">
      <c r="A48" s="18">
        <v>8</v>
      </c>
      <c r="B48" s="105" t="str">
        <f t="shared" si="21"/>
        <v>WAGES - CASUAL - BANK(INSIDE)</v>
      </c>
      <c r="C48" s="32">
        <v>6</v>
      </c>
      <c r="D48" s="32">
        <f>4+18</f>
        <v>22</v>
      </c>
      <c r="E48" s="32">
        <v>5</v>
      </c>
      <c r="F48" s="32">
        <f t="shared" si="26"/>
        <v>23</v>
      </c>
      <c r="G48" s="56">
        <v>23</v>
      </c>
      <c r="H48" s="39">
        <f t="shared" si="20"/>
        <v>0</v>
      </c>
      <c r="I48" s="203">
        <f t="shared" si="22"/>
        <v>164650</v>
      </c>
      <c r="J48" s="203"/>
      <c r="K48" s="39"/>
      <c r="L48" s="203">
        <v>164650</v>
      </c>
      <c r="M48" s="203"/>
      <c r="N48" s="144">
        <f>+I48+K48</f>
        <v>164650</v>
      </c>
      <c r="O48" s="144"/>
      <c r="P48" s="144">
        <f>+L48-N48</f>
        <v>0</v>
      </c>
      <c r="Q48" s="144"/>
      <c r="R48" s="204">
        <v>1242</v>
      </c>
      <c r="S48" s="205"/>
      <c r="T48" s="203">
        <v>1242</v>
      </c>
      <c r="U48" s="203"/>
      <c r="V48" s="57">
        <v>0</v>
      </c>
      <c r="W48" s="230"/>
      <c r="X48" s="231"/>
      <c r="Y48" s="232"/>
    </row>
    <row r="49" spans="1:25" ht="18.75" customHeight="1" x14ac:dyDescent="0.3">
      <c r="A49" s="18">
        <v>8</v>
      </c>
      <c r="B49" s="105" t="str">
        <f t="shared" si="21"/>
        <v>WAGES - SECUR &amp; GARDEN - CHQ</v>
      </c>
      <c r="C49" s="32">
        <v>0</v>
      </c>
      <c r="D49" s="32">
        <v>1</v>
      </c>
      <c r="E49" s="32">
        <v>0</v>
      </c>
      <c r="F49" s="32">
        <f t="shared" si="26"/>
        <v>1</v>
      </c>
      <c r="G49" s="56">
        <v>1</v>
      </c>
      <c r="H49" s="39">
        <f>G49-F49</f>
        <v>0</v>
      </c>
      <c r="I49" s="203">
        <f t="shared" si="22"/>
        <v>3232</v>
      </c>
      <c r="J49" s="203"/>
      <c r="K49" s="39">
        <v>0</v>
      </c>
      <c r="L49" s="144">
        <v>3232</v>
      </c>
      <c r="M49" s="144"/>
      <c r="N49" s="144">
        <f t="shared" si="23"/>
        <v>3232</v>
      </c>
      <c r="O49" s="144"/>
      <c r="P49" s="144">
        <f t="shared" si="25"/>
        <v>0</v>
      </c>
      <c r="Q49" s="144"/>
      <c r="R49" s="204">
        <v>25</v>
      </c>
      <c r="S49" s="205"/>
      <c r="T49" s="203">
        <v>25</v>
      </c>
      <c r="U49" s="203"/>
      <c r="V49" s="57">
        <f t="shared" si="24"/>
        <v>0</v>
      </c>
      <c r="W49" s="202"/>
      <c r="X49" s="202"/>
      <c r="Y49" s="202"/>
    </row>
    <row r="50" spans="1:25" ht="18.75" customHeight="1" x14ac:dyDescent="0.3">
      <c r="A50" s="18">
        <v>9</v>
      </c>
      <c r="B50" s="105" t="str">
        <f t="shared" si="21"/>
        <v>WAGES - SECUR &amp; GARDEN - BANK</v>
      </c>
      <c r="C50" s="32">
        <v>7</v>
      </c>
      <c r="D50" s="32">
        <v>0</v>
      </c>
      <c r="E50" s="32">
        <v>0</v>
      </c>
      <c r="F50" s="32">
        <f>C50+D50-E50</f>
        <v>7</v>
      </c>
      <c r="G50" s="56">
        <v>7</v>
      </c>
      <c r="H50" s="39">
        <f t="shared" si="20"/>
        <v>0</v>
      </c>
      <c r="I50" s="203">
        <f t="shared" si="22"/>
        <v>62353</v>
      </c>
      <c r="J50" s="203"/>
      <c r="K50" s="39">
        <v>0</v>
      </c>
      <c r="L50" s="144">
        <v>62353</v>
      </c>
      <c r="M50" s="144"/>
      <c r="N50" s="144">
        <f>+I50+K50</f>
        <v>62353</v>
      </c>
      <c r="O50" s="144"/>
      <c r="P50" s="144">
        <f t="shared" si="25"/>
        <v>0</v>
      </c>
      <c r="Q50" s="144"/>
      <c r="R50" s="204">
        <v>469</v>
      </c>
      <c r="S50" s="205"/>
      <c r="T50" s="203">
        <v>469</v>
      </c>
      <c r="U50" s="203"/>
      <c r="V50" s="57">
        <f t="shared" si="24"/>
        <v>0</v>
      </c>
      <c r="W50" s="202"/>
      <c r="X50" s="202"/>
      <c r="Y50" s="202"/>
    </row>
    <row r="51" spans="1:25" ht="37.5" customHeight="1" x14ac:dyDescent="0.3">
      <c r="A51" s="18">
        <v>10</v>
      </c>
      <c r="B51" s="105" t="str">
        <f t="shared" si="21"/>
        <v>JMD</v>
      </c>
      <c r="C51" s="32">
        <v>1</v>
      </c>
      <c r="D51" s="32">
        <v>0</v>
      </c>
      <c r="E51" s="32"/>
      <c r="F51" s="32">
        <f t="shared" ref="F51:F53" si="27">C51+D51-E51</f>
        <v>1</v>
      </c>
      <c r="G51" s="56">
        <v>0</v>
      </c>
      <c r="H51" s="39">
        <f t="shared" si="20"/>
        <v>-1</v>
      </c>
      <c r="I51" s="203">
        <f t="shared" si="22"/>
        <v>200000</v>
      </c>
      <c r="J51" s="203"/>
      <c r="K51" s="39">
        <v>0</v>
      </c>
      <c r="L51" s="158">
        <v>0</v>
      </c>
      <c r="M51" s="159"/>
      <c r="N51" s="144">
        <f t="shared" si="23"/>
        <v>200000</v>
      </c>
      <c r="O51" s="144"/>
      <c r="P51" s="144">
        <f t="shared" si="25"/>
        <v>-200000</v>
      </c>
      <c r="Q51" s="144"/>
      <c r="R51" s="204">
        <v>0</v>
      </c>
      <c r="S51" s="205"/>
      <c r="T51" s="204"/>
      <c r="U51" s="205"/>
      <c r="V51" s="57">
        <f t="shared" si="24"/>
        <v>0</v>
      </c>
      <c r="W51" s="206" t="s">
        <v>71</v>
      </c>
      <c r="X51" s="206"/>
      <c r="Y51" s="206"/>
    </row>
    <row r="52" spans="1:25" ht="37.5" customHeight="1" x14ac:dyDescent="0.3">
      <c r="A52" s="18">
        <v>11</v>
      </c>
      <c r="B52" s="105" t="str">
        <f t="shared" si="21"/>
        <v>EXEMPTED - BANK</v>
      </c>
      <c r="C52" s="32">
        <v>5</v>
      </c>
      <c r="D52" s="32">
        <v>1</v>
      </c>
      <c r="E52" s="32">
        <v>0</v>
      </c>
      <c r="F52" s="32">
        <f t="shared" si="27"/>
        <v>6</v>
      </c>
      <c r="G52" s="56">
        <v>0</v>
      </c>
      <c r="H52" s="39">
        <f t="shared" si="20"/>
        <v>-6</v>
      </c>
      <c r="I52" s="203">
        <f t="shared" si="22"/>
        <v>124670</v>
      </c>
      <c r="J52" s="203"/>
      <c r="K52" s="39">
        <v>0</v>
      </c>
      <c r="L52" s="144">
        <v>0</v>
      </c>
      <c r="M52" s="144"/>
      <c r="N52" s="144">
        <f t="shared" si="23"/>
        <v>124670</v>
      </c>
      <c r="O52" s="144"/>
      <c r="P52" s="144">
        <f t="shared" si="25"/>
        <v>-124670</v>
      </c>
      <c r="Q52" s="144"/>
      <c r="R52" s="204">
        <v>0</v>
      </c>
      <c r="S52" s="205"/>
      <c r="T52" s="203">
        <v>0</v>
      </c>
      <c r="U52" s="203"/>
      <c r="V52" s="57">
        <f t="shared" si="24"/>
        <v>0</v>
      </c>
      <c r="W52" s="202"/>
      <c r="X52" s="202"/>
      <c r="Y52" s="202"/>
    </row>
    <row r="53" spans="1:25" ht="37.5" customHeight="1" x14ac:dyDescent="0.3">
      <c r="A53" s="18">
        <v>12</v>
      </c>
      <c r="B53" s="105" t="str">
        <f t="shared" si="21"/>
        <v>EXEMPTED - CHEQUE</v>
      </c>
      <c r="C53" s="32">
        <v>3</v>
      </c>
      <c r="D53" s="32">
        <v>1</v>
      </c>
      <c r="E53" s="32">
        <v>0</v>
      </c>
      <c r="F53" s="32">
        <f t="shared" si="27"/>
        <v>4</v>
      </c>
      <c r="G53" s="56">
        <v>0</v>
      </c>
      <c r="H53" s="39">
        <f t="shared" si="20"/>
        <v>-4</v>
      </c>
      <c r="I53" s="203">
        <f t="shared" si="22"/>
        <v>82761</v>
      </c>
      <c r="J53" s="203"/>
      <c r="K53" s="39">
        <v>0</v>
      </c>
      <c r="L53" s="144">
        <v>0</v>
      </c>
      <c r="M53" s="144"/>
      <c r="N53" s="144">
        <f t="shared" si="23"/>
        <v>82761</v>
      </c>
      <c r="O53" s="144"/>
      <c r="P53" s="144">
        <f t="shared" si="25"/>
        <v>-82761</v>
      </c>
      <c r="Q53" s="144"/>
      <c r="R53" s="204">
        <v>0</v>
      </c>
      <c r="S53" s="205"/>
      <c r="T53" s="203">
        <v>0</v>
      </c>
      <c r="U53" s="203"/>
      <c r="V53" s="57">
        <f t="shared" si="24"/>
        <v>0</v>
      </c>
      <c r="W53" s="202"/>
      <c r="X53" s="202"/>
      <c r="Y53" s="202"/>
    </row>
    <row r="54" spans="1:25" ht="18.75" x14ac:dyDescent="0.25">
      <c r="A54" s="18"/>
      <c r="B54" s="22" t="s">
        <v>47</v>
      </c>
      <c r="C54" s="58">
        <f t="shared" ref="C54:H54" si="28">SUM(C41:C53)</f>
        <v>174</v>
      </c>
      <c r="D54" s="58">
        <f t="shared" si="28"/>
        <v>45</v>
      </c>
      <c r="E54" s="58">
        <f t="shared" si="28"/>
        <v>29</v>
      </c>
      <c r="F54" s="58">
        <f>SUM(F41:F53)</f>
        <v>190</v>
      </c>
      <c r="G54" s="58">
        <f>SUM(G41:G53)</f>
        <v>174</v>
      </c>
      <c r="H54" s="58">
        <f t="shared" si="28"/>
        <v>-16</v>
      </c>
      <c r="I54" s="199">
        <f>SUM(I41:K53)</f>
        <v>1744689</v>
      </c>
      <c r="J54" s="199"/>
      <c r="K54" s="62">
        <f>SUM(K41:K53)</f>
        <v>36487</v>
      </c>
      <c r="L54" s="200">
        <f>SUM(L41:M53)</f>
        <v>1178759</v>
      </c>
      <c r="M54" s="200"/>
      <c r="N54" s="201">
        <f>SUM(N41:O53)</f>
        <v>1744689</v>
      </c>
      <c r="O54" s="201"/>
      <c r="P54" s="201">
        <f>SUM(P41:Q53)</f>
        <v>-565930</v>
      </c>
      <c r="Q54" s="201"/>
      <c r="R54" s="201">
        <f>SUM(R41:S53)</f>
        <v>8908</v>
      </c>
      <c r="S54" s="201"/>
      <c r="T54" s="201">
        <f>SUM(T41:U53)</f>
        <v>8908</v>
      </c>
      <c r="U54" s="201"/>
      <c r="V54" s="60">
        <f>SUM(V41:V53)</f>
        <v>0</v>
      </c>
      <c r="W54" s="198"/>
      <c r="X54" s="198"/>
      <c r="Y54" s="198"/>
    </row>
  </sheetData>
  <mergeCells count="234">
    <mergeCell ref="I54:J54"/>
    <mergeCell ref="L54:M54"/>
    <mergeCell ref="N54:O54"/>
    <mergeCell ref="P54:Q54"/>
    <mergeCell ref="R54:S54"/>
    <mergeCell ref="T54:U54"/>
    <mergeCell ref="W54:Y54"/>
    <mergeCell ref="I52:J52"/>
    <mergeCell ref="L52:M52"/>
    <mergeCell ref="N52:O52"/>
    <mergeCell ref="P52:Q52"/>
    <mergeCell ref="R52:S52"/>
    <mergeCell ref="T52:U52"/>
    <mergeCell ref="W52:Y52"/>
    <mergeCell ref="I53:J53"/>
    <mergeCell ref="L53:M53"/>
    <mergeCell ref="N53:O53"/>
    <mergeCell ref="P53:Q53"/>
    <mergeCell ref="R53:S53"/>
    <mergeCell ref="T53:U53"/>
    <mergeCell ref="W53:Y53"/>
    <mergeCell ref="I50:J50"/>
    <mergeCell ref="L50:M50"/>
    <mergeCell ref="N50:O50"/>
    <mergeCell ref="P50:Q50"/>
    <mergeCell ref="R50:S50"/>
    <mergeCell ref="T50:U50"/>
    <mergeCell ref="W50:Y50"/>
    <mergeCell ref="I51:J51"/>
    <mergeCell ref="L51:M51"/>
    <mergeCell ref="N51:O51"/>
    <mergeCell ref="P51:Q51"/>
    <mergeCell ref="R51:S51"/>
    <mergeCell ref="T51:U51"/>
    <mergeCell ref="W51:Y51"/>
    <mergeCell ref="I48:J48"/>
    <mergeCell ref="L48:M48"/>
    <mergeCell ref="N48:O48"/>
    <mergeCell ref="P48:Q48"/>
    <mergeCell ref="R48:S48"/>
    <mergeCell ref="T48:U48"/>
    <mergeCell ref="W48:Y48"/>
    <mergeCell ref="I49:J49"/>
    <mergeCell ref="L49:M49"/>
    <mergeCell ref="N49:O49"/>
    <mergeCell ref="P49:Q49"/>
    <mergeCell ref="R49:S49"/>
    <mergeCell ref="T49:U49"/>
    <mergeCell ref="W49:Y49"/>
    <mergeCell ref="I46:J46"/>
    <mergeCell ref="L46:M46"/>
    <mergeCell ref="N46:O46"/>
    <mergeCell ref="P46:Q46"/>
    <mergeCell ref="R46:S46"/>
    <mergeCell ref="T46:U46"/>
    <mergeCell ref="W46:Y46"/>
    <mergeCell ref="I47:J47"/>
    <mergeCell ref="L47:M47"/>
    <mergeCell ref="N47:O47"/>
    <mergeCell ref="P47:Q47"/>
    <mergeCell ref="R47:S47"/>
    <mergeCell ref="T47:U47"/>
    <mergeCell ref="W47:Y47"/>
    <mergeCell ref="I44:J44"/>
    <mergeCell ref="L44:M44"/>
    <mergeCell ref="N44:O44"/>
    <mergeCell ref="P44:Q44"/>
    <mergeCell ref="R44:S44"/>
    <mergeCell ref="T44:U44"/>
    <mergeCell ref="W44:Y44"/>
    <mergeCell ref="I45:J45"/>
    <mergeCell ref="L45:M45"/>
    <mergeCell ref="N45:O45"/>
    <mergeCell ref="P45:Q45"/>
    <mergeCell ref="R45:S45"/>
    <mergeCell ref="T45:U45"/>
    <mergeCell ref="W45:Y45"/>
    <mergeCell ref="I42:J42"/>
    <mergeCell ref="L42:M42"/>
    <mergeCell ref="N42:O42"/>
    <mergeCell ref="P42:Q42"/>
    <mergeCell ref="R42:S42"/>
    <mergeCell ref="T42:U42"/>
    <mergeCell ref="W42:Y42"/>
    <mergeCell ref="I43:J43"/>
    <mergeCell ref="L43:M43"/>
    <mergeCell ref="N43:O43"/>
    <mergeCell ref="P43:Q43"/>
    <mergeCell ref="R43:S43"/>
    <mergeCell ref="T43:U43"/>
    <mergeCell ref="W43:Y43"/>
    <mergeCell ref="P39:Q40"/>
    <mergeCell ref="R39:S40"/>
    <mergeCell ref="T39:U40"/>
    <mergeCell ref="V39:V40"/>
    <mergeCell ref="W39:Y40"/>
    <mergeCell ref="I41:J41"/>
    <mergeCell ref="L41:M41"/>
    <mergeCell ref="N41:O41"/>
    <mergeCell ref="P41:Q41"/>
    <mergeCell ref="R41:S41"/>
    <mergeCell ref="T41:U41"/>
    <mergeCell ref="W41:Y41"/>
    <mergeCell ref="A39:A40"/>
    <mergeCell ref="B39:B40"/>
    <mergeCell ref="C39:F39"/>
    <mergeCell ref="G39:G40"/>
    <mergeCell ref="H39:H40"/>
    <mergeCell ref="I39:J40"/>
    <mergeCell ref="K39:K40"/>
    <mergeCell ref="L39:M40"/>
    <mergeCell ref="N39:O40"/>
    <mergeCell ref="V2:W2"/>
    <mergeCell ref="X2:X3"/>
    <mergeCell ref="Y2:Y3"/>
    <mergeCell ref="A17:B17"/>
    <mergeCell ref="A20:A21"/>
    <mergeCell ref="B20:B21"/>
    <mergeCell ref="C20:F20"/>
    <mergeCell ref="G20:H21"/>
    <mergeCell ref="I20:I21"/>
    <mergeCell ref="J20:J21"/>
    <mergeCell ref="A2:A3"/>
    <mergeCell ref="B2:B3"/>
    <mergeCell ref="C2:F2"/>
    <mergeCell ref="G2:G3"/>
    <mergeCell ref="H2:M2"/>
    <mergeCell ref="N2:U2"/>
    <mergeCell ref="V20:V21"/>
    <mergeCell ref="W20:Y21"/>
    <mergeCell ref="G22:H22"/>
    <mergeCell ref="L22:M22"/>
    <mergeCell ref="N22:O22"/>
    <mergeCell ref="P22:Q22"/>
    <mergeCell ref="R22:S22"/>
    <mergeCell ref="T22:U22"/>
    <mergeCell ref="W22:Y22"/>
    <mergeCell ref="K20:K21"/>
    <mergeCell ref="L20:M21"/>
    <mergeCell ref="N20:O21"/>
    <mergeCell ref="P20:Q21"/>
    <mergeCell ref="R20:S21"/>
    <mergeCell ref="T20:U21"/>
    <mergeCell ref="W23:Y23"/>
    <mergeCell ref="G24:H24"/>
    <mergeCell ref="L24:M24"/>
    <mergeCell ref="N24:O24"/>
    <mergeCell ref="P24:Q24"/>
    <mergeCell ref="R24:S24"/>
    <mergeCell ref="T24:U24"/>
    <mergeCell ref="W24:Y24"/>
    <mergeCell ref="G23:H23"/>
    <mergeCell ref="L23:M23"/>
    <mergeCell ref="N23:O23"/>
    <mergeCell ref="P23:Q23"/>
    <mergeCell ref="R23:S23"/>
    <mergeCell ref="T23:U23"/>
    <mergeCell ref="W25:Y25"/>
    <mergeCell ref="G26:H26"/>
    <mergeCell ref="L26:M26"/>
    <mergeCell ref="N26:O26"/>
    <mergeCell ref="P26:Q26"/>
    <mergeCell ref="R26:S26"/>
    <mergeCell ref="T26:U26"/>
    <mergeCell ref="W26:Y26"/>
    <mergeCell ref="G25:H25"/>
    <mergeCell ref="L25:M25"/>
    <mergeCell ref="N25:O25"/>
    <mergeCell ref="P25:Q25"/>
    <mergeCell ref="R25:S25"/>
    <mergeCell ref="T25:U25"/>
    <mergeCell ref="W27:Y27"/>
    <mergeCell ref="G28:H28"/>
    <mergeCell ref="L28:M28"/>
    <mergeCell ref="N28:O28"/>
    <mergeCell ref="P28:Q28"/>
    <mergeCell ref="R28:S28"/>
    <mergeCell ref="T28:U28"/>
    <mergeCell ref="W28:Y28"/>
    <mergeCell ref="G27:H27"/>
    <mergeCell ref="L27:M27"/>
    <mergeCell ref="N27:O27"/>
    <mergeCell ref="P27:Q27"/>
    <mergeCell ref="R27:S27"/>
    <mergeCell ref="T27:U27"/>
    <mergeCell ref="W29:Y29"/>
    <mergeCell ref="G30:H30"/>
    <mergeCell ref="L30:M30"/>
    <mergeCell ref="N30:O30"/>
    <mergeCell ref="P30:Q30"/>
    <mergeCell ref="R30:S30"/>
    <mergeCell ref="T30:U30"/>
    <mergeCell ref="W30:Y30"/>
    <mergeCell ref="G29:H29"/>
    <mergeCell ref="L29:M29"/>
    <mergeCell ref="N29:O29"/>
    <mergeCell ref="P29:Q29"/>
    <mergeCell ref="R29:S29"/>
    <mergeCell ref="T29:U29"/>
    <mergeCell ref="W31:Y31"/>
    <mergeCell ref="G32:H32"/>
    <mergeCell ref="L32:M32"/>
    <mergeCell ref="N32:O32"/>
    <mergeCell ref="P32:Q32"/>
    <mergeCell ref="R32:S32"/>
    <mergeCell ref="T32:U32"/>
    <mergeCell ref="W32:Y32"/>
    <mergeCell ref="G31:H31"/>
    <mergeCell ref="L31:M31"/>
    <mergeCell ref="N31:O31"/>
    <mergeCell ref="P31:Q31"/>
    <mergeCell ref="R31:S31"/>
    <mergeCell ref="T31:U31"/>
    <mergeCell ref="W35:Y35"/>
    <mergeCell ref="G35:H35"/>
    <mergeCell ref="L35:M35"/>
    <mergeCell ref="N35:O35"/>
    <mergeCell ref="P35:Q35"/>
    <mergeCell ref="R35:S35"/>
    <mergeCell ref="T35:U35"/>
    <mergeCell ref="W33:Y33"/>
    <mergeCell ref="G34:H34"/>
    <mergeCell ref="L34:M34"/>
    <mergeCell ref="N34:O34"/>
    <mergeCell ref="P34:Q34"/>
    <mergeCell ref="R34:S34"/>
    <mergeCell ref="T34:U34"/>
    <mergeCell ref="W34:Y34"/>
    <mergeCell ref="G33:H33"/>
    <mergeCell ref="L33:M33"/>
    <mergeCell ref="N33:O33"/>
    <mergeCell ref="P33:Q33"/>
    <mergeCell ref="R33:S33"/>
    <mergeCell ref="T33:U33"/>
  </mergeCells>
  <pageMargins left="0.7" right="0.7" top="0.75" bottom="0.75" header="0.3" footer="0.3"/>
  <pageSetup paperSize="8" scale="70" orientation="landscape" verticalDpi="0" r:id="rId1"/>
  <rowBreaks count="1" manualBreakCount="1">
    <brk id="35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C1" workbookViewId="0">
      <selection activeCell="M15" sqref="M15:M16"/>
    </sheetView>
  </sheetViews>
  <sheetFormatPr defaultRowHeight="15" x14ac:dyDescent="0.25"/>
  <cols>
    <col min="2" max="2" width="42" customWidth="1"/>
    <col min="3" max="6" width="9.140625" customWidth="1"/>
    <col min="7" max="7" width="9.42578125" customWidth="1"/>
    <col min="8" max="9" width="9.140625" customWidth="1"/>
    <col min="10" max="10" width="14.140625" customWidth="1"/>
    <col min="11" max="11" width="15" customWidth="1"/>
    <col min="12" max="20" width="9.140625" customWidth="1"/>
    <col min="22" max="22" width="12.140625" customWidth="1"/>
  </cols>
  <sheetData>
    <row r="1" spans="1:25" ht="18.75" x14ac:dyDescent="0.3">
      <c r="A1" s="14" t="s">
        <v>92</v>
      </c>
      <c r="B1" s="1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13"/>
      <c r="S1" s="13"/>
      <c r="T1" s="13"/>
      <c r="U1" s="46"/>
      <c r="V1" s="46"/>
      <c r="W1" s="47"/>
      <c r="X1" s="47" t="s">
        <v>0</v>
      </c>
      <c r="Y1" s="48">
        <v>30.1</v>
      </c>
    </row>
    <row r="2" spans="1:25" ht="18.75" x14ac:dyDescent="0.25">
      <c r="A2" s="172" t="s">
        <v>1</v>
      </c>
      <c r="B2" s="172" t="s">
        <v>2</v>
      </c>
      <c r="C2" s="219" t="s">
        <v>3</v>
      </c>
      <c r="D2" s="220"/>
      <c r="E2" s="220"/>
      <c r="F2" s="221"/>
      <c r="G2" s="215" t="s">
        <v>4</v>
      </c>
      <c r="H2" s="219" t="s">
        <v>5</v>
      </c>
      <c r="I2" s="220"/>
      <c r="J2" s="220"/>
      <c r="K2" s="220"/>
      <c r="L2" s="220"/>
      <c r="M2" s="221"/>
      <c r="N2" s="215" t="s">
        <v>6</v>
      </c>
      <c r="O2" s="215"/>
      <c r="P2" s="215"/>
      <c r="Q2" s="215"/>
      <c r="R2" s="215"/>
      <c r="S2" s="215"/>
      <c r="T2" s="215"/>
      <c r="U2" s="215"/>
      <c r="V2" s="215" t="s">
        <v>7</v>
      </c>
      <c r="W2" s="215"/>
      <c r="X2" s="215" t="s">
        <v>8</v>
      </c>
      <c r="Y2" s="215" t="s">
        <v>9</v>
      </c>
    </row>
    <row r="3" spans="1:25" ht="37.5" x14ac:dyDescent="0.25">
      <c r="A3" s="172"/>
      <c r="B3" s="172"/>
      <c r="C3" s="114" t="s">
        <v>65</v>
      </c>
      <c r="D3" s="64" t="s">
        <v>66</v>
      </c>
      <c r="E3" s="64" t="s">
        <v>67</v>
      </c>
      <c r="F3" s="50" t="s">
        <v>68</v>
      </c>
      <c r="G3" s="215"/>
      <c r="H3" s="114" t="s">
        <v>10</v>
      </c>
      <c r="I3" s="114" t="s">
        <v>11</v>
      </c>
      <c r="J3" s="114" t="s">
        <v>12</v>
      </c>
      <c r="K3" s="114" t="s">
        <v>13</v>
      </c>
      <c r="L3" s="114" t="s">
        <v>55</v>
      </c>
      <c r="M3" s="114" t="s">
        <v>14</v>
      </c>
      <c r="N3" s="114" t="s">
        <v>15</v>
      </c>
      <c r="O3" s="114" t="s">
        <v>16</v>
      </c>
      <c r="P3" s="114" t="s">
        <v>56</v>
      </c>
      <c r="Q3" s="114" t="s">
        <v>17</v>
      </c>
      <c r="R3" s="114" t="s">
        <v>18</v>
      </c>
      <c r="S3" s="114" t="s">
        <v>19</v>
      </c>
      <c r="T3" s="114" t="s">
        <v>20</v>
      </c>
      <c r="U3" s="114" t="s">
        <v>21</v>
      </c>
      <c r="V3" s="114" t="s">
        <v>22</v>
      </c>
      <c r="W3" s="114" t="s">
        <v>23</v>
      </c>
      <c r="X3" s="215"/>
      <c r="Y3" s="215"/>
    </row>
    <row r="4" spans="1:25" ht="21.95" customHeight="1" x14ac:dyDescent="0.25">
      <c r="A4" s="2">
        <v>1</v>
      </c>
      <c r="B4" s="3" t="s">
        <v>24</v>
      </c>
      <c r="C4" s="32">
        <v>13</v>
      </c>
      <c r="D4" s="32">
        <v>1</v>
      </c>
      <c r="E4" s="32">
        <v>0</v>
      </c>
      <c r="F4" s="32">
        <f t="shared" ref="F4:F16" si="0">C4+D4-E4</f>
        <v>14</v>
      </c>
      <c r="G4" s="9">
        <v>339.5</v>
      </c>
      <c r="H4" s="8">
        <v>169575</v>
      </c>
      <c r="I4" s="8"/>
      <c r="J4" s="8">
        <v>81676</v>
      </c>
      <c r="K4" s="8">
        <v>13958</v>
      </c>
      <c r="L4" s="8">
        <v>13958</v>
      </c>
      <c r="M4" s="51">
        <f>SUM(H4:L4)</f>
        <v>279167</v>
      </c>
      <c r="N4" s="8">
        <v>20350</v>
      </c>
      <c r="O4" s="8">
        <v>1064</v>
      </c>
      <c r="P4" s="8"/>
      <c r="Q4" s="8"/>
      <c r="R4" s="8">
        <v>130</v>
      </c>
      <c r="S4" s="8">
        <v>19000</v>
      </c>
      <c r="T4" s="8">
        <v>0</v>
      </c>
      <c r="U4" s="51">
        <f>SUM(N4:T4)</f>
        <v>40544</v>
      </c>
      <c r="V4" s="8" t="s">
        <v>25</v>
      </c>
      <c r="W4" s="8" t="s">
        <v>25</v>
      </c>
      <c r="X4" s="8">
        <v>7</v>
      </c>
      <c r="Y4" s="51">
        <f>M4-U4+X4</f>
        <v>238630</v>
      </c>
    </row>
    <row r="5" spans="1:25" ht="21.95" customHeight="1" x14ac:dyDescent="0.25">
      <c r="A5" s="2">
        <v>2</v>
      </c>
      <c r="B5" s="3" t="s">
        <v>26</v>
      </c>
      <c r="C5" s="32">
        <v>9</v>
      </c>
      <c r="D5" s="32">
        <v>1</v>
      </c>
      <c r="E5" s="32">
        <v>0</v>
      </c>
      <c r="F5" s="32">
        <f t="shared" si="0"/>
        <v>10</v>
      </c>
      <c r="G5" s="9">
        <v>232.5</v>
      </c>
      <c r="H5" s="8">
        <v>68634</v>
      </c>
      <c r="I5" s="8"/>
      <c r="J5" s="8">
        <v>34317</v>
      </c>
      <c r="K5" s="8">
        <v>5720</v>
      </c>
      <c r="L5" s="8">
        <v>5720</v>
      </c>
      <c r="M5" s="51">
        <f t="shared" ref="M5:M16" si="1">SUM(H5:L5)</f>
        <v>114391</v>
      </c>
      <c r="N5" s="8">
        <v>8237</v>
      </c>
      <c r="O5" s="8">
        <v>690</v>
      </c>
      <c r="P5" s="8"/>
      <c r="Q5" s="8">
        <v>870</v>
      </c>
      <c r="R5" s="8">
        <v>90</v>
      </c>
      <c r="S5" s="8">
        <v>6000</v>
      </c>
      <c r="T5" s="8"/>
      <c r="U5" s="51">
        <f>SUM(N5:T5)</f>
        <v>15887</v>
      </c>
      <c r="V5" s="8" t="s">
        <v>25</v>
      </c>
      <c r="W5" s="8" t="s">
        <v>25</v>
      </c>
      <c r="X5" s="8">
        <v>16</v>
      </c>
      <c r="Y5" s="51">
        <f>M5-U5+X5</f>
        <v>98520</v>
      </c>
    </row>
    <row r="6" spans="1:25" ht="21.95" customHeight="1" x14ac:dyDescent="0.25">
      <c r="A6" s="2">
        <v>3</v>
      </c>
      <c r="B6" s="3" t="s">
        <v>27</v>
      </c>
      <c r="C6" s="32">
        <v>3</v>
      </c>
      <c r="D6" s="32">
        <v>0</v>
      </c>
      <c r="E6" s="120">
        <v>3</v>
      </c>
      <c r="F6" s="32">
        <f t="shared" si="0"/>
        <v>0</v>
      </c>
      <c r="G6" s="9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51">
        <f t="shared" si="1"/>
        <v>0</v>
      </c>
      <c r="N6" s="8">
        <v>0</v>
      </c>
      <c r="O6" s="8">
        <v>0</v>
      </c>
      <c r="P6" s="8"/>
      <c r="Q6" s="8"/>
      <c r="R6" s="8"/>
      <c r="S6" s="8">
        <v>0</v>
      </c>
      <c r="T6" s="8"/>
      <c r="U6" s="51">
        <f>SUM(N6:T6)</f>
        <v>0</v>
      </c>
      <c r="V6" s="8" t="s">
        <v>25</v>
      </c>
      <c r="W6" s="8" t="s">
        <v>25</v>
      </c>
      <c r="X6" s="8">
        <v>0</v>
      </c>
      <c r="Y6" s="51">
        <f>M6-U6+X6</f>
        <v>0</v>
      </c>
    </row>
    <row r="7" spans="1:25" ht="21.95" customHeight="1" x14ac:dyDescent="0.25">
      <c r="A7" s="2">
        <v>4</v>
      </c>
      <c r="B7" s="3" t="s">
        <v>28</v>
      </c>
      <c r="C7" s="32">
        <v>7</v>
      </c>
      <c r="D7" s="32">
        <v>0</v>
      </c>
      <c r="E7" s="32">
        <v>0</v>
      </c>
      <c r="F7" s="32">
        <f t="shared" si="0"/>
        <v>7</v>
      </c>
      <c r="G7" s="9">
        <v>179</v>
      </c>
      <c r="H7" s="8">
        <v>7160</v>
      </c>
      <c r="I7" s="8">
        <v>72792</v>
      </c>
      <c r="J7" s="8">
        <v>1790</v>
      </c>
      <c r="K7" s="8"/>
      <c r="L7" s="8"/>
      <c r="M7" s="51">
        <f t="shared" si="1"/>
        <v>81742</v>
      </c>
      <c r="N7" s="8">
        <v>9595</v>
      </c>
      <c r="O7" s="8">
        <v>617</v>
      </c>
      <c r="P7" s="8">
        <v>0</v>
      </c>
      <c r="Q7" s="8">
        <v>300</v>
      </c>
      <c r="R7" s="8">
        <v>70</v>
      </c>
      <c r="S7" s="8">
        <v>2000</v>
      </c>
      <c r="T7" s="8">
        <v>0</v>
      </c>
      <c r="U7" s="51">
        <f>SUM(N7:T7)</f>
        <v>12582</v>
      </c>
      <c r="V7" s="8">
        <f>+W7/5</f>
        <v>1024.2</v>
      </c>
      <c r="W7" s="8">
        <v>5121</v>
      </c>
      <c r="X7" s="8">
        <v>-1</v>
      </c>
      <c r="Y7" s="51">
        <f>M7-U7+W7+X7</f>
        <v>74280</v>
      </c>
    </row>
    <row r="8" spans="1:25" ht="24.75" customHeight="1" x14ac:dyDescent="0.25">
      <c r="A8" s="2">
        <v>5</v>
      </c>
      <c r="B8" s="28" t="s">
        <v>29</v>
      </c>
      <c r="C8" s="32">
        <v>73</v>
      </c>
      <c r="D8" s="32">
        <v>0</v>
      </c>
      <c r="E8" s="32">
        <v>1</v>
      </c>
      <c r="F8" s="32">
        <f>C8+D8-E8</f>
        <v>72</v>
      </c>
      <c r="G8" s="9">
        <v>1256</v>
      </c>
      <c r="H8" s="8">
        <v>242097</v>
      </c>
      <c r="I8" s="8"/>
      <c r="J8" s="8">
        <v>161398</v>
      </c>
      <c r="K8" s="8"/>
      <c r="L8" s="8"/>
      <c r="M8" s="51">
        <f t="shared" si="1"/>
        <v>403495</v>
      </c>
      <c r="N8" s="8">
        <v>28511</v>
      </c>
      <c r="O8" s="8">
        <v>3054</v>
      </c>
      <c r="P8" s="8">
        <v>0</v>
      </c>
      <c r="Q8" s="8">
        <v>6380</v>
      </c>
      <c r="R8" s="8">
        <v>640</v>
      </c>
      <c r="S8" s="8">
        <v>4500</v>
      </c>
      <c r="T8" s="8">
        <v>0</v>
      </c>
      <c r="U8" s="51">
        <f t="shared" ref="U8:U16" si="2">SUM(N8:T8)</f>
        <v>43085</v>
      </c>
      <c r="V8" s="8">
        <f>+W8/5</f>
        <v>21627</v>
      </c>
      <c r="W8" s="8">
        <v>108135</v>
      </c>
      <c r="X8" s="8">
        <v>-15</v>
      </c>
      <c r="Y8" s="51">
        <f t="shared" ref="Y8:Y13" si="3">M8-U8+W8+X8</f>
        <v>468530</v>
      </c>
    </row>
    <row r="9" spans="1:25" ht="30.2" customHeight="1" x14ac:dyDescent="0.25">
      <c r="A9" s="2">
        <v>6</v>
      </c>
      <c r="B9" s="28" t="s">
        <v>30</v>
      </c>
      <c r="C9" s="32">
        <v>17</v>
      </c>
      <c r="D9" s="32">
        <v>11</v>
      </c>
      <c r="E9" s="120">
        <v>3</v>
      </c>
      <c r="F9" s="32">
        <f t="shared" si="0"/>
        <v>25</v>
      </c>
      <c r="G9" s="9">
        <v>393</v>
      </c>
      <c r="H9" s="8">
        <v>75549</v>
      </c>
      <c r="I9" s="8"/>
      <c r="J9" s="8">
        <v>50366</v>
      </c>
      <c r="K9" s="8"/>
      <c r="L9" s="8"/>
      <c r="M9" s="51">
        <f t="shared" si="1"/>
        <v>125915</v>
      </c>
      <c r="N9" s="8">
        <v>9067</v>
      </c>
      <c r="O9" s="8">
        <v>956</v>
      </c>
      <c r="P9" s="8"/>
      <c r="Q9" s="8">
        <v>960</v>
      </c>
      <c r="R9" s="8">
        <v>220</v>
      </c>
      <c r="S9" s="8">
        <v>0</v>
      </c>
      <c r="T9" s="8">
        <v>0</v>
      </c>
      <c r="U9" s="51">
        <f t="shared" si="2"/>
        <v>11203</v>
      </c>
      <c r="V9" s="8">
        <f>+W9/5</f>
        <v>5595</v>
      </c>
      <c r="W9" s="8">
        <v>27975</v>
      </c>
      <c r="X9" s="8">
        <v>-7</v>
      </c>
      <c r="Y9" s="51">
        <f t="shared" si="3"/>
        <v>142680</v>
      </c>
    </row>
    <row r="10" spans="1:25" ht="26.45" customHeight="1" x14ac:dyDescent="0.25">
      <c r="A10" s="2">
        <v>7</v>
      </c>
      <c r="B10" s="28" t="s">
        <v>31</v>
      </c>
      <c r="C10" s="32">
        <v>26</v>
      </c>
      <c r="D10" s="32">
        <f>3+5</f>
        <v>8</v>
      </c>
      <c r="E10" s="120">
        <v>14</v>
      </c>
      <c r="F10" s="32">
        <f t="shared" si="0"/>
        <v>20</v>
      </c>
      <c r="G10" s="9">
        <v>190</v>
      </c>
      <c r="H10" s="8">
        <v>34200</v>
      </c>
      <c r="I10" s="8"/>
      <c r="J10" s="8">
        <v>22800</v>
      </c>
      <c r="K10" s="8"/>
      <c r="L10" s="8"/>
      <c r="M10" s="51">
        <f t="shared" si="1"/>
        <v>57000</v>
      </c>
      <c r="N10" s="8">
        <v>4104</v>
      </c>
      <c r="O10" s="8">
        <v>432</v>
      </c>
      <c r="P10" s="8"/>
      <c r="Q10" s="8">
        <v>1090</v>
      </c>
      <c r="R10" s="8">
        <v>120</v>
      </c>
      <c r="S10" s="8">
        <v>2500</v>
      </c>
      <c r="T10" s="8">
        <v>0</v>
      </c>
      <c r="U10" s="51">
        <f t="shared" si="2"/>
        <v>8246</v>
      </c>
      <c r="V10" s="8">
        <f>+W10/5</f>
        <v>932</v>
      </c>
      <c r="W10" s="8">
        <v>4660</v>
      </c>
      <c r="X10" s="8">
        <v>-4</v>
      </c>
      <c r="Y10" s="51">
        <f t="shared" si="3"/>
        <v>53410</v>
      </c>
    </row>
    <row r="11" spans="1:25" ht="28.5" customHeight="1" x14ac:dyDescent="0.25">
      <c r="A11" s="2">
        <v>8</v>
      </c>
      <c r="B11" s="28" t="s">
        <v>82</v>
      </c>
      <c r="C11" s="32">
        <v>23</v>
      </c>
      <c r="D11" s="32"/>
      <c r="E11" s="32">
        <v>5</v>
      </c>
      <c r="F11" s="32">
        <f t="shared" si="0"/>
        <v>18</v>
      </c>
      <c r="G11" s="9">
        <v>453</v>
      </c>
      <c r="H11" s="8">
        <v>82590</v>
      </c>
      <c r="I11" s="8"/>
      <c r="J11" s="8">
        <v>55060</v>
      </c>
      <c r="K11" s="8"/>
      <c r="L11" s="8"/>
      <c r="M11" s="51">
        <f t="shared" si="1"/>
        <v>137650</v>
      </c>
      <c r="N11" s="8">
        <v>9913</v>
      </c>
      <c r="O11" s="8">
        <v>1042</v>
      </c>
      <c r="P11" s="8"/>
      <c r="Q11" s="8">
        <v>1160</v>
      </c>
      <c r="R11" s="8">
        <v>180</v>
      </c>
      <c r="S11" s="8">
        <v>6000</v>
      </c>
      <c r="T11" s="8">
        <v>0</v>
      </c>
      <c r="U11" s="51">
        <f t="shared" ref="U11" si="4">SUM(N11:T11)</f>
        <v>18295</v>
      </c>
      <c r="V11" s="8">
        <f>+W11/5</f>
        <v>3858</v>
      </c>
      <c r="W11" s="8">
        <v>19290</v>
      </c>
      <c r="X11" s="8">
        <v>-5</v>
      </c>
      <c r="Y11" s="51">
        <f t="shared" si="3"/>
        <v>138640</v>
      </c>
    </row>
    <row r="12" spans="1:25" ht="37.5" customHeight="1" x14ac:dyDescent="0.25">
      <c r="A12" s="2">
        <v>9</v>
      </c>
      <c r="B12" s="28" t="s">
        <v>91</v>
      </c>
      <c r="C12" s="32">
        <v>1</v>
      </c>
      <c r="D12" s="32">
        <v>0</v>
      </c>
      <c r="E12" s="32">
        <v>1</v>
      </c>
      <c r="F12" s="32">
        <f t="shared" si="0"/>
        <v>0</v>
      </c>
      <c r="G12" s="9">
        <v>0</v>
      </c>
      <c r="H12" s="8">
        <v>0</v>
      </c>
      <c r="I12" s="8">
        <v>0</v>
      </c>
      <c r="J12" s="8">
        <v>0</v>
      </c>
      <c r="K12" s="8"/>
      <c r="L12" s="8"/>
      <c r="M12" s="51">
        <f t="shared" si="1"/>
        <v>0</v>
      </c>
      <c r="N12" s="8">
        <v>0</v>
      </c>
      <c r="O12" s="8">
        <v>0</v>
      </c>
      <c r="P12" s="8">
        <v>0</v>
      </c>
      <c r="Q12" s="8"/>
      <c r="R12" s="8">
        <v>0</v>
      </c>
      <c r="S12" s="8">
        <v>0</v>
      </c>
      <c r="T12" s="8">
        <v>0</v>
      </c>
      <c r="U12" s="51">
        <f>SUM(N12:T12)</f>
        <v>0</v>
      </c>
      <c r="V12" s="8"/>
      <c r="W12" s="8">
        <v>0</v>
      </c>
      <c r="X12" s="8">
        <v>0</v>
      </c>
      <c r="Y12" s="51">
        <f t="shared" si="3"/>
        <v>0</v>
      </c>
    </row>
    <row r="13" spans="1:25" ht="35.450000000000003" customHeight="1" x14ac:dyDescent="0.25">
      <c r="A13" s="2">
        <v>10</v>
      </c>
      <c r="B13" s="28" t="s">
        <v>90</v>
      </c>
      <c r="C13" s="32">
        <v>7</v>
      </c>
      <c r="D13" s="32">
        <v>1</v>
      </c>
      <c r="E13" s="32">
        <v>0</v>
      </c>
      <c r="F13" s="32">
        <f>C13+D13-E13</f>
        <v>8</v>
      </c>
      <c r="G13" s="9">
        <v>161</v>
      </c>
      <c r="H13" s="8">
        <v>36044</v>
      </c>
      <c r="I13" s="8"/>
      <c r="J13" s="8">
        <v>24029</v>
      </c>
      <c r="K13" s="8"/>
      <c r="L13" s="8"/>
      <c r="M13" s="51">
        <f t="shared" si="1"/>
        <v>60073</v>
      </c>
      <c r="N13" s="8">
        <v>3900</v>
      </c>
      <c r="O13" s="8">
        <v>453</v>
      </c>
      <c r="P13" s="8"/>
      <c r="Q13" s="8">
        <v>700</v>
      </c>
      <c r="R13" s="8">
        <v>70</v>
      </c>
      <c r="S13" s="8">
        <v>2000</v>
      </c>
      <c r="T13" s="8">
        <v>0</v>
      </c>
      <c r="U13" s="51">
        <f>SUM(N13:T13)</f>
        <v>7123</v>
      </c>
      <c r="V13" s="8"/>
      <c r="W13" s="8">
        <v>2700</v>
      </c>
      <c r="X13" s="8">
        <v>10</v>
      </c>
      <c r="Y13" s="51">
        <f t="shared" si="3"/>
        <v>55660</v>
      </c>
    </row>
    <row r="14" spans="1:25" ht="21.95" customHeight="1" x14ac:dyDescent="0.25">
      <c r="A14" s="2">
        <v>11</v>
      </c>
      <c r="B14" s="28" t="s">
        <v>34</v>
      </c>
      <c r="C14" s="32">
        <v>1</v>
      </c>
      <c r="D14" s="32"/>
      <c r="E14" s="32"/>
      <c r="F14" s="32">
        <f t="shared" si="0"/>
        <v>1</v>
      </c>
      <c r="G14" s="9">
        <v>26</v>
      </c>
      <c r="H14" s="8">
        <v>200000</v>
      </c>
      <c r="I14" s="8"/>
      <c r="J14" s="8">
        <v>0</v>
      </c>
      <c r="K14" s="8"/>
      <c r="L14" s="8"/>
      <c r="M14" s="51">
        <f t="shared" si="1"/>
        <v>200000</v>
      </c>
      <c r="N14" s="8">
        <v>24000</v>
      </c>
      <c r="O14" s="8">
        <v>0</v>
      </c>
      <c r="P14" s="8">
        <v>0</v>
      </c>
      <c r="Q14" s="8"/>
      <c r="R14" s="8">
        <v>0</v>
      </c>
      <c r="S14" s="8"/>
      <c r="T14" s="8">
        <v>0</v>
      </c>
      <c r="U14" s="51">
        <f>SUM(N14:T14)</f>
        <v>24000</v>
      </c>
      <c r="V14" s="8"/>
      <c r="W14" s="8"/>
      <c r="X14" s="8">
        <v>0</v>
      </c>
      <c r="Y14" s="51">
        <f>M14-U14+W14+X14</f>
        <v>176000</v>
      </c>
    </row>
    <row r="15" spans="1:25" ht="21.95" customHeight="1" x14ac:dyDescent="0.25">
      <c r="A15" s="2">
        <v>12</v>
      </c>
      <c r="B15" s="3" t="s">
        <v>35</v>
      </c>
      <c r="C15" s="32">
        <v>6</v>
      </c>
      <c r="D15" s="32">
        <v>0</v>
      </c>
      <c r="E15" s="32">
        <v>0</v>
      </c>
      <c r="F15" s="32">
        <f t="shared" si="0"/>
        <v>6</v>
      </c>
      <c r="G15" s="9">
        <v>146.6</v>
      </c>
      <c r="H15" s="8">
        <v>131752</v>
      </c>
      <c r="I15" s="8"/>
      <c r="J15" s="8">
        <v>0</v>
      </c>
      <c r="K15" s="8"/>
      <c r="L15" s="8"/>
      <c r="M15" s="51">
        <f t="shared" si="1"/>
        <v>131752</v>
      </c>
      <c r="N15" s="8"/>
      <c r="O15" s="8"/>
      <c r="P15" s="8">
        <v>0</v>
      </c>
      <c r="Q15" s="8"/>
      <c r="R15" s="8"/>
      <c r="S15" s="8">
        <v>41000</v>
      </c>
      <c r="T15" s="8"/>
      <c r="U15" s="51">
        <f>SUM(N15:T15)</f>
        <v>41000</v>
      </c>
      <c r="V15" s="8">
        <v>0</v>
      </c>
      <c r="W15" s="8"/>
      <c r="X15" s="8">
        <v>-2</v>
      </c>
      <c r="Y15" s="51">
        <f>M15-U15+W15+X15</f>
        <v>90750</v>
      </c>
    </row>
    <row r="16" spans="1:25" ht="21.95" customHeight="1" x14ac:dyDescent="0.25">
      <c r="A16" s="2">
        <v>13</v>
      </c>
      <c r="B16" s="3" t="s">
        <v>36</v>
      </c>
      <c r="C16" s="32">
        <v>4</v>
      </c>
      <c r="D16" s="32">
        <v>0</v>
      </c>
      <c r="E16" s="32">
        <v>0</v>
      </c>
      <c r="F16" s="32">
        <f t="shared" si="0"/>
        <v>4</v>
      </c>
      <c r="G16" s="9">
        <v>90</v>
      </c>
      <c r="H16" s="8">
        <v>86999</v>
      </c>
      <c r="I16" s="8"/>
      <c r="J16" s="8">
        <v>0</v>
      </c>
      <c r="K16" s="8"/>
      <c r="L16" s="8"/>
      <c r="M16" s="51">
        <f t="shared" si="1"/>
        <v>86999</v>
      </c>
      <c r="N16" s="8"/>
      <c r="O16" s="8"/>
      <c r="P16" s="8">
        <v>0</v>
      </c>
      <c r="Q16" s="8">
        <v>0</v>
      </c>
      <c r="R16" s="8"/>
      <c r="S16" s="8">
        <v>31000</v>
      </c>
      <c r="T16" s="8"/>
      <c r="U16" s="51">
        <f t="shared" si="2"/>
        <v>31000</v>
      </c>
      <c r="V16" s="8"/>
      <c r="W16" s="8"/>
      <c r="X16" s="8">
        <v>1</v>
      </c>
      <c r="Y16" s="51">
        <f t="shared" ref="Y16" si="5">M16-U16+W16+X16</f>
        <v>56000</v>
      </c>
    </row>
    <row r="17" spans="1:25" ht="18.75" x14ac:dyDescent="0.25">
      <c r="A17" s="171" t="s">
        <v>37</v>
      </c>
      <c r="B17" s="171"/>
      <c r="C17" s="52">
        <f>SUM(C4:C16)</f>
        <v>190</v>
      </c>
      <c r="D17" s="52">
        <f t="shared" ref="D17:W17" si="6">SUM(D4:D16)</f>
        <v>22</v>
      </c>
      <c r="E17" s="52">
        <f t="shared" si="6"/>
        <v>27</v>
      </c>
      <c r="F17" s="52">
        <f>SUM(F4:F16)</f>
        <v>185</v>
      </c>
      <c r="G17" s="53">
        <f t="shared" si="6"/>
        <v>3466.6</v>
      </c>
      <c r="H17" s="53">
        <f t="shared" si="6"/>
        <v>1134600</v>
      </c>
      <c r="I17" s="53">
        <f t="shared" si="6"/>
        <v>72792</v>
      </c>
      <c r="J17" s="53">
        <f t="shared" si="6"/>
        <v>431436</v>
      </c>
      <c r="K17" s="53">
        <f t="shared" si="6"/>
        <v>19678</v>
      </c>
      <c r="L17" s="53">
        <f t="shared" si="6"/>
        <v>19678</v>
      </c>
      <c r="M17" s="53">
        <f>SUM(M4:M16)</f>
        <v>1678184</v>
      </c>
      <c r="N17" s="53">
        <f>SUM(N4:N16)</f>
        <v>117677</v>
      </c>
      <c r="O17" s="53">
        <f>SUM(O4:O16)</f>
        <v>8308</v>
      </c>
      <c r="P17" s="53">
        <f t="shared" si="6"/>
        <v>0</v>
      </c>
      <c r="Q17" s="53">
        <f>SUM(Q4:Q16)</f>
        <v>11460</v>
      </c>
      <c r="R17" s="53">
        <f t="shared" si="6"/>
        <v>1520</v>
      </c>
      <c r="S17" s="53">
        <f>SUM(S4:S16)</f>
        <v>114000</v>
      </c>
      <c r="T17" s="53">
        <f t="shared" si="6"/>
        <v>0</v>
      </c>
      <c r="U17" s="53">
        <f>SUM(U4:U16)</f>
        <v>252965</v>
      </c>
      <c r="V17" s="53">
        <f t="shared" si="6"/>
        <v>33036.199999999997</v>
      </c>
      <c r="W17" s="53">
        <f t="shared" si="6"/>
        <v>167881</v>
      </c>
      <c r="X17" s="53">
        <f>SUM(X4:X16)</f>
        <v>0</v>
      </c>
      <c r="Y17" s="53">
        <f>SUM(Y4:Y16)</f>
        <v>1593100</v>
      </c>
    </row>
    <row r="18" spans="1:25" ht="18.75" x14ac:dyDescent="0.25">
      <c r="C18" s="63"/>
      <c r="D18" s="63"/>
      <c r="E18" s="108"/>
      <c r="F18" s="109"/>
      <c r="G18" s="115"/>
      <c r="H18" s="110"/>
      <c r="I18" s="115"/>
      <c r="J18" s="115"/>
      <c r="K18" s="115"/>
      <c r="L18" s="115"/>
      <c r="M18" s="115"/>
      <c r="N18" s="115"/>
      <c r="O18" s="110"/>
      <c r="P18" s="115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21" x14ac:dyDescent="0.35">
      <c r="A19" s="25" t="s">
        <v>64</v>
      </c>
      <c r="B19" s="25"/>
      <c r="C19" s="54"/>
      <c r="D19" s="54"/>
      <c r="E19" s="54"/>
      <c r="F19" s="54"/>
      <c r="G19" s="54"/>
      <c r="H19" s="95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18.75" x14ac:dyDescent="0.25">
      <c r="A20" s="179" t="s">
        <v>1</v>
      </c>
      <c r="B20" s="179" t="s">
        <v>38</v>
      </c>
      <c r="C20" s="216" t="s">
        <v>39</v>
      </c>
      <c r="D20" s="217"/>
      <c r="E20" s="217"/>
      <c r="F20" s="218"/>
      <c r="G20" s="181" t="s">
        <v>40</v>
      </c>
      <c r="H20" s="182"/>
      <c r="I20" s="213" t="s">
        <v>69</v>
      </c>
      <c r="J20" s="181" t="s">
        <v>41</v>
      </c>
      <c r="K20" s="182" t="s">
        <v>76</v>
      </c>
      <c r="L20" s="181" t="s">
        <v>77</v>
      </c>
      <c r="M20" s="182"/>
      <c r="N20" s="167" t="s">
        <v>50</v>
      </c>
      <c r="O20" s="168"/>
      <c r="P20" s="167" t="s">
        <v>53</v>
      </c>
      <c r="Q20" s="168"/>
      <c r="R20" s="181" t="s">
        <v>54</v>
      </c>
      <c r="S20" s="182"/>
      <c r="T20" s="181" t="s">
        <v>51</v>
      </c>
      <c r="U20" s="182"/>
      <c r="V20" s="213" t="s">
        <v>52</v>
      </c>
      <c r="W20" s="167" t="s">
        <v>43</v>
      </c>
      <c r="X20" s="222"/>
      <c r="Y20" s="223"/>
    </row>
    <row r="21" spans="1:25" ht="18.75" x14ac:dyDescent="0.25">
      <c r="A21" s="180"/>
      <c r="B21" s="180"/>
      <c r="C21" s="44" t="s">
        <v>65</v>
      </c>
      <c r="D21" s="44" t="s">
        <v>66</v>
      </c>
      <c r="E21" s="44" t="s">
        <v>67</v>
      </c>
      <c r="F21" s="113" t="s">
        <v>68</v>
      </c>
      <c r="G21" s="183"/>
      <c r="H21" s="184"/>
      <c r="I21" s="214"/>
      <c r="J21" s="183"/>
      <c r="K21" s="184"/>
      <c r="L21" s="183"/>
      <c r="M21" s="184"/>
      <c r="N21" s="169"/>
      <c r="O21" s="170"/>
      <c r="P21" s="169"/>
      <c r="Q21" s="170"/>
      <c r="R21" s="183"/>
      <c r="S21" s="184"/>
      <c r="T21" s="183"/>
      <c r="U21" s="184"/>
      <c r="V21" s="214"/>
      <c r="W21" s="224"/>
      <c r="X21" s="225"/>
      <c r="Y21" s="226"/>
    </row>
    <row r="22" spans="1:25" ht="33.75" customHeight="1" x14ac:dyDescent="0.3">
      <c r="A22" s="18">
        <v>1</v>
      </c>
      <c r="B22" s="19" t="str">
        <f t="shared" ref="B22:B30" si="7">B4</f>
        <v>SALARY -STAFF - BANK</v>
      </c>
      <c r="C22" s="32">
        <v>13</v>
      </c>
      <c r="D22" s="32">
        <v>1</v>
      </c>
      <c r="E22" s="32">
        <v>0</v>
      </c>
      <c r="F22" s="32">
        <f t="shared" ref="F22:F25" si="8">C22+D22-E22</f>
        <v>14</v>
      </c>
      <c r="G22" s="144">
        <v>14</v>
      </c>
      <c r="H22" s="144"/>
      <c r="I22" s="39">
        <f t="shared" ref="I22:I34" si="9">G22-F22</f>
        <v>0</v>
      </c>
      <c r="J22" s="66">
        <v>279168</v>
      </c>
      <c r="K22" s="67">
        <v>279170</v>
      </c>
      <c r="L22" s="144">
        <v>169575</v>
      </c>
      <c r="M22" s="144"/>
      <c r="N22" s="158">
        <f>+J22*60/100</f>
        <v>167500.79999999999</v>
      </c>
      <c r="O22" s="159"/>
      <c r="P22" s="144">
        <f>+L22-N22</f>
        <v>2074.2000000000116</v>
      </c>
      <c r="Q22" s="144"/>
      <c r="R22" s="203">
        <v>20350</v>
      </c>
      <c r="S22" s="203"/>
      <c r="T22" s="203">
        <v>20350</v>
      </c>
      <c r="U22" s="203"/>
      <c r="V22" s="57">
        <f t="shared" ref="V22:V34" si="10">R22-T22</f>
        <v>0</v>
      </c>
      <c r="W22" s="233" t="s">
        <v>45</v>
      </c>
      <c r="X22" s="195"/>
      <c r="Y22" s="196"/>
    </row>
    <row r="23" spans="1:25" ht="21.95" customHeight="1" x14ac:dyDescent="0.3">
      <c r="A23" s="18">
        <v>2</v>
      </c>
      <c r="B23" s="19" t="str">
        <f t="shared" si="7"/>
        <v>SALARY - STAFF -2 CSB</v>
      </c>
      <c r="C23" s="32">
        <v>9</v>
      </c>
      <c r="D23" s="32">
        <v>1</v>
      </c>
      <c r="E23" s="32">
        <v>0</v>
      </c>
      <c r="F23" s="32">
        <f t="shared" si="8"/>
        <v>10</v>
      </c>
      <c r="G23" s="144">
        <v>10</v>
      </c>
      <c r="H23" s="144"/>
      <c r="I23" s="39">
        <f t="shared" si="9"/>
        <v>0</v>
      </c>
      <c r="J23" s="66">
        <f>M5</f>
        <v>114391</v>
      </c>
      <c r="K23" s="67">
        <v>114390</v>
      </c>
      <c r="L23" s="144">
        <v>68634</v>
      </c>
      <c r="M23" s="144"/>
      <c r="N23" s="158">
        <f t="shared" ref="N23:N30" si="11">+J23*60/100</f>
        <v>68634.600000000006</v>
      </c>
      <c r="O23" s="159"/>
      <c r="P23" s="144">
        <f>+L23-N23</f>
        <v>-0.60000000000582077</v>
      </c>
      <c r="Q23" s="144"/>
      <c r="R23" s="203">
        <v>8237</v>
      </c>
      <c r="S23" s="203"/>
      <c r="T23" s="203">
        <v>8237</v>
      </c>
      <c r="U23" s="203"/>
      <c r="V23" s="57">
        <f t="shared" si="10"/>
        <v>0</v>
      </c>
      <c r="W23" s="197"/>
      <c r="X23" s="195"/>
      <c r="Y23" s="196"/>
    </row>
    <row r="24" spans="1:25" ht="21.95" customHeight="1" x14ac:dyDescent="0.3">
      <c r="A24" s="18">
        <v>3</v>
      </c>
      <c r="B24" s="19" t="str">
        <f t="shared" si="7"/>
        <v>SALARY - STAFF-CHEQUE</v>
      </c>
      <c r="C24" s="32">
        <v>3</v>
      </c>
      <c r="D24" s="32">
        <v>0</v>
      </c>
      <c r="E24" s="32">
        <v>3</v>
      </c>
      <c r="F24" s="32">
        <f t="shared" si="8"/>
        <v>0</v>
      </c>
      <c r="G24" s="144">
        <v>0</v>
      </c>
      <c r="H24" s="144"/>
      <c r="I24" s="39">
        <f t="shared" si="9"/>
        <v>0</v>
      </c>
      <c r="J24" s="66">
        <f t="shared" ref="J24:J29" si="12">M6</f>
        <v>0</v>
      </c>
      <c r="K24" s="67">
        <v>0</v>
      </c>
      <c r="L24" s="144">
        <v>0</v>
      </c>
      <c r="M24" s="144"/>
      <c r="N24" s="158">
        <f t="shared" si="11"/>
        <v>0</v>
      </c>
      <c r="O24" s="159"/>
      <c r="P24" s="144">
        <f t="shared" ref="P24:P34" si="13">+L24-N24</f>
        <v>0</v>
      </c>
      <c r="Q24" s="144"/>
      <c r="R24" s="203">
        <v>0</v>
      </c>
      <c r="S24" s="203"/>
      <c r="T24" s="203">
        <v>0</v>
      </c>
      <c r="U24" s="203"/>
      <c r="V24" s="57">
        <f t="shared" si="10"/>
        <v>0</v>
      </c>
      <c r="W24" s="197"/>
      <c r="X24" s="195"/>
      <c r="Y24" s="196"/>
    </row>
    <row r="25" spans="1:25" ht="27" customHeight="1" x14ac:dyDescent="0.3">
      <c r="A25" s="18">
        <v>4</v>
      </c>
      <c r="B25" s="19" t="str">
        <f t="shared" si="7"/>
        <v>WAGES-PERMANENT - BANK</v>
      </c>
      <c r="C25" s="32">
        <v>7</v>
      </c>
      <c r="D25" s="32">
        <v>0</v>
      </c>
      <c r="E25" s="32">
        <v>0</v>
      </c>
      <c r="F25" s="32">
        <f t="shared" si="8"/>
        <v>7</v>
      </c>
      <c r="G25" s="144">
        <v>7</v>
      </c>
      <c r="H25" s="144"/>
      <c r="I25" s="39">
        <f t="shared" si="9"/>
        <v>0</v>
      </c>
      <c r="J25" s="66">
        <f>M7</f>
        <v>81742</v>
      </c>
      <c r="K25" s="67">
        <v>81743</v>
      </c>
      <c r="L25" s="144">
        <v>79953</v>
      </c>
      <c r="M25" s="144"/>
      <c r="N25" s="158">
        <f>+J25*60/100</f>
        <v>49045.2</v>
      </c>
      <c r="O25" s="159"/>
      <c r="P25" s="144">
        <f>+L25-N25</f>
        <v>30907.800000000003</v>
      </c>
      <c r="Q25" s="144"/>
      <c r="R25" s="203">
        <v>9595</v>
      </c>
      <c r="S25" s="203"/>
      <c r="T25" s="203">
        <v>9595</v>
      </c>
      <c r="U25" s="203"/>
      <c r="V25" s="57">
        <f t="shared" si="10"/>
        <v>0</v>
      </c>
      <c r="W25" s="197" t="s">
        <v>48</v>
      </c>
      <c r="X25" s="195"/>
      <c r="Y25" s="196"/>
    </row>
    <row r="26" spans="1:25" ht="26.45" customHeight="1" x14ac:dyDescent="0.3">
      <c r="A26" s="18">
        <v>5</v>
      </c>
      <c r="B26" s="112" t="str">
        <f t="shared" si="7"/>
        <v>WAGES - CASUAL - BANK(OUTSIDE)</v>
      </c>
      <c r="C26" s="32">
        <v>73</v>
      </c>
      <c r="D26" s="32">
        <v>0</v>
      </c>
      <c r="E26" s="32">
        <v>1</v>
      </c>
      <c r="F26" s="32">
        <f>C26+D26-E26</f>
        <v>72</v>
      </c>
      <c r="G26" s="144">
        <v>72</v>
      </c>
      <c r="H26" s="144"/>
      <c r="I26" s="39">
        <f t="shared" si="9"/>
        <v>0</v>
      </c>
      <c r="J26" s="66">
        <f>M8</f>
        <v>403495</v>
      </c>
      <c r="K26" s="67">
        <f>403495-7480</f>
        <v>396015</v>
      </c>
      <c r="L26" s="144">
        <f>242097-4488</f>
        <v>237609</v>
      </c>
      <c r="M26" s="144"/>
      <c r="N26" s="158">
        <f t="shared" si="11"/>
        <v>242097</v>
      </c>
      <c r="O26" s="159"/>
      <c r="P26" s="144">
        <f t="shared" si="13"/>
        <v>-4488</v>
      </c>
      <c r="Q26" s="144"/>
      <c r="R26" s="203">
        <v>28511</v>
      </c>
      <c r="S26" s="203"/>
      <c r="T26" s="203">
        <v>28511</v>
      </c>
      <c r="U26" s="203"/>
      <c r="V26" s="57">
        <f t="shared" si="10"/>
        <v>0</v>
      </c>
      <c r="W26" s="197" t="s">
        <v>87</v>
      </c>
      <c r="X26" s="195"/>
      <c r="Y26" s="196"/>
    </row>
    <row r="27" spans="1:25" ht="24.75" customHeight="1" x14ac:dyDescent="0.3">
      <c r="A27" s="18">
        <v>6</v>
      </c>
      <c r="B27" s="112" t="str">
        <f t="shared" si="7"/>
        <v>WAGES - CASUAL - CASH(OUTSIDE)</v>
      </c>
      <c r="C27" s="32">
        <v>17</v>
      </c>
      <c r="D27" s="32">
        <v>11</v>
      </c>
      <c r="E27" s="32">
        <v>3</v>
      </c>
      <c r="F27" s="32">
        <f t="shared" ref="F27:F30" si="14">C27+D27-E27</f>
        <v>25</v>
      </c>
      <c r="G27" s="144">
        <v>25</v>
      </c>
      <c r="H27" s="144"/>
      <c r="I27" s="39">
        <f t="shared" si="9"/>
        <v>0</v>
      </c>
      <c r="J27" s="66">
        <f>M9</f>
        <v>125915</v>
      </c>
      <c r="K27" s="67">
        <v>125915</v>
      </c>
      <c r="L27" s="144">
        <v>75549</v>
      </c>
      <c r="M27" s="144"/>
      <c r="N27" s="158">
        <f t="shared" si="11"/>
        <v>75549</v>
      </c>
      <c r="O27" s="159"/>
      <c r="P27" s="144">
        <f t="shared" si="13"/>
        <v>0</v>
      </c>
      <c r="Q27" s="144"/>
      <c r="R27" s="203">
        <v>9067</v>
      </c>
      <c r="S27" s="203"/>
      <c r="T27" s="203">
        <v>9067</v>
      </c>
      <c r="U27" s="203"/>
      <c r="V27" s="57">
        <f t="shared" si="10"/>
        <v>0</v>
      </c>
      <c r="W27" s="197"/>
      <c r="X27" s="195"/>
      <c r="Y27" s="196"/>
    </row>
    <row r="28" spans="1:25" ht="28.5" customHeight="1" x14ac:dyDescent="0.3">
      <c r="A28" s="18">
        <v>7</v>
      </c>
      <c r="B28" s="112" t="str">
        <f t="shared" si="7"/>
        <v>WAGES - CASUAL - CASH(INSIDE)</v>
      </c>
      <c r="C28" s="32">
        <v>26</v>
      </c>
      <c r="D28" s="32">
        <v>8</v>
      </c>
      <c r="E28" s="32">
        <v>14</v>
      </c>
      <c r="F28" s="32">
        <f t="shared" si="14"/>
        <v>20</v>
      </c>
      <c r="G28" s="144">
        <v>20</v>
      </c>
      <c r="H28" s="144"/>
      <c r="I28" s="39">
        <f t="shared" si="9"/>
        <v>0</v>
      </c>
      <c r="J28" s="66">
        <f t="shared" si="12"/>
        <v>57000</v>
      </c>
      <c r="K28" s="67">
        <v>57000</v>
      </c>
      <c r="L28" s="144">
        <v>34200</v>
      </c>
      <c r="M28" s="144"/>
      <c r="N28" s="158">
        <f t="shared" si="11"/>
        <v>34200</v>
      </c>
      <c r="O28" s="159"/>
      <c r="P28" s="144">
        <f t="shared" si="13"/>
        <v>0</v>
      </c>
      <c r="Q28" s="144"/>
      <c r="R28" s="203">
        <v>4104</v>
      </c>
      <c r="S28" s="203"/>
      <c r="T28" s="203">
        <v>4104</v>
      </c>
      <c r="U28" s="203"/>
      <c r="V28" s="57">
        <f t="shared" si="10"/>
        <v>0</v>
      </c>
      <c r="W28" s="197"/>
      <c r="X28" s="195"/>
      <c r="Y28" s="196"/>
    </row>
    <row r="29" spans="1:25" ht="27.75" customHeight="1" x14ac:dyDescent="0.3">
      <c r="A29" s="18">
        <v>8</v>
      </c>
      <c r="B29" s="112" t="str">
        <f t="shared" si="7"/>
        <v>WAGES - CASUAL - BANK(INSIDE)</v>
      </c>
      <c r="C29" s="32">
        <v>23</v>
      </c>
      <c r="D29" s="32">
        <v>0</v>
      </c>
      <c r="E29" s="32">
        <v>5</v>
      </c>
      <c r="F29" s="32">
        <f t="shared" si="14"/>
        <v>18</v>
      </c>
      <c r="G29" s="144">
        <v>18</v>
      </c>
      <c r="H29" s="144"/>
      <c r="I29" s="39">
        <f t="shared" si="9"/>
        <v>0</v>
      </c>
      <c r="J29" s="66">
        <f t="shared" si="12"/>
        <v>137650</v>
      </c>
      <c r="K29" s="67">
        <v>137650</v>
      </c>
      <c r="L29" s="144">
        <v>82590</v>
      </c>
      <c r="M29" s="144"/>
      <c r="N29" s="158">
        <f t="shared" si="11"/>
        <v>82590</v>
      </c>
      <c r="O29" s="159"/>
      <c r="P29" s="144">
        <f t="shared" si="13"/>
        <v>0</v>
      </c>
      <c r="Q29" s="144"/>
      <c r="R29" s="203">
        <v>9913</v>
      </c>
      <c r="S29" s="203"/>
      <c r="T29" s="203">
        <v>9913</v>
      </c>
      <c r="U29" s="203"/>
      <c r="V29" s="57">
        <f t="shared" si="10"/>
        <v>0</v>
      </c>
      <c r="W29" s="197"/>
      <c r="X29" s="195"/>
      <c r="Y29" s="196"/>
    </row>
    <row r="30" spans="1:25" ht="30.2" customHeight="1" x14ac:dyDescent="0.3">
      <c r="A30" s="18">
        <v>9</v>
      </c>
      <c r="B30" s="112" t="str">
        <f t="shared" si="7"/>
        <v>WAGES - SECUR &amp; GARDEN - CHQ</v>
      </c>
      <c r="C30" s="32">
        <v>1</v>
      </c>
      <c r="D30" s="32"/>
      <c r="E30" s="32">
        <v>1</v>
      </c>
      <c r="F30" s="32">
        <f t="shared" si="14"/>
        <v>0</v>
      </c>
      <c r="G30" s="144">
        <v>0</v>
      </c>
      <c r="H30" s="144"/>
      <c r="I30" s="39">
        <f>G30-F30</f>
        <v>0</v>
      </c>
      <c r="J30" s="66">
        <v>0</v>
      </c>
      <c r="K30" s="67">
        <v>0</v>
      </c>
      <c r="L30" s="144">
        <v>0</v>
      </c>
      <c r="M30" s="144"/>
      <c r="N30" s="158">
        <f t="shared" si="11"/>
        <v>0</v>
      </c>
      <c r="O30" s="159"/>
      <c r="P30" s="144">
        <f t="shared" si="13"/>
        <v>0</v>
      </c>
      <c r="Q30" s="144"/>
      <c r="R30" s="203">
        <v>0</v>
      </c>
      <c r="S30" s="203"/>
      <c r="T30" s="203">
        <v>0</v>
      </c>
      <c r="U30" s="203"/>
      <c r="V30" s="57">
        <f t="shared" si="10"/>
        <v>0</v>
      </c>
      <c r="W30" s="197" t="s">
        <v>88</v>
      </c>
      <c r="X30" s="195"/>
      <c r="Y30" s="196"/>
    </row>
    <row r="31" spans="1:25" ht="27.75" customHeight="1" x14ac:dyDescent="0.3">
      <c r="A31" s="18">
        <v>10</v>
      </c>
      <c r="B31" s="112" t="str">
        <f>B13</f>
        <v>WAGES - SECUR &amp; GARDEN - BANK</v>
      </c>
      <c r="C31" s="32">
        <v>7</v>
      </c>
      <c r="D31" s="32">
        <v>1</v>
      </c>
      <c r="E31" s="32">
        <v>0</v>
      </c>
      <c r="F31" s="32">
        <f>C31+D31-E31</f>
        <v>8</v>
      </c>
      <c r="G31" s="144">
        <v>8</v>
      </c>
      <c r="H31" s="144"/>
      <c r="I31" s="39">
        <f t="shared" si="9"/>
        <v>0</v>
      </c>
      <c r="J31" s="66">
        <f>M13</f>
        <v>60073</v>
      </c>
      <c r="K31" s="67">
        <f>60073-5918</f>
        <v>54155</v>
      </c>
      <c r="L31" s="144">
        <f>36044-3551</f>
        <v>32493</v>
      </c>
      <c r="M31" s="144"/>
      <c r="N31" s="158">
        <f>+J31*60/100</f>
        <v>36043.800000000003</v>
      </c>
      <c r="O31" s="159"/>
      <c r="P31" s="144">
        <f t="shared" si="13"/>
        <v>-3550.8000000000029</v>
      </c>
      <c r="Q31" s="144"/>
      <c r="R31" s="203">
        <v>3900</v>
      </c>
      <c r="S31" s="203"/>
      <c r="T31" s="203">
        <v>3900</v>
      </c>
      <c r="U31" s="203"/>
      <c r="V31" s="57">
        <f t="shared" si="10"/>
        <v>0</v>
      </c>
      <c r="W31" s="197" t="s">
        <v>89</v>
      </c>
      <c r="X31" s="195"/>
      <c r="Y31" s="196"/>
    </row>
    <row r="32" spans="1:25" ht="21.95" customHeight="1" x14ac:dyDescent="0.3">
      <c r="A32" s="18">
        <v>11</v>
      </c>
      <c r="B32" s="112" t="s">
        <v>34</v>
      </c>
      <c r="C32" s="32">
        <v>1</v>
      </c>
      <c r="D32" s="32">
        <v>0</v>
      </c>
      <c r="E32" s="32"/>
      <c r="F32" s="32">
        <f t="shared" ref="F32:F34" si="15">C32+D32-E32</f>
        <v>1</v>
      </c>
      <c r="G32" s="158">
        <v>1</v>
      </c>
      <c r="H32" s="159"/>
      <c r="I32" s="39"/>
      <c r="J32" s="66">
        <v>200000</v>
      </c>
      <c r="K32" s="67">
        <v>200000</v>
      </c>
      <c r="L32" s="158">
        <v>200000</v>
      </c>
      <c r="M32" s="159"/>
      <c r="N32" s="158">
        <f>+J32*60/100</f>
        <v>120000</v>
      </c>
      <c r="O32" s="159"/>
      <c r="P32" s="144">
        <f t="shared" si="13"/>
        <v>80000</v>
      </c>
      <c r="Q32" s="144"/>
      <c r="R32" s="204">
        <v>24000</v>
      </c>
      <c r="S32" s="205"/>
      <c r="T32" s="204">
        <v>24000</v>
      </c>
      <c r="U32" s="205"/>
      <c r="V32" s="57">
        <f t="shared" si="10"/>
        <v>0</v>
      </c>
      <c r="W32" s="189" t="s">
        <v>75</v>
      </c>
      <c r="X32" s="190"/>
      <c r="Y32" s="191"/>
    </row>
    <row r="33" spans="1:25" ht="21.95" customHeight="1" x14ac:dyDescent="0.3">
      <c r="A33" s="18">
        <v>12</v>
      </c>
      <c r="B33" s="19" t="str">
        <f t="shared" ref="B33:B34" si="16">B15</f>
        <v>EXEMPTED - BANK</v>
      </c>
      <c r="C33" s="32">
        <v>6</v>
      </c>
      <c r="D33" s="32">
        <v>0</v>
      </c>
      <c r="E33" s="32">
        <v>0</v>
      </c>
      <c r="F33" s="32">
        <f t="shared" si="15"/>
        <v>6</v>
      </c>
      <c r="G33" s="144"/>
      <c r="H33" s="144"/>
      <c r="I33" s="39">
        <f t="shared" si="9"/>
        <v>-6</v>
      </c>
      <c r="J33" s="8">
        <v>124670</v>
      </c>
      <c r="K33" s="8">
        <v>0</v>
      </c>
      <c r="L33" s="144">
        <v>0</v>
      </c>
      <c r="M33" s="144"/>
      <c r="N33" s="158">
        <v>0</v>
      </c>
      <c r="O33" s="159"/>
      <c r="P33" s="144">
        <f t="shared" si="13"/>
        <v>0</v>
      </c>
      <c r="Q33" s="144"/>
      <c r="R33" s="203">
        <v>0</v>
      </c>
      <c r="S33" s="203"/>
      <c r="T33" s="203">
        <v>0</v>
      </c>
      <c r="U33" s="203"/>
      <c r="V33" s="57">
        <f t="shared" si="10"/>
        <v>0</v>
      </c>
      <c r="W33" s="197" t="s">
        <v>49</v>
      </c>
      <c r="X33" s="195"/>
      <c r="Y33" s="196"/>
    </row>
    <row r="34" spans="1:25" ht="21.95" customHeight="1" x14ac:dyDescent="0.3">
      <c r="A34" s="18">
        <v>13</v>
      </c>
      <c r="B34" s="19" t="str">
        <f t="shared" si="16"/>
        <v>EXEMPTED - CHEQUE</v>
      </c>
      <c r="C34" s="32">
        <v>4</v>
      </c>
      <c r="D34" s="32">
        <v>0</v>
      </c>
      <c r="E34" s="32">
        <v>0</v>
      </c>
      <c r="F34" s="32">
        <f t="shared" si="15"/>
        <v>4</v>
      </c>
      <c r="G34" s="144">
        <v>0</v>
      </c>
      <c r="H34" s="144"/>
      <c r="I34" s="39">
        <f t="shared" si="9"/>
        <v>-4</v>
      </c>
      <c r="J34" s="8">
        <v>82761</v>
      </c>
      <c r="K34" s="8">
        <v>0</v>
      </c>
      <c r="L34" s="144">
        <v>0</v>
      </c>
      <c r="M34" s="144"/>
      <c r="N34" s="158">
        <v>0</v>
      </c>
      <c r="O34" s="159"/>
      <c r="P34" s="212">
        <f t="shared" si="13"/>
        <v>0</v>
      </c>
      <c r="Q34" s="212"/>
      <c r="R34" s="203">
        <v>0</v>
      </c>
      <c r="S34" s="203"/>
      <c r="T34" s="203">
        <v>0</v>
      </c>
      <c r="U34" s="203"/>
      <c r="V34" s="57">
        <f t="shared" si="10"/>
        <v>0</v>
      </c>
      <c r="W34" s="197" t="s">
        <v>49</v>
      </c>
      <c r="X34" s="195"/>
      <c r="Y34" s="196"/>
    </row>
    <row r="35" spans="1:25" ht="18.75" x14ac:dyDescent="0.25">
      <c r="A35" s="18"/>
      <c r="B35" s="22" t="s">
        <v>47</v>
      </c>
      <c r="C35" s="113">
        <f>SUM(C22:C34)</f>
        <v>190</v>
      </c>
      <c r="D35" s="111">
        <f t="shared" ref="D35:E35" si="17">SUM(D22:D34)</f>
        <v>22</v>
      </c>
      <c r="E35" s="58">
        <f t="shared" si="17"/>
        <v>27</v>
      </c>
      <c r="F35" s="58">
        <f>SUM(F22:F34)</f>
        <v>185</v>
      </c>
      <c r="G35" s="201">
        <f>SUM(G22:H34)</f>
        <v>175</v>
      </c>
      <c r="H35" s="201"/>
      <c r="I35" s="59">
        <f>SUM(I22:I34)</f>
        <v>-10</v>
      </c>
      <c r="J35" s="68">
        <f>SUM(J22:J34)</f>
        <v>1666865</v>
      </c>
      <c r="K35" s="68">
        <f>SUM(K22:K34)</f>
        <v>1446038</v>
      </c>
      <c r="L35" s="200">
        <f>SUM(L22:M34)</f>
        <v>980603</v>
      </c>
      <c r="M35" s="200"/>
      <c r="N35" s="200">
        <f>SUM(N22:O34)</f>
        <v>875660.4</v>
      </c>
      <c r="O35" s="200"/>
      <c r="P35" s="200">
        <f>SUM(P22:Q34)</f>
        <v>104942.6</v>
      </c>
      <c r="Q35" s="200"/>
      <c r="R35" s="200">
        <f>SUM(R22:S34)</f>
        <v>117677</v>
      </c>
      <c r="S35" s="200"/>
      <c r="T35" s="200">
        <f>SUM(T22:U34)</f>
        <v>117677</v>
      </c>
      <c r="U35" s="200"/>
      <c r="V35" s="60">
        <f>SUM(V22:V34)</f>
        <v>0</v>
      </c>
      <c r="W35" s="207"/>
      <c r="X35" s="208"/>
      <c r="Y35" s="209"/>
    </row>
    <row r="38" spans="1:25" ht="21" x14ac:dyDescent="0.35">
      <c r="A38" s="25" t="s">
        <v>63</v>
      </c>
      <c r="B38" s="25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ht="18.75" x14ac:dyDescent="0.25">
      <c r="A39" s="163" t="s">
        <v>1</v>
      </c>
      <c r="B39" s="163" t="s">
        <v>38</v>
      </c>
      <c r="C39" s="166" t="s">
        <v>39</v>
      </c>
      <c r="D39" s="166"/>
      <c r="E39" s="166"/>
      <c r="F39" s="166"/>
      <c r="G39" s="155" t="s">
        <v>61</v>
      </c>
      <c r="H39" s="166" t="s">
        <v>62</v>
      </c>
      <c r="I39" s="155" t="s">
        <v>41</v>
      </c>
      <c r="J39" s="155"/>
      <c r="K39" s="164" t="s">
        <v>60</v>
      </c>
      <c r="L39" s="155" t="s">
        <v>44</v>
      </c>
      <c r="M39" s="155"/>
      <c r="N39" s="166" t="s">
        <v>57</v>
      </c>
      <c r="O39" s="166"/>
      <c r="P39" s="166" t="s">
        <v>53</v>
      </c>
      <c r="Q39" s="166"/>
      <c r="R39" s="155" t="s">
        <v>59</v>
      </c>
      <c r="S39" s="155"/>
      <c r="T39" s="155" t="s">
        <v>58</v>
      </c>
      <c r="U39" s="155"/>
      <c r="V39" s="166" t="s">
        <v>74</v>
      </c>
      <c r="W39" s="166" t="s">
        <v>43</v>
      </c>
      <c r="X39" s="166"/>
      <c r="Y39" s="166"/>
    </row>
    <row r="40" spans="1:25" ht="18.75" x14ac:dyDescent="0.25">
      <c r="A40" s="163"/>
      <c r="B40" s="163"/>
      <c r="C40" s="44" t="s">
        <v>65</v>
      </c>
      <c r="D40" s="44" t="s">
        <v>66</v>
      </c>
      <c r="E40" s="44" t="s">
        <v>67</v>
      </c>
      <c r="F40" s="113" t="s">
        <v>68</v>
      </c>
      <c r="G40" s="155"/>
      <c r="H40" s="166"/>
      <c r="I40" s="155"/>
      <c r="J40" s="155"/>
      <c r="K40" s="165"/>
      <c r="L40" s="155"/>
      <c r="M40" s="155"/>
      <c r="N40" s="166"/>
      <c r="O40" s="166"/>
      <c r="P40" s="166"/>
      <c r="Q40" s="166"/>
      <c r="R40" s="155"/>
      <c r="S40" s="155"/>
      <c r="T40" s="155"/>
      <c r="U40" s="155"/>
      <c r="V40" s="166"/>
      <c r="W40" s="166"/>
      <c r="X40" s="166"/>
      <c r="Y40" s="166"/>
    </row>
    <row r="41" spans="1:25" ht="28.5" customHeight="1" x14ac:dyDescent="0.3">
      <c r="A41" s="18">
        <v>1</v>
      </c>
      <c r="B41" s="112" t="str">
        <f>B22</f>
        <v>SALARY -STAFF - BANK</v>
      </c>
      <c r="C41" s="32">
        <v>13</v>
      </c>
      <c r="D41" s="32">
        <v>1</v>
      </c>
      <c r="E41" s="32">
        <v>0</v>
      </c>
      <c r="F41" s="32">
        <f t="shared" ref="F41:F44" si="18">C41+D41-E41</f>
        <v>14</v>
      </c>
      <c r="G41" s="56">
        <v>10</v>
      </c>
      <c r="H41" s="39">
        <f t="shared" ref="H41:H53" si="19">G41-F41</f>
        <v>-4</v>
      </c>
      <c r="I41" s="203">
        <f>M4</f>
        <v>279167</v>
      </c>
      <c r="J41" s="203"/>
      <c r="K41" s="39">
        <v>0</v>
      </c>
      <c r="L41" s="144">
        <v>141343</v>
      </c>
      <c r="M41" s="144"/>
      <c r="N41" s="144">
        <f>+I41+K41</f>
        <v>279167</v>
      </c>
      <c r="O41" s="144"/>
      <c r="P41" s="144">
        <f>+L41-N41</f>
        <v>-137824</v>
      </c>
      <c r="Q41" s="144"/>
      <c r="R41" s="204">
        <v>1064</v>
      </c>
      <c r="S41" s="205"/>
      <c r="T41" s="203">
        <v>1064</v>
      </c>
      <c r="U41" s="203"/>
      <c r="V41" s="57">
        <f>R41-T41</f>
        <v>0</v>
      </c>
      <c r="W41" s="202" t="s">
        <v>83</v>
      </c>
      <c r="X41" s="202"/>
      <c r="Y41" s="202"/>
    </row>
    <row r="42" spans="1:25" ht="27.75" customHeight="1" x14ac:dyDescent="0.3">
      <c r="A42" s="18">
        <v>2</v>
      </c>
      <c r="B42" s="112" t="str">
        <f t="shared" ref="B42:B53" si="20">B23</f>
        <v>SALARY - STAFF -2 CSB</v>
      </c>
      <c r="C42" s="32">
        <v>9</v>
      </c>
      <c r="D42" s="32">
        <v>1</v>
      </c>
      <c r="E42" s="32">
        <v>0</v>
      </c>
      <c r="F42" s="32">
        <f t="shared" si="18"/>
        <v>10</v>
      </c>
      <c r="G42" s="56">
        <v>9</v>
      </c>
      <c r="H42" s="39">
        <f t="shared" si="19"/>
        <v>-1</v>
      </c>
      <c r="I42" s="203">
        <f>M5</f>
        <v>114391</v>
      </c>
      <c r="J42" s="203"/>
      <c r="K42" s="39">
        <v>2900</v>
      </c>
      <c r="L42" s="144">
        <f>91544+2900</f>
        <v>94444</v>
      </c>
      <c r="M42" s="144"/>
      <c r="N42" s="144">
        <f>+I42+K42</f>
        <v>117291</v>
      </c>
      <c r="O42" s="144"/>
      <c r="P42" s="144">
        <f>+L42-N42</f>
        <v>-22847</v>
      </c>
      <c r="Q42" s="144"/>
      <c r="R42" s="204">
        <v>712</v>
      </c>
      <c r="S42" s="205"/>
      <c r="T42" s="203">
        <v>712</v>
      </c>
      <c r="U42" s="203"/>
      <c r="V42" s="57">
        <f>R42-T42</f>
        <v>0</v>
      </c>
      <c r="W42" s="202" t="s">
        <v>71</v>
      </c>
      <c r="X42" s="202"/>
      <c r="Y42" s="202"/>
    </row>
    <row r="43" spans="1:25" ht="30.75" customHeight="1" x14ac:dyDescent="0.3">
      <c r="A43" s="18">
        <v>3</v>
      </c>
      <c r="B43" s="112" t="str">
        <f t="shared" si="20"/>
        <v>SALARY - STAFF-CHEQUE</v>
      </c>
      <c r="C43" s="32">
        <v>3</v>
      </c>
      <c r="D43" s="32">
        <v>0</v>
      </c>
      <c r="E43" s="32">
        <v>3</v>
      </c>
      <c r="F43" s="32">
        <f t="shared" si="18"/>
        <v>0</v>
      </c>
      <c r="G43" s="56">
        <v>0</v>
      </c>
      <c r="H43" s="39">
        <f t="shared" si="19"/>
        <v>0</v>
      </c>
      <c r="I43" s="203">
        <f t="shared" ref="I43:I53" si="21">M6</f>
        <v>0</v>
      </c>
      <c r="J43" s="203"/>
      <c r="K43" s="39">
        <v>0</v>
      </c>
      <c r="L43" s="144">
        <v>0</v>
      </c>
      <c r="M43" s="144"/>
      <c r="N43" s="144">
        <f t="shared" ref="N43:N53" si="22">+I43+K43</f>
        <v>0</v>
      </c>
      <c r="O43" s="144"/>
      <c r="P43" s="144">
        <f>+L43-N43</f>
        <v>0</v>
      </c>
      <c r="Q43" s="144"/>
      <c r="R43" s="204">
        <v>0</v>
      </c>
      <c r="S43" s="205"/>
      <c r="T43" s="203">
        <v>0</v>
      </c>
      <c r="U43" s="203"/>
      <c r="V43" s="57">
        <f t="shared" ref="V43:V53" si="23">R43-T43</f>
        <v>0</v>
      </c>
      <c r="W43" s="202"/>
      <c r="X43" s="202"/>
      <c r="Y43" s="202"/>
    </row>
    <row r="44" spans="1:25" ht="26.45" customHeight="1" x14ac:dyDescent="0.3">
      <c r="A44" s="18">
        <v>4</v>
      </c>
      <c r="B44" s="112" t="str">
        <f t="shared" si="20"/>
        <v>WAGES-PERMANENT - BANK</v>
      </c>
      <c r="C44" s="32">
        <v>7</v>
      </c>
      <c r="D44" s="32">
        <v>0</v>
      </c>
      <c r="E44" s="32">
        <v>0</v>
      </c>
      <c r="F44" s="32">
        <f t="shared" si="18"/>
        <v>7</v>
      </c>
      <c r="G44" s="56">
        <v>7</v>
      </c>
      <c r="H44" s="39">
        <f t="shared" si="19"/>
        <v>0</v>
      </c>
      <c r="I44" s="203">
        <f t="shared" si="21"/>
        <v>81742</v>
      </c>
      <c r="J44" s="203"/>
      <c r="K44" s="39">
        <v>1158</v>
      </c>
      <c r="L44" s="144">
        <f>81743+1158</f>
        <v>82901</v>
      </c>
      <c r="M44" s="144"/>
      <c r="N44" s="144">
        <f>+I44+K44</f>
        <v>82900</v>
      </c>
      <c r="O44" s="144"/>
      <c r="P44" s="144">
        <f t="shared" ref="P44:P53" si="24">+L44-N44</f>
        <v>1</v>
      </c>
      <c r="Q44" s="144"/>
      <c r="R44" s="204">
        <f>617+9</f>
        <v>626</v>
      </c>
      <c r="S44" s="205"/>
      <c r="T44" s="203">
        <f>617+9</f>
        <v>626</v>
      </c>
      <c r="U44" s="203"/>
      <c r="V44" s="57">
        <f t="shared" si="23"/>
        <v>0</v>
      </c>
      <c r="W44" s="202"/>
      <c r="X44" s="202"/>
      <c r="Y44" s="202"/>
    </row>
    <row r="45" spans="1:25" ht="30.75" customHeight="1" x14ac:dyDescent="0.3">
      <c r="A45" s="18">
        <v>5</v>
      </c>
      <c r="B45" s="112" t="str">
        <f>B26</f>
        <v>WAGES - CASUAL - BANK(OUTSIDE)</v>
      </c>
      <c r="C45" s="32">
        <v>73</v>
      </c>
      <c r="D45" s="32">
        <v>0</v>
      </c>
      <c r="E45" s="32">
        <v>1</v>
      </c>
      <c r="F45" s="32">
        <f>C45+D45-E45</f>
        <v>72</v>
      </c>
      <c r="G45" s="56">
        <v>72</v>
      </c>
      <c r="H45" s="39">
        <f t="shared" si="19"/>
        <v>0</v>
      </c>
      <c r="I45" s="203">
        <f t="shared" si="21"/>
        <v>403495</v>
      </c>
      <c r="J45" s="203"/>
      <c r="K45" s="39">
        <v>0</v>
      </c>
      <c r="L45" s="144">
        <v>403495</v>
      </c>
      <c r="M45" s="144"/>
      <c r="N45" s="158">
        <f>+I45+K45</f>
        <v>403495</v>
      </c>
      <c r="O45" s="159"/>
      <c r="P45" s="144">
        <f t="shared" si="24"/>
        <v>0</v>
      </c>
      <c r="Q45" s="144"/>
      <c r="R45" s="204">
        <v>3054</v>
      </c>
      <c r="S45" s="205"/>
      <c r="T45" s="203">
        <f>3054-1</f>
        <v>3053</v>
      </c>
      <c r="U45" s="203"/>
      <c r="V45" s="57">
        <f t="shared" si="23"/>
        <v>1</v>
      </c>
      <c r="W45" s="202"/>
      <c r="X45" s="202"/>
      <c r="Y45" s="202"/>
    </row>
    <row r="46" spans="1:25" ht="28.5" customHeight="1" x14ac:dyDescent="0.3">
      <c r="A46" s="18">
        <v>6</v>
      </c>
      <c r="B46" s="112" t="str">
        <f t="shared" si="20"/>
        <v>WAGES - CASUAL - CASH(OUTSIDE)</v>
      </c>
      <c r="C46" s="41">
        <v>17</v>
      </c>
      <c r="D46" s="41">
        <v>11</v>
      </c>
      <c r="E46" s="41">
        <v>3</v>
      </c>
      <c r="F46" s="41">
        <f t="shared" ref="F46:F49" si="25">C46+D46-E46</f>
        <v>25</v>
      </c>
      <c r="G46" s="56">
        <v>25</v>
      </c>
      <c r="H46" s="39">
        <f t="shared" si="19"/>
        <v>0</v>
      </c>
      <c r="I46" s="203">
        <f t="shared" si="21"/>
        <v>125915</v>
      </c>
      <c r="J46" s="203"/>
      <c r="K46" s="39">
        <v>12666</v>
      </c>
      <c r="L46" s="144">
        <f>125915+12666</f>
        <v>138581</v>
      </c>
      <c r="M46" s="144"/>
      <c r="N46" s="158">
        <f>+I46+K46</f>
        <v>138581</v>
      </c>
      <c r="O46" s="159"/>
      <c r="P46" s="144">
        <f t="shared" si="24"/>
        <v>0</v>
      </c>
      <c r="Q46" s="144"/>
      <c r="R46" s="204">
        <f>956+95</f>
        <v>1051</v>
      </c>
      <c r="S46" s="205"/>
      <c r="T46" s="203">
        <v>1051</v>
      </c>
      <c r="U46" s="203"/>
      <c r="V46" s="57">
        <f t="shared" si="23"/>
        <v>0</v>
      </c>
      <c r="W46" s="202"/>
      <c r="X46" s="202"/>
      <c r="Y46" s="202"/>
    </row>
    <row r="47" spans="1:25" ht="30.75" customHeight="1" x14ac:dyDescent="0.3">
      <c r="A47" s="18">
        <v>7</v>
      </c>
      <c r="B47" s="112" t="str">
        <f>B28</f>
        <v>WAGES - CASUAL - CASH(INSIDE)</v>
      </c>
      <c r="C47" s="32">
        <v>26</v>
      </c>
      <c r="D47" s="32">
        <v>8</v>
      </c>
      <c r="E47" s="32">
        <v>14</v>
      </c>
      <c r="F47" s="32">
        <f t="shared" si="25"/>
        <v>20</v>
      </c>
      <c r="G47" s="56">
        <v>20</v>
      </c>
      <c r="H47" s="39">
        <f t="shared" si="19"/>
        <v>0</v>
      </c>
      <c r="I47" s="203">
        <f t="shared" si="21"/>
        <v>57000</v>
      </c>
      <c r="J47" s="203"/>
      <c r="K47" s="39">
        <v>23279</v>
      </c>
      <c r="L47" s="203">
        <f>57000+23279</f>
        <v>80279</v>
      </c>
      <c r="M47" s="203"/>
      <c r="N47" s="158">
        <f>+I47+K47</f>
        <v>80279</v>
      </c>
      <c r="O47" s="159"/>
      <c r="P47" s="144">
        <f>+L47-N47</f>
        <v>0</v>
      </c>
      <c r="Q47" s="144"/>
      <c r="R47" s="204">
        <f>432+175</f>
        <v>607</v>
      </c>
      <c r="S47" s="205"/>
      <c r="T47" s="203">
        <v>607</v>
      </c>
      <c r="U47" s="203"/>
      <c r="V47" s="57">
        <f t="shared" si="23"/>
        <v>0</v>
      </c>
      <c r="W47" s="202"/>
      <c r="X47" s="202"/>
      <c r="Y47" s="202"/>
    </row>
    <row r="48" spans="1:25" ht="28.5" customHeight="1" x14ac:dyDescent="0.3">
      <c r="A48" s="18">
        <v>8</v>
      </c>
      <c r="B48" s="112" t="str">
        <f t="shared" si="20"/>
        <v>WAGES - CASUAL - BANK(INSIDE)</v>
      </c>
      <c r="C48" s="41">
        <v>23</v>
      </c>
      <c r="D48" s="41">
        <v>0</v>
      </c>
      <c r="E48" s="41">
        <v>5</v>
      </c>
      <c r="F48" s="41">
        <f t="shared" si="25"/>
        <v>18</v>
      </c>
      <c r="G48" s="56">
        <v>18</v>
      </c>
      <c r="H48" s="39">
        <f t="shared" si="19"/>
        <v>0</v>
      </c>
      <c r="I48" s="203">
        <f t="shared" si="21"/>
        <v>137650</v>
      </c>
      <c r="J48" s="203"/>
      <c r="K48" s="39"/>
      <c r="L48" s="203">
        <v>137650</v>
      </c>
      <c r="M48" s="203"/>
      <c r="N48" s="144">
        <f>+I48+K48</f>
        <v>137650</v>
      </c>
      <c r="O48" s="144"/>
      <c r="P48" s="144">
        <f>+L48-N48</f>
        <v>0</v>
      </c>
      <c r="Q48" s="144"/>
      <c r="R48" s="204">
        <v>1042</v>
      </c>
      <c r="S48" s="205"/>
      <c r="T48" s="203">
        <v>1042</v>
      </c>
      <c r="U48" s="203"/>
      <c r="V48" s="57">
        <v>0</v>
      </c>
      <c r="W48" s="230"/>
      <c r="X48" s="231"/>
      <c r="Y48" s="232"/>
    </row>
    <row r="49" spans="1:25" ht="32.25" customHeight="1" x14ac:dyDescent="0.3">
      <c r="A49" s="18">
        <v>8</v>
      </c>
      <c r="B49" s="112" t="str">
        <f t="shared" si="20"/>
        <v>WAGES - SECUR &amp; GARDEN - CHQ</v>
      </c>
      <c r="C49" s="32">
        <v>1</v>
      </c>
      <c r="D49" s="32">
        <v>0</v>
      </c>
      <c r="E49" s="32">
        <v>1</v>
      </c>
      <c r="F49" s="32">
        <f t="shared" si="25"/>
        <v>0</v>
      </c>
      <c r="G49" s="56">
        <v>0</v>
      </c>
      <c r="H49" s="39">
        <f>G49-F49</f>
        <v>0</v>
      </c>
      <c r="I49" s="203">
        <f t="shared" si="21"/>
        <v>0</v>
      </c>
      <c r="J49" s="203"/>
      <c r="K49" s="39">
        <v>0</v>
      </c>
      <c r="L49" s="144">
        <v>0</v>
      </c>
      <c r="M49" s="144"/>
      <c r="N49" s="144">
        <f t="shared" si="22"/>
        <v>0</v>
      </c>
      <c r="O49" s="144"/>
      <c r="P49" s="144">
        <f t="shared" si="24"/>
        <v>0</v>
      </c>
      <c r="Q49" s="144"/>
      <c r="R49" s="204">
        <v>0</v>
      </c>
      <c r="S49" s="205"/>
      <c r="T49" s="203">
        <v>0</v>
      </c>
      <c r="U49" s="203"/>
      <c r="V49" s="57">
        <f t="shared" si="23"/>
        <v>0</v>
      </c>
      <c r="W49" s="202"/>
      <c r="X49" s="202"/>
      <c r="Y49" s="202"/>
    </row>
    <row r="50" spans="1:25" ht="30.75" customHeight="1" x14ac:dyDescent="0.3">
      <c r="A50" s="18">
        <v>9</v>
      </c>
      <c r="B50" s="112" t="str">
        <f t="shared" si="20"/>
        <v>WAGES - SECUR &amp; GARDEN - BANK</v>
      </c>
      <c r="C50" s="116">
        <v>7</v>
      </c>
      <c r="D50" s="116">
        <v>1</v>
      </c>
      <c r="E50" s="116">
        <v>0</v>
      </c>
      <c r="F50" s="116">
        <f>C50+D50-E50</f>
        <v>8</v>
      </c>
      <c r="G50" s="56">
        <v>8</v>
      </c>
      <c r="H50" s="39">
        <f t="shared" si="19"/>
        <v>0</v>
      </c>
      <c r="I50" s="203">
        <f t="shared" si="21"/>
        <v>60073</v>
      </c>
      <c r="J50" s="203"/>
      <c r="K50" s="39">
        <v>0</v>
      </c>
      <c r="L50" s="144">
        <v>60073</v>
      </c>
      <c r="M50" s="144"/>
      <c r="N50" s="144">
        <f>+I50+K50</f>
        <v>60073</v>
      </c>
      <c r="O50" s="144"/>
      <c r="P50" s="144">
        <f t="shared" si="24"/>
        <v>0</v>
      </c>
      <c r="Q50" s="144"/>
      <c r="R50" s="204">
        <v>453</v>
      </c>
      <c r="S50" s="205"/>
      <c r="T50" s="203">
        <v>453</v>
      </c>
      <c r="U50" s="203"/>
      <c r="V50" s="57">
        <f t="shared" si="23"/>
        <v>0</v>
      </c>
      <c r="W50" s="202"/>
      <c r="X50" s="202"/>
      <c r="Y50" s="202"/>
    </row>
    <row r="51" spans="1:25" ht="37.5" customHeight="1" x14ac:dyDescent="0.3">
      <c r="A51" s="18">
        <v>10</v>
      </c>
      <c r="B51" s="112" t="str">
        <f t="shared" si="20"/>
        <v>JMD</v>
      </c>
      <c r="C51" s="116">
        <v>1</v>
      </c>
      <c r="D51" s="116">
        <v>0</v>
      </c>
      <c r="E51" s="116"/>
      <c r="F51" s="116">
        <f t="shared" ref="F51:F53" si="26">C51+D51-E51</f>
        <v>1</v>
      </c>
      <c r="G51" s="56">
        <v>0</v>
      </c>
      <c r="H51" s="39">
        <f t="shared" si="19"/>
        <v>-1</v>
      </c>
      <c r="I51" s="203">
        <f t="shared" si="21"/>
        <v>200000</v>
      </c>
      <c r="J51" s="203"/>
      <c r="K51" s="39">
        <v>0</v>
      </c>
      <c r="L51" s="158">
        <v>0</v>
      </c>
      <c r="M51" s="159"/>
      <c r="N51" s="144">
        <f t="shared" si="22"/>
        <v>200000</v>
      </c>
      <c r="O51" s="144"/>
      <c r="P51" s="144">
        <f t="shared" si="24"/>
        <v>-200000</v>
      </c>
      <c r="Q51" s="144"/>
      <c r="R51" s="204">
        <v>0</v>
      </c>
      <c r="S51" s="205"/>
      <c r="T51" s="204"/>
      <c r="U51" s="205"/>
      <c r="V51" s="57">
        <f t="shared" si="23"/>
        <v>0</v>
      </c>
      <c r="W51" s="206" t="s">
        <v>71</v>
      </c>
      <c r="X51" s="206"/>
      <c r="Y51" s="206"/>
    </row>
    <row r="52" spans="1:25" ht="37.5" customHeight="1" x14ac:dyDescent="0.3">
      <c r="A52" s="18">
        <v>11</v>
      </c>
      <c r="B52" s="112" t="str">
        <f t="shared" si="20"/>
        <v>EXEMPTED - BANK</v>
      </c>
      <c r="C52" s="32">
        <v>6</v>
      </c>
      <c r="D52" s="32">
        <v>0</v>
      </c>
      <c r="E52" s="32">
        <v>0</v>
      </c>
      <c r="F52" s="32">
        <f t="shared" si="26"/>
        <v>6</v>
      </c>
      <c r="G52" s="56">
        <v>0</v>
      </c>
      <c r="H52" s="39">
        <f t="shared" si="19"/>
        <v>-6</v>
      </c>
      <c r="I52" s="203">
        <f t="shared" si="21"/>
        <v>131752</v>
      </c>
      <c r="J52" s="203"/>
      <c r="K52" s="39">
        <v>0</v>
      </c>
      <c r="L52" s="144">
        <v>0</v>
      </c>
      <c r="M52" s="144"/>
      <c r="N52" s="144">
        <f t="shared" si="22"/>
        <v>131752</v>
      </c>
      <c r="O52" s="144"/>
      <c r="P52" s="144">
        <f t="shared" si="24"/>
        <v>-131752</v>
      </c>
      <c r="Q52" s="144"/>
      <c r="R52" s="204">
        <v>0</v>
      </c>
      <c r="S52" s="205"/>
      <c r="T52" s="203">
        <v>0</v>
      </c>
      <c r="U52" s="203"/>
      <c r="V52" s="57">
        <f t="shared" si="23"/>
        <v>0</v>
      </c>
      <c r="W52" s="202"/>
      <c r="X52" s="202"/>
      <c r="Y52" s="202"/>
    </row>
    <row r="53" spans="1:25" ht="37.5" customHeight="1" x14ac:dyDescent="0.3">
      <c r="A53" s="18">
        <v>12</v>
      </c>
      <c r="B53" s="112" t="str">
        <f t="shared" si="20"/>
        <v>EXEMPTED - CHEQUE</v>
      </c>
      <c r="C53" s="32">
        <v>4</v>
      </c>
      <c r="D53" s="32">
        <v>0</v>
      </c>
      <c r="E53" s="32">
        <v>0</v>
      </c>
      <c r="F53" s="32">
        <f t="shared" si="26"/>
        <v>4</v>
      </c>
      <c r="G53" s="56">
        <v>0</v>
      </c>
      <c r="H53" s="39">
        <f t="shared" si="19"/>
        <v>-4</v>
      </c>
      <c r="I53" s="203">
        <f t="shared" si="21"/>
        <v>86999</v>
      </c>
      <c r="J53" s="203"/>
      <c r="K53" s="39">
        <v>0</v>
      </c>
      <c r="L53" s="144">
        <v>0</v>
      </c>
      <c r="M53" s="144"/>
      <c r="N53" s="144">
        <f t="shared" si="22"/>
        <v>86999</v>
      </c>
      <c r="O53" s="144"/>
      <c r="P53" s="144">
        <f t="shared" si="24"/>
        <v>-86999</v>
      </c>
      <c r="Q53" s="144"/>
      <c r="R53" s="204">
        <v>0</v>
      </c>
      <c r="S53" s="205"/>
      <c r="T53" s="203">
        <v>0</v>
      </c>
      <c r="U53" s="203"/>
      <c r="V53" s="57">
        <f t="shared" si="23"/>
        <v>0</v>
      </c>
      <c r="W53" s="202"/>
      <c r="X53" s="202"/>
      <c r="Y53" s="202"/>
    </row>
    <row r="54" spans="1:25" ht="18.75" x14ac:dyDescent="0.25">
      <c r="A54" s="18"/>
      <c r="B54" s="22" t="s">
        <v>47</v>
      </c>
      <c r="C54" s="58">
        <f t="shared" ref="C54:H54" si="27">SUM(C41:C53)</f>
        <v>190</v>
      </c>
      <c r="D54" s="58">
        <f t="shared" si="27"/>
        <v>22</v>
      </c>
      <c r="E54" s="58">
        <f t="shared" si="27"/>
        <v>27</v>
      </c>
      <c r="F54" s="58">
        <f>SUM(F41:F53)</f>
        <v>185</v>
      </c>
      <c r="G54" s="58">
        <f>SUM(G41:G53)</f>
        <v>169</v>
      </c>
      <c r="H54" s="58">
        <f t="shared" si="27"/>
        <v>-16</v>
      </c>
      <c r="I54" s="199">
        <f>SUM(I41:K53)</f>
        <v>1718187</v>
      </c>
      <c r="J54" s="199"/>
      <c r="K54" s="62">
        <f>SUM(K41:K53)</f>
        <v>40003</v>
      </c>
      <c r="L54" s="200">
        <f>SUM(L41:M53)</f>
        <v>1138766</v>
      </c>
      <c r="M54" s="200"/>
      <c r="N54" s="201">
        <f>SUM(N41:O53)</f>
        <v>1718187</v>
      </c>
      <c r="O54" s="201"/>
      <c r="P54" s="201">
        <f>SUM(P41:Q53)</f>
        <v>-579421</v>
      </c>
      <c r="Q54" s="201"/>
      <c r="R54" s="201">
        <f>SUM(R41:S53)</f>
        <v>8609</v>
      </c>
      <c r="S54" s="201"/>
      <c r="T54" s="201">
        <f>SUM(T41:U53)</f>
        <v>8608</v>
      </c>
      <c r="U54" s="201"/>
      <c r="V54" s="60">
        <f>SUM(V41:V53)</f>
        <v>1</v>
      </c>
      <c r="W54" s="198"/>
      <c r="X54" s="198"/>
      <c r="Y54" s="198"/>
    </row>
    <row r="57" spans="1:25" x14ac:dyDescent="0.25">
      <c r="J57" s="100">
        <f>+I54-I51-I52-I53-40003-137827-22846</f>
        <v>1098760</v>
      </c>
      <c r="M57">
        <f>+L41*0.75/100</f>
        <v>1060.0725</v>
      </c>
      <c r="N57">
        <v>1064</v>
      </c>
    </row>
    <row r="58" spans="1:25" x14ac:dyDescent="0.25">
      <c r="J58">
        <v>40003</v>
      </c>
      <c r="M58">
        <f t="shared" ref="M58:M65" si="28">+L42*0.75/100</f>
        <v>708.33</v>
      </c>
      <c r="N58">
        <v>712</v>
      </c>
    </row>
    <row r="59" spans="1:25" x14ac:dyDescent="0.25">
      <c r="J59" s="100">
        <f>SUM(J57:J58)</f>
        <v>1138763</v>
      </c>
      <c r="M59">
        <f t="shared" si="28"/>
        <v>0</v>
      </c>
    </row>
    <row r="60" spans="1:25" x14ac:dyDescent="0.25">
      <c r="M60">
        <f t="shared" si="28"/>
        <v>621.75750000000005</v>
      </c>
      <c r="N60">
        <v>626</v>
      </c>
    </row>
    <row r="61" spans="1:25" x14ac:dyDescent="0.25">
      <c r="M61">
        <f>+L45*0.75/100</f>
        <v>3026.2125000000001</v>
      </c>
      <c r="N61">
        <v>3514</v>
      </c>
    </row>
    <row r="62" spans="1:25" x14ac:dyDescent="0.25">
      <c r="M62">
        <f>+L46*0.75/100</f>
        <v>1039.3575000000001</v>
      </c>
      <c r="N62">
        <v>1032</v>
      </c>
    </row>
    <row r="63" spans="1:25" x14ac:dyDescent="0.25">
      <c r="M63">
        <f t="shared" si="28"/>
        <v>602.09249999999997</v>
      </c>
    </row>
    <row r="64" spans="1:25" x14ac:dyDescent="0.25">
      <c r="M64">
        <f t="shared" si="28"/>
        <v>1032.375</v>
      </c>
    </row>
    <row r="65" spans="13:13" x14ac:dyDescent="0.25">
      <c r="M65">
        <f t="shared" si="28"/>
        <v>0</v>
      </c>
    </row>
  </sheetData>
  <mergeCells count="234">
    <mergeCell ref="V2:W2"/>
    <mergeCell ref="X2:X3"/>
    <mergeCell ref="Y2:Y3"/>
    <mergeCell ref="A17:B17"/>
    <mergeCell ref="A20:A21"/>
    <mergeCell ref="B20:B21"/>
    <mergeCell ref="C20:F20"/>
    <mergeCell ref="G20:H21"/>
    <mergeCell ref="I20:I21"/>
    <mergeCell ref="J20:J21"/>
    <mergeCell ref="A2:A3"/>
    <mergeCell ref="B2:B3"/>
    <mergeCell ref="C2:F2"/>
    <mergeCell ref="G2:G3"/>
    <mergeCell ref="H2:M2"/>
    <mergeCell ref="N2:U2"/>
    <mergeCell ref="V20:V21"/>
    <mergeCell ref="W20:Y21"/>
    <mergeCell ref="G22:H22"/>
    <mergeCell ref="L22:M22"/>
    <mergeCell ref="N22:O22"/>
    <mergeCell ref="P22:Q22"/>
    <mergeCell ref="R22:S22"/>
    <mergeCell ref="T22:U22"/>
    <mergeCell ref="W22:Y22"/>
    <mergeCell ref="K20:K21"/>
    <mergeCell ref="L20:M21"/>
    <mergeCell ref="N20:O21"/>
    <mergeCell ref="P20:Q21"/>
    <mergeCell ref="R20:S21"/>
    <mergeCell ref="T20:U21"/>
    <mergeCell ref="W23:Y23"/>
    <mergeCell ref="G24:H24"/>
    <mergeCell ref="L24:M24"/>
    <mergeCell ref="N24:O24"/>
    <mergeCell ref="P24:Q24"/>
    <mergeCell ref="R24:S24"/>
    <mergeCell ref="T24:U24"/>
    <mergeCell ref="W24:Y24"/>
    <mergeCell ref="G23:H23"/>
    <mergeCell ref="L23:M23"/>
    <mergeCell ref="N23:O23"/>
    <mergeCell ref="P23:Q23"/>
    <mergeCell ref="R23:S23"/>
    <mergeCell ref="T23:U23"/>
    <mergeCell ref="W25:Y25"/>
    <mergeCell ref="G26:H26"/>
    <mergeCell ref="L26:M26"/>
    <mergeCell ref="N26:O26"/>
    <mergeCell ref="P26:Q26"/>
    <mergeCell ref="R26:S26"/>
    <mergeCell ref="T26:U26"/>
    <mergeCell ref="W26:Y26"/>
    <mergeCell ref="G25:H25"/>
    <mergeCell ref="L25:M25"/>
    <mergeCell ref="N25:O25"/>
    <mergeCell ref="P25:Q25"/>
    <mergeCell ref="R25:S25"/>
    <mergeCell ref="T25:U25"/>
    <mergeCell ref="W27:Y27"/>
    <mergeCell ref="G28:H28"/>
    <mergeCell ref="L28:M28"/>
    <mergeCell ref="N28:O28"/>
    <mergeCell ref="P28:Q28"/>
    <mergeCell ref="R28:S28"/>
    <mergeCell ref="T28:U28"/>
    <mergeCell ref="W28:Y28"/>
    <mergeCell ref="G27:H27"/>
    <mergeCell ref="L27:M27"/>
    <mergeCell ref="N27:O27"/>
    <mergeCell ref="P27:Q27"/>
    <mergeCell ref="R27:S27"/>
    <mergeCell ref="T27:U27"/>
    <mergeCell ref="W29:Y29"/>
    <mergeCell ref="G30:H30"/>
    <mergeCell ref="L30:M30"/>
    <mergeCell ref="N30:O30"/>
    <mergeCell ref="P30:Q30"/>
    <mergeCell ref="R30:S30"/>
    <mergeCell ref="T30:U30"/>
    <mergeCell ref="W30:Y30"/>
    <mergeCell ref="G29:H29"/>
    <mergeCell ref="L29:M29"/>
    <mergeCell ref="N29:O29"/>
    <mergeCell ref="P29:Q29"/>
    <mergeCell ref="R29:S29"/>
    <mergeCell ref="T29:U29"/>
    <mergeCell ref="W31:Y31"/>
    <mergeCell ref="G32:H32"/>
    <mergeCell ref="L32:M32"/>
    <mergeCell ref="N32:O32"/>
    <mergeCell ref="P32:Q32"/>
    <mergeCell ref="R32:S32"/>
    <mergeCell ref="T32:U32"/>
    <mergeCell ref="W32:Y32"/>
    <mergeCell ref="G31:H31"/>
    <mergeCell ref="L31:M31"/>
    <mergeCell ref="N31:O31"/>
    <mergeCell ref="P31:Q31"/>
    <mergeCell ref="R31:S31"/>
    <mergeCell ref="T31:U31"/>
    <mergeCell ref="W33:Y33"/>
    <mergeCell ref="G34:H34"/>
    <mergeCell ref="L34:M34"/>
    <mergeCell ref="N34:O34"/>
    <mergeCell ref="P34:Q34"/>
    <mergeCell ref="R34:S34"/>
    <mergeCell ref="T34:U34"/>
    <mergeCell ref="W34:Y34"/>
    <mergeCell ref="G33:H33"/>
    <mergeCell ref="L33:M33"/>
    <mergeCell ref="N33:O33"/>
    <mergeCell ref="P33:Q33"/>
    <mergeCell ref="R33:S33"/>
    <mergeCell ref="T33:U33"/>
    <mergeCell ref="W35:Y35"/>
    <mergeCell ref="A39:A40"/>
    <mergeCell ref="B39:B40"/>
    <mergeCell ref="C39:F39"/>
    <mergeCell ref="G39:G40"/>
    <mergeCell ref="H39:H40"/>
    <mergeCell ref="I39:J40"/>
    <mergeCell ref="K39:K40"/>
    <mergeCell ref="L39:M40"/>
    <mergeCell ref="N39:O40"/>
    <mergeCell ref="G35:H35"/>
    <mergeCell ref="L35:M35"/>
    <mergeCell ref="N35:O35"/>
    <mergeCell ref="P35:Q35"/>
    <mergeCell ref="R35:S35"/>
    <mergeCell ref="T35:U35"/>
    <mergeCell ref="P39:Q40"/>
    <mergeCell ref="R39:S40"/>
    <mergeCell ref="T39:U40"/>
    <mergeCell ref="V39:V40"/>
    <mergeCell ref="W39:Y40"/>
    <mergeCell ref="I41:J41"/>
    <mergeCell ref="L41:M41"/>
    <mergeCell ref="N41:O41"/>
    <mergeCell ref="P41:Q41"/>
    <mergeCell ref="R41:S41"/>
    <mergeCell ref="T41:U41"/>
    <mergeCell ref="W41:Y41"/>
    <mergeCell ref="I42:J42"/>
    <mergeCell ref="L42:M42"/>
    <mergeCell ref="N42:O42"/>
    <mergeCell ref="P42:Q42"/>
    <mergeCell ref="R42:S42"/>
    <mergeCell ref="T42:U42"/>
    <mergeCell ref="W42:Y42"/>
    <mergeCell ref="W43:Y43"/>
    <mergeCell ref="I44:J44"/>
    <mergeCell ref="L44:M44"/>
    <mergeCell ref="N44:O44"/>
    <mergeCell ref="P44:Q44"/>
    <mergeCell ref="R44:S44"/>
    <mergeCell ref="T44:U44"/>
    <mergeCell ref="W44:Y44"/>
    <mergeCell ref="I43:J43"/>
    <mergeCell ref="L43:M43"/>
    <mergeCell ref="N43:O43"/>
    <mergeCell ref="P43:Q43"/>
    <mergeCell ref="R43:S43"/>
    <mergeCell ref="T43:U43"/>
    <mergeCell ref="W45:Y45"/>
    <mergeCell ref="I46:J46"/>
    <mergeCell ref="L46:M46"/>
    <mergeCell ref="N46:O46"/>
    <mergeCell ref="P46:Q46"/>
    <mergeCell ref="R46:S46"/>
    <mergeCell ref="T46:U46"/>
    <mergeCell ref="W46:Y46"/>
    <mergeCell ref="I45:J45"/>
    <mergeCell ref="L45:M45"/>
    <mergeCell ref="N45:O45"/>
    <mergeCell ref="P45:Q45"/>
    <mergeCell ref="R45:S45"/>
    <mergeCell ref="T45:U45"/>
    <mergeCell ref="W47:Y47"/>
    <mergeCell ref="I48:J48"/>
    <mergeCell ref="L48:M48"/>
    <mergeCell ref="N48:O48"/>
    <mergeCell ref="P48:Q48"/>
    <mergeCell ref="R48:S48"/>
    <mergeCell ref="T48:U48"/>
    <mergeCell ref="W48:Y48"/>
    <mergeCell ref="I47:J47"/>
    <mergeCell ref="L47:M47"/>
    <mergeCell ref="N47:O47"/>
    <mergeCell ref="P47:Q47"/>
    <mergeCell ref="R47:S47"/>
    <mergeCell ref="T47:U47"/>
    <mergeCell ref="W49:Y49"/>
    <mergeCell ref="I50:J50"/>
    <mergeCell ref="L50:M50"/>
    <mergeCell ref="N50:O50"/>
    <mergeCell ref="P50:Q50"/>
    <mergeCell ref="R50:S50"/>
    <mergeCell ref="T50:U50"/>
    <mergeCell ref="W50:Y50"/>
    <mergeCell ref="I49:J49"/>
    <mergeCell ref="L49:M49"/>
    <mergeCell ref="N49:O49"/>
    <mergeCell ref="P49:Q49"/>
    <mergeCell ref="R49:S49"/>
    <mergeCell ref="T49:U49"/>
    <mergeCell ref="W51:Y51"/>
    <mergeCell ref="I52:J52"/>
    <mergeCell ref="L52:M52"/>
    <mergeCell ref="N52:O52"/>
    <mergeCell ref="P52:Q52"/>
    <mergeCell ref="R52:S52"/>
    <mergeCell ref="T52:U52"/>
    <mergeCell ref="W52:Y52"/>
    <mergeCell ref="I51:J51"/>
    <mergeCell ref="L51:M51"/>
    <mergeCell ref="N51:O51"/>
    <mergeCell ref="P51:Q51"/>
    <mergeCell ref="R51:S51"/>
    <mergeCell ref="T51:U51"/>
    <mergeCell ref="W53:Y53"/>
    <mergeCell ref="I54:J54"/>
    <mergeCell ref="L54:M54"/>
    <mergeCell ref="N54:O54"/>
    <mergeCell ref="P54:Q54"/>
    <mergeCell ref="R54:S54"/>
    <mergeCell ref="T54:U54"/>
    <mergeCell ref="W54:Y54"/>
    <mergeCell ref="I53:J53"/>
    <mergeCell ref="L53:M53"/>
    <mergeCell ref="N53:O53"/>
    <mergeCell ref="P53:Q53"/>
    <mergeCell ref="R53:S53"/>
    <mergeCell ref="T53:U53"/>
  </mergeCells>
  <pageMargins left="0.7" right="0.7" top="0.75" bottom="0.75" header="0.3" footer="0.3"/>
  <pageSetup paperSize="8" scale="70" orientation="landscape" verticalDpi="0" r:id="rId1"/>
  <rowBreaks count="1" manualBreakCount="1">
    <brk id="35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 2019</vt:lpstr>
      <vt:lpstr>MAY 2019</vt:lpstr>
      <vt:lpstr>JUNE 2019</vt:lpstr>
      <vt:lpstr>JULY 2019</vt:lpstr>
      <vt:lpstr>AUG 2019</vt:lpstr>
      <vt:lpstr>SEP 2019</vt:lpstr>
      <vt:lpstr>OCT 2019</vt:lpstr>
      <vt:lpstr>NOV 2019</vt:lpstr>
      <vt:lpstr>DEC 2019 </vt:lpstr>
      <vt:lpstr>JAN 2020</vt:lpstr>
      <vt:lpstr>FEB 2020</vt:lpstr>
      <vt:lpstr>MARCH 2020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Sharavanth Siddharth Ravichandran</dc:creator>
  <cp:lastModifiedBy>Sasikala</cp:lastModifiedBy>
  <cp:lastPrinted>2020-04-11T04:49:52Z</cp:lastPrinted>
  <dcterms:created xsi:type="dcterms:W3CDTF">2019-05-07T10:44:15Z</dcterms:created>
  <dcterms:modified xsi:type="dcterms:W3CDTF">2020-05-14T06:28:06Z</dcterms:modified>
</cp:coreProperties>
</file>