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cate your HomeBuild your Kit" sheetId="1" r:id="rId4"/>
    <sheet state="visible" name="FaceLift" sheetId="2" r:id="rId5"/>
    <sheet state="visible" name="Payments" sheetId="3" r:id="rId6"/>
    <sheet state="visible" name="Plans Test" sheetId="4" r:id="rId7"/>
    <sheet state="visible" name="500M Test Plan" sheetId="5" r:id="rId8"/>
  </sheets>
  <definedNames/>
  <calcPr/>
</workbook>
</file>

<file path=xl/sharedStrings.xml><?xml version="1.0" encoding="utf-8"?>
<sst xmlns="http://schemas.openxmlformats.org/spreadsheetml/2006/main" count="246" uniqueCount="114">
  <si>
    <t>Plans</t>
  </si>
  <si>
    <t xml:space="preserve">Grand </t>
  </si>
  <si>
    <t xml:space="preserve">Prime </t>
  </si>
  <si>
    <t>Signature</t>
  </si>
  <si>
    <t>Locate your Home/Per m2</t>
  </si>
  <si>
    <t xml:space="preserve">showing price per meter </t>
  </si>
  <si>
    <t>Build your Kit/Per m2</t>
  </si>
  <si>
    <t>not showing price per meter</t>
  </si>
  <si>
    <t>Add-ons</t>
  </si>
  <si>
    <t>Solar heating/Per m2</t>
  </si>
  <si>
    <t>Per M2</t>
  </si>
  <si>
    <t>Interior Design/Per m2</t>
  </si>
  <si>
    <t>Air Condition-Carrier - Non Inverter</t>
  </si>
  <si>
    <t>1.5hp=30900
2.25hp=40500
3hp=48500
4hp=81000
5hp=89600</t>
  </si>
  <si>
    <t>Per Item</t>
  </si>
  <si>
    <t>Shower Tempered Glass/Per unit</t>
  </si>
  <si>
    <t xml:space="preserve">Per unit van </t>
  </si>
  <si>
    <t>Instant Heater/50 L</t>
  </si>
  <si>
    <t>Per Unit more than one 50 L</t>
  </si>
  <si>
    <t xml:space="preserve">the user can choose heater or boiler. if the user choose heater, the boiler can't be chosen. if the user choose boiler,  heater can't be chosen </t>
  </si>
  <si>
    <t>Boilers/200 L</t>
  </si>
  <si>
    <t>Per Unit one only 200 L</t>
  </si>
  <si>
    <t>Garden Landscape</t>
  </si>
  <si>
    <t>Prices Upon Request</t>
  </si>
  <si>
    <t>Kitchen fit outs</t>
  </si>
  <si>
    <t>Wardrobes</t>
  </si>
  <si>
    <t>Woodworks</t>
  </si>
  <si>
    <t>Wood Cladding</t>
  </si>
  <si>
    <t>Aluminum</t>
  </si>
  <si>
    <t>Shutters</t>
  </si>
  <si>
    <t>Automation/Per 150m2</t>
  </si>
  <si>
    <t>Choose Basic OR Advanced</t>
  </si>
  <si>
    <t>Add-Ons (Average Size=150m2)</t>
  </si>
  <si>
    <t>Bedroom (Average Size=16m2)</t>
  </si>
  <si>
    <t>Bathroom (Average Size=4m2)</t>
  </si>
  <si>
    <t>Kitchen (Average Size=9m2)</t>
  </si>
  <si>
    <t>Foundation Paint (Walls)</t>
  </si>
  <si>
    <t>360/m2</t>
  </si>
  <si>
    <t>Decoration Paint (Walls)</t>
  </si>
  <si>
    <t>690/m2</t>
  </si>
  <si>
    <t>Gibson Board</t>
  </si>
  <si>
    <t>1100/m2</t>
  </si>
  <si>
    <t>Flooring</t>
  </si>
  <si>
    <t>HDF(1400/m2)</t>
  </si>
  <si>
    <t>Marble(1100/m2)</t>
  </si>
  <si>
    <t>Ceramic(900/m2)</t>
  </si>
  <si>
    <t>Marble (1100/m2)</t>
  </si>
  <si>
    <t>Ceramic (900/m2)</t>
  </si>
  <si>
    <t>Solar heating/Per 150m2</t>
  </si>
  <si>
    <t>1200/m2</t>
  </si>
  <si>
    <t>Interior Design</t>
  </si>
  <si>
    <t>7500 (Fixed)</t>
  </si>
  <si>
    <t>Air Condition-(Carrier - Non Inverter)</t>
  </si>
  <si>
    <t>1.5hp</t>
  </si>
  <si>
    <t>Not Available (Addon will not be showing)</t>
  </si>
  <si>
    <t>2.25hp</t>
  </si>
  <si>
    <t>3hp</t>
  </si>
  <si>
    <t>4hp</t>
  </si>
  <si>
    <t>5hp</t>
  </si>
  <si>
    <t>Aluminum (Window Size = 5m2)</t>
  </si>
  <si>
    <t>8500/m2</t>
  </si>
  <si>
    <t>Shutters (Window Size = 5m2)</t>
  </si>
  <si>
    <t>6900/m2</t>
  </si>
  <si>
    <t>Kitchen Fit-outs</t>
  </si>
  <si>
    <t xml:space="preserve">Payment Method </t>
  </si>
  <si>
    <t>Oda</t>
  </si>
  <si>
    <t>SEVEN</t>
  </si>
  <si>
    <t>Admin Fees 4% (One Time)</t>
  </si>
  <si>
    <t>Admin Fees 10% (One Time)</t>
  </si>
  <si>
    <t>Interest 0% (Per Year)</t>
  </si>
  <si>
    <t>Equal Payment Monthly</t>
  </si>
  <si>
    <t>VALU</t>
  </si>
  <si>
    <t>Admin Fees 15% (One Time)</t>
  </si>
  <si>
    <t>Interest 14% (Per Year)</t>
  </si>
  <si>
    <t>Interest 15% (Per Year)</t>
  </si>
  <si>
    <t>Interest 16% (Per Year)</t>
  </si>
  <si>
    <t>Admin fees is upfront payment.
Interest amount is adding on the total amount and then dividing over the duration (monthly)</t>
  </si>
  <si>
    <t>Area</t>
  </si>
  <si>
    <t>1.5hp=30900
2.25hp=40500
3hp=48500
4hp=81000
5hp=89600</t>
  </si>
  <si>
    <t>2 from each hp</t>
  </si>
  <si>
    <t>2*1.5hp=61800
2*2.25hp=81000
2*3hp=97000
2*4hp=162000
2*5hp=179200</t>
  </si>
  <si>
    <t>4 units</t>
  </si>
  <si>
    <t>5 units</t>
  </si>
  <si>
    <t>T</t>
  </si>
  <si>
    <t>Total</t>
  </si>
  <si>
    <t>Oda 3</t>
  </si>
  <si>
    <t>Admin Fees</t>
  </si>
  <si>
    <t xml:space="preserve">Interest </t>
  </si>
  <si>
    <t>oda 6</t>
  </si>
  <si>
    <t>SEVEN 12</t>
  </si>
  <si>
    <t>Admin Fees 4%</t>
  </si>
  <si>
    <t>Interest 0</t>
  </si>
  <si>
    <t>Equal Payment/12</t>
  </si>
  <si>
    <t>SEVEN 18</t>
  </si>
  <si>
    <t>Admin Fees 10%</t>
  </si>
  <si>
    <t>Equal Payment/18</t>
  </si>
  <si>
    <t>Valu 12</t>
  </si>
  <si>
    <t>Valu 18</t>
  </si>
  <si>
    <t>Valu 24</t>
  </si>
  <si>
    <t>Admin Fees 15%</t>
  </si>
  <si>
    <t>Equal Payment/24</t>
  </si>
  <si>
    <t>Valu 36</t>
  </si>
  <si>
    <t>Interest 14% per Year</t>
  </si>
  <si>
    <t>Equal Payment/36</t>
  </si>
  <si>
    <t>Valu 48</t>
  </si>
  <si>
    <t>Interest 15% per Year</t>
  </si>
  <si>
    <t>Equal Payment/48</t>
  </si>
  <si>
    <t>Valu 60</t>
  </si>
  <si>
    <t>Interest 16% per Year</t>
  </si>
  <si>
    <t>Equal Payment/60</t>
  </si>
  <si>
    <t>Admin Fees 15% - One Time</t>
  </si>
  <si>
    <t>Total Amount (totalAmount_Addons_plan)</t>
  </si>
  <si>
    <t>Total Amount Including Interest - (totalAmount)</t>
  </si>
  <si>
    <t xml:space="preserve">Installment Plan - Valu 60 - Per Month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</si>
</sst>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3" fontId="2" numFmtId="0" xfId="0" applyAlignment="1" applyFill="1" applyFont="1">
      <alignment readingOrder="0"/>
    </xf>
    <xf borderId="0" fillId="3" fontId="2" numFmtId="0" xfId="0" applyAlignment="1" applyFont="1">
      <alignment horizontal="center"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readingOrder="0" vertical="center"/>
    </xf>
    <xf borderId="0" fillId="4" fontId="2" numFmtId="0" xfId="0" applyAlignment="1" applyFill="1" applyFont="1">
      <alignment horizontal="center" readingOrder="0" vertical="center"/>
    </xf>
    <xf borderId="0" fillId="4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2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3" fillId="4" fontId="2" numFmtId="9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readingOrder="0" shrinkToFit="0" vertical="center" wrapText="1"/>
    </xf>
    <xf borderId="3" fillId="4" fontId="2" numFmtId="0" xfId="0" applyAlignment="1" applyBorder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0" fillId="0" fontId="2" numFmtId="0" xfId="0" applyAlignment="1" applyFont="1">
      <alignment horizontal="left" readingOrder="0"/>
    </xf>
    <xf borderId="0" fillId="0" fontId="2" numFmtId="9" xfId="0" applyAlignment="1" applyFont="1" applyNumberForma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0" xfId="0" applyFont="1"/>
    <xf borderId="0" fillId="0" fontId="2" numFmtId="4" xfId="0" applyAlignment="1" applyFont="1" applyNumberFormat="1">
      <alignment horizontal="center" vertical="center"/>
    </xf>
    <xf borderId="0" fillId="0" fontId="2" numFmtId="0" xfId="0" applyAlignment="1" applyFont="1">
      <alignment vertical="center"/>
    </xf>
    <xf borderId="0" fillId="0" fontId="2" numFmtId="4" xfId="0" applyAlignment="1" applyFont="1" applyNumberFormat="1">
      <alignment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vertical="center"/>
    </xf>
    <xf borderId="0" fillId="3" fontId="1" numFmtId="4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4" xfId="0" applyAlignment="1" applyFont="1" applyNumberFormat="1">
      <alignment horizontal="center"/>
    </xf>
    <xf borderId="0" fillId="0" fontId="1" numFmtId="4" xfId="0" applyAlignment="1" applyFont="1" applyNumberFormat="1">
      <alignment horizontal="center" readingOrder="0" vertical="center"/>
    </xf>
    <xf borderId="0" fillId="0" fontId="2" numFmtId="4" xfId="0" applyAlignment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0" fontId="1" numFmtId="0" xfId="0" applyFont="1"/>
    <xf borderId="0" fillId="0" fontId="1" numFmtId="4" xfId="0" applyAlignment="1" applyFont="1" applyNumberFormat="1">
      <alignment horizontal="center" vertical="center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4" xfId="0" applyAlignment="1" applyFont="1" applyNumberFormat="1">
      <alignment readingOrder="0"/>
    </xf>
    <xf borderId="0" fillId="0" fontId="2" numFmtId="4" xfId="0" applyFont="1" applyNumberForma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16.75"/>
    <col customWidth="1" min="5" max="5" width="24.5"/>
    <col customWidth="1" min="6" max="6" width="87.38"/>
  </cols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3" t="s">
        <v>4</v>
      </c>
      <c r="B2" s="4">
        <v>8000.0</v>
      </c>
      <c r="C2" s="4">
        <v>9000.0</v>
      </c>
      <c r="D2" s="4">
        <v>10200.0</v>
      </c>
      <c r="E2" s="3" t="s">
        <v>5</v>
      </c>
    </row>
    <row r="3">
      <c r="A3" s="3" t="s">
        <v>6</v>
      </c>
      <c r="B3" s="4">
        <v>8400.0</v>
      </c>
      <c r="C3" s="4">
        <v>9450.0</v>
      </c>
      <c r="D3" s="4">
        <v>10700.0</v>
      </c>
      <c r="E3" s="3" t="s">
        <v>7</v>
      </c>
    </row>
    <row r="4">
      <c r="A4" s="1" t="s">
        <v>8</v>
      </c>
      <c r="B4" s="5"/>
    </row>
    <row r="5">
      <c r="A5" s="3" t="s">
        <v>9</v>
      </c>
      <c r="B5" s="4">
        <v>1200.0</v>
      </c>
      <c r="E5" s="3" t="s">
        <v>10</v>
      </c>
    </row>
    <row r="6">
      <c r="A6" s="3" t="s">
        <v>11</v>
      </c>
      <c r="B6" s="4">
        <v>250.0</v>
      </c>
      <c r="E6" s="3" t="s">
        <v>10</v>
      </c>
    </row>
    <row r="7">
      <c r="A7" s="6" t="s">
        <v>12</v>
      </c>
      <c r="B7" s="4" t="s">
        <v>13</v>
      </c>
      <c r="E7" s="7" t="s">
        <v>14</v>
      </c>
      <c r="F7" s="4"/>
    </row>
    <row r="8">
      <c r="A8" s="3" t="s">
        <v>15</v>
      </c>
      <c r="B8" s="4">
        <v>12500.0</v>
      </c>
      <c r="E8" s="3" t="s">
        <v>16</v>
      </c>
    </row>
    <row r="9">
      <c r="A9" s="8" t="s">
        <v>17</v>
      </c>
      <c r="B9" s="9">
        <v>14000.0</v>
      </c>
      <c r="E9" s="8" t="s">
        <v>18</v>
      </c>
      <c r="F9" s="10" t="s">
        <v>19</v>
      </c>
    </row>
    <row r="10">
      <c r="A10" s="8" t="s">
        <v>20</v>
      </c>
      <c r="B10" s="9">
        <v>115000.0</v>
      </c>
      <c r="E10" s="8" t="s">
        <v>21</v>
      </c>
    </row>
    <row r="11">
      <c r="A11" s="3" t="s">
        <v>22</v>
      </c>
      <c r="B11" s="4" t="s">
        <v>23</v>
      </c>
    </row>
    <row r="12">
      <c r="A12" s="3" t="s">
        <v>24</v>
      </c>
      <c r="B12" s="4" t="s">
        <v>23</v>
      </c>
    </row>
    <row r="13">
      <c r="A13" s="3" t="s">
        <v>25</v>
      </c>
      <c r="B13" s="4" t="s">
        <v>23</v>
      </c>
    </row>
    <row r="14">
      <c r="A14" s="3" t="s">
        <v>26</v>
      </c>
      <c r="B14" s="4" t="s">
        <v>23</v>
      </c>
    </row>
    <row r="15">
      <c r="A15" s="3" t="s">
        <v>27</v>
      </c>
      <c r="B15" s="4" t="s">
        <v>23</v>
      </c>
    </row>
    <row r="16">
      <c r="A16" s="3" t="s">
        <v>28</v>
      </c>
      <c r="B16" s="4" t="s">
        <v>23</v>
      </c>
    </row>
    <row r="17">
      <c r="A17" s="3" t="s">
        <v>29</v>
      </c>
      <c r="B17" s="4" t="s">
        <v>23</v>
      </c>
    </row>
    <row r="18">
      <c r="A18" s="3" t="s">
        <v>30</v>
      </c>
      <c r="B18" s="4" t="s">
        <v>23</v>
      </c>
      <c r="E18" s="3" t="s">
        <v>31</v>
      </c>
    </row>
  </sheetData>
  <mergeCells count="16">
    <mergeCell ref="B4:D4"/>
    <mergeCell ref="B5:D5"/>
    <mergeCell ref="B6:D6"/>
    <mergeCell ref="B7:D7"/>
    <mergeCell ref="B8:D8"/>
    <mergeCell ref="B9:D9"/>
    <mergeCell ref="F9:F10"/>
    <mergeCell ref="B17:D17"/>
    <mergeCell ref="B18:D18"/>
    <mergeCell ref="B10:D10"/>
    <mergeCell ref="B11:D11"/>
    <mergeCell ref="B12:D12"/>
    <mergeCell ref="B13:D13"/>
    <mergeCell ref="B14:D14"/>
    <mergeCell ref="B15:D15"/>
    <mergeCell ref="B16:D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0"/>
    <col customWidth="1" min="2" max="2" width="12.88"/>
    <col customWidth="1" min="3" max="3" width="21.75"/>
    <col customWidth="1" min="4" max="4" width="22.13"/>
    <col customWidth="1" min="5" max="5" width="14.0"/>
    <col customWidth="1" min="6" max="6" width="31.63"/>
  </cols>
  <sheetData>
    <row r="1">
      <c r="A1" s="1" t="s">
        <v>32</v>
      </c>
      <c r="B1" s="2" t="s">
        <v>33</v>
      </c>
      <c r="D1" s="2" t="s">
        <v>34</v>
      </c>
      <c r="F1" s="2" t="s">
        <v>35</v>
      </c>
    </row>
    <row r="2">
      <c r="A2" s="3" t="s">
        <v>36</v>
      </c>
      <c r="B2" s="11">
        <f>360*16</f>
        <v>5760</v>
      </c>
      <c r="D2" s="11">
        <f>4*360</f>
        <v>1440</v>
      </c>
      <c r="F2" s="11">
        <f>9*360</f>
        <v>3240</v>
      </c>
      <c r="H2" s="4" t="s">
        <v>37</v>
      </c>
    </row>
    <row r="3">
      <c r="A3" s="3" t="s">
        <v>38</v>
      </c>
      <c r="B3" s="11">
        <f>16*690</f>
        <v>11040</v>
      </c>
      <c r="D3" s="11">
        <f>4*690</f>
        <v>2760</v>
      </c>
      <c r="F3" s="11">
        <f>9*690</f>
        <v>6210</v>
      </c>
      <c r="H3" s="4" t="s">
        <v>39</v>
      </c>
    </row>
    <row r="4">
      <c r="A4" s="3" t="s">
        <v>40</v>
      </c>
      <c r="B4" s="11">
        <f>9.5*1100</f>
        <v>10450</v>
      </c>
      <c r="D4" s="11">
        <f>4.5*1100</f>
        <v>4950</v>
      </c>
      <c r="F4" s="11">
        <f>6.5*1100</f>
        <v>7150</v>
      </c>
      <c r="H4" s="4" t="s">
        <v>41</v>
      </c>
    </row>
    <row r="5">
      <c r="A5" s="6" t="s">
        <v>42</v>
      </c>
      <c r="B5" s="4" t="s">
        <v>43</v>
      </c>
      <c r="C5" s="4" t="s">
        <v>44</v>
      </c>
      <c r="D5" s="4" t="s">
        <v>45</v>
      </c>
      <c r="E5" s="4" t="s">
        <v>46</v>
      </c>
      <c r="F5" s="4" t="s">
        <v>47</v>
      </c>
      <c r="H5" s="11"/>
    </row>
    <row r="6">
      <c r="B6" s="11">
        <f>16*1400</f>
        <v>22400</v>
      </c>
      <c r="C6" s="11">
        <f>16*1100</f>
        <v>17600</v>
      </c>
      <c r="D6" s="11">
        <f>4*900</f>
        <v>3600</v>
      </c>
      <c r="E6" s="11">
        <f>4*1100</f>
        <v>4400</v>
      </c>
      <c r="F6" s="11">
        <f>9*900</f>
        <v>8100</v>
      </c>
      <c r="H6" s="11"/>
    </row>
    <row r="7">
      <c r="A7" s="3" t="s">
        <v>48</v>
      </c>
      <c r="B7" s="4">
        <f>1200*150</f>
        <v>180000</v>
      </c>
      <c r="H7" s="4" t="s">
        <v>49</v>
      </c>
    </row>
    <row r="8">
      <c r="A8" s="3" t="s">
        <v>50</v>
      </c>
      <c r="B8" s="4">
        <v>7500.0</v>
      </c>
      <c r="D8" s="4">
        <v>7500.0</v>
      </c>
      <c r="F8" s="4">
        <v>7500.0</v>
      </c>
      <c r="G8" s="4"/>
      <c r="H8" s="4" t="s">
        <v>51</v>
      </c>
    </row>
    <row r="9">
      <c r="A9" s="6" t="s">
        <v>52</v>
      </c>
      <c r="B9" s="12" t="s">
        <v>53</v>
      </c>
      <c r="C9" s="12">
        <v>30900.0</v>
      </c>
      <c r="D9" s="13" t="s">
        <v>54</v>
      </c>
      <c r="F9" s="12" t="s">
        <v>53</v>
      </c>
      <c r="G9" s="12">
        <v>30900.0</v>
      </c>
      <c r="H9" s="4"/>
      <c r="I9" s="4"/>
    </row>
    <row r="10">
      <c r="B10" s="12" t="s">
        <v>55</v>
      </c>
      <c r="C10" s="12">
        <v>40500.0</v>
      </c>
      <c r="F10" s="12" t="s">
        <v>55</v>
      </c>
      <c r="G10" s="12">
        <v>40500.0</v>
      </c>
    </row>
    <row r="11">
      <c r="B11" s="12" t="s">
        <v>56</v>
      </c>
      <c r="C11" s="12">
        <v>48500.0</v>
      </c>
      <c r="F11" s="12" t="s">
        <v>56</v>
      </c>
      <c r="G11" s="12">
        <v>48500.0</v>
      </c>
    </row>
    <row r="12">
      <c r="B12" s="12" t="s">
        <v>57</v>
      </c>
      <c r="C12" s="12">
        <v>81000.0</v>
      </c>
      <c r="F12" s="12" t="s">
        <v>57</v>
      </c>
      <c r="G12" s="12">
        <v>81000.0</v>
      </c>
    </row>
    <row r="13">
      <c r="B13" s="12" t="s">
        <v>58</v>
      </c>
      <c r="C13" s="12">
        <v>89600.0</v>
      </c>
      <c r="F13" s="12" t="s">
        <v>58</v>
      </c>
      <c r="G13" s="12">
        <v>89600.0</v>
      </c>
    </row>
    <row r="14">
      <c r="A14" s="3" t="s">
        <v>15</v>
      </c>
      <c r="B14" s="14" t="s">
        <v>54</v>
      </c>
      <c r="D14" s="4">
        <v>12500.0</v>
      </c>
      <c r="F14" s="14" t="s">
        <v>54</v>
      </c>
    </row>
    <row r="15">
      <c r="A15" s="3" t="s">
        <v>17</v>
      </c>
      <c r="B15" s="14" t="s">
        <v>54</v>
      </c>
      <c r="D15" s="4">
        <v>14000.0</v>
      </c>
      <c r="F15" s="14" t="s">
        <v>54</v>
      </c>
    </row>
    <row r="16">
      <c r="A16" s="3" t="s">
        <v>20</v>
      </c>
      <c r="B16" s="4">
        <v>165000.0</v>
      </c>
    </row>
    <row r="17">
      <c r="A17" s="3" t="s">
        <v>59</v>
      </c>
      <c r="B17" s="4">
        <f>5*8500</f>
        <v>42500</v>
      </c>
      <c r="D17" s="14" t="s">
        <v>54</v>
      </c>
      <c r="F17" s="14" t="s">
        <v>54</v>
      </c>
      <c r="H17" s="4" t="s">
        <v>60</v>
      </c>
    </row>
    <row r="18">
      <c r="A18" s="3" t="s">
        <v>61</v>
      </c>
      <c r="B18" s="4">
        <f>6900*5</f>
        <v>34500</v>
      </c>
      <c r="D18" s="14" t="s">
        <v>54</v>
      </c>
      <c r="F18" s="14" t="s">
        <v>54</v>
      </c>
      <c r="H18" s="4" t="s">
        <v>62</v>
      </c>
    </row>
    <row r="19">
      <c r="A19" s="3" t="s">
        <v>22</v>
      </c>
      <c r="B19" s="4" t="s">
        <v>23</v>
      </c>
    </row>
    <row r="20">
      <c r="A20" s="3" t="s">
        <v>63</v>
      </c>
      <c r="B20" s="4" t="s">
        <v>23</v>
      </c>
    </row>
    <row r="21">
      <c r="A21" s="3" t="s">
        <v>25</v>
      </c>
      <c r="B21" s="4" t="s">
        <v>23</v>
      </c>
    </row>
    <row r="22">
      <c r="A22" s="3" t="s">
        <v>26</v>
      </c>
      <c r="B22" s="4" t="s">
        <v>23</v>
      </c>
    </row>
    <row r="23">
      <c r="A23" s="3" t="s">
        <v>27</v>
      </c>
      <c r="B23" s="4" t="s">
        <v>23</v>
      </c>
    </row>
    <row r="24">
      <c r="A24" s="3" t="s">
        <v>30</v>
      </c>
      <c r="B24" s="4" t="s">
        <v>23</v>
      </c>
    </row>
  </sheetData>
  <mergeCells count="37">
    <mergeCell ref="D3:E3"/>
    <mergeCell ref="F3:G3"/>
    <mergeCell ref="B1:C1"/>
    <mergeCell ref="D1:E1"/>
    <mergeCell ref="F1:G1"/>
    <mergeCell ref="B2:C2"/>
    <mergeCell ref="D2:E2"/>
    <mergeCell ref="F2:G2"/>
    <mergeCell ref="B3:C3"/>
    <mergeCell ref="B4:C4"/>
    <mergeCell ref="D4:E4"/>
    <mergeCell ref="F4:G4"/>
    <mergeCell ref="A5:A6"/>
    <mergeCell ref="F5:G5"/>
    <mergeCell ref="F6:G6"/>
    <mergeCell ref="B7:G7"/>
    <mergeCell ref="B8:C8"/>
    <mergeCell ref="D8:E8"/>
    <mergeCell ref="A9:A13"/>
    <mergeCell ref="D9:E13"/>
    <mergeCell ref="B14:C14"/>
    <mergeCell ref="D14:E14"/>
    <mergeCell ref="B15:C15"/>
    <mergeCell ref="D18:E18"/>
    <mergeCell ref="B19:F19"/>
    <mergeCell ref="B20:F20"/>
    <mergeCell ref="B21:F21"/>
    <mergeCell ref="B22:F22"/>
    <mergeCell ref="B23:F23"/>
    <mergeCell ref="B24:F24"/>
    <mergeCell ref="D15:E15"/>
    <mergeCell ref="B16:F16"/>
    <mergeCell ref="B17:C17"/>
    <mergeCell ref="D17:E17"/>
    <mergeCell ref="F17:G17"/>
    <mergeCell ref="B18:C18"/>
    <mergeCell ref="F18:G1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88"/>
    <col customWidth="1" min="2" max="7" width="5.13"/>
    <col customWidth="1" min="8" max="8" width="12.88"/>
    <col customWidth="1" min="9" max="9" width="12.25"/>
    <col customWidth="1" min="10" max="10" width="14.0"/>
    <col customWidth="1" min="11" max="11" width="12.75"/>
    <col customWidth="1" min="12" max="12" width="13.5"/>
    <col customWidth="1" min="13" max="13" width="15.0"/>
    <col customWidth="1" min="14" max="25" width="4.25"/>
    <col customWidth="1" min="26" max="44" width="10.75"/>
    <col customWidth="1" min="45" max="46" width="1.88"/>
    <col customWidth="1" min="47" max="47" width="6.25"/>
  </cols>
  <sheetData>
    <row r="1">
      <c r="A1" s="15" t="s">
        <v>64</v>
      </c>
      <c r="B1" s="15">
        <v>1.0</v>
      </c>
      <c r="C1" s="15">
        <v>2.0</v>
      </c>
      <c r="D1" s="15">
        <v>3.0</v>
      </c>
      <c r="E1" s="15">
        <v>4.0</v>
      </c>
      <c r="F1" s="15">
        <v>5.0</v>
      </c>
      <c r="G1" s="15">
        <v>6.0</v>
      </c>
      <c r="H1" s="15">
        <v>12.0</v>
      </c>
      <c r="I1" s="15">
        <v>18.0</v>
      </c>
      <c r="J1" s="15">
        <v>24.0</v>
      </c>
      <c r="K1" s="15">
        <v>36.0</v>
      </c>
      <c r="L1" s="15">
        <v>48.0</v>
      </c>
      <c r="M1" s="15">
        <v>60.0</v>
      </c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</row>
    <row r="2">
      <c r="A2" s="16" t="s">
        <v>65</v>
      </c>
      <c r="B2" s="17">
        <v>0.6</v>
      </c>
      <c r="C2" s="17">
        <v>0.3</v>
      </c>
      <c r="D2" s="17">
        <v>0.1</v>
      </c>
      <c r="E2" s="18"/>
      <c r="F2" s="18"/>
      <c r="G2" s="18"/>
      <c r="H2" s="19"/>
      <c r="I2" s="20"/>
      <c r="J2" s="20"/>
      <c r="K2" s="20"/>
      <c r="L2" s="20"/>
      <c r="M2" s="2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</row>
    <row r="3">
      <c r="A3" s="22"/>
      <c r="B3" s="17">
        <v>0.4</v>
      </c>
      <c r="C3" s="17">
        <v>0.15</v>
      </c>
      <c r="D3" s="17">
        <v>0.15</v>
      </c>
      <c r="E3" s="17">
        <v>0.15</v>
      </c>
      <c r="F3" s="17">
        <v>0.1</v>
      </c>
      <c r="G3" s="17">
        <v>0.05</v>
      </c>
      <c r="H3" s="23"/>
      <c r="I3" s="24"/>
      <c r="J3" s="24"/>
      <c r="K3" s="24"/>
      <c r="L3" s="24"/>
      <c r="M3" s="25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</row>
    <row r="4">
      <c r="A4" s="16" t="s">
        <v>66</v>
      </c>
      <c r="B4" s="26"/>
      <c r="C4" s="20"/>
      <c r="D4" s="20"/>
      <c r="E4" s="20"/>
      <c r="F4" s="20"/>
      <c r="G4" s="21"/>
      <c r="H4" s="27" t="s">
        <v>67</v>
      </c>
      <c r="I4" s="27" t="s">
        <v>68</v>
      </c>
      <c r="J4" s="28"/>
      <c r="K4" s="20"/>
      <c r="L4" s="20"/>
      <c r="M4" s="2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</row>
    <row r="5">
      <c r="A5" s="29"/>
      <c r="B5" s="30"/>
      <c r="G5" s="31"/>
      <c r="H5" s="27" t="s">
        <v>69</v>
      </c>
      <c r="I5" s="27" t="s">
        <v>69</v>
      </c>
      <c r="J5" s="30"/>
      <c r="M5" s="3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</row>
    <row r="6">
      <c r="A6" s="22"/>
      <c r="B6" s="23"/>
      <c r="C6" s="24"/>
      <c r="D6" s="24"/>
      <c r="E6" s="24"/>
      <c r="F6" s="24"/>
      <c r="G6" s="25"/>
      <c r="H6" s="27" t="s">
        <v>70</v>
      </c>
      <c r="I6" s="27" t="s">
        <v>70</v>
      </c>
      <c r="J6" s="23"/>
      <c r="K6" s="24"/>
      <c r="L6" s="24"/>
      <c r="M6" s="25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</row>
    <row r="7">
      <c r="A7" s="16" t="s">
        <v>71</v>
      </c>
      <c r="B7" s="28"/>
      <c r="C7" s="20"/>
      <c r="D7" s="20"/>
      <c r="E7" s="20"/>
      <c r="F7" s="20"/>
      <c r="G7" s="21"/>
      <c r="H7" s="27" t="s">
        <v>67</v>
      </c>
      <c r="I7" s="27" t="s">
        <v>68</v>
      </c>
      <c r="J7" s="27" t="s">
        <v>72</v>
      </c>
      <c r="K7" s="27" t="s">
        <v>72</v>
      </c>
      <c r="L7" s="27" t="s">
        <v>72</v>
      </c>
      <c r="M7" s="27" t="s">
        <v>72</v>
      </c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</row>
    <row r="8">
      <c r="A8" s="29"/>
      <c r="B8" s="30"/>
      <c r="G8" s="31"/>
      <c r="H8" s="27" t="s">
        <v>69</v>
      </c>
      <c r="I8" s="27" t="s">
        <v>69</v>
      </c>
      <c r="J8" s="27" t="s">
        <v>69</v>
      </c>
      <c r="K8" s="27" t="s">
        <v>73</v>
      </c>
      <c r="L8" s="27" t="s">
        <v>74</v>
      </c>
      <c r="M8" s="27" t="s">
        <v>75</v>
      </c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</row>
    <row r="9">
      <c r="A9" s="22"/>
      <c r="B9" s="23"/>
      <c r="C9" s="24"/>
      <c r="D9" s="24"/>
      <c r="E9" s="24"/>
      <c r="F9" s="24"/>
      <c r="G9" s="25"/>
      <c r="H9" s="27" t="s">
        <v>70</v>
      </c>
      <c r="I9" s="27" t="s">
        <v>70</v>
      </c>
      <c r="J9" s="27" t="s">
        <v>70</v>
      </c>
      <c r="K9" s="27" t="s">
        <v>70</v>
      </c>
      <c r="L9" s="27" t="s">
        <v>70</v>
      </c>
      <c r="M9" s="27" t="s">
        <v>70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</row>
    <row r="10">
      <c r="A10" s="32" t="s">
        <v>76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</row>
    <row r="11">
      <c r="A11" s="4"/>
      <c r="B11" s="4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</row>
    <row r="12">
      <c r="A12" s="4"/>
      <c r="B12" s="4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</row>
    <row r="13">
      <c r="A13" s="4"/>
      <c r="B13" s="4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</row>
    <row r="14">
      <c r="A14" s="4"/>
      <c r="B14" s="4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</row>
    <row r="15">
      <c r="A15" s="4"/>
      <c r="B15" s="4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</row>
    <row r="16">
      <c r="A16" s="4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</row>
    <row r="17">
      <c r="A17" s="4"/>
      <c r="B17" s="4"/>
      <c r="C17" s="4"/>
      <c r="D17" s="4"/>
      <c r="E17" s="4"/>
      <c r="F17" s="4"/>
      <c r="G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</row>
    <row r="18">
      <c r="A18" s="4"/>
      <c r="B18" s="33"/>
      <c r="C18" s="33"/>
      <c r="D18" s="33"/>
      <c r="E18" s="11"/>
      <c r="F18" s="11"/>
      <c r="G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</row>
    <row r="19">
      <c r="A19" s="4"/>
      <c r="B19" s="33"/>
      <c r="C19" s="33"/>
      <c r="D19" s="33"/>
      <c r="E19" s="33"/>
      <c r="F19" s="33"/>
      <c r="G19" s="3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</row>
    <row r="21">
      <c r="A21" s="4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4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S22" s="11"/>
      <c r="AT22" s="11"/>
      <c r="AU22" s="11"/>
    </row>
    <row r="23">
      <c r="A23" s="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S23" s="11"/>
      <c r="AT23" s="11"/>
      <c r="AU23" s="11"/>
    </row>
    <row r="24">
      <c r="A24" s="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S24" s="11"/>
      <c r="AT24" s="11"/>
      <c r="AU24" s="11"/>
    </row>
    <row r="25">
      <c r="A25" s="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S25" s="11"/>
      <c r="AT25" s="11"/>
      <c r="AU25" s="11"/>
    </row>
    <row r="26">
      <c r="A26" s="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S26" s="11"/>
      <c r="AT26" s="11"/>
      <c r="AU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S27" s="11"/>
      <c r="AT27" s="11"/>
      <c r="AU27" s="11"/>
    </row>
    <row r="30">
      <c r="A30" s="4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BJ32" s="11"/>
    </row>
    <row r="33">
      <c r="A33" s="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BJ33" s="11"/>
    </row>
    <row r="34">
      <c r="A34" s="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11"/>
      <c r="U34" s="11"/>
      <c r="V34" s="11"/>
      <c r="W34" s="11"/>
      <c r="X34" s="11"/>
      <c r="Y34" s="11"/>
      <c r="BJ34" s="11"/>
    </row>
    <row r="35">
      <c r="A35" s="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BJ35" s="11"/>
    </row>
    <row r="36">
      <c r="A36" s="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BJ36" s="11"/>
    </row>
    <row r="37">
      <c r="A37" s="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BJ37" s="11"/>
    </row>
    <row r="38">
      <c r="A38" s="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11"/>
    </row>
  </sheetData>
  <mergeCells count="9">
    <mergeCell ref="A7:A9"/>
    <mergeCell ref="A16:B16"/>
    <mergeCell ref="A2:A3"/>
    <mergeCell ref="H2:M3"/>
    <mergeCell ref="A4:A6"/>
    <mergeCell ref="B4:G6"/>
    <mergeCell ref="J4:M6"/>
    <mergeCell ref="B7:G9"/>
    <mergeCell ref="A10:M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5" max="5" width="9.0"/>
    <col customWidth="1" min="6" max="6" width="17.0"/>
    <col customWidth="1" min="10" max="10" width="14.0"/>
  </cols>
  <sheetData>
    <row r="1">
      <c r="A1" s="3" t="s">
        <v>77</v>
      </c>
      <c r="B1" s="3">
        <v>500.0</v>
      </c>
      <c r="C1" s="3">
        <v>500.0</v>
      </c>
      <c r="D1" s="3">
        <v>500.0</v>
      </c>
      <c r="F1" s="3"/>
      <c r="G1" s="3" t="s">
        <v>4</v>
      </c>
      <c r="K1" s="3" t="s">
        <v>6</v>
      </c>
      <c r="P1" s="4"/>
    </row>
    <row r="2">
      <c r="A2" s="1" t="s">
        <v>0</v>
      </c>
      <c r="B2" s="2" t="s">
        <v>1</v>
      </c>
      <c r="C2" s="2" t="s">
        <v>2</v>
      </c>
      <c r="D2" s="2" t="s">
        <v>3</v>
      </c>
      <c r="F2" s="2"/>
      <c r="G2" s="2" t="s">
        <v>1</v>
      </c>
      <c r="H2" s="2" t="s">
        <v>2</v>
      </c>
      <c r="I2" s="2" t="s">
        <v>3</v>
      </c>
      <c r="K2" s="2" t="s">
        <v>1</v>
      </c>
      <c r="L2" s="2" t="s">
        <v>2</v>
      </c>
      <c r="M2" s="2" t="s">
        <v>3</v>
      </c>
      <c r="P2" s="3">
        <v>2.0</v>
      </c>
      <c r="Q2" s="3">
        <v>30900.0</v>
      </c>
      <c r="R2" s="35">
        <f t="shared" ref="R2:R7" si="2">P2*Q2</f>
        <v>61800</v>
      </c>
    </row>
    <row r="3">
      <c r="A3" s="3" t="s">
        <v>4</v>
      </c>
      <c r="B3" s="4">
        <v>8000.0</v>
      </c>
      <c r="C3" s="4">
        <v>9000.0</v>
      </c>
      <c r="D3" s="4">
        <v>10200.0</v>
      </c>
      <c r="F3" s="36"/>
      <c r="G3" s="36">
        <f t="shared" ref="G3:I3" si="1">B1*B3</f>
        <v>4000000</v>
      </c>
      <c r="H3" s="36">
        <f t="shared" si="1"/>
        <v>4500000</v>
      </c>
      <c r="I3" s="36">
        <f t="shared" si="1"/>
        <v>5100000</v>
      </c>
      <c r="J3" s="37"/>
      <c r="K3" s="38"/>
      <c r="L3" s="38"/>
      <c r="M3" s="38"/>
      <c r="P3" s="3">
        <v>2.0</v>
      </c>
      <c r="Q3" s="3">
        <v>40500.0</v>
      </c>
      <c r="R3" s="35">
        <f t="shared" si="2"/>
        <v>81000</v>
      </c>
    </row>
    <row r="4">
      <c r="A4" s="3" t="s">
        <v>6</v>
      </c>
      <c r="B4" s="4">
        <v>8400.0</v>
      </c>
      <c r="C4" s="4">
        <v>9450.0</v>
      </c>
      <c r="D4" s="4">
        <v>10700.0</v>
      </c>
      <c r="F4" s="37"/>
      <c r="G4" s="37"/>
      <c r="H4" s="37"/>
      <c r="I4" s="37"/>
      <c r="J4" s="37"/>
      <c r="K4" s="36">
        <f t="shared" ref="K4:M4" si="3">B1*B4</f>
        <v>4200000</v>
      </c>
      <c r="L4" s="36">
        <f t="shared" si="3"/>
        <v>4725000</v>
      </c>
      <c r="M4" s="36">
        <f t="shared" si="3"/>
        <v>5350000</v>
      </c>
      <c r="P4" s="3">
        <v>2.0</v>
      </c>
      <c r="Q4" s="3">
        <v>48500.0</v>
      </c>
      <c r="R4" s="35">
        <f t="shared" si="2"/>
        <v>97000</v>
      </c>
    </row>
    <row r="5">
      <c r="A5" s="1" t="s">
        <v>8</v>
      </c>
      <c r="B5" s="5"/>
      <c r="F5" s="37"/>
      <c r="G5" s="37"/>
      <c r="H5" s="37"/>
      <c r="I5" s="37"/>
      <c r="J5" s="37"/>
      <c r="K5" s="36"/>
      <c r="L5" s="36"/>
      <c r="M5" s="36"/>
      <c r="P5" s="3">
        <v>2.0</v>
      </c>
      <c r="Q5" s="3">
        <v>81000.0</v>
      </c>
      <c r="R5" s="35">
        <f t="shared" si="2"/>
        <v>162000</v>
      </c>
    </row>
    <row r="6">
      <c r="A6" s="3" t="s">
        <v>9</v>
      </c>
      <c r="B6" s="4">
        <v>1200.0</v>
      </c>
      <c r="F6" s="36"/>
      <c r="G6" s="36">
        <f>B1*B6</f>
        <v>600000</v>
      </c>
      <c r="H6" s="36">
        <f>C1*B6</f>
        <v>600000</v>
      </c>
      <c r="I6" s="36">
        <f>D1*B6</f>
        <v>600000</v>
      </c>
      <c r="J6" s="37"/>
      <c r="K6" s="36">
        <f>B1*B6</f>
        <v>600000</v>
      </c>
      <c r="L6" s="36">
        <f>C1*B6</f>
        <v>600000</v>
      </c>
      <c r="M6" s="36">
        <f>D1*B6</f>
        <v>600000</v>
      </c>
      <c r="P6" s="3">
        <v>2.0</v>
      </c>
      <c r="Q6" s="3">
        <v>89600.0</v>
      </c>
      <c r="R6" s="35">
        <f t="shared" si="2"/>
        <v>179200</v>
      </c>
    </row>
    <row r="7">
      <c r="A7" s="3" t="s">
        <v>11</v>
      </c>
      <c r="B7" s="4">
        <v>250.0</v>
      </c>
      <c r="F7" s="36"/>
      <c r="G7" s="36">
        <f>B1*B7</f>
        <v>125000</v>
      </c>
      <c r="H7" s="36">
        <f>C1*B7</f>
        <v>125000</v>
      </c>
      <c r="I7" s="36">
        <f>D1*B7</f>
        <v>125000</v>
      </c>
      <c r="J7" s="37"/>
      <c r="K7" s="37"/>
      <c r="L7" s="37"/>
      <c r="M7" s="37"/>
      <c r="R7" s="35">
        <f t="shared" si="2"/>
        <v>0</v>
      </c>
    </row>
    <row r="8">
      <c r="A8" s="6" t="s">
        <v>12</v>
      </c>
      <c r="B8" s="4" t="s">
        <v>78</v>
      </c>
      <c r="F8" s="36"/>
      <c r="G8" s="36">
        <f t="shared" ref="G8:I8" si="4">(2*30900)+(2*40500)+(2*48500)+(2*81000)+(2*89600)</f>
        <v>581000</v>
      </c>
      <c r="H8" s="36">
        <f t="shared" si="4"/>
        <v>581000</v>
      </c>
      <c r="I8" s="36">
        <f t="shared" si="4"/>
        <v>581000</v>
      </c>
      <c r="J8" s="37"/>
      <c r="K8" s="36">
        <f t="shared" ref="K8:M8" si="5">(2*30900)+(2*40500)+(2*48500)+(2*81000)+(2*89600)</f>
        <v>581000</v>
      </c>
      <c r="L8" s="36">
        <f t="shared" si="5"/>
        <v>581000</v>
      </c>
      <c r="M8" s="36">
        <f t="shared" si="5"/>
        <v>581000</v>
      </c>
      <c r="N8" s="12" t="s">
        <v>79</v>
      </c>
      <c r="P8" s="3" t="s">
        <v>80</v>
      </c>
    </row>
    <row r="9">
      <c r="A9" s="3" t="s">
        <v>15</v>
      </c>
      <c r="B9" s="4">
        <v>12500.0</v>
      </c>
      <c r="F9" s="36"/>
      <c r="G9" s="36">
        <f>4*B9</f>
        <v>50000</v>
      </c>
      <c r="H9" s="36">
        <f>4*B9</f>
        <v>50000</v>
      </c>
      <c r="I9" s="36">
        <f>4*B9</f>
        <v>50000</v>
      </c>
      <c r="J9" s="37"/>
      <c r="K9" s="36">
        <f>4*B9</f>
        <v>50000</v>
      </c>
      <c r="L9" s="36">
        <f>4*B9</f>
        <v>50000</v>
      </c>
      <c r="M9" s="36">
        <f>4*B9</f>
        <v>50000</v>
      </c>
      <c r="N9" s="3" t="s">
        <v>81</v>
      </c>
    </row>
    <row r="10">
      <c r="A10" s="8" t="s">
        <v>17</v>
      </c>
      <c r="B10" s="9">
        <v>14000.0</v>
      </c>
      <c r="F10" s="36"/>
      <c r="G10" s="36">
        <f>5*B10</f>
        <v>70000</v>
      </c>
      <c r="H10" s="36">
        <f>5*B10</f>
        <v>70000</v>
      </c>
      <c r="I10" s="36"/>
      <c r="J10" s="36"/>
      <c r="K10" s="36">
        <f>5*B10</f>
        <v>70000</v>
      </c>
      <c r="L10" s="36"/>
      <c r="M10" s="36">
        <f>5*B10</f>
        <v>70000</v>
      </c>
      <c r="N10" s="3" t="s">
        <v>82</v>
      </c>
    </row>
    <row r="11">
      <c r="A11" s="8" t="s">
        <v>20</v>
      </c>
      <c r="B11" s="9">
        <v>115000.0</v>
      </c>
      <c r="F11" s="36"/>
      <c r="G11" s="36"/>
      <c r="H11" s="36"/>
      <c r="I11" s="36">
        <v>115000.0</v>
      </c>
      <c r="J11" s="36"/>
      <c r="K11" s="36"/>
      <c r="L11" s="36">
        <v>115000.0</v>
      </c>
      <c r="M11" s="36"/>
    </row>
    <row r="12">
      <c r="A12" s="3" t="s">
        <v>22</v>
      </c>
      <c r="B12" s="4" t="s">
        <v>23</v>
      </c>
      <c r="E12" s="39" t="s">
        <v>83</v>
      </c>
      <c r="F12" s="40" t="s">
        <v>84</v>
      </c>
      <c r="G12" s="41">
        <f t="shared" ref="G12:I12" si="6">sum(G3:G11)</f>
        <v>5426000</v>
      </c>
      <c r="H12" s="41">
        <f t="shared" si="6"/>
        <v>5926000</v>
      </c>
      <c r="I12" s="41">
        <f t="shared" si="6"/>
        <v>6571000</v>
      </c>
      <c r="J12" s="42"/>
      <c r="K12" s="41">
        <f t="shared" ref="K12:M12" si="7">sum(K3:K11)</f>
        <v>5501000</v>
      </c>
      <c r="L12" s="41">
        <f t="shared" si="7"/>
        <v>6071000</v>
      </c>
      <c r="M12" s="41">
        <f t="shared" si="7"/>
        <v>6651000</v>
      </c>
    </row>
    <row r="13">
      <c r="A13" s="3" t="s">
        <v>24</v>
      </c>
      <c r="B13" s="4" t="s">
        <v>23</v>
      </c>
      <c r="E13" s="6" t="s">
        <v>85</v>
      </c>
      <c r="F13" s="3" t="s">
        <v>86</v>
      </c>
      <c r="G13" s="4">
        <v>0.0</v>
      </c>
      <c r="H13" s="4">
        <v>0.0</v>
      </c>
      <c r="I13" s="4">
        <v>0.0</v>
      </c>
      <c r="K13" s="4">
        <v>0.0</v>
      </c>
      <c r="L13" s="4">
        <v>0.0</v>
      </c>
      <c r="M13" s="4">
        <v>0.0</v>
      </c>
    </row>
    <row r="14">
      <c r="A14" s="3" t="s">
        <v>25</v>
      </c>
      <c r="B14" s="4" t="s">
        <v>23</v>
      </c>
      <c r="F14" s="3" t="s">
        <v>87</v>
      </c>
      <c r="G14" s="4">
        <v>0.0</v>
      </c>
      <c r="H14" s="4">
        <v>0.0</v>
      </c>
      <c r="I14" s="4">
        <v>0.0</v>
      </c>
      <c r="K14" s="4">
        <v>0.0</v>
      </c>
      <c r="L14" s="4">
        <v>0.0</v>
      </c>
      <c r="M14" s="4">
        <v>0.0</v>
      </c>
    </row>
    <row r="15">
      <c r="A15" s="3" t="s">
        <v>26</v>
      </c>
      <c r="B15" s="4" t="s">
        <v>23</v>
      </c>
      <c r="F15" s="3">
        <v>60.0</v>
      </c>
      <c r="G15" s="36">
        <f t="shared" ref="G15:I15" si="8">G12*0.6</f>
        <v>3255600</v>
      </c>
      <c r="H15" s="36">
        <f t="shared" si="8"/>
        <v>3555600</v>
      </c>
      <c r="I15" s="36">
        <f t="shared" si="8"/>
        <v>3942600</v>
      </c>
      <c r="J15" s="36"/>
      <c r="K15" s="36">
        <f t="shared" ref="K15:M15" si="9">K12*0.6</f>
        <v>3300600</v>
      </c>
      <c r="L15" s="36">
        <f t="shared" si="9"/>
        <v>3642600</v>
      </c>
      <c r="M15" s="36">
        <f t="shared" si="9"/>
        <v>3990600</v>
      </c>
    </row>
    <row r="16">
      <c r="A16" s="3" t="s">
        <v>27</v>
      </c>
      <c r="B16" s="4" t="s">
        <v>23</v>
      </c>
      <c r="F16" s="3">
        <v>30.0</v>
      </c>
      <c r="G16" s="36">
        <f t="shared" ref="G16:I16" si="10">G12*0.3</f>
        <v>1627800</v>
      </c>
      <c r="H16" s="36">
        <f t="shared" si="10"/>
        <v>1777800</v>
      </c>
      <c r="I16" s="36">
        <f t="shared" si="10"/>
        <v>1971300</v>
      </c>
      <c r="J16" s="36"/>
      <c r="K16" s="36">
        <f t="shared" ref="K16:M16" si="11">K12*0.3</f>
        <v>1650300</v>
      </c>
      <c r="L16" s="36">
        <f t="shared" si="11"/>
        <v>1821300</v>
      </c>
      <c r="M16" s="36">
        <f t="shared" si="11"/>
        <v>1995300</v>
      </c>
    </row>
    <row r="17">
      <c r="A17" s="3" t="s">
        <v>28</v>
      </c>
      <c r="B17" s="4" t="s">
        <v>23</v>
      </c>
      <c r="E17" s="6" t="s">
        <v>88</v>
      </c>
      <c r="F17" s="3">
        <v>10.0</v>
      </c>
      <c r="G17" s="36">
        <f t="shared" ref="G17:I17" si="12">G12*0.1</f>
        <v>542600</v>
      </c>
      <c r="H17" s="36">
        <f t="shared" si="12"/>
        <v>592600</v>
      </c>
      <c r="I17" s="36">
        <f t="shared" si="12"/>
        <v>657100</v>
      </c>
      <c r="J17" s="36"/>
      <c r="K17" s="36">
        <f t="shared" ref="K17:M17" si="13">K12*0.1</f>
        <v>550100</v>
      </c>
      <c r="L17" s="36">
        <f t="shared" si="13"/>
        <v>607100</v>
      </c>
      <c r="M17" s="36">
        <f t="shared" si="13"/>
        <v>665100</v>
      </c>
    </row>
    <row r="18">
      <c r="A18" s="3" t="s">
        <v>29</v>
      </c>
      <c r="B18" s="4" t="s">
        <v>23</v>
      </c>
    </row>
    <row r="19">
      <c r="A19" s="3" t="s">
        <v>30</v>
      </c>
      <c r="B19" s="4" t="s">
        <v>23</v>
      </c>
      <c r="F19" s="3" t="s">
        <v>86</v>
      </c>
      <c r="G19" s="4">
        <v>0.0</v>
      </c>
      <c r="H19" s="4">
        <v>0.0</v>
      </c>
      <c r="I19" s="4">
        <v>0.0</v>
      </c>
      <c r="K19" s="4">
        <v>0.0</v>
      </c>
      <c r="L19" s="4">
        <v>0.0</v>
      </c>
      <c r="M19" s="4">
        <v>0.0</v>
      </c>
    </row>
    <row r="20">
      <c r="F20" s="3" t="s">
        <v>87</v>
      </c>
      <c r="G20" s="4">
        <v>0.0</v>
      </c>
      <c r="H20" s="4">
        <v>0.0</v>
      </c>
      <c r="I20" s="4">
        <v>0.0</v>
      </c>
      <c r="K20" s="4">
        <v>0.0</v>
      </c>
      <c r="L20" s="4">
        <v>0.0</v>
      </c>
      <c r="M20" s="4">
        <v>0.0</v>
      </c>
    </row>
    <row r="21">
      <c r="F21" s="3">
        <v>40.0</v>
      </c>
      <c r="G21" s="36">
        <f t="shared" ref="G21:I21" si="14">G12*0.4</f>
        <v>2170400</v>
      </c>
      <c r="H21" s="36">
        <f t="shared" si="14"/>
        <v>2370400</v>
      </c>
      <c r="I21" s="36">
        <f t="shared" si="14"/>
        <v>2628400</v>
      </c>
      <c r="J21" s="36"/>
      <c r="K21" s="36">
        <f t="shared" ref="K21:M21" si="15">K12*0.4</f>
        <v>2200400</v>
      </c>
      <c r="L21" s="36">
        <f t="shared" si="15"/>
        <v>2428400</v>
      </c>
      <c r="M21" s="36">
        <f t="shared" si="15"/>
        <v>2660400</v>
      </c>
    </row>
    <row r="22">
      <c r="F22" s="3">
        <v>15.0</v>
      </c>
      <c r="G22" s="36">
        <f t="shared" ref="G22:I22" si="16">G12*0.15</f>
        <v>813900</v>
      </c>
      <c r="H22" s="36">
        <f t="shared" si="16"/>
        <v>888900</v>
      </c>
      <c r="I22" s="36">
        <f t="shared" si="16"/>
        <v>985650</v>
      </c>
      <c r="J22" s="36"/>
      <c r="K22" s="36">
        <f t="shared" ref="K22:M22" si="17">K12*0.15</f>
        <v>825150</v>
      </c>
      <c r="L22" s="36">
        <f t="shared" si="17"/>
        <v>910650</v>
      </c>
      <c r="M22" s="36">
        <f t="shared" si="17"/>
        <v>997650</v>
      </c>
    </row>
    <row r="23">
      <c r="F23" s="3">
        <v>15.0</v>
      </c>
      <c r="G23" s="36">
        <f t="shared" ref="G23:I23" si="18">G12*0.15</f>
        <v>813900</v>
      </c>
      <c r="H23" s="36">
        <f t="shared" si="18"/>
        <v>888900</v>
      </c>
      <c r="I23" s="36">
        <f t="shared" si="18"/>
        <v>985650</v>
      </c>
      <c r="J23" s="36"/>
      <c r="K23" s="36">
        <f t="shared" ref="K23:M23" si="19">K12*0.15</f>
        <v>825150</v>
      </c>
      <c r="L23" s="36">
        <f t="shared" si="19"/>
        <v>910650</v>
      </c>
      <c r="M23" s="36">
        <f t="shared" si="19"/>
        <v>997650</v>
      </c>
    </row>
    <row r="24">
      <c r="F24" s="3">
        <v>15.0</v>
      </c>
      <c r="G24" s="36">
        <f t="shared" ref="G24:I24" si="20">G12*0.15</f>
        <v>813900</v>
      </c>
      <c r="H24" s="36">
        <f t="shared" si="20"/>
        <v>888900</v>
      </c>
      <c r="I24" s="36">
        <f t="shared" si="20"/>
        <v>985650</v>
      </c>
      <c r="J24" s="36"/>
      <c r="K24" s="36">
        <f t="shared" ref="K24:M24" si="21">K12*0.15</f>
        <v>825150</v>
      </c>
      <c r="L24" s="36">
        <f t="shared" si="21"/>
        <v>910650</v>
      </c>
      <c r="M24" s="36">
        <f t="shared" si="21"/>
        <v>997650</v>
      </c>
    </row>
    <row r="25">
      <c r="F25" s="3">
        <v>10.0</v>
      </c>
      <c r="G25" s="36">
        <f t="shared" ref="G25:I25" si="22">G12*0.1</f>
        <v>542600</v>
      </c>
      <c r="H25" s="36">
        <f t="shared" si="22"/>
        <v>592600</v>
      </c>
      <c r="I25" s="36">
        <f t="shared" si="22"/>
        <v>657100</v>
      </c>
      <c r="J25" s="36"/>
      <c r="K25" s="36">
        <f t="shared" ref="K25:M25" si="23">K12*0.1</f>
        <v>550100</v>
      </c>
      <c r="L25" s="36">
        <f t="shared" si="23"/>
        <v>607100</v>
      </c>
      <c r="M25" s="36">
        <f t="shared" si="23"/>
        <v>665100</v>
      </c>
    </row>
    <row r="26">
      <c r="F26" s="3">
        <v>5.0</v>
      </c>
      <c r="G26" s="36">
        <f t="shared" ref="G26:I26" si="24">G12*0.05</f>
        <v>271300</v>
      </c>
      <c r="H26" s="36">
        <f t="shared" si="24"/>
        <v>296300</v>
      </c>
      <c r="I26" s="36">
        <f t="shared" si="24"/>
        <v>328550</v>
      </c>
      <c r="J26" s="36"/>
      <c r="K26" s="36">
        <f t="shared" ref="K26:M26" si="25">K12*0.05</f>
        <v>275050</v>
      </c>
      <c r="L26" s="36">
        <f t="shared" si="25"/>
        <v>303550</v>
      </c>
      <c r="M26" s="36">
        <f t="shared" si="25"/>
        <v>332550</v>
      </c>
    </row>
    <row r="28">
      <c r="E28" s="3" t="s">
        <v>89</v>
      </c>
      <c r="F28" s="3" t="s">
        <v>90</v>
      </c>
      <c r="G28" s="36">
        <f t="shared" ref="G28:I28" si="26">G12*0.04</f>
        <v>217040</v>
      </c>
      <c r="H28" s="36">
        <f t="shared" si="26"/>
        <v>237040</v>
      </c>
      <c r="I28" s="36">
        <f t="shared" si="26"/>
        <v>262840</v>
      </c>
      <c r="J28" s="36"/>
      <c r="K28" s="36">
        <f t="shared" ref="K28:M28" si="27">K12*0.04</f>
        <v>220040</v>
      </c>
      <c r="L28" s="36">
        <f t="shared" si="27"/>
        <v>242840</v>
      </c>
      <c r="M28" s="36">
        <f t="shared" si="27"/>
        <v>266040</v>
      </c>
    </row>
    <row r="29">
      <c r="F29" s="3" t="s">
        <v>91</v>
      </c>
      <c r="G29" s="4">
        <v>0.0</v>
      </c>
      <c r="H29" s="4">
        <v>0.0</v>
      </c>
      <c r="I29" s="4">
        <v>0.0</v>
      </c>
      <c r="K29" s="4">
        <v>0.0</v>
      </c>
      <c r="L29" s="4">
        <v>0.0</v>
      </c>
      <c r="M29" s="4">
        <v>0.0</v>
      </c>
    </row>
    <row r="30">
      <c r="F30" s="3" t="s">
        <v>92</v>
      </c>
      <c r="G30" s="36">
        <f t="shared" ref="G30:I30" si="28">G12/12</f>
        <v>452166.6667</v>
      </c>
      <c r="H30" s="36">
        <f t="shared" si="28"/>
        <v>493833.3333</v>
      </c>
      <c r="I30" s="36">
        <f t="shared" si="28"/>
        <v>547583.3333</v>
      </c>
      <c r="J30" s="36"/>
      <c r="K30" s="36">
        <f t="shared" ref="K30:M30" si="29">K12/12</f>
        <v>458416.6667</v>
      </c>
      <c r="L30" s="36">
        <f t="shared" si="29"/>
        <v>505916.6667</v>
      </c>
      <c r="M30" s="36">
        <f t="shared" si="29"/>
        <v>554250</v>
      </c>
    </row>
    <row r="32">
      <c r="E32" s="3" t="s">
        <v>93</v>
      </c>
      <c r="F32" s="3" t="s">
        <v>94</v>
      </c>
      <c r="G32" s="36">
        <f t="shared" ref="G32:I32" si="30">G12*0.1</f>
        <v>542600</v>
      </c>
      <c r="H32" s="36">
        <f t="shared" si="30"/>
        <v>592600</v>
      </c>
      <c r="I32" s="36">
        <f t="shared" si="30"/>
        <v>657100</v>
      </c>
      <c r="J32" s="36"/>
      <c r="K32" s="36">
        <f t="shared" ref="K32:M32" si="31">K12*0.1</f>
        <v>550100</v>
      </c>
      <c r="L32" s="36">
        <f t="shared" si="31"/>
        <v>607100</v>
      </c>
      <c r="M32" s="36">
        <f t="shared" si="31"/>
        <v>665100</v>
      </c>
    </row>
    <row r="33">
      <c r="F33" s="3" t="s">
        <v>91</v>
      </c>
      <c r="G33" s="4">
        <v>0.0</v>
      </c>
      <c r="H33" s="4">
        <v>0.0</v>
      </c>
      <c r="I33" s="4">
        <v>0.0</v>
      </c>
      <c r="K33" s="4">
        <v>0.0</v>
      </c>
      <c r="L33" s="4">
        <v>0.0</v>
      </c>
      <c r="M33" s="4">
        <v>0.0</v>
      </c>
    </row>
    <row r="34">
      <c r="F34" s="3" t="s">
        <v>95</v>
      </c>
      <c r="G34" s="36">
        <f t="shared" ref="G34:I34" si="32">G12/18</f>
        <v>301444.4444</v>
      </c>
      <c r="H34" s="36">
        <f t="shared" si="32"/>
        <v>329222.2222</v>
      </c>
      <c r="I34" s="36">
        <f t="shared" si="32"/>
        <v>365055.5556</v>
      </c>
      <c r="J34" s="36"/>
      <c r="K34" s="36">
        <f t="shared" ref="K34:M34" si="33">K12/18</f>
        <v>305611.1111</v>
      </c>
      <c r="L34" s="36">
        <f t="shared" si="33"/>
        <v>337277.7778</v>
      </c>
      <c r="M34" s="36">
        <f t="shared" si="33"/>
        <v>369500</v>
      </c>
    </row>
    <row r="36">
      <c r="E36" s="3" t="s">
        <v>96</v>
      </c>
      <c r="F36" s="3" t="s">
        <v>90</v>
      </c>
      <c r="G36" s="36">
        <f t="shared" ref="G36:I36" si="34">G12*0.04</f>
        <v>217040</v>
      </c>
      <c r="H36" s="36">
        <f t="shared" si="34"/>
        <v>237040</v>
      </c>
      <c r="I36" s="36">
        <f t="shared" si="34"/>
        <v>262840</v>
      </c>
      <c r="J36" s="36"/>
      <c r="K36" s="36">
        <f t="shared" ref="K36:M36" si="35">K12*0.04</f>
        <v>220040</v>
      </c>
      <c r="L36" s="36">
        <f t="shared" si="35"/>
        <v>242840</v>
      </c>
      <c r="M36" s="36">
        <f t="shared" si="35"/>
        <v>266040</v>
      </c>
    </row>
    <row r="37">
      <c r="F37" s="3" t="s">
        <v>91</v>
      </c>
      <c r="G37" s="4">
        <v>0.0</v>
      </c>
      <c r="H37" s="4">
        <v>0.0</v>
      </c>
      <c r="I37" s="4">
        <v>0.0</v>
      </c>
      <c r="K37" s="4">
        <v>0.0</v>
      </c>
      <c r="L37" s="4">
        <v>0.0</v>
      </c>
      <c r="M37" s="4">
        <v>0.0</v>
      </c>
    </row>
    <row r="38">
      <c r="F38" s="3" t="s">
        <v>92</v>
      </c>
      <c r="G38" s="36">
        <f t="shared" ref="G38:I38" si="36">G12/12</f>
        <v>452166.6667</v>
      </c>
      <c r="H38" s="36">
        <f t="shared" si="36"/>
        <v>493833.3333</v>
      </c>
      <c r="I38" s="36">
        <f t="shared" si="36"/>
        <v>547583.3333</v>
      </c>
      <c r="J38" s="36"/>
      <c r="K38" s="36">
        <f t="shared" ref="K38:M38" si="37">K12/12</f>
        <v>458416.6667</v>
      </c>
      <c r="L38" s="36">
        <f t="shared" si="37"/>
        <v>505916.6667</v>
      </c>
      <c r="M38" s="36">
        <f t="shared" si="37"/>
        <v>554250</v>
      </c>
    </row>
    <row r="40">
      <c r="E40" s="3" t="s">
        <v>97</v>
      </c>
      <c r="F40" s="3" t="s">
        <v>94</v>
      </c>
      <c r="G40" s="36">
        <f t="shared" ref="G40:I40" si="38">G12*0.1</f>
        <v>542600</v>
      </c>
      <c r="H40" s="36">
        <f t="shared" si="38"/>
        <v>592600</v>
      </c>
      <c r="I40" s="36">
        <f t="shared" si="38"/>
        <v>657100</v>
      </c>
      <c r="J40" s="36"/>
      <c r="K40" s="36">
        <f t="shared" ref="K40:M40" si="39">K12*0.1</f>
        <v>550100</v>
      </c>
      <c r="L40" s="36">
        <f t="shared" si="39"/>
        <v>607100</v>
      </c>
      <c r="M40" s="36">
        <f t="shared" si="39"/>
        <v>665100</v>
      </c>
    </row>
    <row r="41">
      <c r="F41" s="3" t="s">
        <v>91</v>
      </c>
      <c r="G41" s="4">
        <v>0.0</v>
      </c>
      <c r="H41" s="4">
        <v>0.0</v>
      </c>
      <c r="I41" s="4">
        <v>0.0</v>
      </c>
      <c r="K41" s="4">
        <v>0.0</v>
      </c>
      <c r="L41" s="4">
        <v>0.0</v>
      </c>
      <c r="M41" s="4">
        <v>0.0</v>
      </c>
    </row>
    <row r="42">
      <c r="F42" s="3" t="s">
        <v>95</v>
      </c>
      <c r="G42" s="36">
        <f t="shared" ref="G42:I42" si="40">G12/18</f>
        <v>301444.4444</v>
      </c>
      <c r="H42" s="36">
        <f t="shared" si="40"/>
        <v>329222.2222</v>
      </c>
      <c r="I42" s="36">
        <f t="shared" si="40"/>
        <v>365055.5556</v>
      </c>
      <c r="J42" s="36"/>
      <c r="K42" s="36">
        <f t="shared" ref="K42:M42" si="41">K12/18</f>
        <v>305611.1111</v>
      </c>
      <c r="L42" s="36">
        <f t="shared" si="41"/>
        <v>337277.7778</v>
      </c>
      <c r="M42" s="36">
        <f t="shared" si="41"/>
        <v>369500</v>
      </c>
    </row>
    <row r="44">
      <c r="E44" s="3" t="s">
        <v>98</v>
      </c>
      <c r="F44" s="3" t="s">
        <v>99</v>
      </c>
      <c r="G44" s="36">
        <f t="shared" ref="G44:I44" si="42">G12*0.15</f>
        <v>813900</v>
      </c>
      <c r="H44" s="36">
        <f t="shared" si="42"/>
        <v>888900</v>
      </c>
      <c r="I44" s="36">
        <f t="shared" si="42"/>
        <v>985650</v>
      </c>
      <c r="J44" s="36"/>
      <c r="K44" s="36">
        <f t="shared" ref="K44:M44" si="43">K12*0.15</f>
        <v>825150</v>
      </c>
      <c r="L44" s="36">
        <f t="shared" si="43"/>
        <v>910650</v>
      </c>
      <c r="M44" s="36">
        <f t="shared" si="43"/>
        <v>997650</v>
      </c>
    </row>
    <row r="45">
      <c r="F45" s="3" t="s">
        <v>91</v>
      </c>
      <c r="G45" s="4">
        <v>0.0</v>
      </c>
      <c r="H45" s="4">
        <v>0.0</v>
      </c>
      <c r="I45" s="4">
        <v>0.0</v>
      </c>
      <c r="K45" s="4">
        <v>0.0</v>
      </c>
      <c r="L45" s="4">
        <v>0.0</v>
      </c>
      <c r="M45" s="4">
        <v>0.0</v>
      </c>
    </row>
    <row r="46">
      <c r="F46" s="3" t="s">
        <v>100</v>
      </c>
      <c r="G46" s="36">
        <f t="shared" ref="G46:I46" si="44">G12/24</f>
        <v>226083.3333</v>
      </c>
      <c r="H46" s="36">
        <f t="shared" si="44"/>
        <v>246916.6667</v>
      </c>
      <c r="I46" s="36">
        <f t="shared" si="44"/>
        <v>273791.6667</v>
      </c>
      <c r="J46" s="36"/>
      <c r="K46" s="36">
        <f t="shared" ref="K46:M46" si="45">K12/24</f>
        <v>229208.3333</v>
      </c>
      <c r="L46" s="36">
        <f t="shared" si="45"/>
        <v>252958.3333</v>
      </c>
      <c r="M46" s="36">
        <f t="shared" si="45"/>
        <v>277125</v>
      </c>
    </row>
    <row r="48">
      <c r="E48" s="3" t="s">
        <v>101</v>
      </c>
      <c r="F48" s="3" t="s">
        <v>99</v>
      </c>
      <c r="G48" s="36">
        <f t="shared" ref="G48:I48" si="46">G16*0.15</f>
        <v>244170</v>
      </c>
      <c r="H48" s="36">
        <f t="shared" si="46"/>
        <v>266670</v>
      </c>
      <c r="I48" s="36">
        <f t="shared" si="46"/>
        <v>295695</v>
      </c>
      <c r="J48" s="36"/>
      <c r="K48" s="36">
        <f t="shared" ref="K48:M48" si="47">K16*0.15</f>
        <v>247545</v>
      </c>
      <c r="L48" s="36">
        <f t="shared" si="47"/>
        <v>273195</v>
      </c>
      <c r="M48" s="36">
        <f t="shared" si="47"/>
        <v>299295</v>
      </c>
    </row>
    <row r="49">
      <c r="F49" s="3" t="s">
        <v>102</v>
      </c>
      <c r="G49" s="36">
        <f t="shared" ref="G49:I49" si="48">G12*0.14*3</f>
        <v>2278920</v>
      </c>
      <c r="H49" s="36">
        <f t="shared" si="48"/>
        <v>2488920</v>
      </c>
      <c r="I49" s="36">
        <f t="shared" si="48"/>
        <v>2759820</v>
      </c>
      <c r="J49" s="36"/>
      <c r="K49" s="36">
        <f t="shared" ref="K49:M49" si="49">K12*0.14*3</f>
        <v>2310420</v>
      </c>
      <c r="L49" s="36">
        <f t="shared" si="49"/>
        <v>2549820</v>
      </c>
      <c r="M49" s="36">
        <f t="shared" si="49"/>
        <v>2793420</v>
      </c>
    </row>
    <row r="50">
      <c r="F50" s="3" t="s">
        <v>103</v>
      </c>
      <c r="G50" s="36">
        <f t="shared" ref="G50:I50" si="50">(G12+G49)/36</f>
        <v>214025.5556</v>
      </c>
      <c r="H50" s="36">
        <f t="shared" si="50"/>
        <v>233747.7778</v>
      </c>
      <c r="I50" s="36">
        <f t="shared" si="50"/>
        <v>259189.4444</v>
      </c>
      <c r="J50" s="36"/>
      <c r="K50" s="36">
        <f t="shared" ref="K50:M50" si="51">(K12+K49)/36</f>
        <v>216983.8889</v>
      </c>
      <c r="L50" s="36">
        <f t="shared" si="51"/>
        <v>239467.2222</v>
      </c>
      <c r="M50" s="36">
        <f t="shared" si="51"/>
        <v>262345</v>
      </c>
    </row>
    <row r="52">
      <c r="E52" s="3" t="s">
        <v>104</v>
      </c>
      <c r="F52" s="3" t="s">
        <v>99</v>
      </c>
      <c r="G52" s="36">
        <f t="shared" ref="G52:I52" si="52">G12*0.15</f>
        <v>813900</v>
      </c>
      <c r="H52" s="36">
        <f t="shared" si="52"/>
        <v>888900</v>
      </c>
      <c r="I52" s="36">
        <f t="shared" si="52"/>
        <v>985650</v>
      </c>
      <c r="J52" s="36"/>
      <c r="K52" s="36">
        <f t="shared" ref="K52:M52" si="53">K12*0.15</f>
        <v>825150</v>
      </c>
      <c r="L52" s="36">
        <f t="shared" si="53"/>
        <v>910650</v>
      </c>
      <c r="M52" s="36">
        <f t="shared" si="53"/>
        <v>997650</v>
      </c>
    </row>
    <row r="53">
      <c r="F53" s="3" t="s">
        <v>105</v>
      </c>
      <c r="G53" s="36">
        <f t="shared" ref="G53:I53" si="54">G12*0.15*4</f>
        <v>3255600</v>
      </c>
      <c r="H53" s="36">
        <f t="shared" si="54"/>
        <v>3555600</v>
      </c>
      <c r="I53" s="36">
        <f t="shared" si="54"/>
        <v>3942600</v>
      </c>
      <c r="J53" s="36"/>
      <c r="K53" s="36">
        <f t="shared" ref="K53:M53" si="55">K12*0.15*4</f>
        <v>3300600</v>
      </c>
      <c r="L53" s="36">
        <f t="shared" si="55"/>
        <v>3642600</v>
      </c>
      <c r="M53" s="36">
        <f t="shared" si="55"/>
        <v>3990600</v>
      </c>
    </row>
    <row r="54">
      <c r="F54" s="3" t="s">
        <v>106</v>
      </c>
      <c r="G54" s="36">
        <f t="shared" ref="G54:I54" si="56">(G12+G53)/48</f>
        <v>180866.6667</v>
      </c>
      <c r="H54" s="36">
        <f t="shared" si="56"/>
        <v>197533.3333</v>
      </c>
      <c r="I54" s="36">
        <f t="shared" si="56"/>
        <v>219033.3333</v>
      </c>
      <c r="J54" s="36"/>
      <c r="K54" s="36">
        <f t="shared" ref="K54:M54" si="57">(K12+K53)/48</f>
        <v>183366.6667</v>
      </c>
      <c r="L54" s="36">
        <f t="shared" si="57"/>
        <v>202366.6667</v>
      </c>
      <c r="M54" s="36">
        <f t="shared" si="57"/>
        <v>221700</v>
      </c>
    </row>
    <row r="56">
      <c r="E56" s="3" t="s">
        <v>107</v>
      </c>
      <c r="F56" s="3" t="s">
        <v>99</v>
      </c>
      <c r="G56" s="36">
        <f t="shared" ref="G56:I56" si="58">G12*0.15</f>
        <v>813900</v>
      </c>
      <c r="H56" s="36">
        <f t="shared" si="58"/>
        <v>888900</v>
      </c>
      <c r="I56" s="36">
        <f t="shared" si="58"/>
        <v>985650</v>
      </c>
      <c r="J56" s="36"/>
      <c r="K56" s="36">
        <f t="shared" ref="K56:M56" si="59">K12*0.15</f>
        <v>825150</v>
      </c>
      <c r="L56" s="36">
        <f t="shared" si="59"/>
        <v>910650</v>
      </c>
      <c r="M56" s="36">
        <f t="shared" si="59"/>
        <v>997650</v>
      </c>
    </row>
    <row r="57">
      <c r="F57" s="3" t="s">
        <v>108</v>
      </c>
      <c r="G57" s="36">
        <f t="shared" ref="G57:I57" si="60">G12*0.16*5</f>
        <v>4340800</v>
      </c>
      <c r="H57" s="36">
        <f t="shared" si="60"/>
        <v>4740800</v>
      </c>
      <c r="I57" s="36">
        <f t="shared" si="60"/>
        <v>5256800</v>
      </c>
      <c r="J57" s="36"/>
      <c r="K57" s="36">
        <f t="shared" ref="K57:M57" si="61">K12*0.16*5</f>
        <v>4400800</v>
      </c>
      <c r="L57" s="36">
        <f t="shared" si="61"/>
        <v>4856800</v>
      </c>
      <c r="M57" s="36">
        <f t="shared" si="61"/>
        <v>5320800</v>
      </c>
    </row>
    <row r="58">
      <c r="F58" s="3" t="s">
        <v>109</v>
      </c>
      <c r="G58" s="36">
        <f t="shared" ref="G58:I58" si="62">(G12+G57)/60</f>
        <v>162780</v>
      </c>
      <c r="H58" s="36">
        <f t="shared" si="62"/>
        <v>177780</v>
      </c>
      <c r="I58" s="36">
        <f t="shared" si="62"/>
        <v>197130</v>
      </c>
      <c r="J58" s="36"/>
      <c r="K58" s="36">
        <f t="shared" ref="K58:M58" si="63">(K12+K57)/60</f>
        <v>165030</v>
      </c>
      <c r="L58" s="36">
        <f t="shared" si="63"/>
        <v>182130</v>
      </c>
      <c r="M58" s="36">
        <f t="shared" si="63"/>
        <v>199530</v>
      </c>
    </row>
  </sheetData>
  <mergeCells count="20">
    <mergeCell ref="G1:I1"/>
    <mergeCell ref="K1:M1"/>
    <mergeCell ref="P1:R1"/>
    <mergeCell ref="B5:D5"/>
    <mergeCell ref="B6:D6"/>
    <mergeCell ref="B7:D7"/>
    <mergeCell ref="B8:D8"/>
    <mergeCell ref="B15:D15"/>
    <mergeCell ref="B16:D16"/>
    <mergeCell ref="B17:D17"/>
    <mergeCell ref="E17:E22"/>
    <mergeCell ref="B18:D18"/>
    <mergeCell ref="B19:D19"/>
    <mergeCell ref="B9:D9"/>
    <mergeCell ref="B10:D10"/>
    <mergeCell ref="B11:D11"/>
    <mergeCell ref="B12:D12"/>
    <mergeCell ref="B13:D13"/>
    <mergeCell ref="E13:E15"/>
    <mergeCell ref="B14:D1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2" width="46.63"/>
    <col customWidth="1" min="3" max="3" width="20.63"/>
  </cols>
  <sheetData>
    <row r="1">
      <c r="A1" s="3" t="s">
        <v>77</v>
      </c>
      <c r="B1" s="3">
        <v>500.0</v>
      </c>
    </row>
    <row r="2">
      <c r="A2" s="1" t="s">
        <v>0</v>
      </c>
      <c r="B2" s="2" t="s">
        <v>1</v>
      </c>
    </row>
    <row r="3">
      <c r="A3" s="3" t="s">
        <v>4</v>
      </c>
      <c r="B3" s="4">
        <v>8000.0</v>
      </c>
      <c r="D3" s="43">
        <f>B1*B3</f>
        <v>4000000</v>
      </c>
    </row>
    <row r="4">
      <c r="A4" s="1" t="s">
        <v>8</v>
      </c>
      <c r="B4" s="5"/>
      <c r="D4" s="43"/>
    </row>
    <row r="5">
      <c r="A5" s="3" t="s">
        <v>9</v>
      </c>
      <c r="B5" s="4">
        <v>1200.0</v>
      </c>
      <c r="D5" s="43">
        <f>B1*B5</f>
        <v>600000</v>
      </c>
    </row>
    <row r="6">
      <c r="A6" s="3" t="s">
        <v>11</v>
      </c>
      <c r="B6" s="4">
        <v>250.0</v>
      </c>
      <c r="D6" s="43">
        <f>B1*B6</f>
        <v>125000</v>
      </c>
    </row>
    <row r="7">
      <c r="A7" s="6" t="s">
        <v>12</v>
      </c>
      <c r="B7" s="4" t="s">
        <v>78</v>
      </c>
      <c r="C7" s="12" t="s">
        <v>79</v>
      </c>
      <c r="D7" s="44">
        <f>61800
+81000
+97000
+162000
+179200</f>
        <v>581000</v>
      </c>
      <c r="E7" s="45" t="s">
        <v>80</v>
      </c>
    </row>
    <row r="8">
      <c r="A8" s="3" t="s">
        <v>15</v>
      </c>
      <c r="B8" s="4">
        <v>12500.0</v>
      </c>
      <c r="C8" s="4">
        <v>4.0</v>
      </c>
      <c r="D8" s="43">
        <f t="shared" ref="D8:D9" si="1">C8*B8</f>
        <v>50000</v>
      </c>
    </row>
    <row r="9">
      <c r="A9" s="8" t="s">
        <v>17</v>
      </c>
      <c r="B9" s="9">
        <v>14000.0</v>
      </c>
      <c r="C9" s="4">
        <v>5.0</v>
      </c>
      <c r="D9" s="46">
        <f t="shared" si="1"/>
        <v>70000</v>
      </c>
    </row>
    <row r="10">
      <c r="A10" s="8" t="s">
        <v>20</v>
      </c>
      <c r="B10" s="9">
        <v>115000.0</v>
      </c>
    </row>
    <row r="11">
      <c r="A11" s="3" t="s">
        <v>22</v>
      </c>
      <c r="B11" s="4" t="s">
        <v>23</v>
      </c>
    </row>
    <row r="12">
      <c r="A12" s="3" t="s">
        <v>24</v>
      </c>
      <c r="B12" s="4" t="s">
        <v>23</v>
      </c>
    </row>
    <row r="13">
      <c r="A13" s="3" t="s">
        <v>25</v>
      </c>
      <c r="B13" s="4" t="s">
        <v>23</v>
      </c>
    </row>
    <row r="14">
      <c r="A14" s="3" t="s">
        <v>26</v>
      </c>
      <c r="B14" s="4" t="s">
        <v>23</v>
      </c>
    </row>
    <row r="15">
      <c r="A15" s="3" t="s">
        <v>27</v>
      </c>
      <c r="B15" s="4" t="s">
        <v>23</v>
      </c>
    </row>
    <row r="16">
      <c r="A16" s="3" t="s">
        <v>28</v>
      </c>
      <c r="B16" s="4" t="s">
        <v>23</v>
      </c>
    </row>
    <row r="17">
      <c r="A17" s="3" t="s">
        <v>29</v>
      </c>
      <c r="B17" s="4" t="s">
        <v>23</v>
      </c>
    </row>
    <row r="18">
      <c r="A18" s="3" t="s">
        <v>30</v>
      </c>
      <c r="B18" s="4" t="s">
        <v>23</v>
      </c>
    </row>
    <row r="19">
      <c r="B19" s="39" t="s">
        <v>110</v>
      </c>
      <c r="C19" s="47"/>
      <c r="D19" s="48">
        <f>D20*0.15</f>
        <v>813900</v>
      </c>
      <c r="G19" s="49"/>
    </row>
    <row r="20">
      <c r="B20" s="39" t="s">
        <v>111</v>
      </c>
      <c r="C20" s="39"/>
      <c r="D20" s="43">
        <f>sum(D3:D9)</f>
        <v>5426000</v>
      </c>
      <c r="G20" s="49"/>
    </row>
    <row r="21">
      <c r="A21" s="39" t="s">
        <v>107</v>
      </c>
      <c r="B21" s="39" t="s">
        <v>112</v>
      </c>
      <c r="D21" s="43">
        <f>D20+(D20*0.16*5)</f>
        <v>9766800</v>
      </c>
      <c r="G21" s="50"/>
    </row>
    <row r="22">
      <c r="A22" s="47"/>
      <c r="B22" s="39" t="s">
        <v>113</v>
      </c>
      <c r="C22" s="47"/>
      <c r="D22" s="48">
        <f>D21/60</f>
        <v>162780</v>
      </c>
      <c r="E22" s="51">
        <v>163105.56</v>
      </c>
      <c r="F22" s="52">
        <f>D22-E22</f>
        <v>-325.56</v>
      </c>
      <c r="G22" s="50"/>
    </row>
    <row r="23">
      <c r="A23" s="47"/>
      <c r="G23" s="50"/>
    </row>
    <row r="24">
      <c r="A24" s="47"/>
      <c r="B24" s="39"/>
      <c r="C24" s="47"/>
      <c r="D24" s="48"/>
      <c r="G24" s="50"/>
    </row>
    <row r="25">
      <c r="B25" s="39"/>
      <c r="C25" s="47"/>
      <c r="D25" s="48"/>
      <c r="G25" s="50"/>
    </row>
    <row r="26">
      <c r="B26" s="39"/>
      <c r="C26" s="39"/>
      <c r="D26" s="53"/>
      <c r="G26" s="50"/>
    </row>
    <row r="29">
      <c r="B29" s="39"/>
      <c r="C29" s="39"/>
      <c r="D29" s="54"/>
    </row>
  </sheetData>
  <drawing r:id="rId1"/>
</worksheet>
</file>